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R:\domes_sede\19\SAISTOŠIE NOTEIKUMI\"/>
    </mc:Choice>
  </mc:AlternateContent>
  <bookViews>
    <workbookView xWindow="0" yWindow="0" windowWidth="28800" windowHeight="11835" firstSheet="73" activeTab="86"/>
  </bookViews>
  <sheets>
    <sheet name="01.1.1." sheetId="58" r:id="rId1"/>
    <sheet name="01.1.9." sheetId="76" r:id="rId2"/>
    <sheet name="01.2.5." sheetId="65" r:id="rId3"/>
    <sheet name="01.3.1." sheetId="63" r:id="rId4"/>
    <sheet name="03.2.1." sheetId="54" r:id="rId5"/>
    <sheet name="04.1.1." sheetId="59" r:id="rId6"/>
    <sheet name="04.1.3." sheetId="78" r:id="rId7"/>
    <sheet name="04.1.5." sheetId="79" r:id="rId8"/>
    <sheet name="04.1.6." sheetId="56" r:id="rId9"/>
    <sheet name="04.1.8." sheetId="81" r:id="rId10"/>
    <sheet name="04.1.19." sheetId="64" r:id="rId11"/>
    <sheet name="04.3.1." sheetId="89" r:id="rId12"/>
    <sheet name="05.1.4." sheetId="51" r:id="rId13"/>
    <sheet name="06.1.1." sheetId="1" r:id="rId14"/>
    <sheet name="06.1.4." sheetId="52" r:id="rId15"/>
    <sheet name="06.1.9." sheetId="74" r:id="rId16"/>
    <sheet name="07.1.2." sheetId="10" r:id="rId17"/>
    <sheet name="07.1.3." sheetId="11" r:id="rId18"/>
    <sheet name="07.1.4." sheetId="88" r:id="rId19"/>
    <sheet name="08.1.1." sheetId="61" r:id="rId20"/>
    <sheet name="08.1.3." sheetId="53" r:id="rId21"/>
    <sheet name="08.1.5." sheetId="71" r:id="rId22"/>
    <sheet name="08.1.6." sheetId="86" r:id="rId23"/>
    <sheet name="08.1.7." sheetId="84" r:id="rId24"/>
    <sheet name="08.1.8." sheetId="85" r:id="rId25"/>
    <sheet name="08.1.11." sheetId="67" r:id="rId26"/>
    <sheet name="08.1.15." sheetId="47" r:id="rId27"/>
    <sheet name="08.2.2." sheetId="12" r:id="rId28"/>
    <sheet name="08.2.4." sheetId="13" r:id="rId29"/>
    <sheet name="08.2.5." sheetId="14" r:id="rId30"/>
    <sheet name="08.3.1." sheetId="44" r:id="rId31"/>
    <sheet name="08.4.1." sheetId="49" r:id="rId32"/>
    <sheet name="08.6.1." sheetId="39" r:id="rId33"/>
    <sheet name="09.1.1." sheetId="62" r:id="rId34"/>
    <sheet name="09.1.5." sheetId="35" r:id="rId35"/>
    <sheet name="09.1.6." sheetId="34" r:id="rId36"/>
    <sheet name="09.1.7." sheetId="33" r:id="rId37"/>
    <sheet name="09.1.8." sheetId="48" r:id="rId38"/>
    <sheet name="09.1.10." sheetId="68" r:id="rId39"/>
    <sheet name="09.1.20." sheetId="75" r:id="rId40"/>
    <sheet name="09.1.24." sheetId="66" r:id="rId41"/>
    <sheet name="09.4.1." sheetId="40" r:id="rId42"/>
    <sheet name="09.4.4." sheetId="29" r:id="rId43"/>
    <sheet name="09.8.1." sheetId="41" r:id="rId44"/>
    <sheet name="09.9.1." sheetId="55" r:id="rId45"/>
    <sheet name="09.10.1." sheetId="30" r:id="rId46"/>
    <sheet name="09.12.1." sheetId="45" r:id="rId47"/>
    <sheet name="09.23.1." sheetId="37" r:id="rId48"/>
    <sheet name="09.29.2." sheetId="42" r:id="rId49"/>
    <sheet name="09.30.1." sheetId="38" r:id="rId50"/>
    <sheet name="09.31.1." sheetId="32" r:id="rId51"/>
    <sheet name="10.1.1." sheetId="69" r:id="rId52"/>
    <sheet name="10.2.1." sheetId="15" r:id="rId53"/>
    <sheet name="10.2.2." sheetId="8" r:id="rId54"/>
    <sheet name="10.2.3." sheetId="16" r:id="rId55"/>
    <sheet name="10.2.4." sheetId="9" r:id="rId56"/>
    <sheet name="10.2.5." sheetId="17" r:id="rId57"/>
    <sheet name="10.2.6." sheetId="18" r:id="rId58"/>
    <sheet name="10.2.7." sheetId="19" r:id="rId59"/>
    <sheet name="10.2.8." sheetId="20" r:id="rId60"/>
    <sheet name="10.2.9." sheetId="77" r:id="rId61"/>
    <sheet name="10.3.1." sheetId="6" r:id="rId62"/>
    <sheet name="10.3.2." sheetId="7" r:id="rId63"/>
    <sheet name="10.3.3." sheetId="3" r:id="rId64"/>
    <sheet name="10.3.5." sheetId="5" r:id="rId65"/>
    <sheet name="10.3.6." sheetId="4" r:id="rId66"/>
    <sheet name="10.4.1." sheetId="26" r:id="rId67"/>
    <sheet name="10.5.1." sheetId="2" r:id="rId68"/>
    <sheet name="3.piel." sheetId="82" r:id="rId69"/>
    <sheet name="4.piel." sheetId="70" r:id="rId70"/>
    <sheet name="8.piel." sheetId="80" r:id="rId71"/>
    <sheet name="10.piel." sheetId="46" r:id="rId72"/>
    <sheet name="11.piel." sheetId="50" r:id="rId73"/>
    <sheet name="16.piel." sheetId="36" r:id="rId74"/>
    <sheet name="18.piel." sheetId="57" r:id="rId75"/>
    <sheet name="19.piel" sheetId="87" r:id="rId76"/>
    <sheet name="23.piel." sheetId="72" r:id="rId77"/>
    <sheet name="25.piel." sheetId="28" r:id="rId78"/>
    <sheet name="28.piel." sheetId="43" r:id="rId79"/>
    <sheet name="29.piel." sheetId="21" r:id="rId80"/>
    <sheet name="30.piel." sheetId="22" r:id="rId81"/>
    <sheet name="31.piel." sheetId="23" r:id="rId82"/>
    <sheet name="32.piel." sheetId="24" r:id="rId83"/>
    <sheet name="33.piel." sheetId="25" r:id="rId84"/>
    <sheet name="35.piel." sheetId="90" r:id="rId85"/>
    <sheet name="05.2.2." sheetId="95" r:id="rId86"/>
    <sheet name="05.2.3." sheetId="96" r:id="rId87"/>
  </sheets>
  <definedNames>
    <definedName name="_xlnm._FilterDatabase" localSheetId="0" hidden="1">'01.1.1.'!$A$18:$P$301</definedName>
    <definedName name="_xlnm._FilterDatabase" localSheetId="1" hidden="1">'01.1.9.'!$A$18:$P$301</definedName>
    <definedName name="_xlnm._FilterDatabase" localSheetId="2" hidden="1">'01.2.5.'!$A$18:$P$301</definedName>
    <definedName name="_xlnm._FilterDatabase" localSheetId="3" hidden="1">'01.3.1.'!$A$18:$P$301</definedName>
    <definedName name="_xlnm._FilterDatabase" localSheetId="4" hidden="1">'03.2.1.'!$A$18:$P$301</definedName>
    <definedName name="_xlnm._FilterDatabase" localSheetId="5" hidden="1">'04.1.1.'!$A$18:$P$301</definedName>
    <definedName name="_xlnm._FilterDatabase" localSheetId="10" hidden="1">'04.1.19.'!$A$18:$P$301</definedName>
    <definedName name="_xlnm._FilterDatabase" localSheetId="6" hidden="1">'04.1.3.'!$A$18:$P$301</definedName>
    <definedName name="_xlnm._FilterDatabase" localSheetId="7" hidden="1">'04.1.5.'!$A$18:$P$301</definedName>
    <definedName name="_xlnm._FilterDatabase" localSheetId="8" hidden="1">'04.1.6.'!$A$18:$P$301</definedName>
    <definedName name="_xlnm._FilterDatabase" localSheetId="9" hidden="1">'04.1.8.'!$A$18:$P$301</definedName>
    <definedName name="_xlnm._FilterDatabase" localSheetId="11" hidden="1">'04.3.1.'!$A$18:$P$301</definedName>
    <definedName name="_xlnm._FilterDatabase" localSheetId="12" hidden="1">'05.1.4.'!$A$18:$P$301</definedName>
    <definedName name="_xlnm._FilterDatabase" localSheetId="85" hidden="1">'05.2.2.'!$A$18:$P$301</definedName>
    <definedName name="_xlnm._FilterDatabase" localSheetId="86" hidden="1">'05.2.3.'!$A$18:$P$301</definedName>
    <definedName name="_xlnm._FilterDatabase" localSheetId="13" hidden="1">'06.1.1.'!$A$18:$P$301</definedName>
    <definedName name="_xlnm._FilterDatabase" localSheetId="14" hidden="1">'06.1.4.'!$A$18:$P$301</definedName>
    <definedName name="_xlnm._FilterDatabase" localSheetId="15" hidden="1">'06.1.9.'!$A$18:$P$301</definedName>
    <definedName name="_xlnm._FilterDatabase" localSheetId="16" hidden="1">'07.1.2.'!$A$18:$P$301</definedName>
    <definedName name="_xlnm._FilterDatabase" localSheetId="17" hidden="1">'07.1.3.'!$A$18:$P$301</definedName>
    <definedName name="_xlnm._FilterDatabase" localSheetId="18" hidden="1">'07.1.4.'!$A$18:$P$301</definedName>
    <definedName name="_xlnm._FilterDatabase" localSheetId="19" hidden="1">'08.1.1.'!$A$18:$P$301</definedName>
    <definedName name="_xlnm._FilterDatabase" localSheetId="25" hidden="1">'08.1.11.'!$A$18:$P$301</definedName>
    <definedName name="_xlnm._FilterDatabase" localSheetId="26" hidden="1">'08.1.15.'!$A$18:$P$301</definedName>
    <definedName name="_xlnm._FilterDatabase" localSheetId="20" hidden="1">'08.1.3.'!$A$18:$P$301</definedName>
    <definedName name="_xlnm._FilterDatabase" localSheetId="21" hidden="1">'08.1.5.'!$A$18:$P$301</definedName>
    <definedName name="_xlnm._FilterDatabase" localSheetId="22" hidden="1">'08.1.6.'!$A$18:$P$301</definedName>
    <definedName name="_xlnm._FilterDatabase" localSheetId="23" hidden="1">'08.1.7.'!$A$18:$P$301</definedName>
    <definedName name="_xlnm._FilterDatabase" localSheetId="24" hidden="1">'08.1.8.'!$A$18:$P$301</definedName>
    <definedName name="_xlnm._FilterDatabase" localSheetId="27" hidden="1">'08.2.2.'!$A$18:$P$301</definedName>
    <definedName name="_xlnm._FilterDatabase" localSheetId="28" hidden="1">'08.2.4.'!$A$18:$P$301</definedName>
    <definedName name="_xlnm._FilterDatabase" localSheetId="29" hidden="1">'08.2.5.'!$A$18:$P$301</definedName>
    <definedName name="_xlnm._FilterDatabase" localSheetId="30" hidden="1">'08.3.1.'!$A$18:$P$301</definedName>
    <definedName name="_xlnm._FilterDatabase" localSheetId="31" hidden="1">'08.4.1.'!$A$18:$P$301</definedName>
    <definedName name="_xlnm._FilterDatabase" localSheetId="32" hidden="1">'08.6.1.'!$A$18:$P$301</definedName>
    <definedName name="_xlnm._FilterDatabase" localSheetId="33" hidden="1">'09.1.1.'!$A$18:$P$301</definedName>
    <definedName name="_xlnm._FilterDatabase" localSheetId="38" hidden="1">'09.1.10.'!$A$18:$P$301</definedName>
    <definedName name="_xlnm._FilterDatabase" localSheetId="39" hidden="1">'09.1.20.'!$A$18:$P$301</definedName>
    <definedName name="_xlnm._FilterDatabase" localSheetId="40" hidden="1">'09.1.24.'!$A$18:$P$301</definedName>
    <definedName name="_xlnm._FilterDatabase" localSheetId="34" hidden="1">'09.1.5.'!$A$18:$P$301</definedName>
    <definedName name="_xlnm._FilterDatabase" localSheetId="35" hidden="1">'09.1.6.'!$A$18:$P$301</definedName>
    <definedName name="_xlnm._FilterDatabase" localSheetId="36" hidden="1">'09.1.7.'!$A$18:$P$301</definedName>
    <definedName name="_xlnm._FilterDatabase" localSheetId="37" hidden="1">'09.1.8.'!$A$18:$P$301</definedName>
    <definedName name="_xlnm._FilterDatabase" localSheetId="45" hidden="1">'09.10.1.'!$A$18:$P$301</definedName>
    <definedName name="_xlnm._FilterDatabase" localSheetId="46" hidden="1">'09.12.1.'!$A$18:$P$301</definedName>
    <definedName name="_xlnm._FilterDatabase" localSheetId="47" hidden="1">'09.23.1.'!$A$18:$P$301</definedName>
    <definedName name="_xlnm._FilterDatabase" localSheetId="48" hidden="1">'09.29.2.'!$A$18:$P$301</definedName>
    <definedName name="_xlnm._FilterDatabase" localSheetId="49" hidden="1">'09.30.1.'!$A$18:$P$301</definedName>
    <definedName name="_xlnm._FilterDatabase" localSheetId="50" hidden="1">'09.31.1.'!$A$18:$P$301</definedName>
    <definedName name="_xlnm._FilterDatabase" localSheetId="41" hidden="1">'09.4.1.'!$A$18:$P$301</definedName>
    <definedName name="_xlnm._FilterDatabase" localSheetId="42" hidden="1">'09.4.4.'!$A$18:$P$301</definedName>
    <definedName name="_xlnm._FilterDatabase" localSheetId="43" hidden="1">'09.8.1.'!$A$18:$P$301</definedName>
    <definedName name="_xlnm._FilterDatabase" localSheetId="44" hidden="1">'09.9.1.'!$A$18:$P$301</definedName>
    <definedName name="_xlnm._FilterDatabase" localSheetId="51" hidden="1">'10.1.1.'!$A$18:$P$301</definedName>
    <definedName name="_xlnm._FilterDatabase" localSheetId="52" hidden="1">'10.2.1.'!$A$18:$P$301</definedName>
    <definedName name="_xlnm._FilterDatabase" localSheetId="53" hidden="1">'10.2.2.'!$A$18:$P$301</definedName>
    <definedName name="_xlnm._FilterDatabase" localSheetId="54" hidden="1">'10.2.3.'!$A$18:$P$301</definedName>
    <definedName name="_xlnm._FilterDatabase" localSheetId="55" hidden="1">'10.2.4.'!$A$18:$P$301</definedName>
    <definedName name="_xlnm._FilterDatabase" localSheetId="56" hidden="1">'10.2.5.'!$A$18:$P$301</definedName>
    <definedName name="_xlnm._FilterDatabase" localSheetId="57" hidden="1">'10.2.6.'!$A$18:$P$301</definedName>
    <definedName name="_xlnm._FilterDatabase" localSheetId="58" hidden="1">'10.2.7.'!$A$18:$P$301</definedName>
    <definedName name="_xlnm._FilterDatabase" localSheetId="59" hidden="1">'10.2.8.'!$A$18:$P$301</definedName>
    <definedName name="_xlnm._FilterDatabase" localSheetId="60" hidden="1">'10.2.9.'!$A$18:$P$301</definedName>
    <definedName name="_xlnm._FilterDatabase" localSheetId="61" hidden="1">'10.3.1.'!$A$18:$P$301</definedName>
    <definedName name="_xlnm._FilterDatabase" localSheetId="62" hidden="1">'10.3.2.'!$A$18:$P$301</definedName>
    <definedName name="_xlnm._FilterDatabase" localSheetId="63" hidden="1">'10.3.3.'!$A$18:$P$301</definedName>
    <definedName name="_xlnm._FilterDatabase" localSheetId="64" hidden="1">'10.3.5.'!$A$18:$P$301</definedName>
    <definedName name="_xlnm._FilterDatabase" localSheetId="65" hidden="1">'10.3.6.'!$A$18:$P$301</definedName>
    <definedName name="_xlnm._FilterDatabase" localSheetId="66" hidden="1">'10.4.1.'!$A$18:$P$301</definedName>
    <definedName name="_xlnm._FilterDatabase" localSheetId="67" hidden="1">'10.5.1.'!$A$18:$P$301</definedName>
    <definedName name="_xlnm._FilterDatabase" localSheetId="76" hidden="1">'23.piel.'!$A$7:$H$60</definedName>
    <definedName name="_xlnm.Print_Area" localSheetId="84">'35.piel.'!$A$1:$R$105</definedName>
    <definedName name="_xlnm.Print_Titles" localSheetId="0">'01.1.1.'!$18:$18</definedName>
    <definedName name="_xlnm.Print_Titles" localSheetId="1">'01.1.9.'!$18:$18</definedName>
    <definedName name="_xlnm.Print_Titles" localSheetId="2">'01.2.5.'!$18:$18</definedName>
    <definedName name="_xlnm.Print_Titles" localSheetId="4">'03.2.1.'!$18:$18</definedName>
    <definedName name="_xlnm.Print_Titles" localSheetId="5">'04.1.1.'!$18:$18</definedName>
    <definedName name="_xlnm.Print_Titles" localSheetId="10">'04.1.19.'!$18:$18</definedName>
    <definedName name="_xlnm.Print_Titles" localSheetId="6">'04.1.3.'!$18:$18</definedName>
    <definedName name="_xlnm.Print_Titles" localSheetId="7">'04.1.5.'!$18:$18</definedName>
    <definedName name="_xlnm.Print_Titles" localSheetId="8">'04.1.6.'!$18:$18</definedName>
    <definedName name="_xlnm.Print_Titles" localSheetId="9">'04.1.8.'!$18:$18</definedName>
    <definedName name="_xlnm.Print_Titles" localSheetId="11">'04.3.1.'!$18:$18</definedName>
    <definedName name="_xlnm.Print_Titles" localSheetId="12">'05.1.4.'!$18:$18</definedName>
    <definedName name="_xlnm.Print_Titles" localSheetId="85">'05.2.2.'!$18:$18</definedName>
    <definedName name="_xlnm.Print_Titles" localSheetId="86">'05.2.3.'!$18:$18</definedName>
    <definedName name="_xlnm.Print_Titles" localSheetId="13">'06.1.1.'!$18:$18</definedName>
    <definedName name="_xlnm.Print_Titles" localSheetId="14">'06.1.4.'!$18:$18</definedName>
    <definedName name="_xlnm.Print_Titles" localSheetId="15">'06.1.9.'!$18:$18</definedName>
    <definedName name="_xlnm.Print_Titles" localSheetId="16">'07.1.2.'!$18:$18</definedName>
    <definedName name="_xlnm.Print_Titles" localSheetId="17">'07.1.3.'!$18:$18</definedName>
    <definedName name="_xlnm.Print_Titles" localSheetId="18">'07.1.4.'!$18:$18</definedName>
    <definedName name="_xlnm.Print_Titles" localSheetId="19">'08.1.1.'!$18:$18</definedName>
    <definedName name="_xlnm.Print_Titles" localSheetId="25">'08.1.11.'!$18:$18</definedName>
    <definedName name="_xlnm.Print_Titles" localSheetId="26">'08.1.15.'!$18:$18</definedName>
    <definedName name="_xlnm.Print_Titles" localSheetId="20">'08.1.3.'!$18:$18</definedName>
    <definedName name="_xlnm.Print_Titles" localSheetId="21">'08.1.5.'!$18:$18</definedName>
    <definedName name="_xlnm.Print_Titles" localSheetId="22">'08.1.6.'!$18:$18</definedName>
    <definedName name="_xlnm.Print_Titles" localSheetId="23">'08.1.7.'!$18:$18</definedName>
    <definedName name="_xlnm.Print_Titles" localSheetId="24">'08.1.8.'!$18:$18</definedName>
    <definedName name="_xlnm.Print_Titles" localSheetId="27">'08.2.2.'!$18:$18</definedName>
    <definedName name="_xlnm.Print_Titles" localSheetId="28">'08.2.4.'!$18:$18</definedName>
    <definedName name="_xlnm.Print_Titles" localSheetId="29">'08.2.5.'!$18:$18</definedName>
    <definedName name="_xlnm.Print_Titles" localSheetId="30">'08.3.1.'!$18:$18</definedName>
    <definedName name="_xlnm.Print_Titles" localSheetId="31">'08.4.1.'!$18:$18</definedName>
    <definedName name="_xlnm.Print_Titles" localSheetId="32">'08.6.1.'!$18:$18</definedName>
    <definedName name="_xlnm.Print_Titles" localSheetId="33">'09.1.1.'!$18:$18</definedName>
    <definedName name="_xlnm.Print_Titles" localSheetId="38">'09.1.10.'!$18:$18</definedName>
    <definedName name="_xlnm.Print_Titles" localSheetId="39">'09.1.20.'!$18:$18</definedName>
    <definedName name="_xlnm.Print_Titles" localSheetId="40">'09.1.24.'!$18:$18</definedName>
    <definedName name="_xlnm.Print_Titles" localSheetId="34">'09.1.5.'!$18:$18</definedName>
    <definedName name="_xlnm.Print_Titles" localSheetId="35">'09.1.6.'!$18:$18</definedName>
    <definedName name="_xlnm.Print_Titles" localSheetId="36">'09.1.7.'!$18:$18</definedName>
    <definedName name="_xlnm.Print_Titles" localSheetId="37">'09.1.8.'!$18:$18</definedName>
    <definedName name="_xlnm.Print_Titles" localSheetId="45">'09.10.1.'!$18:$18</definedName>
    <definedName name="_xlnm.Print_Titles" localSheetId="46">'09.12.1.'!$18:$18</definedName>
    <definedName name="_xlnm.Print_Titles" localSheetId="47">'09.23.1.'!$18:$18</definedName>
    <definedName name="_xlnm.Print_Titles" localSheetId="48">'09.29.2.'!$18:$18</definedName>
    <definedName name="_xlnm.Print_Titles" localSheetId="49">'09.30.1.'!$18:$18</definedName>
    <definedName name="_xlnm.Print_Titles" localSheetId="50">'09.31.1.'!$18:$18</definedName>
    <definedName name="_xlnm.Print_Titles" localSheetId="41">'09.4.1.'!$18:$18</definedName>
    <definedName name="_xlnm.Print_Titles" localSheetId="42">'09.4.4.'!$18:$18</definedName>
    <definedName name="_xlnm.Print_Titles" localSheetId="43">'09.8.1.'!$18:$18</definedName>
    <definedName name="_xlnm.Print_Titles" localSheetId="44">'09.9.1.'!$18:$18</definedName>
    <definedName name="_xlnm.Print_Titles" localSheetId="51">'10.1.1.'!$18:$18</definedName>
    <definedName name="_xlnm.Print_Titles" localSheetId="52">'10.2.1.'!$18:$18</definedName>
    <definedName name="_xlnm.Print_Titles" localSheetId="53">'10.2.2.'!$18:$18</definedName>
    <definedName name="_xlnm.Print_Titles" localSheetId="54">'10.2.3.'!$18:$18</definedName>
    <definedName name="_xlnm.Print_Titles" localSheetId="55">'10.2.4.'!$18:$18</definedName>
    <definedName name="_xlnm.Print_Titles" localSheetId="56">'10.2.5.'!$18:$18</definedName>
    <definedName name="_xlnm.Print_Titles" localSheetId="57">'10.2.6.'!$18:$18</definedName>
    <definedName name="_xlnm.Print_Titles" localSheetId="58">'10.2.7.'!$18:$18</definedName>
    <definedName name="_xlnm.Print_Titles" localSheetId="59">'10.2.8.'!$18:$18</definedName>
    <definedName name="_xlnm.Print_Titles" localSheetId="60">'10.2.9.'!$18:$18</definedName>
    <definedName name="_xlnm.Print_Titles" localSheetId="61">'10.3.1.'!$18:$18</definedName>
    <definedName name="_xlnm.Print_Titles" localSheetId="62">'10.3.2.'!$18:$18</definedName>
    <definedName name="_xlnm.Print_Titles" localSheetId="63">'10.3.3.'!$18:$18</definedName>
    <definedName name="_xlnm.Print_Titles" localSheetId="64">'10.3.5.'!$18:$18</definedName>
    <definedName name="_xlnm.Print_Titles" localSheetId="65">'10.3.6.'!$18:$18</definedName>
    <definedName name="_xlnm.Print_Titles" localSheetId="66">'10.4.1.'!$18:$18</definedName>
    <definedName name="_xlnm.Print_Titles" localSheetId="67">'10.5.1.'!$18:$18</definedName>
    <definedName name="_xlnm.Print_Titles" localSheetId="84">'35.piel.'!$5:$5</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68" i="32" l="1"/>
  <c r="H65" i="32"/>
  <c r="H57" i="32"/>
  <c r="E57" i="54" l="1"/>
  <c r="E24" i="54"/>
  <c r="E13" i="90" l="1"/>
  <c r="F13" i="90"/>
  <c r="G13" i="90"/>
  <c r="H13" i="90"/>
  <c r="I13" i="90"/>
  <c r="J13" i="90"/>
  <c r="K13" i="90"/>
  <c r="L13" i="90"/>
  <c r="M13" i="90"/>
  <c r="N13" i="90"/>
  <c r="O13" i="90"/>
  <c r="P13" i="90"/>
  <c r="Q13" i="90"/>
  <c r="R13" i="90"/>
  <c r="D13" i="90"/>
  <c r="O301" i="96" l="1"/>
  <c r="L301" i="96"/>
  <c r="I301" i="96"/>
  <c r="F301" i="96"/>
  <c r="O300" i="96"/>
  <c r="L300" i="96"/>
  <c r="I300" i="96"/>
  <c r="F300" i="96"/>
  <c r="O299" i="96"/>
  <c r="L299" i="96"/>
  <c r="I299" i="96"/>
  <c r="F299" i="96"/>
  <c r="O298" i="96"/>
  <c r="L298" i="96"/>
  <c r="I298" i="96"/>
  <c r="F298" i="96"/>
  <c r="O297" i="96"/>
  <c r="L297" i="96"/>
  <c r="I297" i="96"/>
  <c r="F297" i="96"/>
  <c r="O296" i="96"/>
  <c r="L296" i="96"/>
  <c r="I296" i="96"/>
  <c r="F296" i="96"/>
  <c r="O295" i="96"/>
  <c r="L295" i="96"/>
  <c r="I295" i="96"/>
  <c r="F295" i="96"/>
  <c r="O294" i="96"/>
  <c r="L294" i="96"/>
  <c r="I294" i="96"/>
  <c r="F294" i="96"/>
  <c r="N293" i="96"/>
  <c r="M293" i="96"/>
  <c r="K293" i="96"/>
  <c r="J293" i="96"/>
  <c r="H293" i="96"/>
  <c r="G293" i="96"/>
  <c r="E293" i="96"/>
  <c r="D293" i="96"/>
  <c r="O288" i="96"/>
  <c r="L288" i="96"/>
  <c r="I288" i="96"/>
  <c r="F288" i="96"/>
  <c r="O287" i="96"/>
  <c r="L287" i="96"/>
  <c r="L286" i="96" s="1"/>
  <c r="I287" i="96"/>
  <c r="I286" i="96" s="1"/>
  <c r="F287" i="96"/>
  <c r="O286" i="96"/>
  <c r="N286" i="96"/>
  <c r="M286" i="96"/>
  <c r="K286" i="96"/>
  <c r="J286" i="96"/>
  <c r="H286" i="96"/>
  <c r="G286" i="96"/>
  <c r="F286" i="96"/>
  <c r="E286" i="96"/>
  <c r="D286" i="96"/>
  <c r="O285" i="96"/>
  <c r="O284" i="96" s="1"/>
  <c r="O283" i="96" s="1"/>
  <c r="L285" i="96"/>
  <c r="L284" i="96" s="1"/>
  <c r="I285" i="96"/>
  <c r="I284" i="96" s="1"/>
  <c r="I283" i="96" s="1"/>
  <c r="F285" i="96"/>
  <c r="N284" i="96"/>
  <c r="N283" i="96" s="1"/>
  <c r="M284" i="96"/>
  <c r="K284" i="96"/>
  <c r="K283" i="96" s="1"/>
  <c r="J284" i="96"/>
  <c r="J283" i="96" s="1"/>
  <c r="H284" i="96"/>
  <c r="H283" i="96" s="1"/>
  <c r="G284" i="96"/>
  <c r="G283" i="96" s="1"/>
  <c r="E284" i="96"/>
  <c r="E283" i="96" s="1"/>
  <c r="D284" i="96"/>
  <c r="D283" i="96" s="1"/>
  <c r="M283" i="96"/>
  <c r="O282" i="96"/>
  <c r="O281" i="96" s="1"/>
  <c r="L282" i="96"/>
  <c r="I282" i="96"/>
  <c r="I281" i="96" s="1"/>
  <c r="F282" i="96"/>
  <c r="F281" i="96" s="1"/>
  <c r="N281" i="96"/>
  <c r="M281" i="96"/>
  <c r="K281" i="96"/>
  <c r="J281" i="96"/>
  <c r="H281" i="96"/>
  <c r="G281" i="96"/>
  <c r="E281" i="96"/>
  <c r="D281" i="96"/>
  <c r="O280" i="96"/>
  <c r="L280" i="96"/>
  <c r="I280" i="96"/>
  <c r="F280" i="96"/>
  <c r="O279" i="96"/>
  <c r="L279" i="96"/>
  <c r="I279" i="96"/>
  <c r="F279" i="96"/>
  <c r="O278" i="96"/>
  <c r="L278" i="96"/>
  <c r="I278" i="96"/>
  <c r="F278" i="96"/>
  <c r="O277" i="96"/>
  <c r="O276" i="96" s="1"/>
  <c r="L277" i="96"/>
  <c r="L276" i="96" s="1"/>
  <c r="I277" i="96"/>
  <c r="C277" i="96" s="1"/>
  <c r="F277" i="96"/>
  <c r="N276" i="96"/>
  <c r="M276" i="96"/>
  <c r="K276" i="96"/>
  <c r="K270" i="96" s="1"/>
  <c r="J276" i="96"/>
  <c r="H276" i="96"/>
  <c r="G276" i="96"/>
  <c r="F276" i="96"/>
  <c r="E276" i="96"/>
  <c r="D276" i="96"/>
  <c r="O275" i="96"/>
  <c r="L275" i="96"/>
  <c r="I275" i="96"/>
  <c r="F275" i="96"/>
  <c r="O274" i="96"/>
  <c r="L274" i="96"/>
  <c r="I274" i="96"/>
  <c r="F274" i="96"/>
  <c r="O273" i="96"/>
  <c r="O272" i="96" s="1"/>
  <c r="L273" i="96"/>
  <c r="I273" i="96"/>
  <c r="F273" i="96"/>
  <c r="N272" i="96"/>
  <c r="N270" i="96" s="1"/>
  <c r="N269" i="96" s="1"/>
  <c r="M272" i="96"/>
  <c r="K272" i="96"/>
  <c r="J272" i="96"/>
  <c r="J270" i="96" s="1"/>
  <c r="J269" i="96" s="1"/>
  <c r="I272" i="96"/>
  <c r="H272" i="96"/>
  <c r="G272" i="96"/>
  <c r="E272" i="96"/>
  <c r="E270" i="96" s="1"/>
  <c r="D272" i="96"/>
  <c r="O271" i="96"/>
  <c r="L271" i="96"/>
  <c r="I271" i="96"/>
  <c r="F271" i="96"/>
  <c r="G270" i="96"/>
  <c r="O268" i="96"/>
  <c r="L268" i="96"/>
  <c r="I268" i="96"/>
  <c r="F268" i="96"/>
  <c r="O267" i="96"/>
  <c r="L267" i="96"/>
  <c r="I267" i="96"/>
  <c r="F267" i="96"/>
  <c r="O266" i="96"/>
  <c r="L266" i="96"/>
  <c r="I266" i="96"/>
  <c r="F266" i="96"/>
  <c r="O265" i="96"/>
  <c r="O264" i="96" s="1"/>
  <c r="L265" i="96"/>
  <c r="I265" i="96"/>
  <c r="F265" i="96"/>
  <c r="N264" i="96"/>
  <c r="M264" i="96"/>
  <c r="L264" i="96"/>
  <c r="K264" i="96"/>
  <c r="J264" i="96"/>
  <c r="H264" i="96"/>
  <c r="G264" i="96"/>
  <c r="E264" i="96"/>
  <c r="D264" i="96"/>
  <c r="O263" i="96"/>
  <c r="L263" i="96"/>
  <c r="I263" i="96"/>
  <c r="F263" i="96"/>
  <c r="O262" i="96"/>
  <c r="L262" i="96"/>
  <c r="I262" i="96"/>
  <c r="F262" i="96"/>
  <c r="O261" i="96"/>
  <c r="O260" i="96" s="1"/>
  <c r="L261" i="96"/>
  <c r="I261" i="96"/>
  <c r="F261" i="96"/>
  <c r="N260" i="96"/>
  <c r="N259" i="96" s="1"/>
  <c r="M260" i="96"/>
  <c r="K260" i="96"/>
  <c r="K259" i="96" s="1"/>
  <c r="J260" i="96"/>
  <c r="H260" i="96"/>
  <c r="G260" i="96"/>
  <c r="F260" i="96"/>
  <c r="E260" i="96"/>
  <c r="D260" i="96"/>
  <c r="O258" i="96"/>
  <c r="L258" i="96"/>
  <c r="I258" i="96"/>
  <c r="F258" i="96"/>
  <c r="O257" i="96"/>
  <c r="L257" i="96"/>
  <c r="C257" i="96" s="1"/>
  <c r="I257" i="96"/>
  <c r="F257" i="96"/>
  <c r="O256" i="96"/>
  <c r="L256" i="96"/>
  <c r="I256" i="96"/>
  <c r="F256" i="96"/>
  <c r="O255" i="96"/>
  <c r="L255" i="96"/>
  <c r="I255" i="96"/>
  <c r="F255" i="96"/>
  <c r="O254" i="96"/>
  <c r="L254" i="96"/>
  <c r="I254" i="96"/>
  <c r="F254" i="96"/>
  <c r="O253" i="96"/>
  <c r="O252" i="96" s="1"/>
  <c r="L253" i="96"/>
  <c r="I253" i="96"/>
  <c r="F253" i="96"/>
  <c r="N252" i="96"/>
  <c r="M252" i="96"/>
  <c r="K252" i="96"/>
  <c r="J252" i="96"/>
  <c r="H252" i="96"/>
  <c r="H251" i="96" s="1"/>
  <c r="G252" i="96"/>
  <c r="E252" i="96"/>
  <c r="E251" i="96" s="1"/>
  <c r="D252" i="96"/>
  <c r="D251" i="96" s="1"/>
  <c r="N251" i="96"/>
  <c r="M251" i="96"/>
  <c r="K251" i="96"/>
  <c r="J251" i="96"/>
  <c r="G251" i="96"/>
  <c r="O250" i="96"/>
  <c r="L250" i="96"/>
  <c r="I250" i="96"/>
  <c r="F250" i="96"/>
  <c r="O249" i="96"/>
  <c r="L249" i="96"/>
  <c r="I249" i="96"/>
  <c r="F249" i="96"/>
  <c r="O248" i="96"/>
  <c r="L248" i="96"/>
  <c r="I248" i="96"/>
  <c r="F248" i="96"/>
  <c r="O247" i="96"/>
  <c r="L247" i="96"/>
  <c r="I247" i="96"/>
  <c r="F247" i="96"/>
  <c r="F246" i="96" s="1"/>
  <c r="N246" i="96"/>
  <c r="M246" i="96"/>
  <c r="K246" i="96"/>
  <c r="J246" i="96"/>
  <c r="H246" i="96"/>
  <c r="G246" i="96"/>
  <c r="E246" i="96"/>
  <c r="D246" i="96"/>
  <c r="O245" i="96"/>
  <c r="L245" i="96"/>
  <c r="I245" i="96"/>
  <c r="F245" i="96"/>
  <c r="O244" i="96"/>
  <c r="L244" i="96"/>
  <c r="I244" i="96"/>
  <c r="F244" i="96"/>
  <c r="O243" i="96"/>
  <c r="L243" i="96"/>
  <c r="I243" i="96"/>
  <c r="F243" i="96"/>
  <c r="O242" i="96"/>
  <c r="L242" i="96"/>
  <c r="I242" i="96"/>
  <c r="F242" i="96"/>
  <c r="O241" i="96"/>
  <c r="L241" i="96"/>
  <c r="I241" i="96"/>
  <c r="F241" i="96"/>
  <c r="O240" i="96"/>
  <c r="L240" i="96"/>
  <c r="I240" i="96"/>
  <c r="F240" i="96"/>
  <c r="O239" i="96"/>
  <c r="L239" i="96"/>
  <c r="I239" i="96"/>
  <c r="F239" i="96"/>
  <c r="N238" i="96"/>
  <c r="M238" i="96"/>
  <c r="K238" i="96"/>
  <c r="J238" i="96"/>
  <c r="H238" i="96"/>
  <c r="G238" i="96"/>
  <c r="E238" i="96"/>
  <c r="D238" i="96"/>
  <c r="O237" i="96"/>
  <c r="L237" i="96"/>
  <c r="I237" i="96"/>
  <c r="F237" i="96"/>
  <c r="O236" i="96"/>
  <c r="L236" i="96"/>
  <c r="I236" i="96"/>
  <c r="I235" i="96" s="1"/>
  <c r="F236" i="96"/>
  <c r="N235" i="96"/>
  <c r="M235" i="96"/>
  <c r="K235" i="96"/>
  <c r="J235" i="96"/>
  <c r="H235" i="96"/>
  <c r="G235" i="96"/>
  <c r="E235" i="96"/>
  <c r="D235" i="96"/>
  <c r="O234" i="96"/>
  <c r="L234" i="96"/>
  <c r="I234" i="96"/>
  <c r="I233" i="96" s="1"/>
  <c r="F234" i="96"/>
  <c r="O233" i="96"/>
  <c r="N233" i="96"/>
  <c r="M233" i="96"/>
  <c r="K233" i="96"/>
  <c r="J233" i="96"/>
  <c r="H233" i="96"/>
  <c r="G233" i="96"/>
  <c r="F233" i="96"/>
  <c r="E233" i="96"/>
  <c r="D233" i="96"/>
  <c r="O232" i="96"/>
  <c r="L232" i="96"/>
  <c r="I232" i="96"/>
  <c r="F232" i="96"/>
  <c r="O229" i="96"/>
  <c r="L229" i="96"/>
  <c r="I229" i="96"/>
  <c r="F229" i="96"/>
  <c r="O228" i="96"/>
  <c r="L228" i="96"/>
  <c r="L227" i="96" s="1"/>
  <c r="I228" i="96"/>
  <c r="I227" i="96" s="1"/>
  <c r="F228" i="96"/>
  <c r="O227" i="96"/>
  <c r="N227" i="96"/>
  <c r="M227" i="96"/>
  <c r="K227" i="96"/>
  <c r="J227" i="96"/>
  <c r="H227" i="96"/>
  <c r="G227" i="96"/>
  <c r="E227" i="96"/>
  <c r="D227" i="96"/>
  <c r="O226" i="96"/>
  <c r="L226" i="96"/>
  <c r="I226" i="96"/>
  <c r="F226" i="96"/>
  <c r="O225" i="96"/>
  <c r="L225" i="96"/>
  <c r="I225" i="96"/>
  <c r="F225" i="96"/>
  <c r="O224" i="96"/>
  <c r="L224" i="96"/>
  <c r="I224" i="96"/>
  <c r="F224" i="96"/>
  <c r="O223" i="96"/>
  <c r="L223" i="96"/>
  <c r="I223" i="96"/>
  <c r="F223" i="96"/>
  <c r="O222" i="96"/>
  <c r="L222" i="96"/>
  <c r="I222" i="96"/>
  <c r="F222" i="96"/>
  <c r="O221" i="96"/>
  <c r="L221" i="96"/>
  <c r="I221" i="96"/>
  <c r="F221" i="96"/>
  <c r="O220" i="96"/>
  <c r="L220" i="96"/>
  <c r="I220" i="96"/>
  <c r="F220" i="96"/>
  <c r="O219" i="96"/>
  <c r="L219" i="96"/>
  <c r="I219" i="96"/>
  <c r="F219" i="96"/>
  <c r="O218" i="96"/>
  <c r="L218" i="96"/>
  <c r="I218" i="96"/>
  <c r="F218" i="96"/>
  <c r="O217" i="96"/>
  <c r="L217" i="96"/>
  <c r="I217" i="96"/>
  <c r="F217" i="96"/>
  <c r="N216" i="96"/>
  <c r="M216" i="96"/>
  <c r="L216" i="96"/>
  <c r="K216" i="96"/>
  <c r="J216" i="96"/>
  <c r="H216" i="96"/>
  <c r="G216" i="96"/>
  <c r="E216" i="96"/>
  <c r="D216" i="96"/>
  <c r="O215" i="96"/>
  <c r="L215" i="96"/>
  <c r="I215" i="96"/>
  <c r="F215" i="96"/>
  <c r="O214" i="96"/>
  <c r="L214" i="96"/>
  <c r="I214" i="96"/>
  <c r="F214" i="96"/>
  <c r="O213" i="96"/>
  <c r="L213" i="96"/>
  <c r="I213" i="96"/>
  <c r="F213" i="96"/>
  <c r="O212" i="96"/>
  <c r="L212" i="96"/>
  <c r="I212" i="96"/>
  <c r="F212" i="96"/>
  <c r="O211" i="96"/>
  <c r="L211" i="96"/>
  <c r="I211" i="96"/>
  <c r="F211" i="96"/>
  <c r="O210" i="96"/>
  <c r="L210" i="96"/>
  <c r="I210" i="96"/>
  <c r="F210" i="96"/>
  <c r="O209" i="96"/>
  <c r="L209" i="96"/>
  <c r="I209" i="96"/>
  <c r="F209" i="96"/>
  <c r="O208" i="96"/>
  <c r="L208" i="96"/>
  <c r="I208" i="96"/>
  <c r="F208" i="96"/>
  <c r="O207" i="96"/>
  <c r="L207" i="96"/>
  <c r="I207" i="96"/>
  <c r="F207" i="96"/>
  <c r="O206" i="96"/>
  <c r="L206" i="96"/>
  <c r="I206" i="96"/>
  <c r="F206" i="96"/>
  <c r="N205" i="96"/>
  <c r="M205" i="96"/>
  <c r="K205" i="96"/>
  <c r="J205" i="96"/>
  <c r="H205" i="96"/>
  <c r="G205" i="96"/>
  <c r="G204" i="96" s="1"/>
  <c r="E205" i="96"/>
  <c r="D205" i="96"/>
  <c r="O203" i="96"/>
  <c r="L203" i="96"/>
  <c r="I203" i="96"/>
  <c r="F203" i="96"/>
  <c r="O202" i="96"/>
  <c r="L202" i="96"/>
  <c r="I202" i="96"/>
  <c r="F202" i="96"/>
  <c r="O201" i="96"/>
  <c r="L201" i="96"/>
  <c r="I201" i="96"/>
  <c r="F201" i="96"/>
  <c r="O200" i="96"/>
  <c r="L200" i="96"/>
  <c r="I200" i="96"/>
  <c r="F200" i="96"/>
  <c r="O199" i="96"/>
  <c r="L199" i="96"/>
  <c r="L198" i="96" s="1"/>
  <c r="I199" i="96"/>
  <c r="I198" i="96" s="1"/>
  <c r="F199" i="96"/>
  <c r="O198" i="96"/>
  <c r="N198" i="96"/>
  <c r="N196" i="96" s="1"/>
  <c r="M198" i="96"/>
  <c r="M196" i="96" s="1"/>
  <c r="K198" i="96"/>
  <c r="K196" i="96" s="1"/>
  <c r="J198" i="96"/>
  <c r="J196" i="96" s="1"/>
  <c r="H198" i="96"/>
  <c r="H196" i="96" s="1"/>
  <c r="G198" i="96"/>
  <c r="E198" i="96"/>
  <c r="D198" i="96"/>
  <c r="D196" i="96" s="1"/>
  <c r="O197" i="96"/>
  <c r="L197" i="96"/>
  <c r="I197" i="96"/>
  <c r="F197" i="96"/>
  <c r="G196" i="96"/>
  <c r="E196" i="96"/>
  <c r="O193" i="96"/>
  <c r="O192" i="96" s="1"/>
  <c r="O191" i="96" s="1"/>
  <c r="L193" i="96"/>
  <c r="L192" i="96" s="1"/>
  <c r="I193" i="96"/>
  <c r="F193" i="96"/>
  <c r="N192" i="96"/>
  <c r="N191" i="96" s="1"/>
  <c r="M192" i="96"/>
  <c r="M191" i="96" s="1"/>
  <c r="K192" i="96"/>
  <c r="J192" i="96"/>
  <c r="J191" i="96" s="1"/>
  <c r="I192" i="96"/>
  <c r="I191" i="96" s="1"/>
  <c r="H192" i="96"/>
  <c r="H191" i="96" s="1"/>
  <c r="G192" i="96"/>
  <c r="G191" i="96" s="1"/>
  <c r="F192" i="96"/>
  <c r="E192" i="96"/>
  <c r="E191" i="96" s="1"/>
  <c r="D192" i="96"/>
  <c r="D191" i="96" s="1"/>
  <c r="K191" i="96"/>
  <c r="F191" i="96"/>
  <c r="O190" i="96"/>
  <c r="L190" i="96"/>
  <c r="I190" i="96"/>
  <c r="F190" i="96"/>
  <c r="O189" i="96"/>
  <c r="O188" i="96" s="1"/>
  <c r="L189" i="96"/>
  <c r="I189" i="96"/>
  <c r="F189" i="96"/>
  <c r="F188" i="96" s="1"/>
  <c r="N188" i="96"/>
  <c r="M188" i="96"/>
  <c r="K188" i="96"/>
  <c r="J188" i="96"/>
  <c r="H188" i="96"/>
  <c r="G188" i="96"/>
  <c r="E188" i="96"/>
  <c r="D188" i="96"/>
  <c r="O186" i="96"/>
  <c r="L186" i="96"/>
  <c r="I186" i="96"/>
  <c r="F186" i="96"/>
  <c r="O185" i="96"/>
  <c r="L185" i="96"/>
  <c r="L184" i="96" s="1"/>
  <c r="I185" i="96"/>
  <c r="F185" i="96"/>
  <c r="N184" i="96"/>
  <c r="M184" i="96"/>
  <c r="K184" i="96"/>
  <c r="J184" i="96"/>
  <c r="H184" i="96"/>
  <c r="G184" i="96"/>
  <c r="E184" i="96"/>
  <c r="D184" i="96"/>
  <c r="O183" i="96"/>
  <c r="L183" i="96"/>
  <c r="I183" i="96"/>
  <c r="F183" i="96"/>
  <c r="O182" i="96"/>
  <c r="L182" i="96"/>
  <c r="I182" i="96"/>
  <c r="F182" i="96"/>
  <c r="O181" i="96"/>
  <c r="L181" i="96"/>
  <c r="I181" i="96"/>
  <c r="F181" i="96"/>
  <c r="O180" i="96"/>
  <c r="L180" i="96"/>
  <c r="I180" i="96"/>
  <c r="F180" i="96"/>
  <c r="N179" i="96"/>
  <c r="M179" i="96"/>
  <c r="K179" i="96"/>
  <c r="J179" i="96"/>
  <c r="H179" i="96"/>
  <c r="G179" i="96"/>
  <c r="E179" i="96"/>
  <c r="D179" i="96"/>
  <c r="O178" i="96"/>
  <c r="L178" i="96"/>
  <c r="I178" i="96"/>
  <c r="F178" i="96"/>
  <c r="O177" i="96"/>
  <c r="L177" i="96"/>
  <c r="I177" i="96"/>
  <c r="F177" i="96"/>
  <c r="O176" i="96"/>
  <c r="L176" i="96"/>
  <c r="I176" i="96"/>
  <c r="F176" i="96"/>
  <c r="F175" i="96" s="1"/>
  <c r="N175" i="96"/>
  <c r="N174" i="96" s="1"/>
  <c r="N173" i="96" s="1"/>
  <c r="M175" i="96"/>
  <c r="K175" i="96"/>
  <c r="K174" i="96" s="1"/>
  <c r="J175" i="96"/>
  <c r="H175" i="96"/>
  <c r="H174" i="96" s="1"/>
  <c r="H173" i="96" s="1"/>
  <c r="G175" i="96"/>
  <c r="E175" i="96"/>
  <c r="E174" i="96" s="1"/>
  <c r="D175" i="96"/>
  <c r="O172" i="96"/>
  <c r="L172" i="96"/>
  <c r="I172" i="96"/>
  <c r="F172" i="96"/>
  <c r="O171" i="96"/>
  <c r="L171" i="96"/>
  <c r="I171" i="96"/>
  <c r="F171" i="96"/>
  <c r="O170" i="96"/>
  <c r="L170" i="96"/>
  <c r="I170" i="96"/>
  <c r="F170" i="96"/>
  <c r="O169" i="96"/>
  <c r="L169" i="96"/>
  <c r="I169" i="96"/>
  <c r="F169" i="96"/>
  <c r="O168" i="96"/>
  <c r="L168" i="96"/>
  <c r="I168" i="96"/>
  <c r="F168" i="96"/>
  <c r="O167" i="96"/>
  <c r="L167" i="96"/>
  <c r="L166" i="96" s="1"/>
  <c r="L165" i="96" s="1"/>
  <c r="I167" i="96"/>
  <c r="F167" i="96"/>
  <c r="F166" i="96" s="1"/>
  <c r="F165" i="96" s="1"/>
  <c r="N166" i="96"/>
  <c r="M166" i="96"/>
  <c r="M165" i="96" s="1"/>
  <c r="K166" i="96"/>
  <c r="K165" i="96" s="1"/>
  <c r="J166" i="96"/>
  <c r="J165" i="96" s="1"/>
  <c r="H166" i="96"/>
  <c r="G166" i="96"/>
  <c r="G165" i="96" s="1"/>
  <c r="E166" i="96"/>
  <c r="E165" i="96" s="1"/>
  <c r="D166" i="96"/>
  <c r="D165" i="96" s="1"/>
  <c r="N165" i="96"/>
  <c r="H165" i="96"/>
  <c r="O164" i="96"/>
  <c r="L164" i="96"/>
  <c r="I164" i="96"/>
  <c r="F164" i="96"/>
  <c r="O163" i="96"/>
  <c r="L163" i="96"/>
  <c r="I163" i="96"/>
  <c r="F163" i="96"/>
  <c r="O162" i="96"/>
  <c r="L162" i="96"/>
  <c r="I162" i="96"/>
  <c r="F162" i="96"/>
  <c r="O161" i="96"/>
  <c r="L161" i="96"/>
  <c r="L160" i="96" s="1"/>
  <c r="I161" i="96"/>
  <c r="F161" i="96"/>
  <c r="N160" i="96"/>
  <c r="M160" i="96"/>
  <c r="K160" i="96"/>
  <c r="J160" i="96"/>
  <c r="H160" i="96"/>
  <c r="G160" i="96"/>
  <c r="E160" i="96"/>
  <c r="D160" i="96"/>
  <c r="O159" i="96"/>
  <c r="L159" i="96"/>
  <c r="I159" i="96"/>
  <c r="F159" i="96"/>
  <c r="O158" i="96"/>
  <c r="L158" i="96"/>
  <c r="I158" i="96"/>
  <c r="F158" i="96"/>
  <c r="O157" i="96"/>
  <c r="L157" i="96"/>
  <c r="I157" i="96"/>
  <c r="F157" i="96"/>
  <c r="O156" i="96"/>
  <c r="L156" i="96"/>
  <c r="I156" i="96"/>
  <c r="F156" i="96"/>
  <c r="O155" i="96"/>
  <c r="L155" i="96"/>
  <c r="I155" i="96"/>
  <c r="F155" i="96"/>
  <c r="O154" i="96"/>
  <c r="L154" i="96"/>
  <c r="I154" i="96"/>
  <c r="F154" i="96"/>
  <c r="O153" i="96"/>
  <c r="L153" i="96"/>
  <c r="I153" i="96"/>
  <c r="F153" i="96"/>
  <c r="O152" i="96"/>
  <c r="L152" i="96"/>
  <c r="I152" i="96"/>
  <c r="F152" i="96"/>
  <c r="N151" i="96"/>
  <c r="M151" i="96"/>
  <c r="K151" i="96"/>
  <c r="J151" i="96"/>
  <c r="H151" i="96"/>
  <c r="G151" i="96"/>
  <c r="E151" i="96"/>
  <c r="D151" i="96"/>
  <c r="O150" i="96"/>
  <c r="L150" i="96"/>
  <c r="I150" i="96"/>
  <c r="F150" i="96"/>
  <c r="O149" i="96"/>
  <c r="L149" i="96"/>
  <c r="I149" i="96"/>
  <c r="F149" i="96"/>
  <c r="O148" i="96"/>
  <c r="L148" i="96"/>
  <c r="I148" i="96"/>
  <c r="F148" i="96"/>
  <c r="O147" i="96"/>
  <c r="L147" i="96"/>
  <c r="I147" i="96"/>
  <c r="F147" i="96"/>
  <c r="O146" i="96"/>
  <c r="L146" i="96"/>
  <c r="I146" i="96"/>
  <c r="F146" i="96"/>
  <c r="O145" i="96"/>
  <c r="L145" i="96"/>
  <c r="I145" i="96"/>
  <c r="F145" i="96"/>
  <c r="N144" i="96"/>
  <c r="M144" i="96"/>
  <c r="K144" i="96"/>
  <c r="J144" i="96"/>
  <c r="H144" i="96"/>
  <c r="G144" i="96"/>
  <c r="E144" i="96"/>
  <c r="D144" i="96"/>
  <c r="O143" i="96"/>
  <c r="L143" i="96"/>
  <c r="I143" i="96"/>
  <c r="F143" i="96"/>
  <c r="O142" i="96"/>
  <c r="O141" i="96" s="1"/>
  <c r="L142" i="96"/>
  <c r="I142" i="96"/>
  <c r="I141" i="96" s="1"/>
  <c r="F142" i="96"/>
  <c r="F141" i="96" s="1"/>
  <c r="N141" i="96"/>
  <c r="M141" i="96"/>
  <c r="K141" i="96"/>
  <c r="J141" i="96"/>
  <c r="H141" i="96"/>
  <c r="G141" i="96"/>
  <c r="E141" i="96"/>
  <c r="D141" i="96"/>
  <c r="O140" i="96"/>
  <c r="L140" i="96"/>
  <c r="I140" i="96"/>
  <c r="F140" i="96"/>
  <c r="O139" i="96"/>
  <c r="L139" i="96"/>
  <c r="I139" i="96"/>
  <c r="F139" i="96"/>
  <c r="O138" i="96"/>
  <c r="L138" i="96"/>
  <c r="I138" i="96"/>
  <c r="F138" i="96"/>
  <c r="O137" i="96"/>
  <c r="L137" i="96"/>
  <c r="I137" i="96"/>
  <c r="I136" i="96" s="1"/>
  <c r="F137" i="96"/>
  <c r="N136" i="96"/>
  <c r="M136" i="96"/>
  <c r="K136" i="96"/>
  <c r="J136" i="96"/>
  <c r="H136" i="96"/>
  <c r="G136" i="96"/>
  <c r="E136" i="96"/>
  <c r="D136" i="96"/>
  <c r="O135" i="96"/>
  <c r="L135" i="96"/>
  <c r="I135" i="96"/>
  <c r="F135" i="96"/>
  <c r="O134" i="96"/>
  <c r="L134" i="96"/>
  <c r="I134" i="96"/>
  <c r="F134" i="96"/>
  <c r="O133" i="96"/>
  <c r="L133" i="96"/>
  <c r="I133" i="96"/>
  <c r="F133" i="96"/>
  <c r="O132" i="96"/>
  <c r="L132" i="96"/>
  <c r="I132" i="96"/>
  <c r="F132" i="96"/>
  <c r="F131" i="96" s="1"/>
  <c r="N131" i="96"/>
  <c r="M131" i="96"/>
  <c r="K131" i="96"/>
  <c r="J131" i="96"/>
  <c r="H131" i="96"/>
  <c r="G131" i="96"/>
  <c r="E131" i="96"/>
  <c r="D131" i="96"/>
  <c r="O129" i="96"/>
  <c r="L129" i="96"/>
  <c r="L128" i="96" s="1"/>
  <c r="I129" i="96"/>
  <c r="I128" i="96" s="1"/>
  <c r="F129" i="96"/>
  <c r="O128" i="96"/>
  <c r="N128" i="96"/>
  <c r="M128" i="96"/>
  <c r="K128" i="96"/>
  <c r="J128" i="96"/>
  <c r="H128" i="96"/>
  <c r="G128" i="96"/>
  <c r="E128" i="96"/>
  <c r="D128" i="96"/>
  <c r="O127" i="96"/>
  <c r="L127" i="96"/>
  <c r="I127" i="96"/>
  <c r="F127" i="96"/>
  <c r="O126" i="96"/>
  <c r="L126" i="96"/>
  <c r="I126" i="96"/>
  <c r="F126" i="96"/>
  <c r="O125" i="96"/>
  <c r="L125" i="96"/>
  <c r="I125" i="96"/>
  <c r="F125" i="96"/>
  <c r="O124" i="96"/>
  <c r="L124" i="96"/>
  <c r="I124" i="96"/>
  <c r="F124" i="96"/>
  <c r="O123" i="96"/>
  <c r="L123" i="96"/>
  <c r="L122" i="96" s="1"/>
  <c r="I123" i="96"/>
  <c r="F123" i="96"/>
  <c r="N122" i="96"/>
  <c r="M122" i="96"/>
  <c r="K122" i="96"/>
  <c r="J122" i="96"/>
  <c r="H122" i="96"/>
  <c r="G122" i="96"/>
  <c r="E122" i="96"/>
  <c r="D122" i="96"/>
  <c r="O121" i="96"/>
  <c r="L121" i="96"/>
  <c r="I121" i="96"/>
  <c r="F121" i="96"/>
  <c r="O120" i="96"/>
  <c r="L120" i="96"/>
  <c r="I120" i="96"/>
  <c r="F120" i="96"/>
  <c r="O119" i="96"/>
  <c r="L119" i="96"/>
  <c r="I119" i="96"/>
  <c r="F119" i="96"/>
  <c r="O118" i="96"/>
  <c r="L118" i="96"/>
  <c r="I118" i="96"/>
  <c r="F118" i="96"/>
  <c r="O117" i="96"/>
  <c r="L117" i="96"/>
  <c r="I117" i="96"/>
  <c r="I116" i="96" s="1"/>
  <c r="F117" i="96"/>
  <c r="N116" i="96"/>
  <c r="M116" i="96"/>
  <c r="K116" i="96"/>
  <c r="J116" i="96"/>
  <c r="H116" i="96"/>
  <c r="G116" i="96"/>
  <c r="E116" i="96"/>
  <c r="D116" i="96"/>
  <c r="O115" i="96"/>
  <c r="L115" i="96"/>
  <c r="I115" i="96"/>
  <c r="F115" i="96"/>
  <c r="O114" i="96"/>
  <c r="L114" i="96"/>
  <c r="I114" i="96"/>
  <c r="F114" i="96"/>
  <c r="O113" i="96"/>
  <c r="L113" i="96"/>
  <c r="I113" i="96"/>
  <c r="I112" i="96" s="1"/>
  <c r="F113" i="96"/>
  <c r="N112" i="96"/>
  <c r="M112" i="96"/>
  <c r="K112" i="96"/>
  <c r="J112" i="96"/>
  <c r="H112" i="96"/>
  <c r="G112" i="96"/>
  <c r="E112" i="96"/>
  <c r="D112" i="96"/>
  <c r="O111" i="96"/>
  <c r="L111" i="96"/>
  <c r="I111" i="96"/>
  <c r="F111" i="96"/>
  <c r="O110" i="96"/>
  <c r="L110" i="96"/>
  <c r="I110" i="96"/>
  <c r="F110" i="96"/>
  <c r="O109" i="96"/>
  <c r="L109" i="96"/>
  <c r="I109" i="96"/>
  <c r="F109" i="96"/>
  <c r="O108" i="96"/>
  <c r="L108" i="96"/>
  <c r="I108" i="96"/>
  <c r="F108" i="96"/>
  <c r="O107" i="96"/>
  <c r="L107" i="96"/>
  <c r="I107" i="96"/>
  <c r="F107" i="96"/>
  <c r="O106" i="96"/>
  <c r="L106" i="96"/>
  <c r="I106" i="96"/>
  <c r="F106" i="96"/>
  <c r="O105" i="96"/>
  <c r="L105" i="96"/>
  <c r="I105" i="96"/>
  <c r="F105" i="96"/>
  <c r="O104" i="96"/>
  <c r="L104" i="96"/>
  <c r="I104" i="96"/>
  <c r="F104" i="96"/>
  <c r="F103" i="96" s="1"/>
  <c r="N103" i="96"/>
  <c r="M103" i="96"/>
  <c r="K103" i="96"/>
  <c r="J103" i="96"/>
  <c r="H103" i="96"/>
  <c r="G103" i="96"/>
  <c r="E103" i="96"/>
  <c r="D103" i="96"/>
  <c r="O102" i="96"/>
  <c r="L102" i="96"/>
  <c r="I102" i="96"/>
  <c r="F102" i="96"/>
  <c r="O101" i="96"/>
  <c r="L101" i="96"/>
  <c r="I101" i="96"/>
  <c r="F101" i="96"/>
  <c r="O100" i="96"/>
  <c r="L100" i="96"/>
  <c r="I100" i="96"/>
  <c r="F100" i="96"/>
  <c r="O99" i="96"/>
  <c r="L99" i="96"/>
  <c r="I99" i="96"/>
  <c r="F99" i="96"/>
  <c r="O98" i="96"/>
  <c r="L98" i="96"/>
  <c r="I98" i="96"/>
  <c r="F98" i="96"/>
  <c r="O97" i="96"/>
  <c r="L97" i="96"/>
  <c r="I97" i="96"/>
  <c r="F97" i="96"/>
  <c r="O96" i="96"/>
  <c r="L96" i="96"/>
  <c r="I96" i="96"/>
  <c r="F96" i="96"/>
  <c r="N95" i="96"/>
  <c r="M95" i="96"/>
  <c r="K95" i="96"/>
  <c r="J95" i="96"/>
  <c r="H95" i="96"/>
  <c r="G95" i="96"/>
  <c r="F95" i="96"/>
  <c r="E95" i="96"/>
  <c r="D95" i="96"/>
  <c r="O94" i="96"/>
  <c r="L94" i="96"/>
  <c r="I94" i="96"/>
  <c r="F94" i="96"/>
  <c r="O93" i="96"/>
  <c r="L93" i="96"/>
  <c r="I93" i="96"/>
  <c r="F93" i="96"/>
  <c r="O92" i="96"/>
  <c r="L92" i="96"/>
  <c r="I92" i="96"/>
  <c r="F92" i="96"/>
  <c r="O91" i="96"/>
  <c r="L91" i="96"/>
  <c r="I91" i="96"/>
  <c r="F91" i="96"/>
  <c r="O90" i="96"/>
  <c r="O89" i="96" s="1"/>
  <c r="L90" i="96"/>
  <c r="I90" i="96"/>
  <c r="I89" i="96" s="1"/>
  <c r="F90" i="96"/>
  <c r="N89" i="96"/>
  <c r="M89" i="96"/>
  <c r="K89" i="96"/>
  <c r="J89" i="96"/>
  <c r="H89" i="96"/>
  <c r="G89" i="96"/>
  <c r="F89" i="96"/>
  <c r="E89" i="96"/>
  <c r="D89" i="96"/>
  <c r="O88" i="96"/>
  <c r="L88" i="96"/>
  <c r="I88" i="96"/>
  <c r="F88" i="96"/>
  <c r="O87" i="96"/>
  <c r="L87" i="96"/>
  <c r="I87" i="96"/>
  <c r="F87" i="96"/>
  <c r="O86" i="96"/>
  <c r="L86" i="96"/>
  <c r="I86" i="96"/>
  <c r="F86" i="96"/>
  <c r="O85" i="96"/>
  <c r="O84" i="96" s="1"/>
  <c r="L85" i="96"/>
  <c r="L84" i="96" s="1"/>
  <c r="I85" i="96"/>
  <c r="I84" i="96" s="1"/>
  <c r="F85" i="96"/>
  <c r="N84" i="96"/>
  <c r="M84" i="96"/>
  <c r="K84" i="96"/>
  <c r="J84" i="96"/>
  <c r="H84" i="96"/>
  <c r="G84" i="96"/>
  <c r="E84" i="96"/>
  <c r="D84" i="96"/>
  <c r="O82" i="96"/>
  <c r="L82" i="96"/>
  <c r="I82" i="96"/>
  <c r="F82" i="96"/>
  <c r="O81" i="96"/>
  <c r="O80" i="96" s="1"/>
  <c r="L81" i="96"/>
  <c r="I81" i="96"/>
  <c r="I80" i="96" s="1"/>
  <c r="F81" i="96"/>
  <c r="N80" i="96"/>
  <c r="M80" i="96"/>
  <c r="K80" i="96"/>
  <c r="J80" i="96"/>
  <c r="H80" i="96"/>
  <c r="G80" i="96"/>
  <c r="E80" i="96"/>
  <c r="D80" i="96"/>
  <c r="O79" i="96"/>
  <c r="L79" i="96"/>
  <c r="I79" i="96"/>
  <c r="F79" i="96"/>
  <c r="O78" i="96"/>
  <c r="O77" i="96" s="1"/>
  <c r="O76" i="96" s="1"/>
  <c r="L78" i="96"/>
  <c r="L77" i="96" s="1"/>
  <c r="I78" i="96"/>
  <c r="F78" i="96"/>
  <c r="N77" i="96"/>
  <c r="M77" i="96"/>
  <c r="K77" i="96"/>
  <c r="K76" i="96" s="1"/>
  <c r="J77" i="96"/>
  <c r="J76" i="96" s="1"/>
  <c r="H77" i="96"/>
  <c r="G77" i="96"/>
  <c r="F77" i="96"/>
  <c r="E77" i="96"/>
  <c r="E76" i="96" s="1"/>
  <c r="D77" i="96"/>
  <c r="O74" i="96"/>
  <c r="L74" i="96"/>
  <c r="I74" i="96"/>
  <c r="F74" i="96"/>
  <c r="O73" i="96"/>
  <c r="L73" i="96"/>
  <c r="I73" i="96"/>
  <c r="F73" i="96"/>
  <c r="O72" i="96"/>
  <c r="L72" i="96"/>
  <c r="I72" i="96"/>
  <c r="F72" i="96"/>
  <c r="O71" i="96"/>
  <c r="L71" i="96"/>
  <c r="I71" i="96"/>
  <c r="F71" i="96"/>
  <c r="O70" i="96"/>
  <c r="L70" i="96"/>
  <c r="I70" i="96"/>
  <c r="I69" i="96" s="1"/>
  <c r="F70" i="96"/>
  <c r="N69" i="96"/>
  <c r="N67" i="96" s="1"/>
  <c r="M69" i="96"/>
  <c r="M67" i="96" s="1"/>
  <c r="K69" i="96"/>
  <c r="K67" i="96" s="1"/>
  <c r="J69" i="96"/>
  <c r="J67" i="96" s="1"/>
  <c r="H69" i="96"/>
  <c r="G69" i="96"/>
  <c r="G67" i="96" s="1"/>
  <c r="E69" i="96"/>
  <c r="E67" i="96" s="1"/>
  <c r="D69" i="96"/>
  <c r="O68" i="96"/>
  <c r="L68" i="96"/>
  <c r="I68" i="96"/>
  <c r="I67" i="96" s="1"/>
  <c r="F68" i="96"/>
  <c r="H67" i="96"/>
  <c r="D67" i="96"/>
  <c r="O66" i="96"/>
  <c r="L66" i="96"/>
  <c r="I66" i="96"/>
  <c r="F66" i="96"/>
  <c r="O65" i="96"/>
  <c r="L65" i="96"/>
  <c r="I65" i="96"/>
  <c r="F65" i="96"/>
  <c r="O64" i="96"/>
  <c r="L64" i="96"/>
  <c r="I64" i="96"/>
  <c r="F64" i="96"/>
  <c r="O63" i="96"/>
  <c r="L63" i="96"/>
  <c r="I63" i="96"/>
  <c r="F63" i="96"/>
  <c r="O62" i="96"/>
  <c r="L62" i="96"/>
  <c r="I62" i="96"/>
  <c r="F62" i="96"/>
  <c r="O61" i="96"/>
  <c r="L61" i="96"/>
  <c r="I61" i="96"/>
  <c r="F61" i="96"/>
  <c r="O60" i="96"/>
  <c r="L60" i="96"/>
  <c r="I60" i="96"/>
  <c r="F60" i="96"/>
  <c r="O59" i="96"/>
  <c r="L59" i="96"/>
  <c r="I59" i="96"/>
  <c r="F59" i="96"/>
  <c r="N58" i="96"/>
  <c r="M58" i="96"/>
  <c r="K58" i="96"/>
  <c r="J58" i="96"/>
  <c r="H58" i="96"/>
  <c r="G58" i="96"/>
  <c r="E58" i="96"/>
  <c r="D58" i="96"/>
  <c r="O57" i="96"/>
  <c r="L57" i="96"/>
  <c r="I57" i="96"/>
  <c r="F57" i="96"/>
  <c r="O56" i="96"/>
  <c r="L56" i="96"/>
  <c r="L55" i="96" s="1"/>
  <c r="I56" i="96"/>
  <c r="I55" i="96" s="1"/>
  <c r="F56" i="96"/>
  <c r="N55" i="96"/>
  <c r="M55" i="96"/>
  <c r="K55" i="96"/>
  <c r="K54" i="96" s="1"/>
  <c r="J55" i="96"/>
  <c r="J54" i="96" s="1"/>
  <c r="J53" i="96" s="1"/>
  <c r="H55" i="96"/>
  <c r="H54" i="96" s="1"/>
  <c r="G55" i="96"/>
  <c r="E55" i="96"/>
  <c r="D55" i="96"/>
  <c r="N54" i="96"/>
  <c r="O47" i="96"/>
  <c r="C47" i="96" s="1"/>
  <c r="O46" i="96"/>
  <c r="N45" i="96"/>
  <c r="M45" i="96"/>
  <c r="L44" i="96"/>
  <c r="L43" i="96" s="1"/>
  <c r="I44" i="96"/>
  <c r="I43" i="96" s="1"/>
  <c r="F44" i="96"/>
  <c r="K43" i="96"/>
  <c r="J43" i="96"/>
  <c r="H43" i="96"/>
  <c r="G43" i="96"/>
  <c r="E43" i="96"/>
  <c r="D43" i="96"/>
  <c r="F42" i="96"/>
  <c r="C42" i="96" s="1"/>
  <c r="E41" i="96"/>
  <c r="D41" i="96"/>
  <c r="L40" i="96"/>
  <c r="C40" i="96" s="1"/>
  <c r="L39" i="96"/>
  <c r="C39" i="96" s="1"/>
  <c r="L38" i="96"/>
  <c r="C38" i="96" s="1"/>
  <c r="L37" i="96"/>
  <c r="C37" i="96" s="1"/>
  <c r="K36" i="96"/>
  <c r="J36" i="96"/>
  <c r="L35" i="96"/>
  <c r="C35" i="96" s="1"/>
  <c r="L34" i="96"/>
  <c r="C34" i="96" s="1"/>
  <c r="K33" i="96"/>
  <c r="J33" i="96"/>
  <c r="L32" i="96"/>
  <c r="K31" i="96"/>
  <c r="J31" i="96"/>
  <c r="L30" i="96"/>
  <c r="C30" i="96" s="1"/>
  <c r="L29" i="96"/>
  <c r="C29" i="96" s="1"/>
  <c r="L28" i="96"/>
  <c r="K27" i="96"/>
  <c r="J27" i="96"/>
  <c r="F25" i="96"/>
  <c r="C25" i="96" s="1"/>
  <c r="I24" i="96"/>
  <c r="F24" i="96"/>
  <c r="O23" i="96"/>
  <c r="L23" i="96"/>
  <c r="I23" i="96"/>
  <c r="F23" i="96"/>
  <c r="O22" i="96"/>
  <c r="O21" i="96" s="1"/>
  <c r="O292" i="96" s="1"/>
  <c r="L22" i="96"/>
  <c r="L21" i="96" s="1"/>
  <c r="L292" i="96" s="1"/>
  <c r="I22" i="96"/>
  <c r="I21" i="96" s="1"/>
  <c r="F22" i="96"/>
  <c r="N21" i="96"/>
  <c r="M21" i="96"/>
  <c r="M20" i="96" s="1"/>
  <c r="K21" i="96"/>
  <c r="J21" i="96"/>
  <c r="H21" i="96"/>
  <c r="G21" i="96"/>
  <c r="F21" i="96"/>
  <c r="E21" i="96"/>
  <c r="D21" i="96"/>
  <c r="O301" i="95"/>
  <c r="L301" i="95"/>
  <c r="I301" i="95"/>
  <c r="F301" i="95"/>
  <c r="O300" i="95"/>
  <c r="L300" i="95"/>
  <c r="I300" i="95"/>
  <c r="F300" i="95"/>
  <c r="O299" i="95"/>
  <c r="L299" i="95"/>
  <c r="I299" i="95"/>
  <c r="F299" i="95"/>
  <c r="O298" i="95"/>
  <c r="L298" i="95"/>
  <c r="I298" i="95"/>
  <c r="F298" i="95"/>
  <c r="O297" i="95"/>
  <c r="L297" i="95"/>
  <c r="I297" i="95"/>
  <c r="F297" i="95"/>
  <c r="O296" i="95"/>
  <c r="L296" i="95"/>
  <c r="I296" i="95"/>
  <c r="F296" i="95"/>
  <c r="O295" i="95"/>
  <c r="L295" i="95"/>
  <c r="I295" i="95"/>
  <c r="F295" i="95"/>
  <c r="O294" i="95"/>
  <c r="L294" i="95"/>
  <c r="L293" i="95" s="1"/>
  <c r="I294" i="95"/>
  <c r="F294" i="95"/>
  <c r="O293" i="95"/>
  <c r="N293" i="95"/>
  <c r="M293" i="95"/>
  <c r="K293" i="95"/>
  <c r="J293" i="95"/>
  <c r="H293" i="95"/>
  <c r="G293" i="95"/>
  <c r="E293" i="95"/>
  <c r="D293" i="95"/>
  <c r="O288" i="95"/>
  <c r="L288" i="95"/>
  <c r="I288" i="95"/>
  <c r="F288" i="95"/>
  <c r="O287" i="95"/>
  <c r="L287" i="95"/>
  <c r="L286" i="95" s="1"/>
  <c r="I287" i="95"/>
  <c r="I286" i="95" s="1"/>
  <c r="F287" i="95"/>
  <c r="O286" i="95"/>
  <c r="N286" i="95"/>
  <c r="M286" i="95"/>
  <c r="K286" i="95"/>
  <c r="J286" i="95"/>
  <c r="H286" i="95"/>
  <c r="G286" i="95"/>
  <c r="E286" i="95"/>
  <c r="D286" i="95"/>
  <c r="O285" i="95"/>
  <c r="O284" i="95" s="1"/>
  <c r="O283" i="95" s="1"/>
  <c r="L285" i="95"/>
  <c r="I285" i="95"/>
  <c r="F285" i="95"/>
  <c r="N284" i="95"/>
  <c r="N283" i="95" s="1"/>
  <c r="M284" i="95"/>
  <c r="L284" i="95"/>
  <c r="K284" i="95"/>
  <c r="J284" i="95"/>
  <c r="J283" i="95" s="1"/>
  <c r="I284" i="95"/>
  <c r="H284" i="95"/>
  <c r="H283" i="95" s="1"/>
  <c r="G284" i="95"/>
  <c r="G283" i="95" s="1"/>
  <c r="E284" i="95"/>
  <c r="E283" i="95" s="1"/>
  <c r="D284" i="95"/>
  <c r="D283" i="95" s="1"/>
  <c r="M283" i="95"/>
  <c r="K283" i="95"/>
  <c r="I283" i="95"/>
  <c r="O282" i="95"/>
  <c r="O281" i="95" s="1"/>
  <c r="L282" i="95"/>
  <c r="L281" i="95" s="1"/>
  <c r="I282" i="95"/>
  <c r="I281" i="95" s="1"/>
  <c r="F282" i="95"/>
  <c r="N281" i="95"/>
  <c r="M281" i="95"/>
  <c r="K281" i="95"/>
  <c r="J281" i="95"/>
  <c r="H281" i="95"/>
  <c r="G281" i="95"/>
  <c r="E281" i="95"/>
  <c r="D281" i="95"/>
  <c r="O280" i="95"/>
  <c r="L280" i="95"/>
  <c r="I280" i="95"/>
  <c r="F280" i="95"/>
  <c r="O279" i="95"/>
  <c r="L279" i="95"/>
  <c r="I279" i="95"/>
  <c r="F279" i="95"/>
  <c r="O278" i="95"/>
  <c r="L278" i="95"/>
  <c r="I278" i="95"/>
  <c r="F278" i="95"/>
  <c r="O277" i="95"/>
  <c r="O276" i="95" s="1"/>
  <c r="L277" i="95"/>
  <c r="I277" i="95"/>
  <c r="F277" i="95"/>
  <c r="N276" i="95"/>
  <c r="M276" i="95"/>
  <c r="L276" i="95"/>
  <c r="K276" i="95"/>
  <c r="J276" i="95"/>
  <c r="H276" i="95"/>
  <c r="G276" i="95"/>
  <c r="G270" i="95" s="1"/>
  <c r="E276" i="95"/>
  <c r="D276" i="95"/>
  <c r="O275" i="95"/>
  <c r="L275" i="95"/>
  <c r="I275" i="95"/>
  <c r="F275" i="95"/>
  <c r="O274" i="95"/>
  <c r="L274" i="95"/>
  <c r="I274" i="95"/>
  <c r="F274" i="95"/>
  <c r="O273" i="95"/>
  <c r="O272" i="95" s="1"/>
  <c r="L273" i="95"/>
  <c r="C273" i="95" s="1"/>
  <c r="I273" i="95"/>
  <c r="F273" i="95"/>
  <c r="N272" i="95"/>
  <c r="N270" i="95" s="1"/>
  <c r="N269" i="95" s="1"/>
  <c r="M272" i="95"/>
  <c r="M270" i="95" s="1"/>
  <c r="M269" i="95" s="1"/>
  <c r="K272" i="95"/>
  <c r="J272" i="95"/>
  <c r="J270" i="95" s="1"/>
  <c r="I272" i="95"/>
  <c r="H272" i="95"/>
  <c r="H270" i="95" s="1"/>
  <c r="H269" i="95" s="1"/>
  <c r="G272" i="95"/>
  <c r="F272" i="95"/>
  <c r="E272" i="95"/>
  <c r="E270" i="95" s="1"/>
  <c r="D272" i="95"/>
  <c r="D270" i="95" s="1"/>
  <c r="D269" i="95" s="1"/>
  <c r="O271" i="95"/>
  <c r="L271" i="95"/>
  <c r="I271" i="95"/>
  <c r="F271" i="95"/>
  <c r="K270" i="95"/>
  <c r="O268" i="95"/>
  <c r="L268" i="95"/>
  <c r="I268" i="95"/>
  <c r="F268" i="95"/>
  <c r="O267" i="95"/>
  <c r="L267" i="95"/>
  <c r="I267" i="95"/>
  <c r="F267" i="95"/>
  <c r="O266" i="95"/>
  <c r="L266" i="95"/>
  <c r="I266" i="95"/>
  <c r="F266" i="95"/>
  <c r="O265" i="95"/>
  <c r="O264" i="95" s="1"/>
  <c r="L265" i="95"/>
  <c r="L264" i="95" s="1"/>
  <c r="I265" i="95"/>
  <c r="F265" i="95"/>
  <c r="N264" i="95"/>
  <c r="M264" i="95"/>
  <c r="K264" i="95"/>
  <c r="J264" i="95"/>
  <c r="H264" i="95"/>
  <c r="G264" i="95"/>
  <c r="E264" i="95"/>
  <c r="D264" i="95"/>
  <c r="O263" i="95"/>
  <c r="L263" i="95"/>
  <c r="I263" i="95"/>
  <c r="F263" i="95"/>
  <c r="O262" i="95"/>
  <c r="L262" i="95"/>
  <c r="I262" i="95"/>
  <c r="F262" i="95"/>
  <c r="O261" i="95"/>
  <c r="O260" i="95" s="1"/>
  <c r="L261" i="95"/>
  <c r="I261" i="95"/>
  <c r="F261" i="95"/>
  <c r="N260" i="95"/>
  <c r="N259" i="95" s="1"/>
  <c r="M260" i="95"/>
  <c r="K260" i="95"/>
  <c r="K259" i="95" s="1"/>
  <c r="J260" i="95"/>
  <c r="H260" i="95"/>
  <c r="H259" i="95" s="1"/>
  <c r="G260" i="95"/>
  <c r="G259" i="95" s="1"/>
  <c r="F260" i="95"/>
  <c r="E260" i="95"/>
  <c r="D260" i="95"/>
  <c r="M259" i="95"/>
  <c r="O258" i="95"/>
  <c r="L258" i="95"/>
  <c r="I258" i="95"/>
  <c r="F258" i="95"/>
  <c r="O257" i="95"/>
  <c r="L257" i="95"/>
  <c r="I257" i="95"/>
  <c r="F257" i="95"/>
  <c r="O256" i="95"/>
  <c r="L256" i="95"/>
  <c r="I256" i="95"/>
  <c r="F256" i="95"/>
  <c r="O255" i="95"/>
  <c r="L255" i="95"/>
  <c r="I255" i="95"/>
  <c r="F255" i="95"/>
  <c r="O254" i="95"/>
  <c r="L254" i="95"/>
  <c r="I254" i="95"/>
  <c r="F254" i="95"/>
  <c r="O253" i="95"/>
  <c r="O252" i="95" s="1"/>
  <c r="L253" i="95"/>
  <c r="I253" i="95"/>
  <c r="C253" i="95" s="1"/>
  <c r="F253" i="95"/>
  <c r="N252" i="95"/>
  <c r="M252" i="95"/>
  <c r="M251" i="95" s="1"/>
  <c r="L252" i="95"/>
  <c r="L251" i="95" s="1"/>
  <c r="K252" i="95"/>
  <c r="J252" i="95"/>
  <c r="H252" i="95"/>
  <c r="H251" i="95" s="1"/>
  <c r="G252" i="95"/>
  <c r="G251" i="95" s="1"/>
  <c r="E252" i="95"/>
  <c r="D252" i="95"/>
  <c r="D251" i="95" s="1"/>
  <c r="N251" i="95"/>
  <c r="K251" i="95"/>
  <c r="J251" i="95"/>
  <c r="E251" i="95"/>
  <c r="O250" i="95"/>
  <c r="L250" i="95"/>
  <c r="I250" i="95"/>
  <c r="F250" i="95"/>
  <c r="O249" i="95"/>
  <c r="L249" i="95"/>
  <c r="I249" i="95"/>
  <c r="F249" i="95"/>
  <c r="O248" i="95"/>
  <c r="L248" i="95"/>
  <c r="I248" i="95"/>
  <c r="F248" i="95"/>
  <c r="O247" i="95"/>
  <c r="L247" i="95"/>
  <c r="I247" i="95"/>
  <c r="F247" i="95"/>
  <c r="N246" i="95"/>
  <c r="M246" i="95"/>
  <c r="K246" i="95"/>
  <c r="J246" i="95"/>
  <c r="H246" i="95"/>
  <c r="G246" i="95"/>
  <c r="E246" i="95"/>
  <c r="D246" i="95"/>
  <c r="O245" i="95"/>
  <c r="L245" i="95"/>
  <c r="I245" i="95"/>
  <c r="F245" i="95"/>
  <c r="O244" i="95"/>
  <c r="L244" i="95"/>
  <c r="I244" i="95"/>
  <c r="F244" i="95"/>
  <c r="O243" i="95"/>
  <c r="L243" i="95"/>
  <c r="I243" i="95"/>
  <c r="F243" i="95"/>
  <c r="O242" i="95"/>
  <c r="L242" i="95"/>
  <c r="I242" i="95"/>
  <c r="F242" i="95"/>
  <c r="O241" i="95"/>
  <c r="L241" i="95"/>
  <c r="I241" i="95"/>
  <c r="F241" i="95"/>
  <c r="O240" i="95"/>
  <c r="L240" i="95"/>
  <c r="I240" i="95"/>
  <c r="F240" i="95"/>
  <c r="O239" i="95"/>
  <c r="L239" i="95"/>
  <c r="I239" i="95"/>
  <c r="F239" i="95"/>
  <c r="F238" i="95" s="1"/>
  <c r="N238" i="95"/>
  <c r="M238" i="95"/>
  <c r="K238" i="95"/>
  <c r="J238" i="95"/>
  <c r="H238" i="95"/>
  <c r="G238" i="95"/>
  <c r="E238" i="95"/>
  <c r="D238" i="95"/>
  <c r="O237" i="95"/>
  <c r="L237" i="95"/>
  <c r="I237" i="95"/>
  <c r="F237" i="95"/>
  <c r="O236" i="95"/>
  <c r="L236" i="95"/>
  <c r="I236" i="95"/>
  <c r="F236" i="95"/>
  <c r="N235" i="95"/>
  <c r="M235" i="95"/>
  <c r="K235" i="95"/>
  <c r="J235" i="95"/>
  <c r="I235" i="95"/>
  <c r="H235" i="95"/>
  <c r="G235" i="95"/>
  <c r="E235" i="95"/>
  <c r="D235" i="95"/>
  <c r="O234" i="95"/>
  <c r="L234" i="95"/>
  <c r="L233" i="95" s="1"/>
  <c r="I234" i="95"/>
  <c r="I233" i="95" s="1"/>
  <c r="F234" i="95"/>
  <c r="F233" i="95" s="1"/>
  <c r="O233" i="95"/>
  <c r="N233" i="95"/>
  <c r="M233" i="95"/>
  <c r="K233" i="95"/>
  <c r="J233" i="95"/>
  <c r="H233" i="95"/>
  <c r="G233" i="95"/>
  <c r="E233" i="95"/>
  <c r="D233" i="95"/>
  <c r="O232" i="95"/>
  <c r="L232" i="95"/>
  <c r="I232" i="95"/>
  <c r="F232" i="95"/>
  <c r="O229" i="95"/>
  <c r="L229" i="95"/>
  <c r="I229" i="95"/>
  <c r="F229" i="95"/>
  <c r="O228" i="95"/>
  <c r="O227" i="95" s="1"/>
  <c r="L228" i="95"/>
  <c r="L227" i="95" s="1"/>
  <c r="I228" i="95"/>
  <c r="F228" i="95"/>
  <c r="N227" i="95"/>
  <c r="M227" i="95"/>
  <c r="K227" i="95"/>
  <c r="J227" i="95"/>
  <c r="I227" i="95"/>
  <c r="H227" i="95"/>
  <c r="G227" i="95"/>
  <c r="E227" i="95"/>
  <c r="D227" i="95"/>
  <c r="O226" i="95"/>
  <c r="L226" i="95"/>
  <c r="I226" i="95"/>
  <c r="F226" i="95"/>
  <c r="O225" i="95"/>
  <c r="L225" i="95"/>
  <c r="I225" i="95"/>
  <c r="F225" i="95"/>
  <c r="O224" i="95"/>
  <c r="L224" i="95"/>
  <c r="I224" i="95"/>
  <c r="F224" i="95"/>
  <c r="O223" i="95"/>
  <c r="L223" i="95"/>
  <c r="I223" i="95"/>
  <c r="F223" i="95"/>
  <c r="O222" i="95"/>
  <c r="L222" i="95"/>
  <c r="I222" i="95"/>
  <c r="F222" i="95"/>
  <c r="O221" i="95"/>
  <c r="L221" i="95"/>
  <c r="I221" i="95"/>
  <c r="F221" i="95"/>
  <c r="O220" i="95"/>
  <c r="L220" i="95"/>
  <c r="I220" i="95"/>
  <c r="F220" i="95"/>
  <c r="O219" i="95"/>
  <c r="L219" i="95"/>
  <c r="I219" i="95"/>
  <c r="F219" i="95"/>
  <c r="O218" i="95"/>
  <c r="L218" i="95"/>
  <c r="I218" i="95"/>
  <c r="F218" i="95"/>
  <c r="O217" i="95"/>
  <c r="L217" i="95"/>
  <c r="I217" i="95"/>
  <c r="F217" i="95"/>
  <c r="N216" i="95"/>
  <c r="N204" i="95" s="1"/>
  <c r="M216" i="95"/>
  <c r="K216" i="95"/>
  <c r="J216" i="95"/>
  <c r="H216" i="95"/>
  <c r="H204" i="95" s="1"/>
  <c r="G216" i="95"/>
  <c r="E216" i="95"/>
  <c r="D216" i="95"/>
  <c r="O215" i="95"/>
  <c r="L215" i="95"/>
  <c r="I215" i="95"/>
  <c r="F215" i="95"/>
  <c r="O214" i="95"/>
  <c r="L214" i="95"/>
  <c r="I214" i="95"/>
  <c r="F214" i="95"/>
  <c r="O213" i="95"/>
  <c r="L213" i="95"/>
  <c r="I213" i="95"/>
  <c r="F213" i="95"/>
  <c r="O212" i="95"/>
  <c r="L212" i="95"/>
  <c r="I212" i="95"/>
  <c r="F212" i="95"/>
  <c r="O211" i="95"/>
  <c r="L211" i="95"/>
  <c r="I211" i="95"/>
  <c r="F211" i="95"/>
  <c r="O210" i="95"/>
  <c r="L210" i="95"/>
  <c r="I210" i="95"/>
  <c r="F210" i="95"/>
  <c r="O209" i="95"/>
  <c r="L209" i="95"/>
  <c r="I209" i="95"/>
  <c r="F209" i="95"/>
  <c r="O208" i="95"/>
  <c r="L208" i="95"/>
  <c r="I208" i="95"/>
  <c r="F208" i="95"/>
  <c r="O207" i="95"/>
  <c r="L207" i="95"/>
  <c r="I207" i="95"/>
  <c r="F207" i="95"/>
  <c r="O206" i="95"/>
  <c r="L206" i="95"/>
  <c r="I206" i="95"/>
  <c r="F206" i="95"/>
  <c r="O205" i="95"/>
  <c r="N205" i="95"/>
  <c r="M205" i="95"/>
  <c r="K205" i="95"/>
  <c r="J205" i="95"/>
  <c r="J204" i="95" s="1"/>
  <c r="H205" i="95"/>
  <c r="G205" i="95"/>
  <c r="E205" i="95"/>
  <c r="D205" i="95"/>
  <c r="O203" i="95"/>
  <c r="L203" i="95"/>
  <c r="I203" i="95"/>
  <c r="F203" i="95"/>
  <c r="O202" i="95"/>
  <c r="L202" i="95"/>
  <c r="I202" i="95"/>
  <c r="F202" i="95"/>
  <c r="O201" i="95"/>
  <c r="L201" i="95"/>
  <c r="I201" i="95"/>
  <c r="F201" i="95"/>
  <c r="O200" i="95"/>
  <c r="L200" i="95"/>
  <c r="I200" i="95"/>
  <c r="F200" i="95"/>
  <c r="O199" i="95"/>
  <c r="O198" i="95" s="1"/>
  <c r="L199" i="95"/>
  <c r="L198" i="95" s="1"/>
  <c r="I199" i="95"/>
  <c r="F199" i="95"/>
  <c r="N198" i="95"/>
  <c r="N196" i="95" s="1"/>
  <c r="M198" i="95"/>
  <c r="M196" i="95" s="1"/>
  <c r="K198" i="95"/>
  <c r="K196" i="95" s="1"/>
  <c r="J198" i="95"/>
  <c r="J196" i="95" s="1"/>
  <c r="H198" i="95"/>
  <c r="H196" i="95" s="1"/>
  <c r="G198" i="95"/>
  <c r="G196" i="95" s="1"/>
  <c r="F198" i="95"/>
  <c r="E198" i="95"/>
  <c r="E196" i="95" s="1"/>
  <c r="D198" i="95"/>
  <c r="D196" i="95" s="1"/>
  <c r="O197" i="95"/>
  <c r="L197" i="95"/>
  <c r="I197" i="95"/>
  <c r="F197" i="95"/>
  <c r="O193" i="95"/>
  <c r="O192" i="95" s="1"/>
  <c r="O191" i="95" s="1"/>
  <c r="L193" i="95"/>
  <c r="L192" i="95" s="1"/>
  <c r="I193" i="95"/>
  <c r="F193" i="95"/>
  <c r="N192" i="95"/>
  <c r="N191" i="95" s="1"/>
  <c r="M192" i="95"/>
  <c r="M191" i="95" s="1"/>
  <c r="K192" i="95"/>
  <c r="J192" i="95"/>
  <c r="J191" i="95" s="1"/>
  <c r="I192" i="95"/>
  <c r="I191" i="95" s="1"/>
  <c r="H192" i="95"/>
  <c r="H191" i="95" s="1"/>
  <c r="G192" i="95"/>
  <c r="F192" i="95"/>
  <c r="F191" i="95" s="1"/>
  <c r="E192" i="95"/>
  <c r="E191" i="95" s="1"/>
  <c r="D192" i="95"/>
  <c r="D191" i="95" s="1"/>
  <c r="K191" i="95"/>
  <c r="G191" i="95"/>
  <c r="O190" i="95"/>
  <c r="L190" i="95"/>
  <c r="I190" i="95"/>
  <c r="F190" i="95"/>
  <c r="O189" i="95"/>
  <c r="O188" i="95" s="1"/>
  <c r="O187" i="95" s="1"/>
  <c r="L189" i="95"/>
  <c r="I189" i="95"/>
  <c r="I188" i="95" s="1"/>
  <c r="F189" i="95"/>
  <c r="N188" i="95"/>
  <c r="M188" i="95"/>
  <c r="K188" i="95"/>
  <c r="K187" i="95" s="1"/>
  <c r="J188" i="95"/>
  <c r="H188" i="95"/>
  <c r="H187" i="95" s="1"/>
  <c r="G188" i="95"/>
  <c r="F188" i="95"/>
  <c r="E188" i="95"/>
  <c r="D188" i="95"/>
  <c r="D187" i="95" s="1"/>
  <c r="O186" i="95"/>
  <c r="L186" i="95"/>
  <c r="I186" i="95"/>
  <c r="F186" i="95"/>
  <c r="O185" i="95"/>
  <c r="L185" i="95"/>
  <c r="L184" i="95" s="1"/>
  <c r="I185" i="95"/>
  <c r="I184" i="95" s="1"/>
  <c r="F185" i="95"/>
  <c r="O184" i="95"/>
  <c r="N184" i="95"/>
  <c r="M184" i="95"/>
  <c r="K184" i="95"/>
  <c r="J184" i="95"/>
  <c r="H184" i="95"/>
  <c r="G184" i="95"/>
  <c r="F184" i="95"/>
  <c r="E184" i="95"/>
  <c r="D184" i="95"/>
  <c r="O183" i="95"/>
  <c r="L183" i="95"/>
  <c r="I183" i="95"/>
  <c r="F183" i="95"/>
  <c r="O182" i="95"/>
  <c r="L182" i="95"/>
  <c r="I182" i="95"/>
  <c r="F182" i="95"/>
  <c r="O181" i="95"/>
  <c r="L181" i="95"/>
  <c r="I181" i="95"/>
  <c r="F181" i="95"/>
  <c r="O180" i="95"/>
  <c r="O179" i="95" s="1"/>
  <c r="L180" i="95"/>
  <c r="I180" i="95"/>
  <c r="F180" i="95"/>
  <c r="F179" i="95" s="1"/>
  <c r="N179" i="95"/>
  <c r="M179" i="95"/>
  <c r="K179" i="95"/>
  <c r="J179" i="95"/>
  <c r="H179" i="95"/>
  <c r="G179" i="95"/>
  <c r="E179" i="95"/>
  <c r="D179" i="95"/>
  <c r="O178" i="95"/>
  <c r="L178" i="95"/>
  <c r="I178" i="95"/>
  <c r="F178" i="95"/>
  <c r="O177" i="95"/>
  <c r="L177" i="95"/>
  <c r="I177" i="95"/>
  <c r="F177" i="95"/>
  <c r="O176" i="95"/>
  <c r="O175" i="95" s="1"/>
  <c r="L176" i="95"/>
  <c r="L175" i="95" s="1"/>
  <c r="I176" i="95"/>
  <c r="F176" i="95"/>
  <c r="F175" i="95" s="1"/>
  <c r="N175" i="95"/>
  <c r="M175" i="95"/>
  <c r="K175" i="95"/>
  <c r="K174" i="95" s="1"/>
  <c r="J175" i="95"/>
  <c r="H175" i="95"/>
  <c r="H174" i="95" s="1"/>
  <c r="G175" i="95"/>
  <c r="G174" i="95" s="1"/>
  <c r="E175" i="95"/>
  <c r="E174" i="95" s="1"/>
  <c r="E173" i="95" s="1"/>
  <c r="D175" i="95"/>
  <c r="N174" i="95"/>
  <c r="M174" i="95"/>
  <c r="N173" i="95"/>
  <c r="O172" i="95"/>
  <c r="L172" i="95"/>
  <c r="I172" i="95"/>
  <c r="F172" i="95"/>
  <c r="C172" i="95" s="1"/>
  <c r="O171" i="95"/>
  <c r="L171" i="95"/>
  <c r="I171" i="95"/>
  <c r="F171" i="95"/>
  <c r="O170" i="95"/>
  <c r="L170" i="95"/>
  <c r="I170" i="95"/>
  <c r="F170" i="95"/>
  <c r="O169" i="95"/>
  <c r="L169" i="95"/>
  <c r="I169" i="95"/>
  <c r="F169" i="95"/>
  <c r="O168" i="95"/>
  <c r="L168" i="95"/>
  <c r="I168" i="95"/>
  <c r="F168" i="95"/>
  <c r="C168" i="95" s="1"/>
  <c r="O167" i="95"/>
  <c r="L167" i="95"/>
  <c r="I167" i="95"/>
  <c r="F167" i="95"/>
  <c r="N166" i="95"/>
  <c r="M166" i="95"/>
  <c r="M165" i="95" s="1"/>
  <c r="K166" i="95"/>
  <c r="J166" i="95"/>
  <c r="J165" i="95" s="1"/>
  <c r="H166" i="95"/>
  <c r="H165" i="95" s="1"/>
  <c r="G166" i="95"/>
  <c r="E166" i="95"/>
  <c r="E165" i="95" s="1"/>
  <c r="D166" i="95"/>
  <c r="D165" i="95" s="1"/>
  <c r="N165" i="95"/>
  <c r="K165" i="95"/>
  <c r="G165" i="95"/>
  <c r="O164" i="95"/>
  <c r="L164" i="95"/>
  <c r="I164" i="95"/>
  <c r="F164" i="95"/>
  <c r="O163" i="95"/>
  <c r="L163" i="95"/>
  <c r="I163" i="95"/>
  <c r="F163" i="95"/>
  <c r="O162" i="95"/>
  <c r="L162" i="95"/>
  <c r="I162" i="95"/>
  <c r="F162" i="95"/>
  <c r="O161" i="95"/>
  <c r="L161" i="95"/>
  <c r="L160" i="95" s="1"/>
  <c r="I161" i="95"/>
  <c r="I160" i="95" s="1"/>
  <c r="F161" i="95"/>
  <c r="O160" i="95"/>
  <c r="N160" i="95"/>
  <c r="M160" i="95"/>
  <c r="K160" i="95"/>
  <c r="J160" i="95"/>
  <c r="H160" i="95"/>
  <c r="G160" i="95"/>
  <c r="F160" i="95"/>
  <c r="E160" i="95"/>
  <c r="D160" i="95"/>
  <c r="O159" i="95"/>
  <c r="L159" i="95"/>
  <c r="I159" i="95"/>
  <c r="F159" i="95"/>
  <c r="O158" i="95"/>
  <c r="L158" i="95"/>
  <c r="I158" i="95"/>
  <c r="F158" i="95"/>
  <c r="O157" i="95"/>
  <c r="L157" i="95"/>
  <c r="I157" i="95"/>
  <c r="F157" i="95"/>
  <c r="O156" i="95"/>
  <c r="L156" i="95"/>
  <c r="I156" i="95"/>
  <c r="F156" i="95"/>
  <c r="O155" i="95"/>
  <c r="L155" i="95"/>
  <c r="I155" i="95"/>
  <c r="F155" i="95"/>
  <c r="O154" i="95"/>
  <c r="L154" i="95"/>
  <c r="I154" i="95"/>
  <c r="F154" i="95"/>
  <c r="O153" i="95"/>
  <c r="L153" i="95"/>
  <c r="I153" i="95"/>
  <c r="F153" i="95"/>
  <c r="O152" i="95"/>
  <c r="L152" i="95"/>
  <c r="I152" i="95"/>
  <c r="C152" i="95" s="1"/>
  <c r="F152" i="95"/>
  <c r="N151" i="95"/>
  <c r="M151" i="95"/>
  <c r="K151" i="95"/>
  <c r="J151" i="95"/>
  <c r="H151" i="95"/>
  <c r="G151" i="95"/>
  <c r="E151" i="95"/>
  <c r="D151" i="95"/>
  <c r="O150" i="95"/>
  <c r="L150" i="95"/>
  <c r="I150" i="95"/>
  <c r="F150" i="95"/>
  <c r="O149" i="95"/>
  <c r="L149" i="95"/>
  <c r="I149" i="95"/>
  <c r="F149" i="95"/>
  <c r="O148" i="95"/>
  <c r="L148" i="95"/>
  <c r="I148" i="95"/>
  <c r="F148" i="95"/>
  <c r="O147" i="95"/>
  <c r="L147" i="95"/>
  <c r="I147" i="95"/>
  <c r="F147" i="95"/>
  <c r="O146" i="95"/>
  <c r="L146" i="95"/>
  <c r="I146" i="95"/>
  <c r="F146" i="95"/>
  <c r="O145" i="95"/>
  <c r="L145" i="95"/>
  <c r="I145" i="95"/>
  <c r="F145" i="95"/>
  <c r="O144" i="95"/>
  <c r="N144" i="95"/>
  <c r="M144" i="95"/>
  <c r="K144" i="95"/>
  <c r="J144" i="95"/>
  <c r="H144" i="95"/>
  <c r="G144" i="95"/>
  <c r="E144" i="95"/>
  <c r="D144" i="95"/>
  <c r="O143" i="95"/>
  <c r="L143" i="95"/>
  <c r="I143" i="95"/>
  <c r="F143" i="95"/>
  <c r="O142" i="95"/>
  <c r="L142" i="95"/>
  <c r="I142" i="95"/>
  <c r="I141" i="95" s="1"/>
  <c r="F142" i="95"/>
  <c r="N141" i="95"/>
  <c r="M141" i="95"/>
  <c r="L141" i="95"/>
  <c r="K141" i="95"/>
  <c r="J141" i="95"/>
  <c r="H141" i="95"/>
  <c r="G141" i="95"/>
  <c r="F141" i="95"/>
  <c r="E141" i="95"/>
  <c r="D141" i="95"/>
  <c r="O140" i="95"/>
  <c r="L140" i="95"/>
  <c r="I140" i="95"/>
  <c r="F140" i="95"/>
  <c r="O139" i="95"/>
  <c r="L139" i="95"/>
  <c r="I139" i="95"/>
  <c r="F139" i="95"/>
  <c r="O138" i="95"/>
  <c r="L138" i="95"/>
  <c r="I138" i="95"/>
  <c r="F138" i="95"/>
  <c r="O137" i="95"/>
  <c r="L137" i="95"/>
  <c r="L136" i="95" s="1"/>
  <c r="I137" i="95"/>
  <c r="I136" i="95" s="1"/>
  <c r="F137" i="95"/>
  <c r="O136" i="95"/>
  <c r="N136" i="95"/>
  <c r="M136" i="95"/>
  <c r="K136" i="95"/>
  <c r="J136" i="95"/>
  <c r="H136" i="95"/>
  <c r="G136" i="95"/>
  <c r="E136" i="95"/>
  <c r="D136" i="95"/>
  <c r="O135" i="95"/>
  <c r="L135" i="95"/>
  <c r="I135" i="95"/>
  <c r="F135" i="95"/>
  <c r="O134" i="95"/>
  <c r="L134" i="95"/>
  <c r="I134" i="95"/>
  <c r="F134" i="95"/>
  <c r="O133" i="95"/>
  <c r="L133" i="95"/>
  <c r="I133" i="95"/>
  <c r="F133" i="95"/>
  <c r="O132" i="95"/>
  <c r="O131" i="95" s="1"/>
  <c r="L132" i="95"/>
  <c r="I132" i="95"/>
  <c r="F132" i="95"/>
  <c r="N131" i="95"/>
  <c r="M131" i="95"/>
  <c r="K131" i="95"/>
  <c r="J131" i="95"/>
  <c r="H131" i="95"/>
  <c r="G131" i="95"/>
  <c r="E131" i="95"/>
  <c r="D131" i="95"/>
  <c r="O129" i="95"/>
  <c r="L129" i="95"/>
  <c r="L128" i="95" s="1"/>
  <c r="I129" i="95"/>
  <c r="I128" i="95" s="1"/>
  <c r="F129" i="95"/>
  <c r="O128" i="95"/>
  <c r="N128" i="95"/>
  <c r="M128" i="95"/>
  <c r="K128" i="95"/>
  <c r="J128" i="95"/>
  <c r="H128" i="95"/>
  <c r="G128" i="95"/>
  <c r="F128" i="95"/>
  <c r="E128" i="95"/>
  <c r="D128" i="95"/>
  <c r="O127" i="95"/>
  <c r="L127" i="95"/>
  <c r="I127" i="95"/>
  <c r="F127" i="95"/>
  <c r="O126" i="95"/>
  <c r="L126" i="95"/>
  <c r="I126" i="95"/>
  <c r="F126" i="95"/>
  <c r="O125" i="95"/>
  <c r="L125" i="95"/>
  <c r="I125" i="95"/>
  <c r="F125" i="95"/>
  <c r="O124" i="95"/>
  <c r="L124" i="95"/>
  <c r="I124" i="95"/>
  <c r="F124" i="95"/>
  <c r="O123" i="95"/>
  <c r="O122" i="95" s="1"/>
  <c r="L123" i="95"/>
  <c r="I123" i="95"/>
  <c r="I122" i="95" s="1"/>
  <c r="F123" i="95"/>
  <c r="N122" i="95"/>
  <c r="M122" i="95"/>
  <c r="K122" i="95"/>
  <c r="J122" i="95"/>
  <c r="H122" i="95"/>
  <c r="G122" i="95"/>
  <c r="E122" i="95"/>
  <c r="D122" i="95"/>
  <c r="O121" i="95"/>
  <c r="L121" i="95"/>
  <c r="I121" i="95"/>
  <c r="F121" i="95"/>
  <c r="O120" i="95"/>
  <c r="L120" i="95"/>
  <c r="I120" i="95"/>
  <c r="F120" i="95"/>
  <c r="O119" i="95"/>
  <c r="L119" i="95"/>
  <c r="I119" i="95"/>
  <c r="F119" i="95"/>
  <c r="O118" i="95"/>
  <c r="L118" i="95"/>
  <c r="I118" i="95"/>
  <c r="F118" i="95"/>
  <c r="O117" i="95"/>
  <c r="L117" i="95"/>
  <c r="I117" i="95"/>
  <c r="I116" i="95" s="1"/>
  <c r="F117" i="95"/>
  <c r="N116" i="95"/>
  <c r="M116" i="95"/>
  <c r="K116" i="95"/>
  <c r="J116" i="95"/>
  <c r="H116" i="95"/>
  <c r="G116" i="95"/>
  <c r="E116" i="95"/>
  <c r="D116" i="95"/>
  <c r="O115" i="95"/>
  <c r="L115" i="95"/>
  <c r="I115" i="95"/>
  <c r="F115" i="95"/>
  <c r="O114" i="95"/>
  <c r="L114" i="95"/>
  <c r="I114" i="95"/>
  <c r="F114" i="95"/>
  <c r="O113" i="95"/>
  <c r="L113" i="95"/>
  <c r="L112" i="95" s="1"/>
  <c r="I113" i="95"/>
  <c r="I112" i="95" s="1"/>
  <c r="F113" i="95"/>
  <c r="O112" i="95"/>
  <c r="N112" i="95"/>
  <c r="M112" i="95"/>
  <c r="K112" i="95"/>
  <c r="J112" i="95"/>
  <c r="H112" i="95"/>
  <c r="G112" i="95"/>
  <c r="E112" i="95"/>
  <c r="D112" i="95"/>
  <c r="O111" i="95"/>
  <c r="L111" i="95"/>
  <c r="I111" i="95"/>
  <c r="F111" i="95"/>
  <c r="O110" i="95"/>
  <c r="L110" i="95"/>
  <c r="I110" i="95"/>
  <c r="F110" i="95"/>
  <c r="O109" i="95"/>
  <c r="L109" i="95"/>
  <c r="I109" i="95"/>
  <c r="F109" i="95"/>
  <c r="O108" i="95"/>
  <c r="L108" i="95"/>
  <c r="I108" i="95"/>
  <c r="F108" i="95"/>
  <c r="O107" i="95"/>
  <c r="L107" i="95"/>
  <c r="I107" i="95"/>
  <c r="F107" i="95"/>
  <c r="O106" i="95"/>
  <c r="L106" i="95"/>
  <c r="I106" i="95"/>
  <c r="F106" i="95"/>
  <c r="O105" i="95"/>
  <c r="L105" i="95"/>
  <c r="I105" i="95"/>
  <c r="F105" i="95"/>
  <c r="O104" i="95"/>
  <c r="L104" i="95"/>
  <c r="L103" i="95" s="1"/>
  <c r="I104" i="95"/>
  <c r="F104" i="95"/>
  <c r="N103" i="95"/>
  <c r="M103" i="95"/>
  <c r="K103" i="95"/>
  <c r="J103" i="95"/>
  <c r="H103" i="95"/>
  <c r="G103" i="95"/>
  <c r="E103" i="95"/>
  <c r="D103" i="95"/>
  <c r="O102" i="95"/>
  <c r="L102" i="95"/>
  <c r="I102" i="95"/>
  <c r="F102" i="95"/>
  <c r="O101" i="95"/>
  <c r="L101" i="95"/>
  <c r="I101" i="95"/>
  <c r="F101" i="95"/>
  <c r="O100" i="95"/>
  <c r="L100" i="95"/>
  <c r="I100" i="95"/>
  <c r="F100" i="95"/>
  <c r="O99" i="95"/>
  <c r="L99" i="95"/>
  <c r="I99" i="95"/>
  <c r="F99" i="95"/>
  <c r="O98" i="95"/>
  <c r="L98" i="95"/>
  <c r="I98" i="95"/>
  <c r="F98" i="95"/>
  <c r="O97" i="95"/>
  <c r="L97" i="95"/>
  <c r="I97" i="95"/>
  <c r="F97" i="95"/>
  <c r="O96" i="95"/>
  <c r="L96" i="95"/>
  <c r="I96" i="95"/>
  <c r="F96" i="95"/>
  <c r="N95" i="95"/>
  <c r="M95" i="95"/>
  <c r="K95" i="95"/>
  <c r="J95" i="95"/>
  <c r="H95" i="95"/>
  <c r="G95" i="95"/>
  <c r="E95" i="95"/>
  <c r="D95" i="95"/>
  <c r="O94" i="95"/>
  <c r="L94" i="95"/>
  <c r="I94" i="95"/>
  <c r="F94" i="95"/>
  <c r="O93" i="95"/>
  <c r="L93" i="95"/>
  <c r="I93" i="95"/>
  <c r="F93" i="95"/>
  <c r="O92" i="95"/>
  <c r="L92" i="95"/>
  <c r="I92" i="95"/>
  <c r="F92" i="95"/>
  <c r="O91" i="95"/>
  <c r="L91" i="95"/>
  <c r="I91" i="95"/>
  <c r="F91" i="95"/>
  <c r="O90" i="95"/>
  <c r="O89" i="95" s="1"/>
  <c r="L90" i="95"/>
  <c r="I90" i="95"/>
  <c r="F90" i="95"/>
  <c r="N89" i="95"/>
  <c r="M89" i="95"/>
  <c r="K89" i="95"/>
  <c r="J89" i="95"/>
  <c r="H89" i="95"/>
  <c r="G89" i="95"/>
  <c r="E89" i="95"/>
  <c r="D89" i="95"/>
  <c r="O88" i="95"/>
  <c r="L88" i="95"/>
  <c r="I88" i="95"/>
  <c r="F88" i="95"/>
  <c r="O87" i="95"/>
  <c r="L87" i="95"/>
  <c r="I87" i="95"/>
  <c r="F87" i="95"/>
  <c r="O86" i="95"/>
  <c r="L86" i="95"/>
  <c r="I86" i="95"/>
  <c r="F86" i="95"/>
  <c r="O85" i="95"/>
  <c r="L85" i="95"/>
  <c r="I85" i="95"/>
  <c r="F85" i="95"/>
  <c r="N84" i="95"/>
  <c r="M84" i="95"/>
  <c r="K84" i="95"/>
  <c r="J84" i="95"/>
  <c r="H84" i="95"/>
  <c r="G84" i="95"/>
  <c r="E84" i="95"/>
  <c r="D84" i="95"/>
  <c r="O82" i="95"/>
  <c r="L82" i="95"/>
  <c r="I82" i="95"/>
  <c r="F82" i="95"/>
  <c r="O81" i="95"/>
  <c r="L81" i="95"/>
  <c r="I81" i="95"/>
  <c r="I80" i="95" s="1"/>
  <c r="F81" i="95"/>
  <c r="O80" i="95"/>
  <c r="N80" i="95"/>
  <c r="M80" i="95"/>
  <c r="K80" i="95"/>
  <c r="J80" i="95"/>
  <c r="H80" i="95"/>
  <c r="G80" i="95"/>
  <c r="F80" i="95"/>
  <c r="E80" i="95"/>
  <c r="D80" i="95"/>
  <c r="O79" i="95"/>
  <c r="L79" i="95"/>
  <c r="I79" i="95"/>
  <c r="F79" i="95"/>
  <c r="O78" i="95"/>
  <c r="L78" i="95"/>
  <c r="L77" i="95" s="1"/>
  <c r="I78" i="95"/>
  <c r="F78" i="95"/>
  <c r="N77" i="95"/>
  <c r="M77" i="95"/>
  <c r="K77" i="95"/>
  <c r="J77" i="95"/>
  <c r="J76" i="95" s="1"/>
  <c r="H77" i="95"/>
  <c r="H76" i="95" s="1"/>
  <c r="G77" i="95"/>
  <c r="E77" i="95"/>
  <c r="D77" i="95"/>
  <c r="K76" i="95"/>
  <c r="O74" i="95"/>
  <c r="L74" i="95"/>
  <c r="I74" i="95"/>
  <c r="F74" i="95"/>
  <c r="O73" i="95"/>
  <c r="L73" i="95"/>
  <c r="I73" i="95"/>
  <c r="F73" i="95"/>
  <c r="O72" i="95"/>
  <c r="L72" i="95"/>
  <c r="I72" i="95"/>
  <c r="F72" i="95"/>
  <c r="O71" i="95"/>
  <c r="L71" i="95"/>
  <c r="I71" i="95"/>
  <c r="F71" i="95"/>
  <c r="O70" i="95"/>
  <c r="L70" i="95"/>
  <c r="I70" i="95"/>
  <c r="F70" i="95"/>
  <c r="N69" i="95"/>
  <c r="N67" i="95" s="1"/>
  <c r="M69" i="95"/>
  <c r="M67" i="95" s="1"/>
  <c r="K69" i="95"/>
  <c r="K67" i="95" s="1"/>
  <c r="J69" i="95"/>
  <c r="J67" i="95" s="1"/>
  <c r="H69" i="95"/>
  <c r="G69" i="95"/>
  <c r="G67" i="95" s="1"/>
  <c r="E69" i="95"/>
  <c r="D69" i="95"/>
  <c r="D67" i="95" s="1"/>
  <c r="O68" i="95"/>
  <c r="L68" i="95"/>
  <c r="I68" i="95"/>
  <c r="F68" i="95"/>
  <c r="H67" i="95"/>
  <c r="E67" i="95"/>
  <c r="O66" i="95"/>
  <c r="L66" i="95"/>
  <c r="I66" i="95"/>
  <c r="F66" i="95"/>
  <c r="O65" i="95"/>
  <c r="L65" i="95"/>
  <c r="I65" i="95"/>
  <c r="F65" i="95"/>
  <c r="O64" i="95"/>
  <c r="L64" i="95"/>
  <c r="I64" i="95"/>
  <c r="F64" i="95"/>
  <c r="O63" i="95"/>
  <c r="L63" i="95"/>
  <c r="I63" i="95"/>
  <c r="F63" i="95"/>
  <c r="O62" i="95"/>
  <c r="L62" i="95"/>
  <c r="I62" i="95"/>
  <c r="F62" i="95"/>
  <c r="O61" i="95"/>
  <c r="L61" i="95"/>
  <c r="I61" i="95"/>
  <c r="F61" i="95"/>
  <c r="O60" i="95"/>
  <c r="L60" i="95"/>
  <c r="I60" i="95"/>
  <c r="F60" i="95"/>
  <c r="O59" i="95"/>
  <c r="O58" i="95" s="1"/>
  <c r="L59" i="95"/>
  <c r="I59" i="95"/>
  <c r="F59" i="95"/>
  <c r="F58" i="95" s="1"/>
  <c r="N58" i="95"/>
  <c r="M58" i="95"/>
  <c r="K58" i="95"/>
  <c r="J58" i="95"/>
  <c r="H58" i="95"/>
  <c r="G58" i="95"/>
  <c r="E58" i="95"/>
  <c r="D58" i="95"/>
  <c r="O57" i="95"/>
  <c r="L57" i="95"/>
  <c r="I57" i="95"/>
  <c r="F57" i="95"/>
  <c r="O56" i="95"/>
  <c r="L56" i="95"/>
  <c r="L55" i="95" s="1"/>
  <c r="I56" i="95"/>
  <c r="F56" i="95"/>
  <c r="F55" i="95" s="1"/>
  <c r="N55" i="95"/>
  <c r="M55" i="95"/>
  <c r="M54" i="95" s="1"/>
  <c r="K55" i="95"/>
  <c r="K54" i="95" s="1"/>
  <c r="J55" i="95"/>
  <c r="J54" i="95" s="1"/>
  <c r="I55" i="95"/>
  <c r="H55" i="95"/>
  <c r="G55" i="95"/>
  <c r="E55" i="95"/>
  <c r="E54" i="95" s="1"/>
  <c r="E53" i="95" s="1"/>
  <c r="D55" i="95"/>
  <c r="H54" i="95"/>
  <c r="O47" i="95"/>
  <c r="C47" i="95" s="1"/>
  <c r="O46" i="95"/>
  <c r="C46" i="95" s="1"/>
  <c r="N45" i="95"/>
  <c r="M45" i="95"/>
  <c r="L44" i="95"/>
  <c r="L43" i="95" s="1"/>
  <c r="I44" i="95"/>
  <c r="I43" i="95" s="1"/>
  <c r="F44" i="95"/>
  <c r="F43" i="95" s="1"/>
  <c r="K43" i="95"/>
  <c r="J43" i="95"/>
  <c r="H43" i="95"/>
  <c r="G43" i="95"/>
  <c r="E43" i="95"/>
  <c r="D43" i="95"/>
  <c r="F42" i="95"/>
  <c r="C42" i="95" s="1"/>
  <c r="E41" i="95"/>
  <c r="D41" i="95"/>
  <c r="L40" i="95"/>
  <c r="C40" i="95" s="1"/>
  <c r="L39" i="95"/>
  <c r="C39" i="95" s="1"/>
  <c r="L38" i="95"/>
  <c r="C38" i="95" s="1"/>
  <c r="L37" i="95"/>
  <c r="C37" i="95" s="1"/>
  <c r="K36" i="95"/>
  <c r="J36" i="95"/>
  <c r="L35" i="95"/>
  <c r="C35" i="95" s="1"/>
  <c r="L34" i="95"/>
  <c r="C34" i="95" s="1"/>
  <c r="L33" i="95"/>
  <c r="C33" i="95" s="1"/>
  <c r="K33" i="95"/>
  <c r="J33" i="95"/>
  <c r="L32" i="95"/>
  <c r="L31" i="95" s="1"/>
  <c r="C31" i="95" s="1"/>
  <c r="C32" i="95"/>
  <c r="K31" i="95"/>
  <c r="J31" i="95"/>
  <c r="L30" i="95"/>
  <c r="C30" i="95" s="1"/>
  <c r="L29" i="95"/>
  <c r="C29" i="95" s="1"/>
  <c r="L28" i="95"/>
  <c r="C28" i="95" s="1"/>
  <c r="K27" i="95"/>
  <c r="J27" i="95"/>
  <c r="F25" i="95"/>
  <c r="C25" i="95"/>
  <c r="I24" i="95"/>
  <c r="F24" i="95"/>
  <c r="C24" i="95" s="1"/>
  <c r="O23" i="95"/>
  <c r="L23" i="95"/>
  <c r="I23" i="95"/>
  <c r="F23" i="95"/>
  <c r="O22" i="95"/>
  <c r="L22" i="95"/>
  <c r="L21" i="95" s="1"/>
  <c r="L292" i="95" s="1"/>
  <c r="L291" i="95" s="1"/>
  <c r="I22" i="95"/>
  <c r="F22" i="95"/>
  <c r="N21" i="95"/>
  <c r="M21" i="95"/>
  <c r="M292" i="95" s="1"/>
  <c r="M291" i="95" s="1"/>
  <c r="K21" i="95"/>
  <c r="K292" i="95" s="1"/>
  <c r="K291" i="95" s="1"/>
  <c r="J21" i="95"/>
  <c r="I21" i="95"/>
  <c r="I292" i="95" s="1"/>
  <c r="H21" i="95"/>
  <c r="H292" i="95" s="1"/>
  <c r="H291" i="95" s="1"/>
  <c r="G21" i="95"/>
  <c r="G292" i="95" s="1"/>
  <c r="E21" i="95"/>
  <c r="E292" i="95" s="1"/>
  <c r="E291" i="95" s="1"/>
  <c r="D21" i="95"/>
  <c r="D292" i="95" s="1"/>
  <c r="D291" i="95" s="1"/>
  <c r="E20" i="95"/>
  <c r="C164" i="95" l="1"/>
  <c r="N195" i="95"/>
  <c r="C221" i="95"/>
  <c r="C225" i="95"/>
  <c r="G231" i="95"/>
  <c r="E269" i="95"/>
  <c r="C249" i="96"/>
  <c r="C253" i="96"/>
  <c r="C64" i="95"/>
  <c r="C65" i="95"/>
  <c r="C132" i="95"/>
  <c r="M130" i="95"/>
  <c r="H173" i="95"/>
  <c r="C201" i="95"/>
  <c r="C209" i="95"/>
  <c r="C214" i="95"/>
  <c r="C245" i="95"/>
  <c r="K292" i="96"/>
  <c r="K291" i="96" s="1"/>
  <c r="C90" i="96"/>
  <c r="D231" i="96"/>
  <c r="C104" i="95"/>
  <c r="C108" i="95"/>
  <c r="C109" i="95"/>
  <c r="C110" i="95"/>
  <c r="C111" i="95"/>
  <c r="J174" i="95"/>
  <c r="J173" i="95" s="1"/>
  <c r="C180" i="95"/>
  <c r="M187" i="95"/>
  <c r="C229" i="95"/>
  <c r="L235" i="95"/>
  <c r="E259" i="95"/>
  <c r="C301" i="95"/>
  <c r="D174" i="96"/>
  <c r="D173" i="96" s="1"/>
  <c r="C158" i="96"/>
  <c r="C170" i="96"/>
  <c r="C172" i="96"/>
  <c r="H187" i="96"/>
  <c r="N187" i="96"/>
  <c r="L235" i="96"/>
  <c r="G259" i="96"/>
  <c r="M270" i="96"/>
  <c r="M269" i="96" s="1"/>
  <c r="C164" i="96"/>
  <c r="C178" i="96"/>
  <c r="C182" i="96"/>
  <c r="D187" i="96"/>
  <c r="C213" i="96"/>
  <c r="J204" i="96"/>
  <c r="N204" i="96"/>
  <c r="N195" i="96" s="1"/>
  <c r="O246" i="96"/>
  <c r="E269" i="96"/>
  <c r="C273" i="96"/>
  <c r="C297" i="96"/>
  <c r="G174" i="96"/>
  <c r="G173" i="96" s="1"/>
  <c r="K26" i="96"/>
  <c r="K20" i="96" s="1"/>
  <c r="C57" i="96"/>
  <c r="D54" i="96"/>
  <c r="D53" i="96" s="1"/>
  <c r="C134" i="96"/>
  <c r="G130" i="96"/>
  <c r="I184" i="96"/>
  <c r="K204" i="96"/>
  <c r="K195" i="96" s="1"/>
  <c r="E259" i="96"/>
  <c r="C261" i="96"/>
  <c r="G292" i="96"/>
  <c r="G291" i="96" s="1"/>
  <c r="C61" i="96"/>
  <c r="H76" i="96"/>
  <c r="N76" i="96"/>
  <c r="C94" i="96"/>
  <c r="O103" i="96"/>
  <c r="C126" i="96"/>
  <c r="K130" i="96"/>
  <c r="C138" i="96"/>
  <c r="C140" i="96"/>
  <c r="D130" i="96"/>
  <c r="H130" i="96"/>
  <c r="C177" i="96"/>
  <c r="J187" i="96"/>
  <c r="C201" i="96"/>
  <c r="C202" i="96"/>
  <c r="C225" i="96"/>
  <c r="E231" i="96"/>
  <c r="C237" i="96"/>
  <c r="O235" i="96"/>
  <c r="H231" i="96"/>
  <c r="J259" i="96"/>
  <c r="O259" i="96"/>
  <c r="G269" i="96"/>
  <c r="L293" i="96"/>
  <c r="I160" i="96"/>
  <c r="F187" i="96"/>
  <c r="J195" i="96"/>
  <c r="D76" i="96"/>
  <c r="C81" i="96"/>
  <c r="C110" i="96"/>
  <c r="C111" i="96"/>
  <c r="C150" i="96"/>
  <c r="C154" i="96"/>
  <c r="C155" i="96"/>
  <c r="C157" i="96"/>
  <c r="O160" i="96"/>
  <c r="O166" i="96"/>
  <c r="O165" i="96" s="1"/>
  <c r="K173" i="96"/>
  <c r="F179" i="96"/>
  <c r="F174" i="96" s="1"/>
  <c r="C181" i="96"/>
  <c r="O184" i="96"/>
  <c r="C193" i="96"/>
  <c r="C217" i="96"/>
  <c r="C248" i="96"/>
  <c r="F41" i="96"/>
  <c r="C41" i="96" s="1"/>
  <c r="C44" i="96"/>
  <c r="G76" i="96"/>
  <c r="M76" i="96"/>
  <c r="C102" i="96"/>
  <c r="E83" i="96"/>
  <c r="C106" i="96"/>
  <c r="C114" i="96"/>
  <c r="O122" i="96"/>
  <c r="N130" i="96"/>
  <c r="C148" i="96"/>
  <c r="E173" i="96"/>
  <c r="L175" i="96"/>
  <c r="O196" i="96"/>
  <c r="L196" i="96"/>
  <c r="C209" i="96"/>
  <c r="C210" i="96"/>
  <c r="C212" i="96"/>
  <c r="H204" i="96"/>
  <c r="C229" i="96"/>
  <c r="C241" i="96"/>
  <c r="I246" i="96"/>
  <c r="C265" i="96"/>
  <c r="D270" i="96"/>
  <c r="D269" i="96" s="1"/>
  <c r="O293" i="96"/>
  <c r="C46" i="96"/>
  <c r="O45" i="96"/>
  <c r="I144" i="96"/>
  <c r="E292" i="96"/>
  <c r="E291" i="96" s="1"/>
  <c r="E20" i="96"/>
  <c r="G54" i="96"/>
  <c r="G53" i="96" s="1"/>
  <c r="K53" i="96"/>
  <c r="F58" i="96"/>
  <c r="C60" i="96"/>
  <c r="C73" i="96"/>
  <c r="C74" i="96"/>
  <c r="F80" i="96"/>
  <c r="F76" i="96" s="1"/>
  <c r="D83" i="96"/>
  <c r="J83" i="96"/>
  <c r="N83" i="96"/>
  <c r="M83" i="96"/>
  <c r="C92" i="96"/>
  <c r="C98" i="96"/>
  <c r="C99" i="96"/>
  <c r="C100" i="96"/>
  <c r="C101" i="96"/>
  <c r="C118" i="96"/>
  <c r="C119" i="96"/>
  <c r="C120" i="96"/>
  <c r="C121" i="96"/>
  <c r="C142" i="96"/>
  <c r="F151" i="96"/>
  <c r="C162" i="96"/>
  <c r="M174" i="96"/>
  <c r="M173" i="96" s="1"/>
  <c r="C186" i="96"/>
  <c r="C189" i="96"/>
  <c r="I188" i="96"/>
  <c r="I187" i="96" s="1"/>
  <c r="H195" i="96"/>
  <c r="C245" i="96"/>
  <c r="K269" i="96"/>
  <c r="C285" i="96"/>
  <c r="F284" i="96"/>
  <c r="F283" i="96" s="1"/>
  <c r="L95" i="96"/>
  <c r="C28" i="96"/>
  <c r="L27" i="96"/>
  <c r="C27" i="96" s="1"/>
  <c r="G20" i="96"/>
  <c r="F43" i="96"/>
  <c r="M54" i="96"/>
  <c r="M53" i="96" s="1"/>
  <c r="C65" i="96"/>
  <c r="C66" i="96"/>
  <c r="L80" i="96"/>
  <c r="L76" i="96" s="1"/>
  <c r="C85" i="96"/>
  <c r="C86" i="96"/>
  <c r="C87" i="96"/>
  <c r="C88" i="96"/>
  <c r="C105" i="96"/>
  <c r="L112" i="96"/>
  <c r="C146" i="96"/>
  <c r="L151" i="96"/>
  <c r="C169" i="96"/>
  <c r="M259" i="96"/>
  <c r="L272" i="96"/>
  <c r="L270" i="96" s="1"/>
  <c r="L116" i="96"/>
  <c r="M187" i="96"/>
  <c r="M204" i="96"/>
  <c r="M195" i="96" s="1"/>
  <c r="C22" i="96"/>
  <c r="C23" i="96"/>
  <c r="C24" i="96"/>
  <c r="N53" i="96"/>
  <c r="O58" i="96"/>
  <c r="L58" i="96"/>
  <c r="L54" i="96" s="1"/>
  <c r="C71" i="96"/>
  <c r="O69" i="96"/>
  <c r="O67" i="96" s="1"/>
  <c r="H83" i="96"/>
  <c r="L89" i="96"/>
  <c r="C89" i="96" s="1"/>
  <c r="C97" i="96"/>
  <c r="C107" i="96"/>
  <c r="C109" i="96"/>
  <c r="O116" i="96"/>
  <c r="J130" i="96"/>
  <c r="C133" i="96"/>
  <c r="O131" i="96"/>
  <c r="M130" i="96"/>
  <c r="L141" i="96"/>
  <c r="C141" i="96" s="1"/>
  <c r="C149" i="96"/>
  <c r="C156" i="96"/>
  <c r="C159" i="96"/>
  <c r="J174" i="96"/>
  <c r="J173" i="96" s="1"/>
  <c r="O175" i="96"/>
  <c r="C183" i="96"/>
  <c r="E187" i="96"/>
  <c r="L188" i="96"/>
  <c r="C203" i="96"/>
  <c r="G195" i="96"/>
  <c r="C211" i="96"/>
  <c r="C215" i="96"/>
  <c r="D204" i="96"/>
  <c r="D195" i="96" s="1"/>
  <c r="E204" i="96"/>
  <c r="E195" i="96" s="1"/>
  <c r="J231" i="96"/>
  <c r="C240" i="96"/>
  <c r="O238" i="96"/>
  <c r="O231" i="96" s="1"/>
  <c r="I252" i="96"/>
  <c r="I251" i="96" s="1"/>
  <c r="C263" i="96"/>
  <c r="C266" i="96"/>
  <c r="F272" i="96"/>
  <c r="C272" i="96" s="1"/>
  <c r="O270" i="96"/>
  <c r="O269" i="96" s="1"/>
  <c r="C279" i="96"/>
  <c r="C298" i="96"/>
  <c r="C301" i="96"/>
  <c r="C221" i="96"/>
  <c r="G231" i="96"/>
  <c r="K231" i="96"/>
  <c r="K230" i="96" s="1"/>
  <c r="M231" i="96"/>
  <c r="M230" i="96" s="1"/>
  <c r="C244" i="96"/>
  <c r="L252" i="96"/>
  <c r="L251" i="96" s="1"/>
  <c r="I260" i="96"/>
  <c r="I276" i="96"/>
  <c r="C276" i="96" s="1"/>
  <c r="O187" i="96"/>
  <c r="D292" i="96"/>
  <c r="D291" i="96" s="1"/>
  <c r="H292" i="96"/>
  <c r="H291" i="96" s="1"/>
  <c r="M292" i="96"/>
  <c r="M291" i="96" s="1"/>
  <c r="J26" i="96"/>
  <c r="J20" i="96" s="1"/>
  <c r="H53" i="96"/>
  <c r="E54" i="96"/>
  <c r="E53" i="96" s="1"/>
  <c r="O55" i="96"/>
  <c r="O54" i="96" s="1"/>
  <c r="I58" i="96"/>
  <c r="I54" i="96" s="1"/>
  <c r="I53" i="96" s="1"/>
  <c r="C63" i="96"/>
  <c r="C64" i="96"/>
  <c r="L69" i="96"/>
  <c r="L67" i="96" s="1"/>
  <c r="I77" i="96"/>
  <c r="I76" i="96" s="1"/>
  <c r="G83" i="96"/>
  <c r="K83" i="96"/>
  <c r="C93" i="96"/>
  <c r="O112" i="96"/>
  <c r="C127" i="96"/>
  <c r="O136" i="96"/>
  <c r="C153" i="96"/>
  <c r="O179" i="96"/>
  <c r="L179" i="96"/>
  <c r="G187" i="96"/>
  <c r="K187" i="96"/>
  <c r="C199" i="96"/>
  <c r="C206" i="96"/>
  <c r="C207" i="96"/>
  <c r="O205" i="96"/>
  <c r="C218" i="96"/>
  <c r="C222" i="96"/>
  <c r="C224" i="96"/>
  <c r="L246" i="96"/>
  <c r="C246" i="96" s="1"/>
  <c r="O251" i="96"/>
  <c r="C258" i="96"/>
  <c r="H270" i="96"/>
  <c r="H269" i="96" s="1"/>
  <c r="C275" i="96"/>
  <c r="C278" i="96"/>
  <c r="C288" i="96"/>
  <c r="I252" i="95"/>
  <c r="I251" i="95" s="1"/>
  <c r="K26" i="95"/>
  <c r="N54" i="95"/>
  <c r="N53" i="95" s="1"/>
  <c r="O69" i="95"/>
  <c r="O67" i="95" s="1"/>
  <c r="C79" i="95"/>
  <c r="D76" i="95"/>
  <c r="I103" i="95"/>
  <c r="C124" i="95"/>
  <c r="C127" i="95"/>
  <c r="C156" i="95"/>
  <c r="I166" i="95"/>
  <c r="I165" i="95" s="1"/>
  <c r="M173" i="95"/>
  <c r="G173" i="95"/>
  <c r="C189" i="95"/>
  <c r="C193" i="95"/>
  <c r="C266" i="95"/>
  <c r="J269" i="95"/>
  <c r="O270" i="95"/>
  <c r="O269" i="95" s="1"/>
  <c r="C282" i="95"/>
  <c r="C285" i="95"/>
  <c r="J26" i="95"/>
  <c r="J20" i="95" s="1"/>
  <c r="H53" i="95"/>
  <c r="G54" i="95"/>
  <c r="C57" i="95"/>
  <c r="C68" i="95"/>
  <c r="C71" i="95"/>
  <c r="C72" i="95"/>
  <c r="C74" i="95"/>
  <c r="G130" i="95"/>
  <c r="C140" i="95"/>
  <c r="O141" i="95"/>
  <c r="C197" i="95"/>
  <c r="C226" i="95"/>
  <c r="G230" i="95"/>
  <c r="M231" i="95"/>
  <c r="E231" i="95"/>
  <c r="E230" i="95" s="1"/>
  <c r="C249" i="95"/>
  <c r="L246" i="95"/>
  <c r="C23" i="95"/>
  <c r="N20" i="95"/>
  <c r="G76" i="95"/>
  <c r="M76" i="95"/>
  <c r="C92" i="95"/>
  <c r="C96" i="95"/>
  <c r="C98" i="95"/>
  <c r="C100" i="95"/>
  <c r="C120" i="95"/>
  <c r="N130" i="95"/>
  <c r="L151" i="95"/>
  <c r="C162" i="95"/>
  <c r="C163" i="95"/>
  <c r="E187" i="95"/>
  <c r="L196" i="95"/>
  <c r="C200" i="95"/>
  <c r="C213" i="95"/>
  <c r="C217" i="95"/>
  <c r="C219" i="95"/>
  <c r="D231" i="95"/>
  <c r="H231" i="95"/>
  <c r="C237" i="95"/>
  <c r="C241" i="95"/>
  <c r="C244" i="95"/>
  <c r="C257" i="95"/>
  <c r="C258" i="95"/>
  <c r="C261" i="95"/>
  <c r="J259" i="95"/>
  <c r="C265" i="95"/>
  <c r="C277" i="95"/>
  <c r="C278" i="95"/>
  <c r="C279" i="95"/>
  <c r="C297" i="95"/>
  <c r="C68" i="96"/>
  <c r="O20" i="96"/>
  <c r="I292" i="96"/>
  <c r="I20" i="96"/>
  <c r="L33" i="96"/>
  <c r="C33" i="96" s="1"/>
  <c r="C59" i="96"/>
  <c r="F292" i="96"/>
  <c r="C21" i="96"/>
  <c r="C32" i="96"/>
  <c r="L31" i="96"/>
  <c r="C31" i="96" s="1"/>
  <c r="L36" i="96"/>
  <c r="C36" i="96" s="1"/>
  <c r="C62" i="96"/>
  <c r="C70" i="96"/>
  <c r="C72" i="96"/>
  <c r="F69" i="96"/>
  <c r="C82" i="96"/>
  <c r="C45" i="96"/>
  <c r="J292" i="96"/>
  <c r="J291" i="96" s="1"/>
  <c r="N292" i="96"/>
  <c r="N291" i="96" s="1"/>
  <c r="N20" i="96"/>
  <c r="C56" i="96"/>
  <c r="F55" i="96"/>
  <c r="C78" i="96"/>
  <c r="C79" i="96"/>
  <c r="C220" i="96"/>
  <c r="F216" i="96"/>
  <c r="D20" i="96"/>
  <c r="H20" i="96"/>
  <c r="C91" i="96"/>
  <c r="L103" i="96"/>
  <c r="C113" i="96"/>
  <c r="F112" i="96"/>
  <c r="E130" i="96"/>
  <c r="C137" i="96"/>
  <c r="F136" i="96"/>
  <c r="O151" i="96"/>
  <c r="C161" i="96"/>
  <c r="F160" i="96"/>
  <c r="C185" i="96"/>
  <c r="F184" i="96"/>
  <c r="I131" i="96"/>
  <c r="C132" i="96"/>
  <c r="L136" i="96"/>
  <c r="C139" i="96"/>
  <c r="C234" i="96"/>
  <c r="L233" i="96"/>
  <c r="C236" i="96"/>
  <c r="F235" i="96"/>
  <c r="C235" i="96" s="1"/>
  <c r="C262" i="96"/>
  <c r="L260" i="96"/>
  <c r="L259" i="96" s="1"/>
  <c r="C268" i="96"/>
  <c r="F264" i="96"/>
  <c r="L291" i="96"/>
  <c r="F84" i="96"/>
  <c r="C115" i="96"/>
  <c r="C123" i="96"/>
  <c r="C125" i="96"/>
  <c r="F122" i="96"/>
  <c r="C129" i="96"/>
  <c r="F128" i="96"/>
  <c r="C128" i="96" s="1"/>
  <c r="L131" i="96"/>
  <c r="C135" i="96"/>
  <c r="C143" i="96"/>
  <c r="L144" i="96"/>
  <c r="C147" i="96"/>
  <c r="C163" i="96"/>
  <c r="C168" i="96"/>
  <c r="I166" i="96"/>
  <c r="C171" i="96"/>
  <c r="I175" i="96"/>
  <c r="C176" i="96"/>
  <c r="I95" i="96"/>
  <c r="C96" i="96"/>
  <c r="I179" i="96"/>
  <c r="C179" i="96" s="1"/>
  <c r="C180" i="96"/>
  <c r="C197" i="96"/>
  <c r="C208" i="96"/>
  <c r="F205" i="96"/>
  <c r="O95" i="96"/>
  <c r="C95" i="96" s="1"/>
  <c r="I103" i="96"/>
  <c r="C104" i="96"/>
  <c r="C108" i="96"/>
  <c r="C117" i="96"/>
  <c r="F116" i="96"/>
  <c r="C116" i="96" s="1"/>
  <c r="C124" i="96"/>
  <c r="I122" i="96"/>
  <c r="C145" i="96"/>
  <c r="F144" i="96"/>
  <c r="O144" i="96"/>
  <c r="I151" i="96"/>
  <c r="C152" i="96"/>
  <c r="C200" i="96"/>
  <c r="F198" i="96"/>
  <c r="C280" i="96"/>
  <c r="C284" i="96"/>
  <c r="L283" i="96"/>
  <c r="C283" i="96" s="1"/>
  <c r="C167" i="96"/>
  <c r="I196" i="96"/>
  <c r="I205" i="96"/>
  <c r="C219" i="96"/>
  <c r="I216" i="96"/>
  <c r="C223" i="96"/>
  <c r="C228" i="96"/>
  <c r="F227" i="96"/>
  <c r="C227" i="96" s="1"/>
  <c r="N231" i="96"/>
  <c r="N230" i="96" s="1"/>
  <c r="L238" i="96"/>
  <c r="C242" i="96"/>
  <c r="C247" i="96"/>
  <c r="C267" i="96"/>
  <c r="I264" i="96"/>
  <c r="C274" i="96"/>
  <c r="L205" i="96"/>
  <c r="L204" i="96" s="1"/>
  <c r="L195" i="96" s="1"/>
  <c r="C214" i="96"/>
  <c r="C226" i="96"/>
  <c r="C232" i="96"/>
  <c r="C250" i="96"/>
  <c r="C271" i="96"/>
  <c r="C282" i="96"/>
  <c r="L281" i="96"/>
  <c r="C281" i="96" s="1"/>
  <c r="C286" i="96"/>
  <c r="C294" i="96"/>
  <c r="C296" i="96"/>
  <c r="F293" i="96"/>
  <c r="C190" i="96"/>
  <c r="C192" i="96"/>
  <c r="L191" i="96"/>
  <c r="O216" i="96"/>
  <c r="F238" i="96"/>
  <c r="I238" i="96"/>
  <c r="C239" i="96"/>
  <c r="C243" i="96"/>
  <c r="C254" i="96"/>
  <c r="C255" i="96"/>
  <c r="C256" i="96"/>
  <c r="F252" i="96"/>
  <c r="D259" i="96"/>
  <c r="H259" i="96"/>
  <c r="H230" i="96" s="1"/>
  <c r="C287" i="96"/>
  <c r="C295" i="96"/>
  <c r="I293" i="96"/>
  <c r="C299" i="96"/>
  <c r="C300" i="96"/>
  <c r="O291" i="96"/>
  <c r="D54" i="95"/>
  <c r="C88" i="95"/>
  <c r="E130" i="95"/>
  <c r="D130" i="95"/>
  <c r="C148" i="95"/>
  <c r="K269" i="95"/>
  <c r="N187" i="95"/>
  <c r="H83" i="95"/>
  <c r="L188" i="95"/>
  <c r="C188" i="95" s="1"/>
  <c r="G269" i="95"/>
  <c r="I20" i="95"/>
  <c r="J292" i="95"/>
  <c r="J291" i="95" s="1"/>
  <c r="N292" i="95"/>
  <c r="N291" i="95" s="1"/>
  <c r="C63" i="95"/>
  <c r="C73" i="95"/>
  <c r="C85" i="95"/>
  <c r="C86" i="95"/>
  <c r="O84" i="95"/>
  <c r="N83" i="95"/>
  <c r="L89" i="95"/>
  <c r="C97" i="95"/>
  <c r="I95" i="95"/>
  <c r="C102" i="95"/>
  <c r="D83" i="95"/>
  <c r="C117" i="95"/>
  <c r="O116" i="95"/>
  <c r="M83" i="95"/>
  <c r="C135" i="95"/>
  <c r="J130" i="95"/>
  <c r="C143" i="95"/>
  <c r="C154" i="95"/>
  <c r="C155" i="95"/>
  <c r="L166" i="95"/>
  <c r="L165" i="95" s="1"/>
  <c r="C177" i="95"/>
  <c r="C183" i="95"/>
  <c r="C184" i="95"/>
  <c r="F187" i="95"/>
  <c r="J187" i="95"/>
  <c r="K204" i="95"/>
  <c r="K195" i="95" s="1"/>
  <c r="C207" i="95"/>
  <c r="C224" i="95"/>
  <c r="O235" i="95"/>
  <c r="C243" i="95"/>
  <c r="C248" i="95"/>
  <c r="O246" i="95"/>
  <c r="C275" i="95"/>
  <c r="I276" i="95"/>
  <c r="C298" i="95"/>
  <c r="H230" i="95"/>
  <c r="M20" i="95"/>
  <c r="G291" i="95"/>
  <c r="C22" i="95"/>
  <c r="D53" i="95"/>
  <c r="M53" i="95"/>
  <c r="C61" i="95"/>
  <c r="K53" i="95"/>
  <c r="J53" i="95"/>
  <c r="C78" i="95"/>
  <c r="O77" i="95"/>
  <c r="O76" i="95" s="1"/>
  <c r="I84" i="95"/>
  <c r="J83" i="95"/>
  <c r="C90" i="95"/>
  <c r="C121" i="95"/>
  <c r="L122" i="95"/>
  <c r="C133" i="95"/>
  <c r="C138" i="95"/>
  <c r="C159" i="95"/>
  <c r="C160" i="95"/>
  <c r="G187" i="95"/>
  <c r="C203" i="95"/>
  <c r="G204" i="95"/>
  <c r="G195" i="95" s="1"/>
  <c r="C212" i="95"/>
  <c r="M204" i="95"/>
  <c r="M195" i="95" s="1"/>
  <c r="D259" i="95"/>
  <c r="L260" i="95"/>
  <c r="L259" i="95" s="1"/>
  <c r="C267" i="95"/>
  <c r="F284" i="95"/>
  <c r="F283" i="95" s="1"/>
  <c r="C288" i="95"/>
  <c r="G53" i="95"/>
  <c r="O55" i="95"/>
  <c r="O54" i="95" s="1"/>
  <c r="C60" i="95"/>
  <c r="F69" i="95"/>
  <c r="F67" i="95" s="1"/>
  <c r="C70" i="95"/>
  <c r="E76" i="95"/>
  <c r="I77" i="95"/>
  <c r="I76" i="95" s="1"/>
  <c r="N76" i="95"/>
  <c r="C81" i="95"/>
  <c r="L84" i="95"/>
  <c r="O95" i="95"/>
  <c r="L95" i="95"/>
  <c r="C105" i="95"/>
  <c r="C107" i="95"/>
  <c r="E83" i="95"/>
  <c r="H130" i="95"/>
  <c r="L131" i="95"/>
  <c r="L130" i="95" s="1"/>
  <c r="C170" i="95"/>
  <c r="C171" i="95"/>
  <c r="C176" i="95"/>
  <c r="L179" i="95"/>
  <c r="L174" i="95" s="1"/>
  <c r="L173" i="95" s="1"/>
  <c r="C186" i="95"/>
  <c r="J195" i="95"/>
  <c r="C211" i="95"/>
  <c r="D204" i="95"/>
  <c r="O216" i="95"/>
  <c r="O204" i="95" s="1"/>
  <c r="E204" i="95"/>
  <c r="E195" i="95" s="1"/>
  <c r="K231" i="95"/>
  <c r="K230" i="95" s="1"/>
  <c r="K194" i="95" s="1"/>
  <c r="C240" i="95"/>
  <c r="O238" i="95"/>
  <c r="C254" i="95"/>
  <c r="I264" i="95"/>
  <c r="L272" i="95"/>
  <c r="F276" i="95"/>
  <c r="F270" i="95" s="1"/>
  <c r="F281" i="95"/>
  <c r="C281" i="95" s="1"/>
  <c r="F54" i="95"/>
  <c r="C43" i="95"/>
  <c r="C59" i="95"/>
  <c r="C139" i="95"/>
  <c r="F136" i="95"/>
  <c r="C136" i="95" s="1"/>
  <c r="L58" i="95"/>
  <c r="L54" i="95" s="1"/>
  <c r="L80" i="95"/>
  <c r="L76" i="95" s="1"/>
  <c r="C87" i="95"/>
  <c r="F84" i="95"/>
  <c r="C167" i="95"/>
  <c r="F166" i="95"/>
  <c r="I187" i="95"/>
  <c r="G20" i="95"/>
  <c r="K20" i="95"/>
  <c r="F21" i="95"/>
  <c r="L36" i="95"/>
  <c r="C36" i="95" s="1"/>
  <c r="C44" i="95"/>
  <c r="I58" i="95"/>
  <c r="C66" i="95"/>
  <c r="K83" i="95"/>
  <c r="C91" i="95"/>
  <c r="F89" i="95"/>
  <c r="C101" i="95"/>
  <c r="C128" i="95"/>
  <c r="C233" i="95"/>
  <c r="C236" i="95"/>
  <c r="F235" i="95"/>
  <c r="C280" i="95"/>
  <c r="C99" i="95"/>
  <c r="F95" i="95"/>
  <c r="D20" i="95"/>
  <c r="H20" i="95"/>
  <c r="O21" i="95"/>
  <c r="L27" i="95"/>
  <c r="F41" i="95"/>
  <c r="C41" i="95" s="1"/>
  <c r="O45" i="95"/>
  <c r="C56" i="95"/>
  <c r="C62" i="95"/>
  <c r="I69" i="95"/>
  <c r="I67" i="95" s="1"/>
  <c r="L69" i="95"/>
  <c r="L67" i="95" s="1"/>
  <c r="F77" i="95"/>
  <c r="G83" i="95"/>
  <c r="C118" i="95"/>
  <c r="C119" i="95"/>
  <c r="F116" i="95"/>
  <c r="C141" i="95"/>
  <c r="C142" i="95"/>
  <c r="L144" i="95"/>
  <c r="O151" i="95"/>
  <c r="O130" i="95" s="1"/>
  <c r="F174" i="95"/>
  <c r="C178" i="95"/>
  <c r="C268" i="95"/>
  <c r="F264" i="95"/>
  <c r="C82" i="95"/>
  <c r="I89" i="95"/>
  <c r="I83" i="95" s="1"/>
  <c r="C93" i="95"/>
  <c r="C94" i="95"/>
  <c r="O103" i="95"/>
  <c r="C114" i="95"/>
  <c r="C115" i="95"/>
  <c r="F112" i="95"/>
  <c r="C112" i="95" s="1"/>
  <c r="L116" i="95"/>
  <c r="C123" i="95"/>
  <c r="F122" i="95"/>
  <c r="K130" i="95"/>
  <c r="C145" i="95"/>
  <c r="C146" i="95"/>
  <c r="C147" i="95"/>
  <c r="F144" i="95"/>
  <c r="C153" i="95"/>
  <c r="C158" i="95"/>
  <c r="C169" i="95"/>
  <c r="D174" i="95"/>
  <c r="D173" i="95" s="1"/>
  <c r="C182" i="95"/>
  <c r="C106" i="95"/>
  <c r="C125" i="95"/>
  <c r="C126" i="95"/>
  <c r="C134" i="95"/>
  <c r="I144" i="95"/>
  <c r="C149" i="95"/>
  <c r="C150" i="95"/>
  <c r="C157" i="95"/>
  <c r="O166" i="95"/>
  <c r="O165" i="95" s="1"/>
  <c r="K173" i="95"/>
  <c r="O174" i="95"/>
  <c r="O173" i="95" s="1"/>
  <c r="C181" i="95"/>
  <c r="L216" i="95"/>
  <c r="L270" i="95"/>
  <c r="L269" i="95" s="1"/>
  <c r="C284" i="95"/>
  <c r="L283" i="95"/>
  <c r="C283" i="95" s="1"/>
  <c r="C113" i="95"/>
  <c r="C129" i="95"/>
  <c r="I131" i="95"/>
  <c r="C137" i="95"/>
  <c r="I151" i="95"/>
  <c r="C161" i="95"/>
  <c r="I175" i="95"/>
  <c r="C175" i="95" s="1"/>
  <c r="I179" i="95"/>
  <c r="C179" i="95" s="1"/>
  <c r="C185" i="95"/>
  <c r="C190" i="95"/>
  <c r="C192" i="95"/>
  <c r="L191" i="95"/>
  <c r="C191" i="95" s="1"/>
  <c r="F196" i="95"/>
  <c r="C208" i="95"/>
  <c r="F205" i="95"/>
  <c r="C220" i="95"/>
  <c r="F216" i="95"/>
  <c r="C228" i="95"/>
  <c r="F227" i="95"/>
  <c r="C227" i="95" s="1"/>
  <c r="D230" i="95"/>
  <c r="M230" i="95"/>
  <c r="N231" i="95"/>
  <c r="N230" i="95" s="1"/>
  <c r="N194" i="95" s="1"/>
  <c r="L238" i="95"/>
  <c r="L231" i="95" s="1"/>
  <c r="C242" i="95"/>
  <c r="O259" i="95"/>
  <c r="C274" i="95"/>
  <c r="F103" i="95"/>
  <c r="F131" i="95"/>
  <c r="F151" i="95"/>
  <c r="H195" i="95"/>
  <c r="H194" i="95" s="1"/>
  <c r="O196" i="95"/>
  <c r="I198" i="95"/>
  <c r="I196" i="95" s="1"/>
  <c r="C199" i="95"/>
  <c r="C202" i="95"/>
  <c r="I205" i="95"/>
  <c r="C210" i="95"/>
  <c r="C218" i="95"/>
  <c r="I216" i="95"/>
  <c r="C223" i="95"/>
  <c r="C232" i="95"/>
  <c r="J231" i="95"/>
  <c r="J230" i="95" s="1"/>
  <c r="C239" i="95"/>
  <c r="F246" i="95"/>
  <c r="I246" i="95"/>
  <c r="C247" i="95"/>
  <c r="C250" i="95"/>
  <c r="O251" i="95"/>
  <c r="C262" i="95"/>
  <c r="I270" i="95"/>
  <c r="I269" i="95" s="1"/>
  <c r="C271" i="95"/>
  <c r="F286" i="95"/>
  <c r="C295" i="95"/>
  <c r="C296" i="95"/>
  <c r="F293" i="95"/>
  <c r="D195" i="95"/>
  <c r="C206" i="95"/>
  <c r="L205" i="95"/>
  <c r="C215" i="95"/>
  <c r="C222" i="95"/>
  <c r="C234" i="95"/>
  <c r="I238" i="95"/>
  <c r="C238" i="95" s="1"/>
  <c r="C255" i="95"/>
  <c r="C256" i="95"/>
  <c r="F252" i="95"/>
  <c r="C263" i="95"/>
  <c r="I260" i="95"/>
  <c r="C272" i="95"/>
  <c r="C287" i="95"/>
  <c r="C294" i="95"/>
  <c r="I293" i="95"/>
  <c r="I291" i="95" s="1"/>
  <c r="C299" i="95"/>
  <c r="C300" i="95"/>
  <c r="D194" i="95" l="1"/>
  <c r="F231" i="95"/>
  <c r="G75" i="95"/>
  <c r="D230" i="96"/>
  <c r="D289" i="96" s="1"/>
  <c r="C184" i="96"/>
  <c r="O53" i="95"/>
  <c r="L174" i="96"/>
  <c r="L173" i="96" s="1"/>
  <c r="G230" i="96"/>
  <c r="J230" i="96"/>
  <c r="F20" i="96"/>
  <c r="O231" i="95"/>
  <c r="L187" i="96"/>
  <c r="C187" i="96" s="1"/>
  <c r="I259" i="96"/>
  <c r="C160" i="96"/>
  <c r="M75" i="95"/>
  <c r="O230" i="96"/>
  <c r="O174" i="96"/>
  <c r="O173" i="96" s="1"/>
  <c r="M75" i="96"/>
  <c r="M52" i="96" s="1"/>
  <c r="C76" i="96"/>
  <c r="C58" i="96"/>
  <c r="E230" i="96"/>
  <c r="F270" i="96"/>
  <c r="C188" i="96"/>
  <c r="E75" i="96"/>
  <c r="E289" i="96" s="1"/>
  <c r="C260" i="96"/>
  <c r="J75" i="96"/>
  <c r="D75" i="96"/>
  <c r="D52" i="96" s="1"/>
  <c r="G194" i="96"/>
  <c r="N75" i="96"/>
  <c r="N52" i="96" s="1"/>
  <c r="I231" i="96"/>
  <c r="C151" i="96"/>
  <c r="K75" i="96"/>
  <c r="K289" i="96" s="1"/>
  <c r="K194" i="96"/>
  <c r="C112" i="96"/>
  <c r="C80" i="96"/>
  <c r="G75" i="96"/>
  <c r="G289" i="96" s="1"/>
  <c r="J194" i="96"/>
  <c r="O204" i="96"/>
  <c r="O195" i="96" s="1"/>
  <c r="I270" i="96"/>
  <c r="I269" i="96" s="1"/>
  <c r="N194" i="96"/>
  <c r="C103" i="96"/>
  <c r="F291" i="96"/>
  <c r="H75" i="96"/>
  <c r="H52" i="96" s="1"/>
  <c r="J52" i="96"/>
  <c r="J289" i="96"/>
  <c r="M289" i="96"/>
  <c r="C293" i="96"/>
  <c r="I130" i="96"/>
  <c r="I230" i="96"/>
  <c r="C191" i="96"/>
  <c r="I83" i="96"/>
  <c r="C136" i="96"/>
  <c r="C43" i="96"/>
  <c r="C77" i="96"/>
  <c r="F231" i="96"/>
  <c r="O130" i="96"/>
  <c r="I174" i="96"/>
  <c r="I173" i="96" s="1"/>
  <c r="L83" i="96"/>
  <c r="C69" i="96"/>
  <c r="L53" i="96"/>
  <c r="M194" i="96"/>
  <c r="M51" i="96" s="1"/>
  <c r="C144" i="96"/>
  <c r="L26" i="96"/>
  <c r="C26" i="96" s="1"/>
  <c r="C55" i="95"/>
  <c r="G194" i="95"/>
  <c r="N75" i="95"/>
  <c r="N52" i="95" s="1"/>
  <c r="N51" i="95" s="1"/>
  <c r="M289" i="95"/>
  <c r="C276" i="95"/>
  <c r="M194" i="95"/>
  <c r="C122" i="95"/>
  <c r="C58" i="95"/>
  <c r="E194" i="95"/>
  <c r="J194" i="95"/>
  <c r="E75" i="95"/>
  <c r="E52" i="95" s="1"/>
  <c r="E51" i="95" s="1"/>
  <c r="E290" i="95" s="1"/>
  <c r="J75" i="95"/>
  <c r="J289" i="95" s="1"/>
  <c r="H194" i="96"/>
  <c r="H51" i="96" s="1"/>
  <c r="H289" i="96"/>
  <c r="C84" i="96"/>
  <c r="F83" i="96"/>
  <c r="L130" i="96"/>
  <c r="L231" i="96"/>
  <c r="L230" i="96" s="1"/>
  <c r="C233" i="96"/>
  <c r="C175" i="96"/>
  <c r="O83" i="96"/>
  <c r="F67" i="96"/>
  <c r="C67" i="96" s="1"/>
  <c r="C252" i="96"/>
  <c r="F251" i="96"/>
  <c r="C251" i="96" s="1"/>
  <c r="C122" i="96"/>
  <c r="C131" i="96"/>
  <c r="L269" i="96"/>
  <c r="I165" i="96"/>
  <c r="C165" i="96" s="1"/>
  <c r="C166" i="96"/>
  <c r="F173" i="96"/>
  <c r="C216" i="96"/>
  <c r="O53" i="96"/>
  <c r="I291" i="96"/>
  <c r="C291" i="96" s="1"/>
  <c r="C238" i="96"/>
  <c r="E194" i="96"/>
  <c r="I204" i="96"/>
  <c r="I195" i="96" s="1"/>
  <c r="F269" i="96"/>
  <c r="C270" i="96"/>
  <c r="F196" i="96"/>
  <c r="C198" i="96"/>
  <c r="F204" i="96"/>
  <c r="C204" i="96" s="1"/>
  <c r="C205" i="96"/>
  <c r="F130" i="96"/>
  <c r="C264" i="96"/>
  <c r="F259" i="96"/>
  <c r="C259" i="96" s="1"/>
  <c r="L20" i="96"/>
  <c r="C20" i="96" s="1"/>
  <c r="C55" i="96"/>
  <c r="F54" i="96"/>
  <c r="C292" i="96"/>
  <c r="D75" i="95"/>
  <c r="D52" i="95" s="1"/>
  <c r="D51" i="95" s="1"/>
  <c r="D50" i="95" s="1"/>
  <c r="O195" i="95"/>
  <c r="L230" i="95"/>
  <c r="C198" i="95"/>
  <c r="C95" i="95"/>
  <c r="C235" i="95"/>
  <c r="K75" i="95"/>
  <c r="K52" i="95" s="1"/>
  <c r="K51" i="95" s="1"/>
  <c r="K50" i="95" s="1"/>
  <c r="L53" i="95"/>
  <c r="I54" i="95"/>
  <c r="C54" i="95" s="1"/>
  <c r="N289" i="95"/>
  <c r="C144" i="95"/>
  <c r="L83" i="95"/>
  <c r="L75" i="95" s="1"/>
  <c r="O83" i="95"/>
  <c r="O75" i="95" s="1"/>
  <c r="O52" i="95" s="1"/>
  <c r="C80" i="95"/>
  <c r="M52" i="95"/>
  <c r="M51" i="95" s="1"/>
  <c r="H75" i="95"/>
  <c r="H52" i="95" s="1"/>
  <c r="H51" i="95" s="1"/>
  <c r="G52" i="95"/>
  <c r="G51" i="95" s="1"/>
  <c r="G289" i="95"/>
  <c r="F204" i="95"/>
  <c r="F195" i="95" s="1"/>
  <c r="C205" i="95"/>
  <c r="C264" i="95"/>
  <c r="F259" i="95"/>
  <c r="C116" i="95"/>
  <c r="C77" i="95"/>
  <c r="F76" i="95"/>
  <c r="C27" i="95"/>
  <c r="L26" i="95"/>
  <c r="F269" i="95"/>
  <c r="C269" i="95" s="1"/>
  <c r="C270" i="95"/>
  <c r="C166" i="95"/>
  <c r="F165" i="95"/>
  <c r="C165" i="95" s="1"/>
  <c r="F83" i="95"/>
  <c r="C84" i="95"/>
  <c r="C69" i="95"/>
  <c r="I231" i="95"/>
  <c r="C293" i="95"/>
  <c r="I204" i="95"/>
  <c r="I195" i="95" s="1"/>
  <c r="C131" i="95"/>
  <c r="F130" i="95"/>
  <c r="C216" i="95"/>
  <c r="I174" i="95"/>
  <c r="I173" i="95" s="1"/>
  <c r="I130" i="95"/>
  <c r="I75" i="95" s="1"/>
  <c r="O292" i="95"/>
  <c r="O291" i="95" s="1"/>
  <c r="O20" i="95"/>
  <c r="L187" i="95"/>
  <c r="C187" i="95" s="1"/>
  <c r="C89" i="95"/>
  <c r="F53" i="95"/>
  <c r="C196" i="95"/>
  <c r="C67" i="95"/>
  <c r="C260" i="95"/>
  <c r="I259" i="95"/>
  <c r="C286" i="95"/>
  <c r="C246" i="95"/>
  <c r="C151" i="95"/>
  <c r="O230" i="95"/>
  <c r="C252" i="95"/>
  <c r="F251" i="95"/>
  <c r="C251" i="95" s="1"/>
  <c r="L204" i="95"/>
  <c r="L195" i="95" s="1"/>
  <c r="C103" i="95"/>
  <c r="F173" i="95"/>
  <c r="C45" i="95"/>
  <c r="F292" i="95"/>
  <c r="C21" i="95"/>
  <c r="F20" i="95"/>
  <c r="N50" i="95" l="1"/>
  <c r="N290" i="95"/>
  <c r="I230" i="95"/>
  <c r="E289" i="95"/>
  <c r="E52" i="96"/>
  <c r="D194" i="96"/>
  <c r="D51" i="96" s="1"/>
  <c r="C231" i="96"/>
  <c r="I194" i="95"/>
  <c r="O75" i="96"/>
  <c r="O289" i="96" s="1"/>
  <c r="O194" i="96"/>
  <c r="N51" i="96"/>
  <c r="L75" i="96"/>
  <c r="L52" i="96" s="1"/>
  <c r="L51" i="96" s="1"/>
  <c r="L50" i="96" s="1"/>
  <c r="K52" i="96"/>
  <c r="K51" i="96" s="1"/>
  <c r="K50" i="96" s="1"/>
  <c r="N289" i="96"/>
  <c r="G52" i="96"/>
  <c r="G51" i="96" s="1"/>
  <c r="E51" i="96"/>
  <c r="E50" i="96" s="1"/>
  <c r="L194" i="96"/>
  <c r="J51" i="96"/>
  <c r="J50" i="96" s="1"/>
  <c r="M50" i="96"/>
  <c r="M290" i="96"/>
  <c r="C174" i="96"/>
  <c r="J290" i="96"/>
  <c r="C173" i="96"/>
  <c r="I75" i="96"/>
  <c r="I52" i="96" s="1"/>
  <c r="O52" i="96"/>
  <c r="O51" i="96" s="1"/>
  <c r="O50" i="96" s="1"/>
  <c r="M290" i="95"/>
  <c r="M50" i="95"/>
  <c r="J52" i="95"/>
  <c r="J51" i="95" s="1"/>
  <c r="J50" i="95" s="1"/>
  <c r="I53" i="95"/>
  <c r="I289" i="95" s="1"/>
  <c r="K290" i="95"/>
  <c r="L52" i="95"/>
  <c r="L51" i="95" s="1"/>
  <c r="O289" i="95"/>
  <c r="K289" i="95"/>
  <c r="L194" i="95"/>
  <c r="I194" i="96"/>
  <c r="F53" i="96"/>
  <c r="C54" i="96"/>
  <c r="C269" i="96"/>
  <c r="C130" i="96"/>
  <c r="C196" i="96"/>
  <c r="F195" i="96"/>
  <c r="G290" i="96"/>
  <c r="G50" i="96"/>
  <c r="H290" i="96"/>
  <c r="H50" i="96"/>
  <c r="C83" i="96"/>
  <c r="F75" i="96"/>
  <c r="F230" i="96"/>
  <c r="C230" i="96" s="1"/>
  <c r="D290" i="96"/>
  <c r="D50" i="96"/>
  <c r="N50" i="96"/>
  <c r="N290" i="96"/>
  <c r="J290" i="95"/>
  <c r="D289" i="95"/>
  <c r="E50" i="95"/>
  <c r="D290" i="95"/>
  <c r="H290" i="95"/>
  <c r="H50" i="95"/>
  <c r="O194" i="95"/>
  <c r="O51" i="95" s="1"/>
  <c r="H289" i="95"/>
  <c r="C83" i="95"/>
  <c r="C26" i="95"/>
  <c r="L20" i="95"/>
  <c r="C20" i="95" s="1"/>
  <c r="C292" i="95"/>
  <c r="F291" i="95"/>
  <c r="C291" i="95" s="1"/>
  <c r="C174" i="95"/>
  <c r="C130" i="95"/>
  <c r="C259" i="95"/>
  <c r="F230" i="95"/>
  <c r="C230" i="95" s="1"/>
  <c r="L289" i="95"/>
  <c r="I52" i="95"/>
  <c r="C173" i="95"/>
  <c r="C195" i="95"/>
  <c r="C204" i="95"/>
  <c r="C53" i="95"/>
  <c r="F75" i="95"/>
  <c r="C75" i="95" s="1"/>
  <c r="C76" i="95"/>
  <c r="C231" i="95"/>
  <c r="G290" i="95"/>
  <c r="G50" i="95"/>
  <c r="E290" i="96" l="1"/>
  <c r="I51" i="95"/>
  <c r="C75" i="96"/>
  <c r="L290" i="96"/>
  <c r="L289" i="96"/>
  <c r="K290" i="96"/>
  <c r="I289" i="96"/>
  <c r="I51" i="96"/>
  <c r="I50" i="96" s="1"/>
  <c r="O290" i="96"/>
  <c r="L50" i="95"/>
  <c r="L290" i="95"/>
  <c r="I290" i="96"/>
  <c r="F52" i="96"/>
  <c r="C53" i="96"/>
  <c r="F289" i="96"/>
  <c r="C289" i="96" s="1"/>
  <c r="C195" i="96"/>
  <c r="F194" i="96"/>
  <c r="C194" i="96" s="1"/>
  <c r="F52" i="95"/>
  <c r="C52" i="95" s="1"/>
  <c r="O50" i="95"/>
  <c r="O290" i="95"/>
  <c r="I290" i="95"/>
  <c r="I50" i="95"/>
  <c r="F289" i="95"/>
  <c r="C289" i="95" s="1"/>
  <c r="F194" i="95"/>
  <c r="C194" i="95" s="1"/>
  <c r="C52" i="96" l="1"/>
  <c r="F51" i="96"/>
  <c r="F51" i="95"/>
  <c r="F290" i="96" l="1"/>
  <c r="C290" i="96" s="1"/>
  <c r="C51" i="96"/>
  <c r="F50" i="96"/>
  <c r="C50" i="96" s="1"/>
  <c r="F290" i="95"/>
  <c r="C290" i="95" s="1"/>
  <c r="F50" i="95"/>
  <c r="C50" i="95" s="1"/>
  <c r="C51" i="95"/>
  <c r="G22" i="80" l="1"/>
  <c r="E24" i="78"/>
  <c r="E24" i="56"/>
  <c r="E177" i="56"/>
  <c r="K287" i="78"/>
  <c r="K32" i="78"/>
  <c r="K163" i="78"/>
  <c r="E225" i="78"/>
  <c r="F21" i="80"/>
  <c r="E226" i="81" l="1"/>
  <c r="E24" i="53" l="1"/>
  <c r="E226" i="53"/>
  <c r="E74" i="50"/>
  <c r="E22" i="50"/>
  <c r="E24" i="52"/>
  <c r="E107" i="51"/>
  <c r="E24" i="51"/>
  <c r="R107" i="90" l="1"/>
  <c r="P107" i="90"/>
  <c r="O107" i="90"/>
  <c r="N107" i="90"/>
  <c r="M107" i="90"/>
  <c r="L107" i="90"/>
  <c r="K107" i="90"/>
  <c r="J107" i="90"/>
  <c r="I107" i="90"/>
  <c r="H107" i="90"/>
  <c r="G107" i="90"/>
  <c r="F107" i="90"/>
  <c r="E107" i="90"/>
  <c r="D107" i="90"/>
  <c r="R103" i="90"/>
  <c r="R102" i="90"/>
  <c r="R93" i="90"/>
  <c r="R92" i="90"/>
  <c r="A88" i="90"/>
  <c r="F82" i="90"/>
  <c r="E82" i="90"/>
  <c r="A82" i="90"/>
  <c r="D74" i="90"/>
  <c r="G70" i="90"/>
  <c r="G9" i="90" s="1"/>
  <c r="F70" i="90"/>
  <c r="E70" i="90"/>
  <c r="D70" i="90"/>
  <c r="A70" i="90"/>
  <c r="R55" i="90"/>
  <c r="R54" i="90"/>
  <c r="D54" i="90"/>
  <c r="A45" i="90"/>
  <c r="P46" i="90" s="1"/>
  <c r="Q44" i="90"/>
  <c r="P44" i="90"/>
  <c r="O44" i="90"/>
  <c r="N44" i="90"/>
  <c r="M44" i="90"/>
  <c r="K44" i="90"/>
  <c r="J44" i="90"/>
  <c r="I44" i="90"/>
  <c r="H44" i="90"/>
  <c r="E44" i="90"/>
  <c r="F44" i="90" s="1"/>
  <c r="G44" i="90" s="1"/>
  <c r="R42" i="90"/>
  <c r="Q42" i="90"/>
  <c r="P42" i="90"/>
  <c r="O42" i="90"/>
  <c r="N42" i="90"/>
  <c r="M42" i="90"/>
  <c r="L42" i="90"/>
  <c r="K42" i="90"/>
  <c r="J42" i="90"/>
  <c r="I42" i="90"/>
  <c r="H42" i="90"/>
  <c r="G42" i="90"/>
  <c r="E42" i="90"/>
  <c r="F42" i="90" s="1"/>
  <c r="R41" i="90"/>
  <c r="N39" i="90"/>
  <c r="M39" i="90"/>
  <c r="L39" i="90"/>
  <c r="K39" i="90"/>
  <c r="J39" i="90"/>
  <c r="I39" i="90"/>
  <c r="H39" i="90"/>
  <c r="G39" i="90"/>
  <c r="F39" i="90"/>
  <c r="E39" i="90"/>
  <c r="A39" i="90"/>
  <c r="A37" i="90"/>
  <c r="N38" i="90" s="1"/>
  <c r="R36" i="90"/>
  <c r="Q36" i="90"/>
  <c r="P36" i="90"/>
  <c r="O36" i="90"/>
  <c r="N36" i="90"/>
  <c r="M36" i="90"/>
  <c r="L36" i="90"/>
  <c r="K36" i="90"/>
  <c r="J36" i="90"/>
  <c r="I36" i="90"/>
  <c r="H36" i="90"/>
  <c r="G36" i="90"/>
  <c r="F36" i="90"/>
  <c r="E36" i="90"/>
  <c r="R35" i="90"/>
  <c r="P33" i="90"/>
  <c r="O33" i="90"/>
  <c r="N33" i="90"/>
  <c r="M33" i="90"/>
  <c r="L33" i="90"/>
  <c r="K33" i="90"/>
  <c r="J33" i="90"/>
  <c r="I33" i="90"/>
  <c r="H33" i="90"/>
  <c r="O34" i="90" s="1"/>
  <c r="G33" i="90"/>
  <c r="H34" i="90" s="1"/>
  <c r="A33" i="90"/>
  <c r="D34" i="90" s="1"/>
  <c r="E34" i="90" s="1"/>
  <c r="F34" i="90" s="1"/>
  <c r="J32" i="90"/>
  <c r="E32" i="90"/>
  <c r="F32" i="90" s="1"/>
  <c r="A31" i="90"/>
  <c r="H32" i="90" s="1"/>
  <c r="P30" i="90"/>
  <c r="O30" i="90"/>
  <c r="N30" i="90"/>
  <c r="M30" i="90"/>
  <c r="L30" i="90"/>
  <c r="K30" i="90"/>
  <c r="J30" i="90"/>
  <c r="I30" i="90"/>
  <c r="H30" i="90"/>
  <c r="G30" i="90"/>
  <c r="F30" i="90"/>
  <c r="E30" i="90"/>
  <c r="O28" i="90"/>
  <c r="N28" i="90"/>
  <c r="M28" i="90"/>
  <c r="L28" i="90"/>
  <c r="K28" i="90"/>
  <c r="J28" i="90"/>
  <c r="I28" i="90"/>
  <c r="H28" i="90"/>
  <c r="G28" i="90"/>
  <c r="F28" i="90"/>
  <c r="E28" i="90"/>
  <c r="D28" i="90"/>
  <c r="D26" i="90"/>
  <c r="E26" i="90" s="1"/>
  <c r="F26" i="90" s="1"/>
  <c r="P25" i="90"/>
  <c r="O25" i="90"/>
  <c r="N25" i="90"/>
  <c r="M25" i="90"/>
  <c r="L25" i="90"/>
  <c r="K25" i="90"/>
  <c r="J25" i="90"/>
  <c r="I25" i="90"/>
  <c r="H25" i="90"/>
  <c r="G25" i="90"/>
  <c r="A25" i="90"/>
  <c r="H26" i="90" s="1"/>
  <c r="J24" i="90"/>
  <c r="A23" i="90"/>
  <c r="H24" i="90" s="1"/>
  <c r="R22" i="90"/>
  <c r="R21" i="90"/>
  <c r="A21" i="90"/>
  <c r="P22" i="90" s="1"/>
  <c r="A19" i="90"/>
  <c r="H20" i="90" s="1"/>
  <c r="P17" i="90"/>
  <c r="I17" i="90"/>
  <c r="H17" i="90"/>
  <c r="G17" i="90"/>
  <c r="A17" i="90"/>
  <c r="O18" i="90" s="1"/>
  <c r="R16" i="90"/>
  <c r="R15" i="90"/>
  <c r="A15" i="90"/>
  <c r="A14" i="90" s="1"/>
  <c r="N10" i="90"/>
  <c r="Q9" i="90"/>
  <c r="Q10" i="90" s="1"/>
  <c r="P9" i="90"/>
  <c r="P10" i="90" s="1"/>
  <c r="O9" i="90"/>
  <c r="O10" i="90" s="1"/>
  <c r="N9" i="90"/>
  <c r="M9" i="90"/>
  <c r="M10" i="90" s="1"/>
  <c r="L9" i="90"/>
  <c r="L10" i="90" s="1"/>
  <c r="K9" i="90"/>
  <c r="K10" i="90" s="1"/>
  <c r="J9" i="90"/>
  <c r="J10" i="90" s="1"/>
  <c r="I9" i="90"/>
  <c r="I10" i="90" s="1"/>
  <c r="H9" i="90"/>
  <c r="H10" i="90" s="1"/>
  <c r="E9" i="90"/>
  <c r="E10" i="90" s="1"/>
  <c r="D9" i="90"/>
  <c r="D10" i="90" s="1"/>
  <c r="J46" i="90" l="1"/>
  <c r="R14" i="90"/>
  <c r="G18" i="90"/>
  <c r="F20" i="90"/>
  <c r="M22" i="90"/>
  <c r="G26" i="90"/>
  <c r="K32" i="90"/>
  <c r="G38" i="90"/>
  <c r="E46" i="90"/>
  <c r="M46" i="90"/>
  <c r="J22" i="90"/>
  <c r="R46" i="90"/>
  <c r="R6" i="90" s="1"/>
  <c r="J16" i="90"/>
  <c r="K18" i="90"/>
  <c r="I20" i="90"/>
  <c r="E22" i="90"/>
  <c r="F22" i="90" s="1"/>
  <c r="G22" i="90" s="1"/>
  <c r="N22" i="90"/>
  <c r="F24" i="90"/>
  <c r="G32" i="90"/>
  <c r="N34" i="90"/>
  <c r="G34" i="90"/>
  <c r="K38" i="90"/>
  <c r="F46" i="90"/>
  <c r="N46" i="90"/>
  <c r="J20" i="90"/>
  <c r="I22" i="90"/>
  <c r="Q22" i="90"/>
  <c r="I24" i="90"/>
  <c r="I32" i="90"/>
  <c r="O38" i="90"/>
  <c r="I46" i="90"/>
  <c r="Q46" i="90"/>
  <c r="R9" i="90"/>
  <c r="F9" i="90"/>
  <c r="F10" i="90" s="1"/>
  <c r="N26" i="90"/>
  <c r="H40" i="90"/>
  <c r="L40" i="90"/>
  <c r="G10" i="90"/>
  <c r="N18" i="90"/>
  <c r="J18" i="90"/>
  <c r="P18" i="90"/>
  <c r="L18" i="90"/>
  <c r="D18" i="90"/>
  <c r="E18" i="90" s="1"/>
  <c r="F18" i="90" s="1"/>
  <c r="M18" i="90"/>
  <c r="I18" i="90"/>
  <c r="H18" i="90"/>
  <c r="P34" i="90"/>
  <c r="L34" i="90"/>
  <c r="K34" i="90"/>
  <c r="G40" i="90"/>
  <c r="P26" i="90"/>
  <c r="L26" i="90"/>
  <c r="K26" i="90"/>
  <c r="N40" i="90"/>
  <c r="K40" i="90"/>
  <c r="N16" i="90"/>
  <c r="I16" i="90"/>
  <c r="K16" i="90"/>
  <c r="Q16" i="90"/>
  <c r="M16" i="90"/>
  <c r="H16" i="90"/>
  <c r="D16" i="90"/>
  <c r="P16" i="90"/>
  <c r="G16" i="90"/>
  <c r="O16" i="90"/>
  <c r="O26" i="90"/>
  <c r="H38" i="90"/>
  <c r="L38" i="90"/>
  <c r="R11" i="90"/>
  <c r="G20" i="90"/>
  <c r="K22" i="90"/>
  <c r="O22" i="90"/>
  <c r="G24" i="90"/>
  <c r="I26" i="90"/>
  <c r="M26" i="90"/>
  <c r="I34" i="90"/>
  <c r="M34" i="90"/>
  <c r="E38" i="90"/>
  <c r="F38" i="90" s="1"/>
  <c r="I38" i="90"/>
  <c r="M38" i="90"/>
  <c r="E40" i="90"/>
  <c r="D40" i="90" s="1"/>
  <c r="I40" i="90"/>
  <c r="M40" i="90"/>
  <c r="G46" i="90"/>
  <c r="K46" i="90"/>
  <c r="O46" i="90"/>
  <c r="P38" i="90"/>
  <c r="R105" i="90"/>
  <c r="D20" i="90"/>
  <c r="E20" i="90" s="1"/>
  <c r="H22" i="90"/>
  <c r="L22" i="90"/>
  <c r="D24" i="90"/>
  <c r="E24" i="90" s="1"/>
  <c r="J26" i="90"/>
  <c r="J105" i="90" s="1"/>
  <c r="J34" i="90"/>
  <c r="J38" i="90"/>
  <c r="F40" i="90"/>
  <c r="J40" i="90"/>
  <c r="H46" i="90"/>
  <c r="L46" i="90"/>
  <c r="J14" i="90" l="1"/>
  <c r="G11" i="90"/>
  <c r="G12" i="90" s="1"/>
  <c r="G105" i="90"/>
  <c r="G6" i="90"/>
  <c r="G7" i="90" s="1"/>
  <c r="G14" i="90"/>
  <c r="M6" i="90"/>
  <c r="M7" i="90" s="1"/>
  <c r="M14" i="90"/>
  <c r="M11" i="90"/>
  <c r="M12" i="90" s="1"/>
  <c r="M105" i="90"/>
  <c r="N14" i="90"/>
  <c r="N105" i="90"/>
  <c r="N11" i="90"/>
  <c r="N12" i="90" s="1"/>
  <c r="N6" i="90"/>
  <c r="N7" i="90" s="1"/>
  <c r="D105" i="90"/>
  <c r="E16" i="90"/>
  <c r="D6" i="90"/>
  <c r="D7" i="90" s="1"/>
  <c r="D14" i="90"/>
  <c r="D11" i="90"/>
  <c r="D12" i="90" s="1"/>
  <c r="K11" i="90"/>
  <c r="K12" i="90" s="1"/>
  <c r="K105" i="90"/>
  <c r="K6" i="90"/>
  <c r="K7" i="90" s="1"/>
  <c r="K14" i="90"/>
  <c r="L105" i="90"/>
  <c r="L6" i="90"/>
  <c r="L7" i="90" s="1"/>
  <c r="L14" i="90"/>
  <c r="L11" i="90"/>
  <c r="L12" i="90" s="1"/>
  <c r="O11" i="90"/>
  <c r="O12" i="90" s="1"/>
  <c r="O105" i="90"/>
  <c r="O14" i="90"/>
  <c r="O6" i="90"/>
  <c r="O7" i="90" s="1"/>
  <c r="H105" i="90"/>
  <c r="H6" i="90"/>
  <c r="H7" i="90" s="1"/>
  <c r="H14" i="90"/>
  <c r="H11" i="90"/>
  <c r="H12" i="90" s="1"/>
  <c r="I6" i="90"/>
  <c r="I7" i="90" s="1"/>
  <c r="I11" i="90"/>
  <c r="I12" i="90" s="1"/>
  <c r="I14" i="90"/>
  <c r="I105" i="90"/>
  <c r="J11" i="90"/>
  <c r="J12" i="90" s="1"/>
  <c r="P105" i="90"/>
  <c r="P6" i="90"/>
  <c r="P7" i="90" s="1"/>
  <c r="P14" i="90"/>
  <c r="P11" i="90"/>
  <c r="P12" i="90" s="1"/>
  <c r="Q6" i="90"/>
  <c r="Q7" i="90" s="1"/>
  <c r="Q14" i="90"/>
  <c r="Q11" i="90"/>
  <c r="Q12" i="90" s="1"/>
  <c r="Q105" i="90"/>
  <c r="J6" i="90"/>
  <c r="J7" i="90" s="1"/>
  <c r="E6" i="90" l="1"/>
  <c r="E7" i="90" s="1"/>
  <c r="E14" i="90"/>
  <c r="E11" i="90"/>
  <c r="E12" i="90" s="1"/>
  <c r="E105" i="90"/>
  <c r="F16" i="90"/>
  <c r="F14" i="90" l="1"/>
  <c r="F105" i="90"/>
  <c r="F11" i="90"/>
  <c r="F12" i="90" s="1"/>
  <c r="F6" i="90"/>
  <c r="F7" i="90" s="1"/>
  <c r="O301" i="89" l="1"/>
  <c r="L301" i="89"/>
  <c r="I301" i="89"/>
  <c r="F301" i="89"/>
  <c r="O300" i="89"/>
  <c r="L300" i="89"/>
  <c r="I300" i="89"/>
  <c r="F300" i="89"/>
  <c r="O299" i="89"/>
  <c r="L299" i="89"/>
  <c r="I299" i="89"/>
  <c r="F299" i="89"/>
  <c r="C299" i="89" s="1"/>
  <c r="O298" i="89"/>
  <c r="L298" i="89"/>
  <c r="I298" i="89"/>
  <c r="F298" i="89"/>
  <c r="C298" i="89" s="1"/>
  <c r="O297" i="89"/>
  <c r="L297" i="89"/>
  <c r="I297" i="89"/>
  <c r="F297" i="89"/>
  <c r="O296" i="89"/>
  <c r="L296" i="89"/>
  <c r="I296" i="89"/>
  <c r="F296" i="89"/>
  <c r="O295" i="89"/>
  <c r="L295" i="89"/>
  <c r="I295" i="89"/>
  <c r="F295" i="89"/>
  <c r="O294" i="89"/>
  <c r="O293" i="89" s="1"/>
  <c r="L294" i="89"/>
  <c r="I294" i="89"/>
  <c r="I293" i="89" s="1"/>
  <c r="F294" i="89"/>
  <c r="N293" i="89"/>
  <c r="M293" i="89"/>
  <c r="K293" i="89"/>
  <c r="J293" i="89"/>
  <c r="H293" i="89"/>
  <c r="G293" i="89"/>
  <c r="E293" i="89"/>
  <c r="D293" i="89"/>
  <c r="O288" i="89"/>
  <c r="L288" i="89"/>
  <c r="I288" i="89"/>
  <c r="F288" i="89"/>
  <c r="O287" i="89"/>
  <c r="L287" i="89"/>
  <c r="L286" i="89" s="1"/>
  <c r="I287" i="89"/>
  <c r="F287" i="89"/>
  <c r="F286" i="89" s="1"/>
  <c r="O286" i="89"/>
  <c r="N286" i="89"/>
  <c r="M286" i="89"/>
  <c r="K286" i="89"/>
  <c r="J286" i="89"/>
  <c r="H286" i="89"/>
  <c r="G286" i="89"/>
  <c r="E286" i="89"/>
  <c r="D286" i="89"/>
  <c r="O285" i="89"/>
  <c r="O284" i="89" s="1"/>
  <c r="O283" i="89" s="1"/>
  <c r="L285" i="89"/>
  <c r="L284" i="89" s="1"/>
  <c r="L283" i="89" s="1"/>
  <c r="I285" i="89"/>
  <c r="I284" i="89" s="1"/>
  <c r="I283" i="89" s="1"/>
  <c r="F285" i="89"/>
  <c r="N284" i="89"/>
  <c r="M284" i="89"/>
  <c r="M283" i="89" s="1"/>
  <c r="K284" i="89"/>
  <c r="K283" i="89" s="1"/>
  <c r="J284" i="89"/>
  <c r="J283" i="89" s="1"/>
  <c r="H284" i="89"/>
  <c r="H283" i="89" s="1"/>
  <c r="G284" i="89"/>
  <c r="G283" i="89" s="1"/>
  <c r="E284" i="89"/>
  <c r="E283" i="89" s="1"/>
  <c r="D284" i="89"/>
  <c r="D283" i="89" s="1"/>
  <c r="N283" i="89"/>
  <c r="O282" i="89"/>
  <c r="O281" i="89" s="1"/>
  <c r="L282" i="89"/>
  <c r="L281" i="89" s="1"/>
  <c r="I282" i="89"/>
  <c r="I281" i="89" s="1"/>
  <c r="F282" i="89"/>
  <c r="N281" i="89"/>
  <c r="M281" i="89"/>
  <c r="K281" i="89"/>
  <c r="J281" i="89"/>
  <c r="H281" i="89"/>
  <c r="G281" i="89"/>
  <c r="F281" i="89"/>
  <c r="E281" i="89"/>
  <c r="D281" i="89"/>
  <c r="O280" i="89"/>
  <c r="L280" i="89"/>
  <c r="I280" i="89"/>
  <c r="F280" i="89"/>
  <c r="O279" i="89"/>
  <c r="L279" i="89"/>
  <c r="I279" i="89"/>
  <c r="F279" i="89"/>
  <c r="O278" i="89"/>
  <c r="L278" i="89"/>
  <c r="I278" i="89"/>
  <c r="F278" i="89"/>
  <c r="O277" i="89"/>
  <c r="L277" i="89"/>
  <c r="I277" i="89"/>
  <c r="I276" i="89" s="1"/>
  <c r="F277" i="89"/>
  <c r="N276" i="89"/>
  <c r="M276" i="89"/>
  <c r="K276" i="89"/>
  <c r="J276" i="89"/>
  <c r="H276" i="89"/>
  <c r="G276" i="89"/>
  <c r="E276" i="89"/>
  <c r="D276" i="89"/>
  <c r="O275" i="89"/>
  <c r="L275" i="89"/>
  <c r="I275" i="89"/>
  <c r="F275" i="89"/>
  <c r="O274" i="89"/>
  <c r="L274" i="89"/>
  <c r="I274" i="89"/>
  <c r="F274" i="89"/>
  <c r="O273" i="89"/>
  <c r="L273" i="89"/>
  <c r="I273" i="89"/>
  <c r="F273" i="89"/>
  <c r="N272" i="89"/>
  <c r="N270" i="89" s="1"/>
  <c r="N269" i="89" s="1"/>
  <c r="M272" i="89"/>
  <c r="M270" i="89" s="1"/>
  <c r="K272" i="89"/>
  <c r="K270" i="89" s="1"/>
  <c r="J272" i="89"/>
  <c r="I272" i="89"/>
  <c r="H272" i="89"/>
  <c r="H270" i="89" s="1"/>
  <c r="G272" i="89"/>
  <c r="E272" i="89"/>
  <c r="D272" i="89"/>
  <c r="O271" i="89"/>
  <c r="L271" i="89"/>
  <c r="I271" i="89"/>
  <c r="F271" i="89"/>
  <c r="J270" i="89"/>
  <c r="J269" i="89" s="1"/>
  <c r="O268" i="89"/>
  <c r="L268" i="89"/>
  <c r="I268" i="89"/>
  <c r="F268" i="89"/>
  <c r="O267" i="89"/>
  <c r="L267" i="89"/>
  <c r="I267" i="89"/>
  <c r="F267" i="89"/>
  <c r="O266" i="89"/>
  <c r="L266" i="89"/>
  <c r="I266" i="89"/>
  <c r="F266" i="89"/>
  <c r="O265" i="89"/>
  <c r="L265" i="89"/>
  <c r="I265" i="89"/>
  <c r="F265" i="89"/>
  <c r="N264" i="89"/>
  <c r="M264" i="89"/>
  <c r="K264" i="89"/>
  <c r="J264" i="89"/>
  <c r="H264" i="89"/>
  <c r="G264" i="89"/>
  <c r="E264" i="89"/>
  <c r="D264" i="89"/>
  <c r="O263" i="89"/>
  <c r="L263" i="89"/>
  <c r="I263" i="89"/>
  <c r="F263" i="89"/>
  <c r="O262" i="89"/>
  <c r="L262" i="89"/>
  <c r="I262" i="89"/>
  <c r="F262" i="89"/>
  <c r="O261" i="89"/>
  <c r="L261" i="89"/>
  <c r="I261" i="89"/>
  <c r="F261" i="89"/>
  <c r="N260" i="89"/>
  <c r="M260" i="89"/>
  <c r="K260" i="89"/>
  <c r="J260" i="89"/>
  <c r="J259" i="89" s="1"/>
  <c r="H260" i="89"/>
  <c r="H259" i="89" s="1"/>
  <c r="G260" i="89"/>
  <c r="E260" i="89"/>
  <c r="E259" i="89" s="1"/>
  <c r="D260" i="89"/>
  <c r="D259" i="89" s="1"/>
  <c r="G259" i="89"/>
  <c r="O258" i="89"/>
  <c r="L258" i="89"/>
  <c r="I258" i="89"/>
  <c r="F258" i="89"/>
  <c r="O257" i="89"/>
  <c r="L257" i="89"/>
  <c r="I257" i="89"/>
  <c r="F257" i="89"/>
  <c r="O256" i="89"/>
  <c r="L256" i="89"/>
  <c r="I256" i="89"/>
  <c r="F256" i="89"/>
  <c r="O255" i="89"/>
  <c r="L255" i="89"/>
  <c r="I255" i="89"/>
  <c r="F255" i="89"/>
  <c r="O254" i="89"/>
  <c r="L254" i="89"/>
  <c r="I254" i="89"/>
  <c r="F254" i="89"/>
  <c r="O253" i="89"/>
  <c r="L253" i="89"/>
  <c r="I253" i="89"/>
  <c r="F253" i="89"/>
  <c r="N252" i="89"/>
  <c r="M252" i="89"/>
  <c r="M251" i="89" s="1"/>
  <c r="K252" i="89"/>
  <c r="K251" i="89" s="1"/>
  <c r="J252" i="89"/>
  <c r="J251" i="89" s="1"/>
  <c r="H252" i="89"/>
  <c r="H251" i="89" s="1"/>
  <c r="G252" i="89"/>
  <c r="E252" i="89"/>
  <c r="E251" i="89" s="1"/>
  <c r="D252" i="89"/>
  <c r="N251" i="89"/>
  <c r="G251" i="89"/>
  <c r="D251" i="89"/>
  <c r="O250" i="89"/>
  <c r="L250" i="89"/>
  <c r="I250" i="89"/>
  <c r="F250" i="89"/>
  <c r="O249" i="89"/>
  <c r="L249" i="89"/>
  <c r="I249" i="89"/>
  <c r="F249" i="89"/>
  <c r="O248" i="89"/>
  <c r="L248" i="89"/>
  <c r="I248" i="89"/>
  <c r="F248" i="89"/>
  <c r="O247" i="89"/>
  <c r="L247" i="89"/>
  <c r="I247" i="89"/>
  <c r="F247" i="89"/>
  <c r="N246" i="89"/>
  <c r="M246" i="89"/>
  <c r="K246" i="89"/>
  <c r="J246" i="89"/>
  <c r="H246" i="89"/>
  <c r="G246" i="89"/>
  <c r="E246" i="89"/>
  <c r="D246" i="89"/>
  <c r="O245" i="89"/>
  <c r="L245" i="89"/>
  <c r="I245" i="89"/>
  <c r="F245" i="89"/>
  <c r="O244" i="89"/>
  <c r="L244" i="89"/>
  <c r="I244" i="89"/>
  <c r="F244" i="89"/>
  <c r="O243" i="89"/>
  <c r="L243" i="89"/>
  <c r="I243" i="89"/>
  <c r="F243" i="89"/>
  <c r="O242" i="89"/>
  <c r="L242" i="89"/>
  <c r="I242" i="89"/>
  <c r="F242" i="89"/>
  <c r="O241" i="89"/>
  <c r="L241" i="89"/>
  <c r="I241" i="89"/>
  <c r="F241" i="89"/>
  <c r="O240" i="89"/>
  <c r="L240" i="89"/>
  <c r="I240" i="89"/>
  <c r="F240" i="89"/>
  <c r="O239" i="89"/>
  <c r="L239" i="89"/>
  <c r="L238" i="89" s="1"/>
  <c r="I239" i="89"/>
  <c r="F239" i="89"/>
  <c r="N238" i="89"/>
  <c r="M238" i="89"/>
  <c r="K238" i="89"/>
  <c r="J238" i="89"/>
  <c r="H238" i="89"/>
  <c r="G238" i="89"/>
  <c r="E238" i="89"/>
  <c r="D238" i="89"/>
  <c r="O237" i="89"/>
  <c r="L237" i="89"/>
  <c r="I237" i="89"/>
  <c r="F237" i="89"/>
  <c r="O236" i="89"/>
  <c r="L236" i="89"/>
  <c r="L235" i="89" s="1"/>
  <c r="I236" i="89"/>
  <c r="F236" i="89"/>
  <c r="O235" i="89"/>
  <c r="N235" i="89"/>
  <c r="M235" i="89"/>
  <c r="K235" i="89"/>
  <c r="J235" i="89"/>
  <c r="H235" i="89"/>
  <c r="G235" i="89"/>
  <c r="E235" i="89"/>
  <c r="D235" i="89"/>
  <c r="O234" i="89"/>
  <c r="O233" i="89" s="1"/>
  <c r="L234" i="89"/>
  <c r="I234" i="89"/>
  <c r="I233" i="89" s="1"/>
  <c r="F234" i="89"/>
  <c r="N233" i="89"/>
  <c r="N231" i="89" s="1"/>
  <c r="M233" i="89"/>
  <c r="L233" i="89"/>
  <c r="K233" i="89"/>
  <c r="J233" i="89"/>
  <c r="J231" i="89" s="1"/>
  <c r="H233" i="89"/>
  <c r="G233" i="89"/>
  <c r="E233" i="89"/>
  <c r="E231" i="89" s="1"/>
  <c r="D233" i="89"/>
  <c r="D231" i="89" s="1"/>
  <c r="O232" i="89"/>
  <c r="L232" i="89"/>
  <c r="I232" i="89"/>
  <c r="F232" i="89"/>
  <c r="O229" i="89"/>
  <c r="L229" i="89"/>
  <c r="I229" i="89"/>
  <c r="F229" i="89"/>
  <c r="O228" i="89"/>
  <c r="L228" i="89"/>
  <c r="L227" i="89" s="1"/>
  <c r="I228" i="89"/>
  <c r="I227" i="89" s="1"/>
  <c r="F228" i="89"/>
  <c r="F227" i="89" s="1"/>
  <c r="O227" i="89"/>
  <c r="N227" i="89"/>
  <c r="M227" i="89"/>
  <c r="K227" i="89"/>
  <c r="J227" i="89"/>
  <c r="H227" i="89"/>
  <c r="G227" i="89"/>
  <c r="E227" i="89"/>
  <c r="D227" i="89"/>
  <c r="O226" i="89"/>
  <c r="L226" i="89"/>
  <c r="I226" i="89"/>
  <c r="F226" i="89"/>
  <c r="O225" i="89"/>
  <c r="L225" i="89"/>
  <c r="I225" i="89"/>
  <c r="F225" i="89"/>
  <c r="O224" i="89"/>
  <c r="L224" i="89"/>
  <c r="I224" i="89"/>
  <c r="C224" i="89" s="1"/>
  <c r="F224" i="89"/>
  <c r="O223" i="89"/>
  <c r="L223" i="89"/>
  <c r="I223" i="89"/>
  <c r="F223" i="89"/>
  <c r="O222" i="89"/>
  <c r="L222" i="89"/>
  <c r="I222" i="89"/>
  <c r="C222" i="89" s="1"/>
  <c r="F222" i="89"/>
  <c r="O221" i="89"/>
  <c r="L221" i="89"/>
  <c r="I221" i="89"/>
  <c r="F221" i="89"/>
  <c r="O220" i="89"/>
  <c r="L220" i="89"/>
  <c r="I220" i="89"/>
  <c r="F220" i="89"/>
  <c r="O219" i="89"/>
  <c r="L219" i="89"/>
  <c r="I219" i="89"/>
  <c r="F219" i="89"/>
  <c r="O218" i="89"/>
  <c r="L218" i="89"/>
  <c r="I218" i="89"/>
  <c r="F218" i="89"/>
  <c r="O217" i="89"/>
  <c r="L217" i="89"/>
  <c r="I217" i="89"/>
  <c r="F217" i="89"/>
  <c r="N216" i="89"/>
  <c r="M216" i="89"/>
  <c r="K216" i="89"/>
  <c r="J216" i="89"/>
  <c r="H216" i="89"/>
  <c r="G216" i="89"/>
  <c r="E216" i="89"/>
  <c r="D216" i="89"/>
  <c r="O215" i="89"/>
  <c r="L215" i="89"/>
  <c r="I215" i="89"/>
  <c r="F215" i="89"/>
  <c r="O214" i="89"/>
  <c r="L214" i="89"/>
  <c r="I214" i="89"/>
  <c r="C214" i="89" s="1"/>
  <c r="F214" i="89"/>
  <c r="O213" i="89"/>
  <c r="L213" i="89"/>
  <c r="I213" i="89"/>
  <c r="F213" i="89"/>
  <c r="O212" i="89"/>
  <c r="L212" i="89"/>
  <c r="I212" i="89"/>
  <c r="F212" i="89"/>
  <c r="O211" i="89"/>
  <c r="L211" i="89"/>
  <c r="I211" i="89"/>
  <c r="F211" i="89"/>
  <c r="O210" i="89"/>
  <c r="L210" i="89"/>
  <c r="I210" i="89"/>
  <c r="F210" i="89"/>
  <c r="O209" i="89"/>
  <c r="L209" i="89"/>
  <c r="I209" i="89"/>
  <c r="F209" i="89"/>
  <c r="O208" i="89"/>
  <c r="L208" i="89"/>
  <c r="I208" i="89"/>
  <c r="F208" i="89"/>
  <c r="O207" i="89"/>
  <c r="L207" i="89"/>
  <c r="I207" i="89"/>
  <c r="F207" i="89"/>
  <c r="O206" i="89"/>
  <c r="L206" i="89"/>
  <c r="I206" i="89"/>
  <c r="F206" i="89"/>
  <c r="N205" i="89"/>
  <c r="M205" i="89"/>
  <c r="K205" i="89"/>
  <c r="J205" i="89"/>
  <c r="H205" i="89"/>
  <c r="G205" i="89"/>
  <c r="G204" i="89" s="1"/>
  <c r="E205" i="89"/>
  <c r="D205" i="89"/>
  <c r="O203" i="89"/>
  <c r="L203" i="89"/>
  <c r="I203" i="89"/>
  <c r="F203" i="89"/>
  <c r="O202" i="89"/>
  <c r="L202" i="89"/>
  <c r="I202" i="89"/>
  <c r="C202" i="89" s="1"/>
  <c r="F202" i="89"/>
  <c r="O201" i="89"/>
  <c r="L201" i="89"/>
  <c r="I201" i="89"/>
  <c r="F201" i="89"/>
  <c r="O200" i="89"/>
  <c r="L200" i="89"/>
  <c r="I200" i="89"/>
  <c r="F200" i="89"/>
  <c r="O199" i="89"/>
  <c r="L199" i="89"/>
  <c r="L198" i="89" s="1"/>
  <c r="I199" i="89"/>
  <c r="F199" i="89"/>
  <c r="F198" i="89" s="1"/>
  <c r="O198" i="89"/>
  <c r="N198" i="89"/>
  <c r="M198" i="89"/>
  <c r="K198" i="89"/>
  <c r="K196" i="89" s="1"/>
  <c r="J198" i="89"/>
  <c r="H198" i="89"/>
  <c r="H196" i="89" s="1"/>
  <c r="G198" i="89"/>
  <c r="G196" i="89" s="1"/>
  <c r="E198" i="89"/>
  <c r="E196" i="89" s="1"/>
  <c r="D198" i="89"/>
  <c r="O197" i="89"/>
  <c r="L197" i="89"/>
  <c r="I197" i="89"/>
  <c r="F197" i="89"/>
  <c r="N196" i="89"/>
  <c r="M196" i="89"/>
  <c r="J196" i="89"/>
  <c r="D196" i="89"/>
  <c r="O193" i="89"/>
  <c r="O192" i="89" s="1"/>
  <c r="O191" i="89" s="1"/>
  <c r="L193" i="89"/>
  <c r="L192" i="89" s="1"/>
  <c r="I193" i="89"/>
  <c r="F193" i="89"/>
  <c r="N192" i="89"/>
  <c r="N191" i="89" s="1"/>
  <c r="M192" i="89"/>
  <c r="M191" i="89" s="1"/>
  <c r="K192" i="89"/>
  <c r="J192" i="89"/>
  <c r="J191" i="89" s="1"/>
  <c r="I192" i="89"/>
  <c r="I191" i="89" s="1"/>
  <c r="H192" i="89"/>
  <c r="H191" i="89" s="1"/>
  <c r="G192" i="89"/>
  <c r="G191" i="89" s="1"/>
  <c r="E192" i="89"/>
  <c r="E191" i="89" s="1"/>
  <c r="D192" i="89"/>
  <c r="L191" i="89"/>
  <c r="K191" i="89"/>
  <c r="D191" i="89"/>
  <c r="O190" i="89"/>
  <c r="L190" i="89"/>
  <c r="I190" i="89"/>
  <c r="F190" i="89"/>
  <c r="O189" i="89"/>
  <c r="L189" i="89"/>
  <c r="L188" i="89" s="1"/>
  <c r="I189" i="89"/>
  <c r="F189" i="89"/>
  <c r="F188" i="89" s="1"/>
  <c r="O188" i="89"/>
  <c r="N188" i="89"/>
  <c r="M188" i="89"/>
  <c r="M187" i="89" s="1"/>
  <c r="K188" i="89"/>
  <c r="J188" i="89"/>
  <c r="H188" i="89"/>
  <c r="G188" i="89"/>
  <c r="E188" i="89"/>
  <c r="D188" i="89"/>
  <c r="N187" i="89"/>
  <c r="O186" i="89"/>
  <c r="L186" i="89"/>
  <c r="I186" i="89"/>
  <c r="F186" i="89"/>
  <c r="O185" i="89"/>
  <c r="L185" i="89"/>
  <c r="L184" i="89" s="1"/>
  <c r="I185" i="89"/>
  <c r="F185" i="89"/>
  <c r="F184" i="89" s="1"/>
  <c r="O184" i="89"/>
  <c r="N184" i="89"/>
  <c r="M184" i="89"/>
  <c r="K184" i="89"/>
  <c r="J184" i="89"/>
  <c r="H184" i="89"/>
  <c r="G184" i="89"/>
  <c r="E184" i="89"/>
  <c r="D184" i="89"/>
  <c r="O183" i="89"/>
  <c r="L183" i="89"/>
  <c r="I183" i="89"/>
  <c r="F183" i="89"/>
  <c r="O182" i="89"/>
  <c r="L182" i="89"/>
  <c r="I182" i="89"/>
  <c r="F182" i="89"/>
  <c r="O181" i="89"/>
  <c r="L181" i="89"/>
  <c r="I181" i="89"/>
  <c r="F181" i="89"/>
  <c r="O180" i="89"/>
  <c r="O179" i="89" s="1"/>
  <c r="L180" i="89"/>
  <c r="L179" i="89" s="1"/>
  <c r="I180" i="89"/>
  <c r="I179" i="89" s="1"/>
  <c r="F180" i="89"/>
  <c r="N179" i="89"/>
  <c r="M179" i="89"/>
  <c r="K179" i="89"/>
  <c r="J179" i="89"/>
  <c r="H179" i="89"/>
  <c r="G179" i="89"/>
  <c r="E179" i="89"/>
  <c r="D179" i="89"/>
  <c r="O178" i="89"/>
  <c r="L178" i="89"/>
  <c r="I178" i="89"/>
  <c r="F178" i="89"/>
  <c r="O177" i="89"/>
  <c r="L177" i="89"/>
  <c r="I177" i="89"/>
  <c r="F177" i="89"/>
  <c r="O176" i="89"/>
  <c r="O175" i="89" s="1"/>
  <c r="O174" i="89" s="1"/>
  <c r="L176" i="89"/>
  <c r="I176" i="89"/>
  <c r="I175" i="89" s="1"/>
  <c r="I174" i="89" s="1"/>
  <c r="F176" i="89"/>
  <c r="N175" i="89"/>
  <c r="N174" i="89" s="1"/>
  <c r="N173" i="89" s="1"/>
  <c r="M175" i="89"/>
  <c r="K175" i="89"/>
  <c r="J175" i="89"/>
  <c r="J174" i="89" s="1"/>
  <c r="H175" i="89"/>
  <c r="G175" i="89"/>
  <c r="F175" i="89"/>
  <c r="E175" i="89"/>
  <c r="D175" i="89"/>
  <c r="D174" i="89" s="1"/>
  <c r="D173" i="89" s="1"/>
  <c r="K174" i="89"/>
  <c r="K173" i="89" s="1"/>
  <c r="E174" i="89"/>
  <c r="E173" i="89" s="1"/>
  <c r="O172" i="89"/>
  <c r="L172" i="89"/>
  <c r="I172" i="89"/>
  <c r="F172" i="89"/>
  <c r="O171" i="89"/>
  <c r="L171" i="89"/>
  <c r="I171" i="89"/>
  <c r="F171" i="89"/>
  <c r="O170" i="89"/>
  <c r="L170" i="89"/>
  <c r="I170" i="89"/>
  <c r="F170" i="89"/>
  <c r="O169" i="89"/>
  <c r="L169" i="89"/>
  <c r="I169" i="89"/>
  <c r="F169" i="89"/>
  <c r="O168" i="89"/>
  <c r="L168" i="89"/>
  <c r="I168" i="89"/>
  <c r="C168" i="89" s="1"/>
  <c r="F168" i="89"/>
  <c r="O167" i="89"/>
  <c r="L167" i="89"/>
  <c r="I167" i="89"/>
  <c r="F167" i="89"/>
  <c r="N166" i="89"/>
  <c r="M166" i="89"/>
  <c r="M165" i="89" s="1"/>
  <c r="K166" i="89"/>
  <c r="K165" i="89" s="1"/>
  <c r="J166" i="89"/>
  <c r="J165" i="89" s="1"/>
  <c r="H166" i="89"/>
  <c r="H165" i="89" s="1"/>
  <c r="G166" i="89"/>
  <c r="G165" i="89" s="1"/>
  <c r="E166" i="89"/>
  <c r="E165" i="89" s="1"/>
  <c r="D166" i="89"/>
  <c r="D165" i="89" s="1"/>
  <c r="N165" i="89"/>
  <c r="O164" i="89"/>
  <c r="L164" i="89"/>
  <c r="I164" i="89"/>
  <c r="F164" i="89"/>
  <c r="O163" i="89"/>
  <c r="L163" i="89"/>
  <c r="I163" i="89"/>
  <c r="F163" i="89"/>
  <c r="O162" i="89"/>
  <c r="L162" i="89"/>
  <c r="I162" i="89"/>
  <c r="F162" i="89"/>
  <c r="O161" i="89"/>
  <c r="L161" i="89"/>
  <c r="L160" i="89" s="1"/>
  <c r="I161" i="89"/>
  <c r="F161" i="89"/>
  <c r="F160" i="89" s="1"/>
  <c r="O160" i="89"/>
  <c r="N160" i="89"/>
  <c r="M160" i="89"/>
  <c r="K160" i="89"/>
  <c r="J160" i="89"/>
  <c r="H160" i="89"/>
  <c r="G160" i="89"/>
  <c r="E160" i="89"/>
  <c r="D160" i="89"/>
  <c r="O159" i="89"/>
  <c r="L159" i="89"/>
  <c r="I159" i="89"/>
  <c r="F159" i="89"/>
  <c r="O158" i="89"/>
  <c r="L158" i="89"/>
  <c r="I158" i="89"/>
  <c r="F158" i="89"/>
  <c r="O157" i="89"/>
  <c r="L157" i="89"/>
  <c r="I157" i="89"/>
  <c r="F157" i="89"/>
  <c r="O156" i="89"/>
  <c r="L156" i="89"/>
  <c r="I156" i="89"/>
  <c r="F156" i="89"/>
  <c r="O155" i="89"/>
  <c r="L155" i="89"/>
  <c r="I155" i="89"/>
  <c r="F155" i="89"/>
  <c r="O154" i="89"/>
  <c r="L154" i="89"/>
  <c r="I154" i="89"/>
  <c r="F154" i="89"/>
  <c r="O153" i="89"/>
  <c r="L153" i="89"/>
  <c r="I153" i="89"/>
  <c r="F153" i="89"/>
  <c r="O152" i="89"/>
  <c r="L152" i="89"/>
  <c r="I152" i="89"/>
  <c r="C152" i="89" s="1"/>
  <c r="F152" i="89"/>
  <c r="N151" i="89"/>
  <c r="M151" i="89"/>
  <c r="K151" i="89"/>
  <c r="J151" i="89"/>
  <c r="H151" i="89"/>
  <c r="G151" i="89"/>
  <c r="E151" i="89"/>
  <c r="D151" i="89"/>
  <c r="O150" i="89"/>
  <c r="L150" i="89"/>
  <c r="I150" i="89"/>
  <c r="F150" i="89"/>
  <c r="O149" i="89"/>
  <c r="L149" i="89"/>
  <c r="I149" i="89"/>
  <c r="F149" i="89"/>
  <c r="C149" i="89" s="1"/>
  <c r="O148" i="89"/>
  <c r="L148" i="89"/>
  <c r="I148" i="89"/>
  <c r="F148" i="89"/>
  <c r="C148" i="89" s="1"/>
  <c r="O147" i="89"/>
  <c r="L147" i="89"/>
  <c r="I147" i="89"/>
  <c r="F147" i="89"/>
  <c r="O146" i="89"/>
  <c r="L146" i="89"/>
  <c r="I146" i="89"/>
  <c r="F146" i="89"/>
  <c r="O145" i="89"/>
  <c r="L145" i="89"/>
  <c r="I145" i="89"/>
  <c r="F145" i="89"/>
  <c r="O144" i="89"/>
  <c r="N144" i="89"/>
  <c r="M144" i="89"/>
  <c r="K144" i="89"/>
  <c r="J144" i="89"/>
  <c r="H144" i="89"/>
  <c r="G144" i="89"/>
  <c r="E144" i="89"/>
  <c r="D144" i="89"/>
  <c r="O143" i="89"/>
  <c r="L143" i="89"/>
  <c r="I143" i="89"/>
  <c r="F143" i="89"/>
  <c r="O142" i="89"/>
  <c r="O141" i="89" s="1"/>
  <c r="L142" i="89"/>
  <c r="L141" i="89" s="1"/>
  <c r="I142" i="89"/>
  <c r="F142" i="89"/>
  <c r="N141" i="89"/>
  <c r="M141" i="89"/>
  <c r="K141" i="89"/>
  <c r="J141" i="89"/>
  <c r="H141" i="89"/>
  <c r="G141" i="89"/>
  <c r="F141" i="89"/>
  <c r="E141" i="89"/>
  <c r="D141" i="89"/>
  <c r="O140" i="89"/>
  <c r="L140" i="89"/>
  <c r="I140" i="89"/>
  <c r="F140" i="89"/>
  <c r="O139" i="89"/>
  <c r="L139" i="89"/>
  <c r="I139" i="89"/>
  <c r="F139" i="89"/>
  <c r="O138" i="89"/>
  <c r="L138" i="89"/>
  <c r="I138" i="89"/>
  <c r="F138" i="89"/>
  <c r="O137" i="89"/>
  <c r="L137" i="89"/>
  <c r="I137" i="89"/>
  <c r="F137" i="89"/>
  <c r="F136" i="89" s="1"/>
  <c r="O136" i="89"/>
  <c r="N136" i="89"/>
  <c r="M136" i="89"/>
  <c r="K136" i="89"/>
  <c r="J136" i="89"/>
  <c r="H136" i="89"/>
  <c r="G136" i="89"/>
  <c r="E136" i="89"/>
  <c r="D136" i="89"/>
  <c r="O135" i="89"/>
  <c r="L135" i="89"/>
  <c r="I135" i="89"/>
  <c r="F135" i="89"/>
  <c r="O134" i="89"/>
  <c r="L134" i="89"/>
  <c r="I134" i="89"/>
  <c r="F134" i="89"/>
  <c r="O133" i="89"/>
  <c r="L133" i="89"/>
  <c r="I133" i="89"/>
  <c r="F133" i="89"/>
  <c r="O132" i="89"/>
  <c r="O131" i="89" s="1"/>
  <c r="L132" i="89"/>
  <c r="I132" i="89"/>
  <c r="I131" i="89" s="1"/>
  <c r="F132" i="89"/>
  <c r="N131" i="89"/>
  <c r="M131" i="89"/>
  <c r="K131" i="89"/>
  <c r="J131" i="89"/>
  <c r="H131" i="89"/>
  <c r="G131" i="89"/>
  <c r="E131" i="89"/>
  <c r="D131" i="89"/>
  <c r="E130" i="89"/>
  <c r="O129" i="89"/>
  <c r="L129" i="89"/>
  <c r="L128" i="89" s="1"/>
  <c r="I129" i="89"/>
  <c r="F129" i="89"/>
  <c r="F128" i="89" s="1"/>
  <c r="C128" i="89" s="1"/>
  <c r="O128" i="89"/>
  <c r="N128" i="89"/>
  <c r="M128" i="89"/>
  <c r="K128" i="89"/>
  <c r="J128" i="89"/>
  <c r="I128" i="89"/>
  <c r="H128" i="89"/>
  <c r="G128" i="89"/>
  <c r="E128" i="89"/>
  <c r="D128" i="89"/>
  <c r="O127" i="89"/>
  <c r="L127" i="89"/>
  <c r="I127" i="89"/>
  <c r="F127" i="89"/>
  <c r="O126" i="89"/>
  <c r="L126" i="89"/>
  <c r="I126" i="89"/>
  <c r="F126" i="89"/>
  <c r="O125" i="89"/>
  <c r="L125" i="89"/>
  <c r="I125" i="89"/>
  <c r="F125" i="89"/>
  <c r="O124" i="89"/>
  <c r="L124" i="89"/>
  <c r="I124" i="89"/>
  <c r="F124" i="89"/>
  <c r="O123" i="89"/>
  <c r="O122" i="89" s="1"/>
  <c r="L123" i="89"/>
  <c r="I123" i="89"/>
  <c r="F123" i="89"/>
  <c r="N122" i="89"/>
  <c r="M122" i="89"/>
  <c r="K122" i="89"/>
  <c r="J122" i="89"/>
  <c r="H122" i="89"/>
  <c r="G122" i="89"/>
  <c r="E122" i="89"/>
  <c r="D122" i="89"/>
  <c r="O121" i="89"/>
  <c r="L121" i="89"/>
  <c r="I121" i="89"/>
  <c r="F121" i="89"/>
  <c r="O120" i="89"/>
  <c r="L120" i="89"/>
  <c r="I120" i="89"/>
  <c r="F120" i="89"/>
  <c r="O119" i="89"/>
  <c r="L119" i="89"/>
  <c r="I119" i="89"/>
  <c r="F119" i="89"/>
  <c r="O118" i="89"/>
  <c r="L118" i="89"/>
  <c r="I118" i="89"/>
  <c r="F118" i="89"/>
  <c r="O117" i="89"/>
  <c r="L117" i="89"/>
  <c r="L116" i="89" s="1"/>
  <c r="I117" i="89"/>
  <c r="F117" i="89"/>
  <c r="N116" i="89"/>
  <c r="M116" i="89"/>
  <c r="K116" i="89"/>
  <c r="J116" i="89"/>
  <c r="H116" i="89"/>
  <c r="G116" i="89"/>
  <c r="E116" i="89"/>
  <c r="D116" i="89"/>
  <c r="O115" i="89"/>
  <c r="L115" i="89"/>
  <c r="I115" i="89"/>
  <c r="F115" i="89"/>
  <c r="O114" i="89"/>
  <c r="L114" i="89"/>
  <c r="I114" i="89"/>
  <c r="F114" i="89"/>
  <c r="O113" i="89"/>
  <c r="O112" i="89" s="1"/>
  <c r="L113" i="89"/>
  <c r="I113" i="89"/>
  <c r="I112" i="89" s="1"/>
  <c r="F113" i="89"/>
  <c r="N112" i="89"/>
  <c r="M112" i="89"/>
  <c r="K112" i="89"/>
  <c r="J112" i="89"/>
  <c r="H112" i="89"/>
  <c r="G112" i="89"/>
  <c r="E112" i="89"/>
  <c r="D112" i="89"/>
  <c r="O111" i="89"/>
  <c r="L111" i="89"/>
  <c r="I111" i="89"/>
  <c r="F111" i="89"/>
  <c r="O110" i="89"/>
  <c r="L110" i="89"/>
  <c r="I110" i="89"/>
  <c r="F110" i="89"/>
  <c r="O109" i="89"/>
  <c r="L109" i="89"/>
  <c r="I109" i="89"/>
  <c r="F109" i="89"/>
  <c r="O108" i="89"/>
  <c r="L108" i="89"/>
  <c r="I108" i="89"/>
  <c r="F108" i="89"/>
  <c r="O107" i="89"/>
  <c r="L107" i="89"/>
  <c r="I107" i="89"/>
  <c r="F107" i="89"/>
  <c r="O106" i="89"/>
  <c r="L106" i="89"/>
  <c r="I106" i="89"/>
  <c r="F106" i="89"/>
  <c r="O105" i="89"/>
  <c r="L105" i="89"/>
  <c r="I105" i="89"/>
  <c r="F105" i="89"/>
  <c r="O104" i="89"/>
  <c r="L104" i="89"/>
  <c r="I104" i="89"/>
  <c r="F104" i="89"/>
  <c r="N103" i="89"/>
  <c r="M103" i="89"/>
  <c r="K103" i="89"/>
  <c r="J103" i="89"/>
  <c r="H103" i="89"/>
  <c r="G103" i="89"/>
  <c r="E103" i="89"/>
  <c r="D103" i="89"/>
  <c r="O102" i="89"/>
  <c r="L102" i="89"/>
  <c r="I102" i="89"/>
  <c r="F102" i="89"/>
  <c r="O101" i="89"/>
  <c r="L101" i="89"/>
  <c r="I101" i="89"/>
  <c r="F101" i="89"/>
  <c r="O100" i="89"/>
  <c r="L100" i="89"/>
  <c r="I100" i="89"/>
  <c r="F100" i="89"/>
  <c r="O99" i="89"/>
  <c r="L99" i="89"/>
  <c r="I99" i="89"/>
  <c r="F99" i="89"/>
  <c r="O98" i="89"/>
  <c r="L98" i="89"/>
  <c r="I98" i="89"/>
  <c r="F98" i="89"/>
  <c r="O97" i="89"/>
  <c r="L97" i="89"/>
  <c r="I97" i="89"/>
  <c r="F97" i="89"/>
  <c r="O96" i="89"/>
  <c r="O95" i="89" s="1"/>
  <c r="L96" i="89"/>
  <c r="I96" i="89"/>
  <c r="F96" i="89"/>
  <c r="N95" i="89"/>
  <c r="M95" i="89"/>
  <c r="K95" i="89"/>
  <c r="J95" i="89"/>
  <c r="H95" i="89"/>
  <c r="G95" i="89"/>
  <c r="E95" i="89"/>
  <c r="D95" i="89"/>
  <c r="O94" i="89"/>
  <c r="L94" i="89"/>
  <c r="I94" i="89"/>
  <c r="F94" i="89"/>
  <c r="O93" i="89"/>
  <c r="L93" i="89"/>
  <c r="I93" i="89"/>
  <c r="F93" i="89"/>
  <c r="O92" i="89"/>
  <c r="L92" i="89"/>
  <c r="I92" i="89"/>
  <c r="F92" i="89"/>
  <c r="O91" i="89"/>
  <c r="L91" i="89"/>
  <c r="I91" i="89"/>
  <c r="F91" i="89"/>
  <c r="O90" i="89"/>
  <c r="L90" i="89"/>
  <c r="I90" i="89"/>
  <c r="I89" i="89" s="1"/>
  <c r="F90" i="89"/>
  <c r="N89" i="89"/>
  <c r="M89" i="89"/>
  <c r="K89" i="89"/>
  <c r="J89" i="89"/>
  <c r="H89" i="89"/>
  <c r="G89" i="89"/>
  <c r="E89" i="89"/>
  <c r="D89" i="89"/>
  <c r="O88" i="89"/>
  <c r="L88" i="89"/>
  <c r="I88" i="89"/>
  <c r="F88" i="89"/>
  <c r="O87" i="89"/>
  <c r="L87" i="89"/>
  <c r="I87" i="89"/>
  <c r="F87" i="89"/>
  <c r="O86" i="89"/>
  <c r="L86" i="89"/>
  <c r="I86" i="89"/>
  <c r="F86" i="89"/>
  <c r="O85" i="89"/>
  <c r="L85" i="89"/>
  <c r="I85" i="89"/>
  <c r="F85" i="89"/>
  <c r="N84" i="89"/>
  <c r="M84" i="89"/>
  <c r="M83" i="89" s="1"/>
  <c r="K84" i="89"/>
  <c r="J84" i="89"/>
  <c r="H84" i="89"/>
  <c r="H83" i="89" s="1"/>
  <c r="G84" i="89"/>
  <c r="E84" i="89"/>
  <c r="D84" i="89"/>
  <c r="O82" i="89"/>
  <c r="L82" i="89"/>
  <c r="I82" i="89"/>
  <c r="F82" i="89"/>
  <c r="O81" i="89"/>
  <c r="O80" i="89" s="1"/>
  <c r="L81" i="89"/>
  <c r="L80" i="89" s="1"/>
  <c r="I81" i="89"/>
  <c r="F81" i="89"/>
  <c r="F80" i="89" s="1"/>
  <c r="N80" i="89"/>
  <c r="M80" i="89"/>
  <c r="K80" i="89"/>
  <c r="J80" i="89"/>
  <c r="H80" i="89"/>
  <c r="G80" i="89"/>
  <c r="E80" i="89"/>
  <c r="D80" i="89"/>
  <c r="O79" i="89"/>
  <c r="L79" i="89"/>
  <c r="I79" i="89"/>
  <c r="F79" i="89"/>
  <c r="O78" i="89"/>
  <c r="L78" i="89"/>
  <c r="L77" i="89" s="1"/>
  <c r="I78" i="89"/>
  <c r="F78" i="89"/>
  <c r="F77" i="89" s="1"/>
  <c r="O77" i="89"/>
  <c r="N77" i="89"/>
  <c r="M77" i="89"/>
  <c r="K77" i="89"/>
  <c r="K76" i="89" s="1"/>
  <c r="J77" i="89"/>
  <c r="J76" i="89" s="1"/>
  <c r="H77" i="89"/>
  <c r="G77" i="89"/>
  <c r="E77" i="89"/>
  <c r="E76" i="89" s="1"/>
  <c r="D77" i="89"/>
  <c r="N76" i="89"/>
  <c r="H76" i="89"/>
  <c r="O74" i="89"/>
  <c r="L74" i="89"/>
  <c r="I74" i="89"/>
  <c r="F74" i="89"/>
  <c r="O73" i="89"/>
  <c r="L73" i="89"/>
  <c r="I73" i="89"/>
  <c r="F73" i="89"/>
  <c r="O72" i="89"/>
  <c r="L72" i="89"/>
  <c r="I72" i="89"/>
  <c r="F72" i="89"/>
  <c r="O71" i="89"/>
  <c r="L71" i="89"/>
  <c r="I71" i="89"/>
  <c r="F71" i="89"/>
  <c r="O70" i="89"/>
  <c r="L70" i="89"/>
  <c r="L69" i="89" s="1"/>
  <c r="I70" i="89"/>
  <c r="F70" i="89"/>
  <c r="F69" i="89" s="1"/>
  <c r="O69" i="89"/>
  <c r="N69" i="89"/>
  <c r="N67" i="89" s="1"/>
  <c r="M69" i="89"/>
  <c r="M67" i="89" s="1"/>
  <c r="K69" i="89"/>
  <c r="K67" i="89" s="1"/>
  <c r="J69" i="89"/>
  <c r="J67" i="89" s="1"/>
  <c r="H69" i="89"/>
  <c r="G69" i="89"/>
  <c r="G67" i="89" s="1"/>
  <c r="E69" i="89"/>
  <c r="E67" i="89" s="1"/>
  <c r="D69" i="89"/>
  <c r="D67" i="89" s="1"/>
  <c r="O68" i="89"/>
  <c r="L68" i="89"/>
  <c r="I68" i="89"/>
  <c r="F68" i="89"/>
  <c r="H67" i="89"/>
  <c r="O66" i="89"/>
  <c r="L66" i="89"/>
  <c r="I66" i="89"/>
  <c r="F66" i="89"/>
  <c r="O65" i="89"/>
  <c r="L65" i="89"/>
  <c r="I65" i="89"/>
  <c r="F65" i="89"/>
  <c r="O64" i="89"/>
  <c r="L64" i="89"/>
  <c r="I64" i="89"/>
  <c r="F64" i="89"/>
  <c r="O63" i="89"/>
  <c r="L63" i="89"/>
  <c r="I63" i="89"/>
  <c r="F63" i="89"/>
  <c r="O62" i="89"/>
  <c r="L62" i="89"/>
  <c r="I62" i="89"/>
  <c r="F62" i="89"/>
  <c r="O61" i="89"/>
  <c r="C61" i="89" s="1"/>
  <c r="L61" i="89"/>
  <c r="I61" i="89"/>
  <c r="F61" i="89"/>
  <c r="O60" i="89"/>
  <c r="L60" i="89"/>
  <c r="I60" i="89"/>
  <c r="F60" i="89"/>
  <c r="O59" i="89"/>
  <c r="O58" i="89" s="1"/>
  <c r="L59" i="89"/>
  <c r="I59" i="89"/>
  <c r="I58" i="89" s="1"/>
  <c r="F59" i="89"/>
  <c r="F58" i="89" s="1"/>
  <c r="N58" i="89"/>
  <c r="M58" i="89"/>
  <c r="K58" i="89"/>
  <c r="J58" i="89"/>
  <c r="H58" i="89"/>
  <c r="G58" i="89"/>
  <c r="E58" i="89"/>
  <c r="D58" i="89"/>
  <c r="O57" i="89"/>
  <c r="L57" i="89"/>
  <c r="I57" i="89"/>
  <c r="F57" i="89"/>
  <c r="O56" i="89"/>
  <c r="L56" i="89"/>
  <c r="L55" i="89" s="1"/>
  <c r="I56" i="89"/>
  <c r="I55" i="89" s="1"/>
  <c r="I54" i="89" s="1"/>
  <c r="F56" i="89"/>
  <c r="N55" i="89"/>
  <c r="M55" i="89"/>
  <c r="M54" i="89" s="1"/>
  <c r="K55" i="89"/>
  <c r="K54" i="89" s="1"/>
  <c r="K53" i="89" s="1"/>
  <c r="J55" i="89"/>
  <c r="H55" i="89"/>
  <c r="H54" i="89" s="1"/>
  <c r="G55" i="89"/>
  <c r="G54" i="89" s="1"/>
  <c r="G53" i="89" s="1"/>
  <c r="E55" i="89"/>
  <c r="D55" i="89"/>
  <c r="J54" i="89"/>
  <c r="J53" i="89" s="1"/>
  <c r="O47" i="89"/>
  <c r="C47" i="89" s="1"/>
  <c r="O46" i="89"/>
  <c r="C46" i="89" s="1"/>
  <c r="N45" i="89"/>
  <c r="M45" i="89"/>
  <c r="L44" i="89"/>
  <c r="L43" i="89" s="1"/>
  <c r="I44" i="89"/>
  <c r="I43" i="89" s="1"/>
  <c r="F44" i="89"/>
  <c r="K43" i="89"/>
  <c r="J43" i="89"/>
  <c r="H43" i="89"/>
  <c r="G43" i="89"/>
  <c r="F43" i="89"/>
  <c r="E43" i="89"/>
  <c r="D43" i="89"/>
  <c r="F42" i="89"/>
  <c r="C42" i="89" s="1"/>
  <c r="E41" i="89"/>
  <c r="D41" i="89"/>
  <c r="L40" i="89"/>
  <c r="C40" i="89" s="1"/>
  <c r="L39" i="89"/>
  <c r="C39" i="89" s="1"/>
  <c r="L38" i="89"/>
  <c r="C38" i="89" s="1"/>
  <c r="L37" i="89"/>
  <c r="C37" i="89" s="1"/>
  <c r="K36" i="89"/>
  <c r="J36" i="89"/>
  <c r="L35" i="89"/>
  <c r="C35" i="89" s="1"/>
  <c r="L34" i="89"/>
  <c r="C34" i="89" s="1"/>
  <c r="K33" i="89"/>
  <c r="J33" i="89"/>
  <c r="L32" i="89"/>
  <c r="C32" i="89" s="1"/>
  <c r="K31" i="89"/>
  <c r="K26" i="89" s="1"/>
  <c r="J31" i="89"/>
  <c r="L30" i="89"/>
  <c r="C30" i="89" s="1"/>
  <c r="L29" i="89"/>
  <c r="C29" i="89" s="1"/>
  <c r="L28" i="89"/>
  <c r="K27" i="89"/>
  <c r="J27" i="89"/>
  <c r="F25" i="89"/>
  <c r="C25" i="89" s="1"/>
  <c r="I24" i="89"/>
  <c r="F24" i="89"/>
  <c r="O23" i="89"/>
  <c r="L23" i="89"/>
  <c r="I23" i="89"/>
  <c r="F23" i="89"/>
  <c r="O22" i="89"/>
  <c r="O21" i="89" s="1"/>
  <c r="O292" i="89" s="1"/>
  <c r="L22" i="89"/>
  <c r="L21" i="89" s="1"/>
  <c r="I22" i="89"/>
  <c r="F22" i="89"/>
  <c r="F21" i="89" s="1"/>
  <c r="F292" i="89" s="1"/>
  <c r="N21" i="89"/>
  <c r="M21" i="89"/>
  <c r="M292" i="89" s="1"/>
  <c r="K21" i="89"/>
  <c r="J21" i="89"/>
  <c r="J292" i="89" s="1"/>
  <c r="J291" i="89" s="1"/>
  <c r="H21" i="89"/>
  <c r="G21" i="89"/>
  <c r="G292" i="89" s="1"/>
  <c r="E21" i="89"/>
  <c r="E292" i="89" s="1"/>
  <c r="E291" i="89" s="1"/>
  <c r="D21" i="89"/>
  <c r="D292" i="89" s="1"/>
  <c r="N20" i="89"/>
  <c r="D20" i="89"/>
  <c r="H187" i="89" l="1"/>
  <c r="C250" i="89"/>
  <c r="L166" i="89"/>
  <c r="L165" i="89" s="1"/>
  <c r="M174" i="89"/>
  <c r="M173" i="89" s="1"/>
  <c r="E204" i="89"/>
  <c r="K204" i="89"/>
  <c r="M231" i="89"/>
  <c r="O246" i="89"/>
  <c r="G270" i="89"/>
  <c r="G269" i="89" s="1"/>
  <c r="F41" i="89"/>
  <c r="C41" i="89" s="1"/>
  <c r="O166" i="89"/>
  <c r="O165" i="89" s="1"/>
  <c r="C258" i="89"/>
  <c r="I260" i="89"/>
  <c r="N54" i="89"/>
  <c r="N53" i="89" s="1"/>
  <c r="O187" i="89"/>
  <c r="K259" i="89"/>
  <c r="K292" i="89"/>
  <c r="K291" i="89" s="1"/>
  <c r="C57" i="89"/>
  <c r="D54" i="89"/>
  <c r="D53" i="89" s="1"/>
  <c r="D76" i="89"/>
  <c r="C132" i="89"/>
  <c r="C156" i="89"/>
  <c r="K187" i="89"/>
  <c r="C234" i="89"/>
  <c r="O238" i="89"/>
  <c r="D270" i="89"/>
  <c r="C296" i="89"/>
  <c r="J187" i="89"/>
  <c r="H20" i="89"/>
  <c r="C71" i="89"/>
  <c r="G76" i="89"/>
  <c r="C107" i="89"/>
  <c r="C140" i="89"/>
  <c r="C164" i="89"/>
  <c r="C180" i="89"/>
  <c r="C181" i="89"/>
  <c r="C210" i="89"/>
  <c r="C213" i="89"/>
  <c r="H231" i="89"/>
  <c r="O260" i="89"/>
  <c r="N259" i="89"/>
  <c r="N230" i="89" s="1"/>
  <c r="N194" i="89" s="1"/>
  <c r="C274" i="89"/>
  <c r="C278" i="89"/>
  <c r="C279" i="89"/>
  <c r="H269" i="89"/>
  <c r="L84" i="89"/>
  <c r="L136" i="89"/>
  <c r="D291" i="89"/>
  <c r="C65" i="89"/>
  <c r="C105" i="89"/>
  <c r="C121" i="89"/>
  <c r="C126" i="89"/>
  <c r="C172" i="89"/>
  <c r="C176" i="89"/>
  <c r="G174" i="89"/>
  <c r="G173" i="89" s="1"/>
  <c r="K195" i="89"/>
  <c r="C206" i="89"/>
  <c r="C226" i="89"/>
  <c r="D230" i="89"/>
  <c r="C242" i="89"/>
  <c r="C244" i="89"/>
  <c r="C254" i="89"/>
  <c r="C257" i="89"/>
  <c r="C266" i="89"/>
  <c r="K269" i="89"/>
  <c r="I80" i="89"/>
  <c r="C81" i="89"/>
  <c r="H53" i="89"/>
  <c r="E83" i="89"/>
  <c r="E75" i="89" s="1"/>
  <c r="I84" i="89"/>
  <c r="C87" i="89"/>
  <c r="C101" i="89"/>
  <c r="F112" i="89"/>
  <c r="C117" i="89"/>
  <c r="J173" i="89"/>
  <c r="L131" i="89"/>
  <c r="M130" i="89"/>
  <c r="C28" i="89"/>
  <c r="L27" i="89"/>
  <c r="L175" i="89"/>
  <c r="L174" i="89" s="1"/>
  <c r="L173" i="89" s="1"/>
  <c r="L187" i="89"/>
  <c r="C218" i="89"/>
  <c r="C262" i="89"/>
  <c r="C22" i="89"/>
  <c r="M53" i="89"/>
  <c r="C60" i="89"/>
  <c r="C62" i="89"/>
  <c r="C64" i="89"/>
  <c r="M76" i="89"/>
  <c r="M75" i="89" s="1"/>
  <c r="C79" i="89"/>
  <c r="D83" i="89"/>
  <c r="J83" i="89"/>
  <c r="N83" i="89"/>
  <c r="G83" i="89"/>
  <c r="K83" i="89"/>
  <c r="C93" i="89"/>
  <c r="C100" i="89"/>
  <c r="I103" i="89"/>
  <c r="C109" i="89"/>
  <c r="C111" i="89"/>
  <c r="C115" i="89"/>
  <c r="L122" i="89"/>
  <c r="C150" i="89"/>
  <c r="C171" i="89"/>
  <c r="O173" i="89"/>
  <c r="C182" i="89"/>
  <c r="O196" i="89"/>
  <c r="H204" i="89"/>
  <c r="H195" i="89" s="1"/>
  <c r="C207" i="89"/>
  <c r="C212" i="89"/>
  <c r="O216" i="89"/>
  <c r="J204" i="89"/>
  <c r="J195" i="89" s="1"/>
  <c r="N204" i="89"/>
  <c r="N195" i="89" s="1"/>
  <c r="C243" i="89"/>
  <c r="O264" i="89"/>
  <c r="O272" i="89"/>
  <c r="C280" i="89"/>
  <c r="G291" i="89"/>
  <c r="M291" i="89"/>
  <c r="C23" i="89"/>
  <c r="C63" i="89"/>
  <c r="C66" i="89"/>
  <c r="C68" i="89"/>
  <c r="O67" i="89"/>
  <c r="C73" i="89"/>
  <c r="L76" i="89"/>
  <c r="C85" i="89"/>
  <c r="C86" i="89"/>
  <c r="C97" i="89"/>
  <c r="I95" i="89"/>
  <c r="C102" i="89"/>
  <c r="L112" i="89"/>
  <c r="C118" i="89"/>
  <c r="C133" i="89"/>
  <c r="C143" i="89"/>
  <c r="C154" i="89"/>
  <c r="C157" i="89"/>
  <c r="C159" i="89"/>
  <c r="C170" i="89"/>
  <c r="E187" i="89"/>
  <c r="D187" i="89"/>
  <c r="C201" i="89"/>
  <c r="D204" i="89"/>
  <c r="D195" i="89" s="1"/>
  <c r="C211" i="89"/>
  <c r="C219" i="89"/>
  <c r="C221" i="89"/>
  <c r="C227" i="89"/>
  <c r="F233" i="89"/>
  <c r="C233" i="89" s="1"/>
  <c r="C267" i="89"/>
  <c r="C282" i="89"/>
  <c r="C294" i="89"/>
  <c r="L293" i="89"/>
  <c r="H230" i="89"/>
  <c r="I270" i="89"/>
  <c r="I269" i="89" s="1"/>
  <c r="D269" i="89"/>
  <c r="H292" i="89"/>
  <c r="H291" i="89" s="1"/>
  <c r="N292" i="89"/>
  <c r="N291" i="89" s="1"/>
  <c r="J26" i="89"/>
  <c r="C44" i="89"/>
  <c r="E54" i="89"/>
  <c r="E53" i="89" s="1"/>
  <c r="E52" i="89" s="1"/>
  <c r="C56" i="89"/>
  <c r="O55" i="89"/>
  <c r="L58" i="89"/>
  <c r="C58" i="89" s="1"/>
  <c r="C72" i="89"/>
  <c r="C74" i="89"/>
  <c r="C82" i="89"/>
  <c r="O89" i="89"/>
  <c r="C106" i="89"/>
  <c r="O103" i="89"/>
  <c r="I116" i="89"/>
  <c r="C119" i="89"/>
  <c r="C124" i="89"/>
  <c r="C125" i="89"/>
  <c r="C127" i="89"/>
  <c r="C134" i="89"/>
  <c r="K130" i="89"/>
  <c r="C139" i="89"/>
  <c r="F144" i="89"/>
  <c r="C147" i="89"/>
  <c r="L151" i="89"/>
  <c r="C158" i="89"/>
  <c r="C163" i="89"/>
  <c r="C178" i="89"/>
  <c r="G187" i="89"/>
  <c r="G195" i="89"/>
  <c r="C203" i="89"/>
  <c r="C215" i="89"/>
  <c r="M204" i="89"/>
  <c r="M195" i="89" s="1"/>
  <c r="C223" i="89"/>
  <c r="C225" i="89"/>
  <c r="C228" i="89"/>
  <c r="C229" i="89"/>
  <c r="O231" i="89"/>
  <c r="K231" i="89"/>
  <c r="K230" i="89" s="1"/>
  <c r="C245" i="89"/>
  <c r="O252" i="89"/>
  <c r="O251" i="89" s="1"/>
  <c r="L260" i="89"/>
  <c r="L264" i="89"/>
  <c r="M269" i="89"/>
  <c r="L272" i="89"/>
  <c r="O276" i="89"/>
  <c r="C295" i="89"/>
  <c r="C43" i="89"/>
  <c r="C80" i="89"/>
  <c r="L292" i="89"/>
  <c r="J20" i="89"/>
  <c r="O54" i="89"/>
  <c r="O53" i="89" s="1"/>
  <c r="O76" i="89"/>
  <c r="L67" i="89"/>
  <c r="F76" i="89"/>
  <c r="C24" i="89"/>
  <c r="F20" i="89"/>
  <c r="C91" i="89"/>
  <c r="C120" i="89"/>
  <c r="F116" i="89"/>
  <c r="C135" i="89"/>
  <c r="F131" i="89"/>
  <c r="C146" i="89"/>
  <c r="I144" i="89"/>
  <c r="C167" i="89"/>
  <c r="F166" i="89"/>
  <c r="C175" i="89"/>
  <c r="C208" i="89"/>
  <c r="I205" i="89"/>
  <c r="C301" i="89"/>
  <c r="E20" i="89"/>
  <c r="M20" i="89"/>
  <c r="C27" i="89"/>
  <c r="F55" i="89"/>
  <c r="F67" i="89"/>
  <c r="C70" i="89"/>
  <c r="C78" i="89"/>
  <c r="C88" i="89"/>
  <c r="C92" i="89"/>
  <c r="C96" i="89"/>
  <c r="F95" i="89"/>
  <c r="L103" i="89"/>
  <c r="C108" i="89"/>
  <c r="C113" i="89"/>
  <c r="H130" i="89"/>
  <c r="H75" i="89" s="1"/>
  <c r="L144" i="89"/>
  <c r="O151" i="89"/>
  <c r="O130" i="89" s="1"/>
  <c r="C169" i="89"/>
  <c r="C177" i="89"/>
  <c r="C190" i="89"/>
  <c r="I188" i="89"/>
  <c r="I187" i="89" s="1"/>
  <c r="C268" i="89"/>
  <c r="I264" i="89"/>
  <c r="I259" i="89" s="1"/>
  <c r="I21" i="89"/>
  <c r="L31" i="89"/>
  <c r="C31" i="89" s="1"/>
  <c r="C59" i="89"/>
  <c r="I69" i="89"/>
  <c r="I67" i="89" s="1"/>
  <c r="I53" i="89" s="1"/>
  <c r="I77" i="89"/>
  <c r="I76" i="89" s="1"/>
  <c r="F84" i="89"/>
  <c r="L89" i="89"/>
  <c r="L83" i="89" s="1"/>
  <c r="C94" i="89"/>
  <c r="C98" i="89"/>
  <c r="C99" i="89"/>
  <c r="C110" i="89"/>
  <c r="C114" i="89"/>
  <c r="D130" i="89"/>
  <c r="D75" i="89" s="1"/>
  <c r="J130" i="89"/>
  <c r="J75" i="89" s="1"/>
  <c r="N130" i="89"/>
  <c r="N75" i="89" s="1"/>
  <c r="I141" i="89"/>
  <c r="C141" i="89" s="1"/>
  <c r="C142" i="89"/>
  <c r="C153" i="89"/>
  <c r="C155" i="89"/>
  <c r="F151" i="89"/>
  <c r="C162" i="89"/>
  <c r="I160" i="89"/>
  <c r="C160" i="89" s="1"/>
  <c r="H174" i="89"/>
  <c r="H173" i="89" s="1"/>
  <c r="C186" i="89"/>
  <c r="I184" i="89"/>
  <c r="C184" i="89" s="1"/>
  <c r="C200" i="89"/>
  <c r="I198" i="89"/>
  <c r="I196" i="89" s="1"/>
  <c r="C261" i="89"/>
  <c r="F260" i="89"/>
  <c r="L33" i="89"/>
  <c r="C33" i="89" s="1"/>
  <c r="L36" i="89"/>
  <c r="C36" i="89" s="1"/>
  <c r="O45" i="89"/>
  <c r="O20" i="89" s="1"/>
  <c r="F89" i="89"/>
  <c r="C90" i="89"/>
  <c r="G20" i="89"/>
  <c r="K20" i="89"/>
  <c r="O84" i="89"/>
  <c r="L95" i="89"/>
  <c r="C104" i="89"/>
  <c r="F103" i="89"/>
  <c r="O116" i="89"/>
  <c r="F122" i="89"/>
  <c r="I122" i="89"/>
  <c r="C123" i="89"/>
  <c r="G130" i="89"/>
  <c r="C138" i="89"/>
  <c r="I136" i="89"/>
  <c r="I151" i="89"/>
  <c r="I166" i="89"/>
  <c r="I165" i="89" s="1"/>
  <c r="C183" i="89"/>
  <c r="F179" i="89"/>
  <c r="C179" i="89" s="1"/>
  <c r="C220" i="89"/>
  <c r="I216" i="89"/>
  <c r="C237" i="89"/>
  <c r="F235" i="89"/>
  <c r="C256" i="89"/>
  <c r="I252" i="89"/>
  <c r="I251" i="89" s="1"/>
  <c r="C129" i="89"/>
  <c r="C137" i="89"/>
  <c r="C145" i="89"/>
  <c r="C161" i="89"/>
  <c r="C185" i="89"/>
  <c r="C189" i="89"/>
  <c r="C197" i="89"/>
  <c r="F196" i="89"/>
  <c r="D194" i="89"/>
  <c r="L216" i="89"/>
  <c r="I235" i="89"/>
  <c r="C236" i="89"/>
  <c r="C249" i="89"/>
  <c r="F246" i="89"/>
  <c r="L252" i="89"/>
  <c r="L251" i="89" s="1"/>
  <c r="C255" i="89"/>
  <c r="C263" i="89"/>
  <c r="E270" i="89"/>
  <c r="E269" i="89" s="1"/>
  <c r="C273" i="89"/>
  <c r="F272" i="89"/>
  <c r="L276" i="89"/>
  <c r="C288" i="89"/>
  <c r="I286" i="89"/>
  <c r="C300" i="89"/>
  <c r="O205" i="89"/>
  <c r="O204" i="89" s="1"/>
  <c r="O195" i="89" s="1"/>
  <c r="C217" i="89"/>
  <c r="F216" i="89"/>
  <c r="J230" i="89"/>
  <c r="J194" i="89" s="1"/>
  <c r="C232" i="89"/>
  <c r="C239" i="89"/>
  <c r="C241" i="89"/>
  <c r="F238" i="89"/>
  <c r="C248" i="89"/>
  <c r="I246" i="89"/>
  <c r="E230" i="89"/>
  <c r="C253" i="89"/>
  <c r="F252" i="89"/>
  <c r="M259" i="89"/>
  <c r="M230" i="89" s="1"/>
  <c r="C265" i="89"/>
  <c r="F264" i="89"/>
  <c r="C275" i="89"/>
  <c r="C281" i="89"/>
  <c r="C285" i="89"/>
  <c r="F284" i="89"/>
  <c r="C193" i="89"/>
  <c r="F192" i="89"/>
  <c r="E195" i="89"/>
  <c r="L196" i="89"/>
  <c r="L205" i="89"/>
  <c r="L204" i="89" s="1"/>
  <c r="C209" i="89"/>
  <c r="F205" i="89"/>
  <c r="G231" i="89"/>
  <c r="G230" i="89" s="1"/>
  <c r="G194" i="89" s="1"/>
  <c r="C240" i="89"/>
  <c r="I238" i="89"/>
  <c r="C247" i="89"/>
  <c r="L246" i="89"/>
  <c r="L231" i="89" s="1"/>
  <c r="L259" i="89"/>
  <c r="C277" i="89"/>
  <c r="F276" i="89"/>
  <c r="C297" i="89"/>
  <c r="F293" i="89"/>
  <c r="O291" i="89"/>
  <c r="C199" i="89"/>
  <c r="C271" i="89"/>
  <c r="C287" i="89"/>
  <c r="F174" i="89" l="1"/>
  <c r="C89" i="89"/>
  <c r="O270" i="89"/>
  <c r="O269" i="89" s="1"/>
  <c r="H194" i="89"/>
  <c r="O259" i="89"/>
  <c r="L130" i="89"/>
  <c r="C103" i="89"/>
  <c r="K194" i="89"/>
  <c r="K75" i="89"/>
  <c r="K52" i="89" s="1"/>
  <c r="L270" i="89"/>
  <c r="L269" i="89" s="1"/>
  <c r="M194" i="89"/>
  <c r="M52" i="89"/>
  <c r="C112" i="89"/>
  <c r="M289" i="89"/>
  <c r="K51" i="89"/>
  <c r="C293" i="89"/>
  <c r="E289" i="89"/>
  <c r="C246" i="89"/>
  <c r="I83" i="89"/>
  <c r="L291" i="89"/>
  <c r="L54" i="89"/>
  <c r="L53" i="89" s="1"/>
  <c r="L75" i="89"/>
  <c r="I231" i="89"/>
  <c r="I230" i="89" s="1"/>
  <c r="G75" i="89"/>
  <c r="G289" i="89" s="1"/>
  <c r="C188" i="89"/>
  <c r="C95" i="89"/>
  <c r="C276" i="89"/>
  <c r="E194" i="89"/>
  <c r="C264" i="89"/>
  <c r="C272" i="89"/>
  <c r="C144" i="89"/>
  <c r="O230" i="89"/>
  <c r="O194" i="89" s="1"/>
  <c r="D289" i="89"/>
  <c r="D52" i="89"/>
  <c r="D51" i="89" s="1"/>
  <c r="N52" i="89"/>
  <c r="N51" i="89" s="1"/>
  <c r="N289" i="89"/>
  <c r="J289" i="89"/>
  <c r="J52" i="89"/>
  <c r="J51" i="89" s="1"/>
  <c r="H52" i="89"/>
  <c r="H51" i="89" s="1"/>
  <c r="H289" i="89"/>
  <c r="C238" i="89"/>
  <c r="L230" i="89"/>
  <c r="F270" i="89"/>
  <c r="C192" i="89"/>
  <c r="F191" i="89"/>
  <c r="C151" i="89"/>
  <c r="I292" i="89"/>
  <c r="I20" i="89"/>
  <c r="C21" i="89"/>
  <c r="C67" i="89"/>
  <c r="C116" i="89"/>
  <c r="C77" i="89"/>
  <c r="L195" i="89"/>
  <c r="C216" i="89"/>
  <c r="C122" i="89"/>
  <c r="C198" i="89"/>
  <c r="C55" i="89"/>
  <c r="F54" i="89"/>
  <c r="F291" i="89"/>
  <c r="I204" i="89"/>
  <c r="I195" i="89" s="1"/>
  <c r="C166" i="89"/>
  <c r="F165" i="89"/>
  <c r="C165" i="89" s="1"/>
  <c r="C131" i="89"/>
  <c r="F130" i="89"/>
  <c r="C76" i="89"/>
  <c r="C69" i="89"/>
  <c r="C252" i="89"/>
  <c r="F251" i="89"/>
  <c r="C251" i="89" s="1"/>
  <c r="C196" i="89"/>
  <c r="C174" i="89"/>
  <c r="F173" i="89"/>
  <c r="O83" i="89"/>
  <c r="O75" i="89" s="1"/>
  <c r="C286" i="89"/>
  <c r="C260" i="89"/>
  <c r="F259" i="89"/>
  <c r="C259" i="89" s="1"/>
  <c r="C84" i="89"/>
  <c r="F83" i="89"/>
  <c r="C205" i="89"/>
  <c r="F204" i="89"/>
  <c r="C204" i="89" s="1"/>
  <c r="C284" i="89"/>
  <c r="F283" i="89"/>
  <c r="C283" i="89" s="1"/>
  <c r="C235" i="89"/>
  <c r="F231" i="89"/>
  <c r="C136" i="89"/>
  <c r="I130" i="89"/>
  <c r="C45" i="89"/>
  <c r="I75" i="89"/>
  <c r="I173" i="89"/>
  <c r="E51" i="89"/>
  <c r="L26" i="89"/>
  <c r="M51" i="89" l="1"/>
  <c r="I52" i="89"/>
  <c r="L194" i="89"/>
  <c r="O289" i="89"/>
  <c r="K289" i="89"/>
  <c r="C173" i="89"/>
  <c r="G52" i="89"/>
  <c r="G51" i="89" s="1"/>
  <c r="G50" i="89" s="1"/>
  <c r="K50" i="89"/>
  <c r="K290" i="89"/>
  <c r="C83" i="89"/>
  <c r="F195" i="89"/>
  <c r="C195" i="89" s="1"/>
  <c r="L52" i="89"/>
  <c r="L51" i="89" s="1"/>
  <c r="L50" i="89" s="1"/>
  <c r="I194" i="89"/>
  <c r="I51" i="89" s="1"/>
  <c r="I289" i="89"/>
  <c r="F269" i="89"/>
  <c r="C270" i="89"/>
  <c r="O52" i="89"/>
  <c r="O51" i="89" s="1"/>
  <c r="C130" i="89"/>
  <c r="H290" i="89"/>
  <c r="H50" i="89"/>
  <c r="C26" i="89"/>
  <c r="L20" i="89"/>
  <c r="C20" i="89" s="1"/>
  <c r="C191" i="89"/>
  <c r="F187" i="89"/>
  <c r="C187" i="89" s="1"/>
  <c r="J50" i="89"/>
  <c r="J290" i="89"/>
  <c r="L289" i="89"/>
  <c r="N50" i="89"/>
  <c r="N290" i="89"/>
  <c r="D290" i="89"/>
  <c r="D50" i="89"/>
  <c r="E290" i="89"/>
  <c r="E50" i="89"/>
  <c r="F230" i="89"/>
  <c r="C230" i="89" s="1"/>
  <c r="C231" i="89"/>
  <c r="F75" i="89"/>
  <c r="C75" i="89" s="1"/>
  <c r="F53" i="89"/>
  <c r="C54" i="89"/>
  <c r="I291" i="89"/>
  <c r="C291" i="89" s="1"/>
  <c r="C292" i="89"/>
  <c r="M290" i="89" l="1"/>
  <c r="M50" i="89"/>
  <c r="G290" i="89"/>
  <c r="L290" i="89"/>
  <c r="I290" i="89"/>
  <c r="I50" i="89"/>
  <c r="F52" i="89"/>
  <c r="C53" i="89"/>
  <c r="O50" i="89"/>
  <c r="O290" i="89"/>
  <c r="F194" i="89"/>
  <c r="C194" i="89" s="1"/>
  <c r="C269" i="89"/>
  <c r="F289" i="89"/>
  <c r="C289" i="89" s="1"/>
  <c r="C52" i="89" l="1"/>
  <c r="F51" i="89"/>
  <c r="F290" i="89" l="1"/>
  <c r="C290" i="89" s="1"/>
  <c r="C51" i="89"/>
  <c r="F50" i="89"/>
  <c r="C50" i="89" s="1"/>
  <c r="O301" i="88" l="1"/>
  <c r="L301" i="88"/>
  <c r="I301" i="88"/>
  <c r="F301" i="88"/>
  <c r="O300" i="88"/>
  <c r="L300" i="88"/>
  <c r="I300" i="88"/>
  <c r="F300" i="88"/>
  <c r="O299" i="88"/>
  <c r="L299" i="88"/>
  <c r="I299" i="88"/>
  <c r="F299" i="88"/>
  <c r="C299" i="88" s="1"/>
  <c r="O298" i="88"/>
  <c r="L298" i="88"/>
  <c r="I298" i="88"/>
  <c r="F298" i="88"/>
  <c r="C298" i="88" s="1"/>
  <c r="O297" i="88"/>
  <c r="L297" i="88"/>
  <c r="I297" i="88"/>
  <c r="F297" i="88"/>
  <c r="O296" i="88"/>
  <c r="L296" i="88"/>
  <c r="I296" i="88"/>
  <c r="F296" i="88"/>
  <c r="O295" i="88"/>
  <c r="L295" i="88"/>
  <c r="I295" i="88"/>
  <c r="F295" i="88"/>
  <c r="O294" i="88"/>
  <c r="O293" i="88" s="1"/>
  <c r="L294" i="88"/>
  <c r="I294" i="88"/>
  <c r="F294" i="88"/>
  <c r="N293" i="88"/>
  <c r="M293" i="88"/>
  <c r="K293" i="88"/>
  <c r="J293" i="88"/>
  <c r="H293" i="88"/>
  <c r="G293" i="88"/>
  <c r="E293" i="88"/>
  <c r="D293" i="88"/>
  <c r="O288" i="88"/>
  <c r="L288" i="88"/>
  <c r="I288" i="88"/>
  <c r="F288" i="88"/>
  <c r="O287" i="88"/>
  <c r="L287" i="88"/>
  <c r="L286" i="88" s="1"/>
  <c r="I287" i="88"/>
  <c r="F287" i="88"/>
  <c r="O286" i="88"/>
  <c r="N286" i="88"/>
  <c r="M286" i="88"/>
  <c r="K286" i="88"/>
  <c r="J286" i="88"/>
  <c r="H286" i="88"/>
  <c r="G286" i="88"/>
  <c r="F286" i="88"/>
  <c r="E286" i="88"/>
  <c r="D286" i="88"/>
  <c r="O285" i="88"/>
  <c r="L285" i="88"/>
  <c r="L284" i="88" s="1"/>
  <c r="L283" i="88" s="1"/>
  <c r="I285" i="88"/>
  <c r="F285" i="88"/>
  <c r="O284" i="88"/>
  <c r="N284" i="88"/>
  <c r="N283" i="88" s="1"/>
  <c r="M284" i="88"/>
  <c r="M283" i="88" s="1"/>
  <c r="K284" i="88"/>
  <c r="J284" i="88"/>
  <c r="J283" i="88" s="1"/>
  <c r="I284" i="88"/>
  <c r="I283" i="88" s="1"/>
  <c r="H284" i="88"/>
  <c r="H283" i="88" s="1"/>
  <c r="G284" i="88"/>
  <c r="G283" i="88" s="1"/>
  <c r="E284" i="88"/>
  <c r="E283" i="88" s="1"/>
  <c r="D284" i="88"/>
  <c r="D283" i="88" s="1"/>
  <c r="O283" i="88"/>
  <c r="K283" i="88"/>
  <c r="O282" i="88"/>
  <c r="O281" i="88" s="1"/>
  <c r="L282" i="88"/>
  <c r="L281" i="88" s="1"/>
  <c r="I282" i="88"/>
  <c r="I281" i="88" s="1"/>
  <c r="F282" i="88"/>
  <c r="N281" i="88"/>
  <c r="M281" i="88"/>
  <c r="K281" i="88"/>
  <c r="J281" i="88"/>
  <c r="H281" i="88"/>
  <c r="G281" i="88"/>
  <c r="F281" i="88"/>
  <c r="E281" i="88"/>
  <c r="D281" i="88"/>
  <c r="O280" i="88"/>
  <c r="L280" i="88"/>
  <c r="I280" i="88"/>
  <c r="F280" i="88"/>
  <c r="O279" i="88"/>
  <c r="L279" i="88"/>
  <c r="I279" i="88"/>
  <c r="F279" i="88"/>
  <c r="O278" i="88"/>
  <c r="L278" i="88"/>
  <c r="I278" i="88"/>
  <c r="F278" i="88"/>
  <c r="O277" i="88"/>
  <c r="L277" i="88"/>
  <c r="I277" i="88"/>
  <c r="I276" i="88" s="1"/>
  <c r="F277" i="88"/>
  <c r="N276" i="88"/>
  <c r="M276" i="88"/>
  <c r="K276" i="88"/>
  <c r="J276" i="88"/>
  <c r="H276" i="88"/>
  <c r="G276" i="88"/>
  <c r="E276" i="88"/>
  <c r="D276" i="88"/>
  <c r="O275" i="88"/>
  <c r="L275" i="88"/>
  <c r="I275" i="88"/>
  <c r="F275" i="88"/>
  <c r="O274" i="88"/>
  <c r="L274" i="88"/>
  <c r="C274" i="88" s="1"/>
  <c r="I274" i="88"/>
  <c r="F274" i="88"/>
  <c r="O273" i="88"/>
  <c r="L273" i="88"/>
  <c r="I273" i="88"/>
  <c r="F273" i="88"/>
  <c r="N272" i="88"/>
  <c r="N270" i="88" s="1"/>
  <c r="N269" i="88" s="1"/>
  <c r="M272" i="88"/>
  <c r="K272" i="88"/>
  <c r="J272" i="88"/>
  <c r="I272" i="88"/>
  <c r="H272" i="88"/>
  <c r="G272" i="88"/>
  <c r="E272" i="88"/>
  <c r="D272" i="88"/>
  <c r="D270" i="88" s="1"/>
  <c r="O271" i="88"/>
  <c r="L271" i="88"/>
  <c r="I271" i="88"/>
  <c r="F271" i="88"/>
  <c r="K270" i="88"/>
  <c r="O268" i="88"/>
  <c r="L268" i="88"/>
  <c r="I268" i="88"/>
  <c r="F268" i="88"/>
  <c r="O267" i="88"/>
  <c r="L267" i="88"/>
  <c r="I267" i="88"/>
  <c r="F267" i="88"/>
  <c r="O266" i="88"/>
  <c r="L266" i="88"/>
  <c r="I266" i="88"/>
  <c r="F266" i="88"/>
  <c r="C266" i="88" s="1"/>
  <c r="O265" i="88"/>
  <c r="L265" i="88"/>
  <c r="I265" i="88"/>
  <c r="F265" i="88"/>
  <c r="N264" i="88"/>
  <c r="M264" i="88"/>
  <c r="K264" i="88"/>
  <c r="J264" i="88"/>
  <c r="H264" i="88"/>
  <c r="G264" i="88"/>
  <c r="E264" i="88"/>
  <c r="D264" i="88"/>
  <c r="O263" i="88"/>
  <c r="L263" i="88"/>
  <c r="I263" i="88"/>
  <c r="F263" i="88"/>
  <c r="O262" i="88"/>
  <c r="L262" i="88"/>
  <c r="I262" i="88"/>
  <c r="F262" i="88"/>
  <c r="O261" i="88"/>
  <c r="L261" i="88"/>
  <c r="I261" i="88"/>
  <c r="I260" i="88" s="1"/>
  <c r="F261" i="88"/>
  <c r="N260" i="88"/>
  <c r="N259" i="88" s="1"/>
  <c r="M260" i="88"/>
  <c r="K260" i="88"/>
  <c r="J260" i="88"/>
  <c r="H260" i="88"/>
  <c r="G260" i="88"/>
  <c r="G259" i="88" s="1"/>
  <c r="E260" i="88"/>
  <c r="E259" i="88" s="1"/>
  <c r="D260" i="88"/>
  <c r="K259" i="88"/>
  <c r="H259" i="88"/>
  <c r="O258" i="88"/>
  <c r="L258" i="88"/>
  <c r="I258" i="88"/>
  <c r="F258" i="88"/>
  <c r="O257" i="88"/>
  <c r="L257" i="88"/>
  <c r="I257" i="88"/>
  <c r="F257" i="88"/>
  <c r="O256" i="88"/>
  <c r="L256" i="88"/>
  <c r="I256" i="88"/>
  <c r="F256" i="88"/>
  <c r="O255" i="88"/>
  <c r="L255" i="88"/>
  <c r="I255" i="88"/>
  <c r="F255" i="88"/>
  <c r="O254" i="88"/>
  <c r="L254" i="88"/>
  <c r="I254" i="88"/>
  <c r="F254" i="88"/>
  <c r="O253" i="88"/>
  <c r="L253" i="88"/>
  <c r="I253" i="88"/>
  <c r="F253" i="88"/>
  <c r="N252" i="88"/>
  <c r="M252" i="88"/>
  <c r="M251" i="88" s="1"/>
  <c r="K252" i="88"/>
  <c r="J252" i="88"/>
  <c r="J251" i="88" s="1"/>
  <c r="H252" i="88"/>
  <c r="G252" i="88"/>
  <c r="G251" i="88" s="1"/>
  <c r="E252" i="88"/>
  <c r="E251" i="88" s="1"/>
  <c r="D252" i="88"/>
  <c r="N251" i="88"/>
  <c r="K251" i="88"/>
  <c r="H251" i="88"/>
  <c r="D251" i="88"/>
  <c r="O250" i="88"/>
  <c r="L250" i="88"/>
  <c r="I250" i="88"/>
  <c r="F250" i="88"/>
  <c r="O249" i="88"/>
  <c r="L249" i="88"/>
  <c r="I249" i="88"/>
  <c r="F249" i="88"/>
  <c r="O248" i="88"/>
  <c r="L248" i="88"/>
  <c r="I248" i="88"/>
  <c r="F248" i="88"/>
  <c r="O247" i="88"/>
  <c r="L247" i="88"/>
  <c r="I247" i="88"/>
  <c r="F247" i="88"/>
  <c r="O246" i="88"/>
  <c r="N246" i="88"/>
  <c r="M246" i="88"/>
  <c r="K246" i="88"/>
  <c r="J246" i="88"/>
  <c r="H246" i="88"/>
  <c r="G246" i="88"/>
  <c r="E246" i="88"/>
  <c r="D246" i="88"/>
  <c r="O245" i="88"/>
  <c r="L245" i="88"/>
  <c r="I245" i="88"/>
  <c r="F245" i="88"/>
  <c r="O244" i="88"/>
  <c r="L244" i="88"/>
  <c r="I244" i="88"/>
  <c r="F244" i="88"/>
  <c r="O243" i="88"/>
  <c r="L243" i="88"/>
  <c r="I243" i="88"/>
  <c r="F243" i="88"/>
  <c r="O242" i="88"/>
  <c r="L242" i="88"/>
  <c r="I242" i="88"/>
  <c r="F242" i="88"/>
  <c r="O241" i="88"/>
  <c r="L241" i="88"/>
  <c r="I241" i="88"/>
  <c r="F241" i="88"/>
  <c r="O240" i="88"/>
  <c r="L240" i="88"/>
  <c r="I240" i="88"/>
  <c r="F240" i="88"/>
  <c r="O239" i="88"/>
  <c r="L239" i="88"/>
  <c r="I239" i="88"/>
  <c r="F239" i="88"/>
  <c r="N238" i="88"/>
  <c r="M238" i="88"/>
  <c r="K238" i="88"/>
  <c r="J238" i="88"/>
  <c r="H238" i="88"/>
  <c r="G238" i="88"/>
  <c r="E238" i="88"/>
  <c r="D238" i="88"/>
  <c r="O237" i="88"/>
  <c r="L237" i="88"/>
  <c r="I237" i="88"/>
  <c r="F237" i="88"/>
  <c r="O236" i="88"/>
  <c r="L236" i="88"/>
  <c r="I236" i="88"/>
  <c r="F236" i="88"/>
  <c r="O235" i="88"/>
  <c r="N235" i="88"/>
  <c r="M235" i="88"/>
  <c r="L235" i="88"/>
  <c r="K235" i="88"/>
  <c r="J235" i="88"/>
  <c r="H235" i="88"/>
  <c r="G235" i="88"/>
  <c r="E235" i="88"/>
  <c r="D235" i="88"/>
  <c r="O234" i="88"/>
  <c r="O233" i="88" s="1"/>
  <c r="L234" i="88"/>
  <c r="L233" i="88" s="1"/>
  <c r="I234" i="88"/>
  <c r="F234" i="88"/>
  <c r="F233" i="88" s="1"/>
  <c r="N233" i="88"/>
  <c r="M233" i="88"/>
  <c r="K233" i="88"/>
  <c r="J233" i="88"/>
  <c r="I233" i="88"/>
  <c r="H233" i="88"/>
  <c r="H231" i="88" s="1"/>
  <c r="H230" i="88" s="1"/>
  <c r="G233" i="88"/>
  <c r="E233" i="88"/>
  <c r="D233" i="88"/>
  <c r="O232" i="88"/>
  <c r="L232" i="88"/>
  <c r="I232" i="88"/>
  <c r="F232" i="88"/>
  <c r="E231" i="88"/>
  <c r="O229" i="88"/>
  <c r="L229" i="88"/>
  <c r="I229" i="88"/>
  <c r="F229" i="88"/>
  <c r="O228" i="88"/>
  <c r="L228" i="88"/>
  <c r="I228" i="88"/>
  <c r="I227" i="88" s="1"/>
  <c r="F228" i="88"/>
  <c r="F227" i="88" s="1"/>
  <c r="O227" i="88"/>
  <c r="N227" i="88"/>
  <c r="M227" i="88"/>
  <c r="L227" i="88"/>
  <c r="K227" i="88"/>
  <c r="J227" i="88"/>
  <c r="H227" i="88"/>
  <c r="G227" i="88"/>
  <c r="E227" i="88"/>
  <c r="D227" i="88"/>
  <c r="O226" i="88"/>
  <c r="L226" i="88"/>
  <c r="I226" i="88"/>
  <c r="F226" i="88"/>
  <c r="O225" i="88"/>
  <c r="L225" i="88"/>
  <c r="I225" i="88"/>
  <c r="F225" i="88"/>
  <c r="O224" i="88"/>
  <c r="L224" i="88"/>
  <c r="I224" i="88"/>
  <c r="F224" i="88"/>
  <c r="O223" i="88"/>
  <c r="L223" i="88"/>
  <c r="I223" i="88"/>
  <c r="F223" i="88"/>
  <c r="O222" i="88"/>
  <c r="L222" i="88"/>
  <c r="C222" i="88" s="1"/>
  <c r="I222" i="88"/>
  <c r="F222" i="88"/>
  <c r="O221" i="88"/>
  <c r="L221" i="88"/>
  <c r="I221" i="88"/>
  <c r="F221" i="88"/>
  <c r="O220" i="88"/>
  <c r="L220" i="88"/>
  <c r="I220" i="88"/>
  <c r="F220" i="88"/>
  <c r="O219" i="88"/>
  <c r="L219" i="88"/>
  <c r="I219" i="88"/>
  <c r="F219" i="88"/>
  <c r="O218" i="88"/>
  <c r="L218" i="88"/>
  <c r="I218" i="88"/>
  <c r="F218" i="88"/>
  <c r="O217" i="88"/>
  <c r="L217" i="88"/>
  <c r="I217" i="88"/>
  <c r="F217" i="88"/>
  <c r="N216" i="88"/>
  <c r="M216" i="88"/>
  <c r="K216" i="88"/>
  <c r="J216" i="88"/>
  <c r="H216" i="88"/>
  <c r="G216" i="88"/>
  <c r="E216" i="88"/>
  <c r="D216" i="88"/>
  <c r="O215" i="88"/>
  <c r="L215" i="88"/>
  <c r="I215" i="88"/>
  <c r="F215" i="88"/>
  <c r="O214" i="88"/>
  <c r="L214" i="88"/>
  <c r="I214" i="88"/>
  <c r="F214" i="88"/>
  <c r="O213" i="88"/>
  <c r="L213" i="88"/>
  <c r="I213" i="88"/>
  <c r="F213" i="88"/>
  <c r="O212" i="88"/>
  <c r="L212" i="88"/>
  <c r="I212" i="88"/>
  <c r="F212" i="88"/>
  <c r="O211" i="88"/>
  <c r="L211" i="88"/>
  <c r="I211" i="88"/>
  <c r="F211" i="88"/>
  <c r="O210" i="88"/>
  <c r="L210" i="88"/>
  <c r="I210" i="88"/>
  <c r="F210" i="88"/>
  <c r="O209" i="88"/>
  <c r="L209" i="88"/>
  <c r="I209" i="88"/>
  <c r="F209" i="88"/>
  <c r="O208" i="88"/>
  <c r="L208" i="88"/>
  <c r="I208" i="88"/>
  <c r="F208" i="88"/>
  <c r="O207" i="88"/>
  <c r="L207" i="88"/>
  <c r="I207" i="88"/>
  <c r="F207" i="88"/>
  <c r="O206" i="88"/>
  <c r="L206" i="88"/>
  <c r="I206" i="88"/>
  <c r="F206" i="88"/>
  <c r="N205" i="88"/>
  <c r="M205" i="88"/>
  <c r="K205" i="88"/>
  <c r="J205" i="88"/>
  <c r="H205" i="88"/>
  <c r="H204" i="88" s="1"/>
  <c r="G205" i="88"/>
  <c r="E205" i="88"/>
  <c r="D205" i="88"/>
  <c r="M204" i="88"/>
  <c r="O203" i="88"/>
  <c r="L203" i="88"/>
  <c r="I203" i="88"/>
  <c r="F203" i="88"/>
  <c r="O202" i="88"/>
  <c r="L202" i="88"/>
  <c r="I202" i="88"/>
  <c r="F202" i="88"/>
  <c r="O201" i="88"/>
  <c r="L201" i="88"/>
  <c r="I201" i="88"/>
  <c r="F201" i="88"/>
  <c r="O200" i="88"/>
  <c r="L200" i="88"/>
  <c r="I200" i="88"/>
  <c r="F200" i="88"/>
  <c r="O199" i="88"/>
  <c r="L199" i="88"/>
  <c r="L198" i="88" s="1"/>
  <c r="I199" i="88"/>
  <c r="F199" i="88"/>
  <c r="F198" i="88" s="1"/>
  <c r="O198" i="88"/>
  <c r="N198" i="88"/>
  <c r="M198" i="88"/>
  <c r="K198" i="88"/>
  <c r="K196" i="88" s="1"/>
  <c r="J198" i="88"/>
  <c r="J196" i="88" s="1"/>
  <c r="H198" i="88"/>
  <c r="H196" i="88" s="1"/>
  <c r="H195" i="88" s="1"/>
  <c r="G198" i="88"/>
  <c r="G196" i="88" s="1"/>
  <c r="E198" i="88"/>
  <c r="E196" i="88" s="1"/>
  <c r="D198" i="88"/>
  <c r="D196" i="88" s="1"/>
  <c r="O197" i="88"/>
  <c r="L197" i="88"/>
  <c r="I197" i="88"/>
  <c r="F197" i="88"/>
  <c r="N196" i="88"/>
  <c r="M196" i="88"/>
  <c r="M195" i="88" s="1"/>
  <c r="O193" i="88"/>
  <c r="L193" i="88"/>
  <c r="L192" i="88" s="1"/>
  <c r="L191" i="88" s="1"/>
  <c r="I193" i="88"/>
  <c r="I192" i="88" s="1"/>
  <c r="I191" i="88" s="1"/>
  <c r="F193" i="88"/>
  <c r="O192" i="88"/>
  <c r="O191" i="88" s="1"/>
  <c r="N192" i="88"/>
  <c r="N191" i="88" s="1"/>
  <c r="M192" i="88"/>
  <c r="M191" i="88" s="1"/>
  <c r="K192" i="88"/>
  <c r="K191" i="88" s="1"/>
  <c r="J192" i="88"/>
  <c r="J191" i="88" s="1"/>
  <c r="H192" i="88"/>
  <c r="H191" i="88" s="1"/>
  <c r="G192" i="88"/>
  <c r="G191" i="88" s="1"/>
  <c r="E192" i="88"/>
  <c r="D192" i="88"/>
  <c r="D191" i="88" s="1"/>
  <c r="E191" i="88"/>
  <c r="O190" i="88"/>
  <c r="L190" i="88"/>
  <c r="I190" i="88"/>
  <c r="F190" i="88"/>
  <c r="O189" i="88"/>
  <c r="L189" i="88"/>
  <c r="L188" i="88" s="1"/>
  <c r="I189" i="88"/>
  <c r="F189" i="88"/>
  <c r="O188" i="88"/>
  <c r="N188" i="88"/>
  <c r="M188" i="88"/>
  <c r="M187" i="88" s="1"/>
  <c r="K188" i="88"/>
  <c r="J188" i="88"/>
  <c r="H188" i="88"/>
  <c r="H187" i="88" s="1"/>
  <c r="G188" i="88"/>
  <c r="F188" i="88"/>
  <c r="E188" i="88"/>
  <c r="E187" i="88" s="1"/>
  <c r="D188" i="88"/>
  <c r="D187" i="88" s="1"/>
  <c r="O186" i="88"/>
  <c r="L186" i="88"/>
  <c r="I186" i="88"/>
  <c r="F186" i="88"/>
  <c r="O185" i="88"/>
  <c r="L185" i="88"/>
  <c r="L184" i="88" s="1"/>
  <c r="I185" i="88"/>
  <c r="F185" i="88"/>
  <c r="O184" i="88"/>
  <c r="N184" i="88"/>
  <c r="M184" i="88"/>
  <c r="K184" i="88"/>
  <c r="J184" i="88"/>
  <c r="H184" i="88"/>
  <c r="G184" i="88"/>
  <c r="E184" i="88"/>
  <c r="D184" i="88"/>
  <c r="O183" i="88"/>
  <c r="L183" i="88"/>
  <c r="I183" i="88"/>
  <c r="F183" i="88"/>
  <c r="O182" i="88"/>
  <c r="L182" i="88"/>
  <c r="I182" i="88"/>
  <c r="F182" i="88"/>
  <c r="O181" i="88"/>
  <c r="L181" i="88"/>
  <c r="I181" i="88"/>
  <c r="F181" i="88"/>
  <c r="O180" i="88"/>
  <c r="L180" i="88"/>
  <c r="I180" i="88"/>
  <c r="F180" i="88"/>
  <c r="N179" i="88"/>
  <c r="M179" i="88"/>
  <c r="K179" i="88"/>
  <c r="J179" i="88"/>
  <c r="H179" i="88"/>
  <c r="G179" i="88"/>
  <c r="E179" i="88"/>
  <c r="D179" i="88"/>
  <c r="O178" i="88"/>
  <c r="L178" i="88"/>
  <c r="I178" i="88"/>
  <c r="F178" i="88"/>
  <c r="O177" i="88"/>
  <c r="L177" i="88"/>
  <c r="I177" i="88"/>
  <c r="F177" i="88"/>
  <c r="O176" i="88"/>
  <c r="L176" i="88"/>
  <c r="I176" i="88"/>
  <c r="F176" i="88"/>
  <c r="O175" i="88"/>
  <c r="N175" i="88"/>
  <c r="M175" i="88"/>
  <c r="K175" i="88"/>
  <c r="J175" i="88"/>
  <c r="J174" i="88" s="1"/>
  <c r="H175" i="88"/>
  <c r="G175" i="88"/>
  <c r="G174" i="88" s="1"/>
  <c r="G173" i="88" s="1"/>
  <c r="E175" i="88"/>
  <c r="D175" i="88"/>
  <c r="N174" i="88"/>
  <c r="M174" i="88"/>
  <c r="M173" i="88" s="1"/>
  <c r="H174" i="88"/>
  <c r="H173" i="88" s="1"/>
  <c r="D174" i="88"/>
  <c r="D173" i="88" s="1"/>
  <c r="O172" i="88"/>
  <c r="L172" i="88"/>
  <c r="C172" i="88" s="1"/>
  <c r="I172" i="88"/>
  <c r="F172" i="88"/>
  <c r="O171" i="88"/>
  <c r="L171" i="88"/>
  <c r="I171" i="88"/>
  <c r="F171" i="88"/>
  <c r="O170" i="88"/>
  <c r="L170" i="88"/>
  <c r="I170" i="88"/>
  <c r="F170" i="88"/>
  <c r="O169" i="88"/>
  <c r="L169" i="88"/>
  <c r="I169" i="88"/>
  <c r="F169" i="88"/>
  <c r="O168" i="88"/>
  <c r="L168" i="88"/>
  <c r="I168" i="88"/>
  <c r="F168" i="88"/>
  <c r="O167" i="88"/>
  <c r="O166" i="88" s="1"/>
  <c r="O165" i="88" s="1"/>
  <c r="L167" i="88"/>
  <c r="C167" i="88" s="1"/>
  <c r="I167" i="88"/>
  <c r="F167" i="88"/>
  <c r="N166" i="88"/>
  <c r="M166" i="88"/>
  <c r="K166" i="88"/>
  <c r="J166" i="88"/>
  <c r="H166" i="88"/>
  <c r="H165" i="88" s="1"/>
  <c r="G166" i="88"/>
  <c r="G165" i="88" s="1"/>
  <c r="E166" i="88"/>
  <c r="D166" i="88"/>
  <c r="D165" i="88" s="1"/>
  <c r="N165" i="88"/>
  <c r="M165" i="88"/>
  <c r="K165" i="88"/>
  <c r="J165" i="88"/>
  <c r="E165" i="88"/>
  <c r="O164" i="88"/>
  <c r="L164" i="88"/>
  <c r="I164" i="88"/>
  <c r="F164" i="88"/>
  <c r="O163" i="88"/>
  <c r="L163" i="88"/>
  <c r="I163" i="88"/>
  <c r="F163" i="88"/>
  <c r="O162" i="88"/>
  <c r="L162" i="88"/>
  <c r="I162" i="88"/>
  <c r="F162" i="88"/>
  <c r="O161" i="88"/>
  <c r="L161" i="88"/>
  <c r="L160" i="88" s="1"/>
  <c r="I161" i="88"/>
  <c r="F161" i="88"/>
  <c r="O160" i="88"/>
  <c r="N160" i="88"/>
  <c r="M160" i="88"/>
  <c r="K160" i="88"/>
  <c r="J160" i="88"/>
  <c r="H160" i="88"/>
  <c r="G160" i="88"/>
  <c r="E160" i="88"/>
  <c r="D160" i="88"/>
  <c r="O159" i="88"/>
  <c r="L159" i="88"/>
  <c r="I159" i="88"/>
  <c r="F159" i="88"/>
  <c r="O158" i="88"/>
  <c r="L158" i="88"/>
  <c r="I158" i="88"/>
  <c r="F158" i="88"/>
  <c r="O157" i="88"/>
  <c r="L157" i="88"/>
  <c r="I157" i="88"/>
  <c r="F157" i="88"/>
  <c r="O156" i="88"/>
  <c r="L156" i="88"/>
  <c r="I156" i="88"/>
  <c r="F156" i="88"/>
  <c r="O155" i="88"/>
  <c r="L155" i="88"/>
  <c r="I155" i="88"/>
  <c r="F155" i="88"/>
  <c r="O154" i="88"/>
  <c r="L154" i="88"/>
  <c r="I154" i="88"/>
  <c r="F154" i="88"/>
  <c r="O153" i="88"/>
  <c r="L153" i="88"/>
  <c r="I153" i="88"/>
  <c r="F153" i="88"/>
  <c r="O152" i="88"/>
  <c r="L152" i="88"/>
  <c r="I152" i="88"/>
  <c r="F152" i="88"/>
  <c r="O151" i="88"/>
  <c r="N151" i="88"/>
  <c r="M151" i="88"/>
  <c r="K151" i="88"/>
  <c r="J151" i="88"/>
  <c r="H151" i="88"/>
  <c r="G151" i="88"/>
  <c r="E151" i="88"/>
  <c r="D151" i="88"/>
  <c r="O150" i="88"/>
  <c r="L150" i="88"/>
  <c r="I150" i="88"/>
  <c r="F150" i="88"/>
  <c r="O149" i="88"/>
  <c r="L149" i="88"/>
  <c r="I149" i="88"/>
  <c r="F149" i="88"/>
  <c r="O148" i="88"/>
  <c r="L148" i="88"/>
  <c r="I148" i="88"/>
  <c r="F148" i="88"/>
  <c r="O147" i="88"/>
  <c r="L147" i="88"/>
  <c r="I147" i="88"/>
  <c r="F147" i="88"/>
  <c r="O146" i="88"/>
  <c r="L146" i="88"/>
  <c r="I146" i="88"/>
  <c r="F146" i="88"/>
  <c r="O145" i="88"/>
  <c r="L145" i="88"/>
  <c r="I145" i="88"/>
  <c r="F145" i="88"/>
  <c r="N144" i="88"/>
  <c r="M144" i="88"/>
  <c r="K144" i="88"/>
  <c r="J144" i="88"/>
  <c r="H144" i="88"/>
  <c r="G144" i="88"/>
  <c r="E144" i="88"/>
  <c r="D144" i="88"/>
  <c r="O143" i="88"/>
  <c r="L143" i="88"/>
  <c r="I143" i="88"/>
  <c r="F143" i="88"/>
  <c r="O142" i="88"/>
  <c r="L142" i="88"/>
  <c r="I142" i="88"/>
  <c r="F142" i="88"/>
  <c r="N141" i="88"/>
  <c r="M141" i="88"/>
  <c r="K141" i="88"/>
  <c r="J141" i="88"/>
  <c r="I141" i="88"/>
  <c r="H141" i="88"/>
  <c r="G141" i="88"/>
  <c r="E141" i="88"/>
  <c r="D141" i="88"/>
  <c r="O140" i="88"/>
  <c r="L140" i="88"/>
  <c r="I140" i="88"/>
  <c r="F140" i="88"/>
  <c r="O139" i="88"/>
  <c r="L139" i="88"/>
  <c r="I139" i="88"/>
  <c r="F139" i="88"/>
  <c r="O138" i="88"/>
  <c r="L138" i="88"/>
  <c r="I138" i="88"/>
  <c r="F138" i="88"/>
  <c r="O137" i="88"/>
  <c r="L137" i="88"/>
  <c r="I137" i="88"/>
  <c r="F137" i="88"/>
  <c r="N136" i="88"/>
  <c r="M136" i="88"/>
  <c r="L136" i="88"/>
  <c r="K136" i="88"/>
  <c r="J136" i="88"/>
  <c r="H136" i="88"/>
  <c r="G136" i="88"/>
  <c r="E136" i="88"/>
  <c r="D136" i="88"/>
  <c r="O135" i="88"/>
  <c r="L135" i="88"/>
  <c r="I135" i="88"/>
  <c r="F135" i="88"/>
  <c r="C135" i="88" s="1"/>
  <c r="O134" i="88"/>
  <c r="L134" i="88"/>
  <c r="I134" i="88"/>
  <c r="F134" i="88"/>
  <c r="O133" i="88"/>
  <c r="L133" i="88"/>
  <c r="I133" i="88"/>
  <c r="F133" i="88"/>
  <c r="O132" i="88"/>
  <c r="L132" i="88"/>
  <c r="L131" i="88" s="1"/>
  <c r="I132" i="88"/>
  <c r="F132" i="88"/>
  <c r="N131" i="88"/>
  <c r="M131" i="88"/>
  <c r="K131" i="88"/>
  <c r="J131" i="88"/>
  <c r="H131" i="88"/>
  <c r="G131" i="88"/>
  <c r="E131" i="88"/>
  <c r="D131" i="88"/>
  <c r="O129" i="88"/>
  <c r="O128" i="88" s="1"/>
  <c r="L129" i="88"/>
  <c r="L128" i="88" s="1"/>
  <c r="I129" i="88"/>
  <c r="F129" i="88"/>
  <c r="F128" i="88" s="1"/>
  <c r="N128" i="88"/>
  <c r="M128" i="88"/>
  <c r="K128" i="88"/>
  <c r="J128" i="88"/>
  <c r="H128" i="88"/>
  <c r="G128" i="88"/>
  <c r="E128" i="88"/>
  <c r="D128" i="88"/>
  <c r="O127" i="88"/>
  <c r="L127" i="88"/>
  <c r="I127" i="88"/>
  <c r="F127" i="88"/>
  <c r="O126" i="88"/>
  <c r="L126" i="88"/>
  <c r="I126" i="88"/>
  <c r="F126" i="88"/>
  <c r="O125" i="88"/>
  <c r="L125" i="88"/>
  <c r="I125" i="88"/>
  <c r="F125" i="88"/>
  <c r="O124" i="88"/>
  <c r="L124" i="88"/>
  <c r="I124" i="88"/>
  <c r="F124" i="88"/>
  <c r="O123" i="88"/>
  <c r="L123" i="88"/>
  <c r="I123" i="88"/>
  <c r="F123" i="88"/>
  <c r="N122" i="88"/>
  <c r="M122" i="88"/>
  <c r="L122" i="88"/>
  <c r="K122" i="88"/>
  <c r="J122" i="88"/>
  <c r="H122" i="88"/>
  <c r="G122" i="88"/>
  <c r="E122" i="88"/>
  <c r="D122" i="88"/>
  <c r="O121" i="88"/>
  <c r="L121" i="88"/>
  <c r="I121" i="88"/>
  <c r="F121" i="88"/>
  <c r="O120" i="88"/>
  <c r="L120" i="88"/>
  <c r="I120" i="88"/>
  <c r="F120" i="88"/>
  <c r="O119" i="88"/>
  <c r="L119" i="88"/>
  <c r="I119" i="88"/>
  <c r="F119" i="88"/>
  <c r="C119" i="88" s="1"/>
  <c r="O118" i="88"/>
  <c r="L118" i="88"/>
  <c r="I118" i="88"/>
  <c r="F118" i="88"/>
  <c r="O117" i="88"/>
  <c r="L117" i="88"/>
  <c r="I117" i="88"/>
  <c r="F117" i="88"/>
  <c r="N116" i="88"/>
  <c r="M116" i="88"/>
  <c r="K116" i="88"/>
  <c r="J116" i="88"/>
  <c r="H116" i="88"/>
  <c r="G116" i="88"/>
  <c r="E116" i="88"/>
  <c r="D116" i="88"/>
  <c r="O115" i="88"/>
  <c r="L115" i="88"/>
  <c r="I115" i="88"/>
  <c r="F115" i="88"/>
  <c r="O114" i="88"/>
  <c r="L114" i="88"/>
  <c r="I114" i="88"/>
  <c r="F114" i="88"/>
  <c r="O113" i="88"/>
  <c r="L113" i="88"/>
  <c r="L112" i="88" s="1"/>
  <c r="I113" i="88"/>
  <c r="F113" i="88"/>
  <c r="F112" i="88" s="1"/>
  <c r="N112" i="88"/>
  <c r="M112" i="88"/>
  <c r="K112" i="88"/>
  <c r="J112" i="88"/>
  <c r="H112" i="88"/>
  <c r="G112" i="88"/>
  <c r="E112" i="88"/>
  <c r="D112" i="88"/>
  <c r="O111" i="88"/>
  <c r="L111" i="88"/>
  <c r="I111" i="88"/>
  <c r="F111" i="88"/>
  <c r="O110" i="88"/>
  <c r="L110" i="88"/>
  <c r="I110" i="88"/>
  <c r="F110" i="88"/>
  <c r="O109" i="88"/>
  <c r="L109" i="88"/>
  <c r="I109" i="88"/>
  <c r="F109" i="88"/>
  <c r="O108" i="88"/>
  <c r="L108" i="88"/>
  <c r="I108" i="88"/>
  <c r="F108" i="88"/>
  <c r="O107" i="88"/>
  <c r="L107" i="88"/>
  <c r="I107" i="88"/>
  <c r="F107" i="88"/>
  <c r="O106" i="88"/>
  <c r="L106" i="88"/>
  <c r="I106" i="88"/>
  <c r="F106" i="88"/>
  <c r="O105" i="88"/>
  <c r="L105" i="88"/>
  <c r="I105" i="88"/>
  <c r="F105" i="88"/>
  <c r="O104" i="88"/>
  <c r="L104" i="88"/>
  <c r="I104" i="88"/>
  <c r="F104" i="88"/>
  <c r="N103" i="88"/>
  <c r="M103" i="88"/>
  <c r="K103" i="88"/>
  <c r="J103" i="88"/>
  <c r="H103" i="88"/>
  <c r="G103" i="88"/>
  <c r="E103" i="88"/>
  <c r="D103" i="88"/>
  <c r="O102" i="88"/>
  <c r="L102" i="88"/>
  <c r="I102" i="88"/>
  <c r="F102" i="88"/>
  <c r="O101" i="88"/>
  <c r="L101" i="88"/>
  <c r="I101" i="88"/>
  <c r="F101" i="88"/>
  <c r="O100" i="88"/>
  <c r="L100" i="88"/>
  <c r="I100" i="88"/>
  <c r="F100" i="88"/>
  <c r="O99" i="88"/>
  <c r="L99" i="88"/>
  <c r="I99" i="88"/>
  <c r="F99" i="88"/>
  <c r="O98" i="88"/>
  <c r="L98" i="88"/>
  <c r="I98" i="88"/>
  <c r="F98" i="88"/>
  <c r="O97" i="88"/>
  <c r="L97" i="88"/>
  <c r="I97" i="88"/>
  <c r="F97" i="88"/>
  <c r="O96" i="88"/>
  <c r="L96" i="88"/>
  <c r="I96" i="88"/>
  <c r="F96" i="88"/>
  <c r="F95" i="88" s="1"/>
  <c r="N95" i="88"/>
  <c r="M95" i="88"/>
  <c r="K95" i="88"/>
  <c r="J95" i="88"/>
  <c r="H95" i="88"/>
  <c r="G95" i="88"/>
  <c r="E95" i="88"/>
  <c r="D95" i="88"/>
  <c r="O94" i="88"/>
  <c r="L94" i="88"/>
  <c r="I94" i="88"/>
  <c r="F94" i="88"/>
  <c r="O93" i="88"/>
  <c r="L93" i="88"/>
  <c r="I93" i="88"/>
  <c r="F93" i="88"/>
  <c r="O92" i="88"/>
  <c r="L92" i="88"/>
  <c r="I92" i="88"/>
  <c r="F92" i="88"/>
  <c r="O91" i="88"/>
  <c r="L91" i="88"/>
  <c r="I91" i="88"/>
  <c r="F91" i="88"/>
  <c r="C91" i="88" s="1"/>
  <c r="O90" i="88"/>
  <c r="L90" i="88"/>
  <c r="I90" i="88"/>
  <c r="I89" i="88" s="1"/>
  <c r="F90" i="88"/>
  <c r="N89" i="88"/>
  <c r="M89" i="88"/>
  <c r="K89" i="88"/>
  <c r="J89" i="88"/>
  <c r="H89" i="88"/>
  <c r="G89" i="88"/>
  <c r="E89" i="88"/>
  <c r="D89" i="88"/>
  <c r="O88" i="88"/>
  <c r="L88" i="88"/>
  <c r="I88" i="88"/>
  <c r="F88" i="88"/>
  <c r="O87" i="88"/>
  <c r="L87" i="88"/>
  <c r="I87" i="88"/>
  <c r="F87" i="88"/>
  <c r="O86" i="88"/>
  <c r="L86" i="88"/>
  <c r="I86" i="88"/>
  <c r="F86" i="88"/>
  <c r="O85" i="88"/>
  <c r="L85" i="88"/>
  <c r="I85" i="88"/>
  <c r="F85" i="88"/>
  <c r="F84" i="88" s="1"/>
  <c r="N84" i="88"/>
  <c r="M84" i="88"/>
  <c r="K84" i="88"/>
  <c r="J84" i="88"/>
  <c r="H84" i="88"/>
  <c r="G84" i="88"/>
  <c r="E84" i="88"/>
  <c r="D84" i="88"/>
  <c r="K83" i="88"/>
  <c r="O82" i="88"/>
  <c r="L82" i="88"/>
  <c r="I82" i="88"/>
  <c r="F82" i="88"/>
  <c r="C82" i="88" s="1"/>
  <c r="O81" i="88"/>
  <c r="L81" i="88"/>
  <c r="L80" i="88" s="1"/>
  <c r="I81" i="88"/>
  <c r="F81" i="88"/>
  <c r="O80" i="88"/>
  <c r="N80" i="88"/>
  <c r="M80" i="88"/>
  <c r="K80" i="88"/>
  <c r="K76" i="88" s="1"/>
  <c r="J80" i="88"/>
  <c r="H80" i="88"/>
  <c r="G80" i="88"/>
  <c r="F80" i="88"/>
  <c r="E80" i="88"/>
  <c r="D80" i="88"/>
  <c r="O79" i="88"/>
  <c r="L79" i="88"/>
  <c r="I79" i="88"/>
  <c r="F79" i="88"/>
  <c r="O78" i="88"/>
  <c r="L78" i="88"/>
  <c r="I78" i="88"/>
  <c r="I77" i="88" s="1"/>
  <c r="F78" i="88"/>
  <c r="N77" i="88"/>
  <c r="N76" i="88" s="1"/>
  <c r="M77" i="88"/>
  <c r="K77" i="88"/>
  <c r="J77" i="88"/>
  <c r="J76" i="88" s="1"/>
  <c r="H77" i="88"/>
  <c r="H76" i="88" s="1"/>
  <c r="G77" i="88"/>
  <c r="E77" i="88"/>
  <c r="E76" i="88" s="1"/>
  <c r="D77" i="88"/>
  <c r="G76" i="88"/>
  <c r="O74" i="88"/>
  <c r="L74" i="88"/>
  <c r="I74" i="88"/>
  <c r="F74" i="88"/>
  <c r="C74" i="88" s="1"/>
  <c r="O73" i="88"/>
  <c r="L73" i="88"/>
  <c r="I73" i="88"/>
  <c r="F73" i="88"/>
  <c r="O72" i="88"/>
  <c r="L72" i="88"/>
  <c r="I72" i="88"/>
  <c r="F72" i="88"/>
  <c r="O71" i="88"/>
  <c r="L71" i="88"/>
  <c r="I71" i="88"/>
  <c r="F71" i="88"/>
  <c r="C71" i="88" s="1"/>
  <c r="O70" i="88"/>
  <c r="O69" i="88" s="1"/>
  <c r="L70" i="88"/>
  <c r="I70" i="88"/>
  <c r="I69" i="88" s="1"/>
  <c r="F70" i="88"/>
  <c r="N69" i="88"/>
  <c r="M69" i="88"/>
  <c r="M67" i="88" s="1"/>
  <c r="L69" i="88"/>
  <c r="K69" i="88"/>
  <c r="K67" i="88" s="1"/>
  <c r="J69" i="88"/>
  <c r="H69" i="88"/>
  <c r="H67" i="88" s="1"/>
  <c r="G69" i="88"/>
  <c r="G67" i="88" s="1"/>
  <c r="E69" i="88"/>
  <c r="D69" i="88"/>
  <c r="D67" i="88" s="1"/>
  <c r="O68" i="88"/>
  <c r="O67" i="88" s="1"/>
  <c r="L68" i="88"/>
  <c r="I68" i="88"/>
  <c r="I67" i="88" s="1"/>
  <c r="F68" i="88"/>
  <c r="N67" i="88"/>
  <c r="J67" i="88"/>
  <c r="E67" i="88"/>
  <c r="O66" i="88"/>
  <c r="L66" i="88"/>
  <c r="I66" i="88"/>
  <c r="F66" i="88"/>
  <c r="O65" i="88"/>
  <c r="L65" i="88"/>
  <c r="I65" i="88"/>
  <c r="F65" i="88"/>
  <c r="C65" i="88" s="1"/>
  <c r="O64" i="88"/>
  <c r="L64" i="88"/>
  <c r="I64" i="88"/>
  <c r="F64" i="88"/>
  <c r="C64" i="88" s="1"/>
  <c r="O63" i="88"/>
  <c r="L63" i="88"/>
  <c r="I63" i="88"/>
  <c r="F63" i="88"/>
  <c r="C63" i="88" s="1"/>
  <c r="O62" i="88"/>
  <c r="L62" i="88"/>
  <c r="I62" i="88"/>
  <c r="F62" i="88"/>
  <c r="C62" i="88" s="1"/>
  <c r="O61" i="88"/>
  <c r="L61" i="88"/>
  <c r="I61" i="88"/>
  <c r="F61" i="88"/>
  <c r="O60" i="88"/>
  <c r="L60" i="88"/>
  <c r="I60" i="88"/>
  <c r="F60" i="88"/>
  <c r="O59" i="88"/>
  <c r="L59" i="88"/>
  <c r="I59" i="88"/>
  <c r="F59" i="88"/>
  <c r="O58" i="88"/>
  <c r="N58" i="88"/>
  <c r="M58" i="88"/>
  <c r="K58" i="88"/>
  <c r="J58" i="88"/>
  <c r="H58" i="88"/>
  <c r="G58" i="88"/>
  <c r="E58" i="88"/>
  <c r="D58" i="88"/>
  <c r="O57" i="88"/>
  <c r="L57" i="88"/>
  <c r="I57" i="88"/>
  <c r="F57" i="88"/>
  <c r="O56" i="88"/>
  <c r="O55" i="88" s="1"/>
  <c r="L56" i="88"/>
  <c r="L55" i="88" s="1"/>
  <c r="I56" i="88"/>
  <c r="I55" i="88" s="1"/>
  <c r="F56" i="88"/>
  <c r="N55" i="88"/>
  <c r="N54" i="88" s="1"/>
  <c r="M55" i="88"/>
  <c r="M54" i="88" s="1"/>
  <c r="K55" i="88"/>
  <c r="K54" i="88" s="1"/>
  <c r="K53" i="88" s="1"/>
  <c r="J55" i="88"/>
  <c r="J54" i="88" s="1"/>
  <c r="J53" i="88" s="1"/>
  <c r="H55" i="88"/>
  <c r="H54" i="88" s="1"/>
  <c r="G55" i="88"/>
  <c r="F55" i="88"/>
  <c r="E55" i="88"/>
  <c r="D55" i="88"/>
  <c r="D54" i="88" s="1"/>
  <c r="G54" i="88"/>
  <c r="G53" i="88" s="1"/>
  <c r="O47" i="88"/>
  <c r="C47" i="88" s="1"/>
  <c r="O46" i="88"/>
  <c r="N45" i="88"/>
  <c r="M45" i="88"/>
  <c r="L44" i="88"/>
  <c r="I44" i="88"/>
  <c r="F44" i="88"/>
  <c r="K43" i="88"/>
  <c r="J43" i="88"/>
  <c r="I43" i="88"/>
  <c r="H43" i="88"/>
  <c r="G43" i="88"/>
  <c r="F43" i="88"/>
  <c r="E43" i="88"/>
  <c r="D43" i="88"/>
  <c r="F42" i="88"/>
  <c r="F41" i="88" s="1"/>
  <c r="C41" i="88" s="1"/>
  <c r="E41" i="88"/>
  <c r="D41" i="88"/>
  <c r="L40" i="88"/>
  <c r="C40" i="88" s="1"/>
  <c r="L39" i="88"/>
  <c r="C39" i="88"/>
  <c r="L38" i="88"/>
  <c r="C38" i="88" s="1"/>
  <c r="L37" i="88"/>
  <c r="C37" i="88"/>
  <c r="K36" i="88"/>
  <c r="J36" i="88"/>
  <c r="L35" i="88"/>
  <c r="C35" i="88"/>
  <c r="L34" i="88"/>
  <c r="C34" i="88" s="1"/>
  <c r="K33" i="88"/>
  <c r="J33" i="88"/>
  <c r="L32" i="88"/>
  <c r="C32" i="88" s="1"/>
  <c r="K31" i="88"/>
  <c r="J31" i="88"/>
  <c r="L30" i="88"/>
  <c r="C30" i="88" s="1"/>
  <c r="L29" i="88"/>
  <c r="C29" i="88"/>
  <c r="L28" i="88"/>
  <c r="C28" i="88" s="1"/>
  <c r="K27" i="88"/>
  <c r="J27" i="88"/>
  <c r="F25" i="88"/>
  <c r="C25" i="88" s="1"/>
  <c r="I24" i="88"/>
  <c r="F24" i="88"/>
  <c r="C24" i="88" s="1"/>
  <c r="O23" i="88"/>
  <c r="L23" i="88"/>
  <c r="I23" i="88"/>
  <c r="F23" i="88"/>
  <c r="O22" i="88"/>
  <c r="L22" i="88"/>
  <c r="I22" i="88"/>
  <c r="F22" i="88"/>
  <c r="F21" i="88" s="1"/>
  <c r="O21" i="88"/>
  <c r="O292" i="88" s="1"/>
  <c r="O291" i="88" s="1"/>
  <c r="N21" i="88"/>
  <c r="N292" i="88" s="1"/>
  <c r="N291" i="88" s="1"/>
  <c r="M21" i="88"/>
  <c r="M292" i="88" s="1"/>
  <c r="K21" i="88"/>
  <c r="J21" i="88"/>
  <c r="J292" i="88" s="1"/>
  <c r="J291" i="88" s="1"/>
  <c r="H21" i="88"/>
  <c r="H292" i="88" s="1"/>
  <c r="H291" i="88" s="1"/>
  <c r="G21" i="88"/>
  <c r="G292" i="88" s="1"/>
  <c r="E21" i="88"/>
  <c r="E292" i="88" s="1"/>
  <c r="E291" i="88" s="1"/>
  <c r="D21" i="88"/>
  <c r="D292" i="88" s="1"/>
  <c r="D291" i="88" s="1"/>
  <c r="N20" i="88"/>
  <c r="C100" i="88" l="1"/>
  <c r="C115" i="88"/>
  <c r="L77" i="88"/>
  <c r="O84" i="88"/>
  <c r="H130" i="88"/>
  <c r="C159" i="88"/>
  <c r="O238" i="88"/>
  <c r="C262" i="88"/>
  <c r="O264" i="88"/>
  <c r="O116" i="88"/>
  <c r="G204" i="88"/>
  <c r="C227" i="88"/>
  <c r="M20" i="88"/>
  <c r="C206" i="88"/>
  <c r="C210" i="88"/>
  <c r="C218" i="88"/>
  <c r="C221" i="88"/>
  <c r="J259" i="88"/>
  <c r="K292" i="88"/>
  <c r="K291" i="88" s="1"/>
  <c r="F292" i="88"/>
  <c r="K26" i="88"/>
  <c r="K20" i="88" s="1"/>
  <c r="J26" i="88"/>
  <c r="D20" i="88"/>
  <c r="H20" i="88"/>
  <c r="L67" i="88"/>
  <c r="C127" i="88"/>
  <c r="K187" i="88"/>
  <c r="C214" i="88"/>
  <c r="C226" i="88"/>
  <c r="C232" i="88"/>
  <c r="D231" i="88"/>
  <c r="C242" i="88"/>
  <c r="O252" i="88"/>
  <c r="O251" i="88" s="1"/>
  <c r="O272" i="88"/>
  <c r="H270" i="88"/>
  <c r="H269" i="88" s="1"/>
  <c r="O276" i="88"/>
  <c r="C294" i="88"/>
  <c r="L31" i="88"/>
  <c r="C31" i="88" s="1"/>
  <c r="L36" i="88"/>
  <c r="C36" i="88" s="1"/>
  <c r="C79" i="88"/>
  <c r="D76" i="88"/>
  <c r="C87" i="88"/>
  <c r="E83" i="88"/>
  <c r="C99" i="88"/>
  <c r="C111" i="88"/>
  <c r="C123" i="88"/>
  <c r="C143" i="88"/>
  <c r="C147" i="88"/>
  <c r="C148" i="88"/>
  <c r="C150" i="88"/>
  <c r="C171" i="88"/>
  <c r="N173" i="88"/>
  <c r="C202" i="88"/>
  <c r="L205" i="88"/>
  <c r="C211" i="88"/>
  <c r="N231" i="88"/>
  <c r="C250" i="88"/>
  <c r="C258" i="88"/>
  <c r="K269" i="88"/>
  <c r="G270" i="88"/>
  <c r="G269" i="88" s="1"/>
  <c r="J270" i="88"/>
  <c r="J269" i="88" s="1"/>
  <c r="D259" i="88"/>
  <c r="L27" i="88"/>
  <c r="C42" i="88"/>
  <c r="C44" i="88"/>
  <c r="E54" i="88"/>
  <c r="E53" i="88" s="1"/>
  <c r="C107" i="88"/>
  <c r="C109" i="88"/>
  <c r="F116" i="88"/>
  <c r="C118" i="88"/>
  <c r="H83" i="88"/>
  <c r="D130" i="88"/>
  <c r="C134" i="88"/>
  <c r="O131" i="88"/>
  <c r="C183" i="88"/>
  <c r="O187" i="88"/>
  <c r="D204" i="88"/>
  <c r="C254" i="88"/>
  <c r="L272" i="88"/>
  <c r="C278" i="88"/>
  <c r="C280" i="88"/>
  <c r="D230" i="88"/>
  <c r="O45" i="88"/>
  <c r="C46" i="88"/>
  <c r="M53" i="88"/>
  <c r="I58" i="88"/>
  <c r="I54" i="88" s="1"/>
  <c r="I53" i="88" s="1"/>
  <c r="G83" i="88"/>
  <c r="F144" i="88"/>
  <c r="C155" i="88"/>
  <c r="E174" i="88"/>
  <c r="E173" i="88" s="1"/>
  <c r="J173" i="88"/>
  <c r="J187" i="88"/>
  <c r="O89" i="88"/>
  <c r="C139" i="88"/>
  <c r="F136" i="88"/>
  <c r="C163" i="88"/>
  <c r="I246" i="88"/>
  <c r="C70" i="88"/>
  <c r="F69" i="88"/>
  <c r="F67" i="88" s="1"/>
  <c r="C67" i="88" s="1"/>
  <c r="J20" i="88"/>
  <c r="L43" i="88"/>
  <c r="C43" i="88" s="1"/>
  <c r="E204" i="88"/>
  <c r="E195" i="88" s="1"/>
  <c r="K204" i="88"/>
  <c r="K195" i="88" s="1"/>
  <c r="M231" i="88"/>
  <c r="E20" i="88"/>
  <c r="N53" i="88"/>
  <c r="O54" i="88"/>
  <c r="L58" i="88"/>
  <c r="L54" i="88" s="1"/>
  <c r="C68" i="88"/>
  <c r="D53" i="88"/>
  <c r="H53" i="88"/>
  <c r="O77" i="88"/>
  <c r="O76" i="88" s="1"/>
  <c r="C94" i="88"/>
  <c r="C98" i="88"/>
  <c r="O95" i="88"/>
  <c r="C108" i="88"/>
  <c r="D83" i="88"/>
  <c r="K130" i="88"/>
  <c r="K75" i="88" s="1"/>
  <c r="E130" i="88"/>
  <c r="O141" i="88"/>
  <c r="C149" i="88"/>
  <c r="C154" i="88"/>
  <c r="C162" i="88"/>
  <c r="C190" i="88"/>
  <c r="C220" i="88"/>
  <c r="C225" i="88"/>
  <c r="C228" i="88"/>
  <c r="C229" i="88"/>
  <c r="O231" i="88"/>
  <c r="K231" i="88"/>
  <c r="K230" i="88" s="1"/>
  <c r="L246" i="88"/>
  <c r="L276" i="88"/>
  <c r="L270" i="88" s="1"/>
  <c r="L269" i="88" s="1"/>
  <c r="C287" i="88"/>
  <c r="C288" i="88"/>
  <c r="L293" i="88"/>
  <c r="G291" i="88"/>
  <c r="M291" i="88"/>
  <c r="C23" i="88"/>
  <c r="C56" i="88"/>
  <c r="C57" i="88"/>
  <c r="L76" i="88"/>
  <c r="J83" i="88"/>
  <c r="J75" i="88" s="1"/>
  <c r="J52" i="88" s="1"/>
  <c r="C86" i="88"/>
  <c r="M83" i="88"/>
  <c r="C93" i="88"/>
  <c r="C102" i="88"/>
  <c r="C106" i="88"/>
  <c r="O103" i="88"/>
  <c r="C114" i="88"/>
  <c r="O112" i="88"/>
  <c r="C121" i="88"/>
  <c r="G130" i="88"/>
  <c r="J130" i="88"/>
  <c r="N130" i="88"/>
  <c r="C140" i="88"/>
  <c r="L144" i="88"/>
  <c r="C156" i="88"/>
  <c r="C158" i="88"/>
  <c r="C164" i="88"/>
  <c r="C186" i="88"/>
  <c r="C201" i="88"/>
  <c r="C213" i="88"/>
  <c r="C224" i="88"/>
  <c r="J231" i="88"/>
  <c r="J230" i="88" s="1"/>
  <c r="C245" i="88"/>
  <c r="C271" i="88"/>
  <c r="I270" i="88"/>
  <c r="I269" i="88" s="1"/>
  <c r="M270" i="88"/>
  <c r="M269" i="88" s="1"/>
  <c r="O270" i="88"/>
  <c r="O269" i="88" s="1"/>
  <c r="C282" i="88"/>
  <c r="I286" i="88"/>
  <c r="C286" i="88" s="1"/>
  <c r="C22" i="88"/>
  <c r="L33" i="88"/>
  <c r="C33" i="88" s="1"/>
  <c r="C59" i="88"/>
  <c r="C60" i="88"/>
  <c r="C61" i="88"/>
  <c r="C66" i="88"/>
  <c r="M76" i="88"/>
  <c r="C101" i="88"/>
  <c r="C110" i="88"/>
  <c r="L116" i="88"/>
  <c r="C124" i="88"/>
  <c r="C138" i="88"/>
  <c r="O136" i="88"/>
  <c r="M130" i="88"/>
  <c r="L141" i="88"/>
  <c r="C146" i="88"/>
  <c r="O144" i="88"/>
  <c r="L151" i="88"/>
  <c r="C157" i="88"/>
  <c r="C168" i="88"/>
  <c r="F179" i="88"/>
  <c r="C182" i="88"/>
  <c r="O179" i="88"/>
  <c r="N187" i="88"/>
  <c r="L187" i="88"/>
  <c r="G187" i="88"/>
  <c r="L196" i="88"/>
  <c r="G195" i="88"/>
  <c r="C203" i="88"/>
  <c r="C207" i="88"/>
  <c r="C212" i="88"/>
  <c r="C223" i="88"/>
  <c r="J204" i="88"/>
  <c r="J195" i="88" s="1"/>
  <c r="N204" i="88"/>
  <c r="N195" i="88" s="1"/>
  <c r="L238" i="88"/>
  <c r="C247" i="88"/>
  <c r="C257" i="88"/>
  <c r="O260" i="88"/>
  <c r="O259" i="88" s="1"/>
  <c r="C279" i="88"/>
  <c r="D269" i="88"/>
  <c r="C45" i="88"/>
  <c r="L26" i="88"/>
  <c r="C27" i="88"/>
  <c r="O53" i="88"/>
  <c r="L53" i="88"/>
  <c r="C105" i="88"/>
  <c r="I103" i="88"/>
  <c r="I128" i="88"/>
  <c r="C129" i="88"/>
  <c r="C256" i="88"/>
  <c r="I252" i="88"/>
  <c r="I251" i="88" s="1"/>
  <c r="L21" i="88"/>
  <c r="C55" i="88"/>
  <c r="C90" i="88"/>
  <c r="F89" i="88"/>
  <c r="C97" i="88"/>
  <c r="I95" i="88"/>
  <c r="C104" i="88"/>
  <c r="L103" i="88"/>
  <c r="H75" i="88"/>
  <c r="C125" i="88"/>
  <c r="I122" i="88"/>
  <c r="C133" i="88"/>
  <c r="I131" i="88"/>
  <c r="C142" i="88"/>
  <c r="F141" i="88"/>
  <c r="L166" i="88"/>
  <c r="L165" i="88" s="1"/>
  <c r="C170" i="88"/>
  <c r="F166" i="88"/>
  <c r="O174" i="88"/>
  <c r="O173" i="88" s="1"/>
  <c r="C181" i="88"/>
  <c r="I179" i="88"/>
  <c r="I184" i="88"/>
  <c r="C185" i="88"/>
  <c r="I136" i="88"/>
  <c r="C137" i="88"/>
  <c r="I160" i="88"/>
  <c r="C161" i="88"/>
  <c r="F20" i="88"/>
  <c r="I21" i="88"/>
  <c r="C72" i="88"/>
  <c r="C73" i="88"/>
  <c r="E75" i="88"/>
  <c r="N83" i="88"/>
  <c r="N75" i="88" s="1"/>
  <c r="L84" i="88"/>
  <c r="C88" i="88"/>
  <c r="C96" i="88"/>
  <c r="L95" i="88"/>
  <c r="I116" i="88"/>
  <c r="C116" i="88" s="1"/>
  <c r="C117" i="88"/>
  <c r="C120" i="88"/>
  <c r="F151" i="88"/>
  <c r="F160" i="88"/>
  <c r="C169" i="88"/>
  <c r="I166" i="88"/>
  <c r="I165" i="88" s="1"/>
  <c r="K174" i="88"/>
  <c r="K173" i="88" s="1"/>
  <c r="K52" i="88" s="1"/>
  <c r="C178" i="88"/>
  <c r="F175" i="88"/>
  <c r="C180" i="88"/>
  <c r="L179" i="88"/>
  <c r="C193" i="88"/>
  <c r="F192" i="88"/>
  <c r="C209" i="88"/>
  <c r="F205" i="88"/>
  <c r="C268" i="88"/>
  <c r="I264" i="88"/>
  <c r="I259" i="88" s="1"/>
  <c r="I84" i="88"/>
  <c r="C85" i="88"/>
  <c r="L89" i="88"/>
  <c r="C92" i="88"/>
  <c r="I112" i="88"/>
  <c r="C113" i="88"/>
  <c r="C126" i="88"/>
  <c r="F122" i="88"/>
  <c r="F131" i="88"/>
  <c r="I144" i="88"/>
  <c r="C145" i="88"/>
  <c r="C176" i="88"/>
  <c r="L175" i="88"/>
  <c r="C234" i="88"/>
  <c r="C296" i="88"/>
  <c r="I293" i="88"/>
  <c r="C301" i="88"/>
  <c r="G20" i="88"/>
  <c r="O20" i="88"/>
  <c r="F58" i="88"/>
  <c r="C58" i="88" s="1"/>
  <c r="C78" i="88"/>
  <c r="F77" i="88"/>
  <c r="I80" i="88"/>
  <c r="I76" i="88" s="1"/>
  <c r="C81" i="88"/>
  <c r="F103" i="88"/>
  <c r="O122" i="88"/>
  <c r="C128" i="88"/>
  <c r="C153" i="88"/>
  <c r="I151" i="88"/>
  <c r="C177" i="88"/>
  <c r="I175" i="88"/>
  <c r="F184" i="88"/>
  <c r="C184" i="88" s="1"/>
  <c r="I188" i="88"/>
  <c r="I187" i="88" s="1"/>
  <c r="C189" i="88"/>
  <c r="C237" i="88"/>
  <c r="F235" i="88"/>
  <c r="C261" i="88"/>
  <c r="F260" i="88"/>
  <c r="C277" i="88"/>
  <c r="F276" i="88"/>
  <c r="C132" i="88"/>
  <c r="C152" i="88"/>
  <c r="C200" i="88"/>
  <c r="I198" i="88"/>
  <c r="I196" i="88" s="1"/>
  <c r="C208" i="88"/>
  <c r="I205" i="88"/>
  <c r="N230" i="88"/>
  <c r="L231" i="88"/>
  <c r="C233" i="88"/>
  <c r="I235" i="88"/>
  <c r="C236" i="88"/>
  <c r="C248" i="88"/>
  <c r="C249" i="88"/>
  <c r="F246" i="88"/>
  <c r="L252" i="88"/>
  <c r="L251" i="88" s="1"/>
  <c r="C255" i="88"/>
  <c r="L264" i="88"/>
  <c r="C267" i="88"/>
  <c r="E270" i="88"/>
  <c r="E269" i="88" s="1"/>
  <c r="C285" i="88"/>
  <c r="F284" i="88"/>
  <c r="C300" i="88"/>
  <c r="C197" i="88"/>
  <c r="F196" i="88"/>
  <c r="H194" i="88"/>
  <c r="C215" i="88"/>
  <c r="I216" i="88"/>
  <c r="L216" i="88"/>
  <c r="L204" i="88" s="1"/>
  <c r="L195" i="88" s="1"/>
  <c r="C219" i="88"/>
  <c r="C239" i="88"/>
  <c r="C241" i="88"/>
  <c r="F238" i="88"/>
  <c r="E230" i="88"/>
  <c r="C253" i="88"/>
  <c r="F252" i="88"/>
  <c r="M259" i="88"/>
  <c r="M230" i="88" s="1"/>
  <c r="C265" i="88"/>
  <c r="F264" i="88"/>
  <c r="C273" i="88"/>
  <c r="F272" i="88"/>
  <c r="D195" i="88"/>
  <c r="O196" i="88"/>
  <c r="O205" i="88"/>
  <c r="C217" i="88"/>
  <c r="F216" i="88"/>
  <c r="O216" i="88"/>
  <c r="G231" i="88"/>
  <c r="G230" i="88" s="1"/>
  <c r="C240" i="88"/>
  <c r="I238" i="88"/>
  <c r="C243" i="88"/>
  <c r="C244" i="88"/>
  <c r="L260" i="88"/>
  <c r="L259" i="88" s="1"/>
  <c r="C263" i="88"/>
  <c r="C275" i="88"/>
  <c r="C281" i="88"/>
  <c r="C295" i="88"/>
  <c r="C297" i="88"/>
  <c r="F293" i="88"/>
  <c r="C199" i="88"/>
  <c r="O130" i="88" l="1"/>
  <c r="E289" i="88"/>
  <c r="D75" i="88"/>
  <c r="D52" i="88" s="1"/>
  <c r="E52" i="88"/>
  <c r="C69" i="88"/>
  <c r="C103" i="88"/>
  <c r="C144" i="88"/>
  <c r="C293" i="88"/>
  <c r="C276" i="88"/>
  <c r="K194" i="88"/>
  <c r="K289" i="88"/>
  <c r="F83" i="88"/>
  <c r="N194" i="88"/>
  <c r="C136" i="88"/>
  <c r="L174" i="88"/>
  <c r="L173" i="88" s="1"/>
  <c r="C112" i="88"/>
  <c r="I83" i="88"/>
  <c r="C179" i="88"/>
  <c r="H289" i="88"/>
  <c r="M75" i="88"/>
  <c r="M52" i="88" s="1"/>
  <c r="I231" i="88"/>
  <c r="I230" i="88" s="1"/>
  <c r="D194" i="88"/>
  <c r="D51" i="88" s="1"/>
  <c r="C246" i="88"/>
  <c r="C188" i="88"/>
  <c r="J289" i="88"/>
  <c r="L130" i="88"/>
  <c r="G75" i="88"/>
  <c r="G52" i="88" s="1"/>
  <c r="C95" i="88"/>
  <c r="E194" i="88"/>
  <c r="O83" i="88"/>
  <c r="O75" i="88" s="1"/>
  <c r="K51" i="88"/>
  <c r="K50" i="88" s="1"/>
  <c r="C141" i="88"/>
  <c r="O230" i="88"/>
  <c r="M194" i="88"/>
  <c r="N289" i="88"/>
  <c r="N52" i="88"/>
  <c r="N51" i="88" s="1"/>
  <c r="C284" i="88"/>
  <c r="F283" i="88"/>
  <c r="C283" i="88" s="1"/>
  <c r="C216" i="88"/>
  <c r="C238" i="88"/>
  <c r="C196" i="88"/>
  <c r="L230" i="88"/>
  <c r="C235" i="88"/>
  <c r="F231" i="88"/>
  <c r="F291" i="88"/>
  <c r="C122" i="88"/>
  <c r="C160" i="88"/>
  <c r="C80" i="88"/>
  <c r="C89" i="88"/>
  <c r="H52" i="88"/>
  <c r="H51" i="88" s="1"/>
  <c r="O52" i="88"/>
  <c r="C26" i="88"/>
  <c r="F270" i="88"/>
  <c r="C272" i="88"/>
  <c r="F130" i="88"/>
  <c r="C131" i="88"/>
  <c r="F174" i="88"/>
  <c r="C175" i="88"/>
  <c r="I130" i="88"/>
  <c r="I75" i="88" s="1"/>
  <c r="J194" i="88"/>
  <c r="J51" i="88" s="1"/>
  <c r="C252" i="88"/>
  <c r="F251" i="88"/>
  <c r="C251" i="88" s="1"/>
  <c r="C77" i="88"/>
  <c r="F76" i="88"/>
  <c r="G194" i="88"/>
  <c r="C205" i="88"/>
  <c r="F204" i="88"/>
  <c r="F195" i="88" s="1"/>
  <c r="F191" i="88"/>
  <c r="C192" i="88"/>
  <c r="C151" i="88"/>
  <c r="E51" i="88"/>
  <c r="I292" i="88"/>
  <c r="C21" i="88"/>
  <c r="I20" i="88"/>
  <c r="D289" i="88"/>
  <c r="O204" i="88"/>
  <c r="O195" i="88" s="1"/>
  <c r="C264" i="88"/>
  <c r="I204" i="88"/>
  <c r="I195" i="88" s="1"/>
  <c r="C260" i="88"/>
  <c r="F259" i="88"/>
  <c r="C259" i="88" s="1"/>
  <c r="C198" i="88"/>
  <c r="I174" i="88"/>
  <c r="I173" i="88" s="1"/>
  <c r="L83" i="88"/>
  <c r="L75" i="88" s="1"/>
  <c r="L52" i="88" s="1"/>
  <c r="C166" i="88"/>
  <c r="F165" i="88"/>
  <c r="C165" i="88" s="1"/>
  <c r="L292" i="88"/>
  <c r="L291" i="88" s="1"/>
  <c r="L20" i="88"/>
  <c r="C20" i="88" s="1"/>
  <c r="C84" i="88"/>
  <c r="F54" i="88"/>
  <c r="K290" i="88" l="1"/>
  <c r="I52" i="88"/>
  <c r="D290" i="88"/>
  <c r="D50" i="88"/>
  <c r="M51" i="88"/>
  <c r="G51" i="88"/>
  <c r="M289" i="88"/>
  <c r="G289" i="88"/>
  <c r="I194" i="88"/>
  <c r="I51" i="88" s="1"/>
  <c r="I289" i="88"/>
  <c r="O194" i="88"/>
  <c r="O289" i="88"/>
  <c r="C191" i="88"/>
  <c r="F187" i="88"/>
  <c r="C187" i="88" s="1"/>
  <c r="F75" i="88"/>
  <c r="C75" i="88" s="1"/>
  <c r="C76" i="88"/>
  <c r="J50" i="88"/>
  <c r="J290" i="88"/>
  <c r="C174" i="88"/>
  <c r="F173" i="88"/>
  <c r="C173" i="88" s="1"/>
  <c r="H290" i="88"/>
  <c r="H50" i="88"/>
  <c r="E290" i="88"/>
  <c r="E50" i="88"/>
  <c r="C204" i="88"/>
  <c r="L289" i="88"/>
  <c r="C54" i="88"/>
  <c r="F53" i="88"/>
  <c r="F269" i="88"/>
  <c r="C270" i="88"/>
  <c r="C130" i="88"/>
  <c r="F230" i="88"/>
  <c r="C230" i="88" s="1"/>
  <c r="C231" i="88"/>
  <c r="C195" i="88"/>
  <c r="N50" i="88"/>
  <c r="N290" i="88"/>
  <c r="I291" i="88"/>
  <c r="C291" i="88" s="1"/>
  <c r="C292" i="88"/>
  <c r="C83" i="88"/>
  <c r="G290" i="88"/>
  <c r="G50" i="88"/>
  <c r="O51" i="88"/>
  <c r="L194" i="88"/>
  <c r="L51" i="88" s="1"/>
  <c r="M50" i="88"/>
  <c r="M290" i="88"/>
  <c r="I290" i="88" l="1"/>
  <c r="I50" i="88"/>
  <c r="C269" i="88"/>
  <c r="F289" i="88"/>
  <c r="C289" i="88" s="1"/>
  <c r="C53" i="88"/>
  <c r="F52" i="88"/>
  <c r="O50" i="88"/>
  <c r="O290" i="88"/>
  <c r="L50" i="88"/>
  <c r="L290" i="88"/>
  <c r="F194" i="88"/>
  <c r="C194" i="88" s="1"/>
  <c r="C52" i="88" l="1"/>
  <c r="F51" i="88"/>
  <c r="F290" i="88" l="1"/>
  <c r="C290" i="88" s="1"/>
  <c r="F50" i="88"/>
  <c r="C50" i="88" s="1"/>
  <c r="C51" i="88"/>
  <c r="F23" i="87" l="1"/>
  <c r="F22" i="87"/>
  <c r="F21" i="87"/>
  <c r="F20" i="87"/>
  <c r="F19" i="87"/>
  <c r="F18" i="87"/>
  <c r="F17" i="87"/>
  <c r="F16" i="87"/>
  <c r="F15" i="87"/>
  <c r="F14" i="87"/>
  <c r="F13" i="87"/>
  <c r="F12" i="87"/>
  <c r="E11" i="87"/>
  <c r="D11" i="87"/>
  <c r="F11" i="87" l="1"/>
  <c r="O301" i="86"/>
  <c r="L301" i="86"/>
  <c r="I301" i="86"/>
  <c r="F301" i="86"/>
  <c r="O300" i="86"/>
  <c r="L300" i="86"/>
  <c r="I300" i="86"/>
  <c r="F300" i="86"/>
  <c r="O299" i="86"/>
  <c r="L299" i="86"/>
  <c r="I299" i="86"/>
  <c r="F299" i="86"/>
  <c r="O298" i="86"/>
  <c r="L298" i="86"/>
  <c r="I298" i="86"/>
  <c r="F298" i="86"/>
  <c r="O297" i="86"/>
  <c r="L297" i="86"/>
  <c r="I297" i="86"/>
  <c r="F297" i="86"/>
  <c r="O296" i="86"/>
  <c r="L296" i="86"/>
  <c r="I296" i="86"/>
  <c r="F296" i="86"/>
  <c r="O295" i="86"/>
  <c r="L295" i="86"/>
  <c r="I295" i="86"/>
  <c r="F295" i="86"/>
  <c r="O294" i="86"/>
  <c r="L294" i="86"/>
  <c r="I294" i="86"/>
  <c r="F294" i="86"/>
  <c r="C294" i="86" s="1"/>
  <c r="N293" i="86"/>
  <c r="M293" i="86"/>
  <c r="K293" i="86"/>
  <c r="J293" i="86"/>
  <c r="H293" i="86"/>
  <c r="G293" i="86"/>
  <c r="E293" i="86"/>
  <c r="D293" i="86"/>
  <c r="O288" i="86"/>
  <c r="L288" i="86"/>
  <c r="I288" i="86"/>
  <c r="F288" i="86"/>
  <c r="O287" i="86"/>
  <c r="L287" i="86"/>
  <c r="L286" i="86" s="1"/>
  <c r="I287" i="86"/>
  <c r="F287" i="86"/>
  <c r="O286" i="86"/>
  <c r="N286" i="86"/>
  <c r="M286" i="86"/>
  <c r="K286" i="86"/>
  <c r="J286" i="86"/>
  <c r="H286" i="86"/>
  <c r="G286" i="86"/>
  <c r="F286" i="86"/>
  <c r="E286" i="86"/>
  <c r="D286" i="86"/>
  <c r="O285" i="86"/>
  <c r="L285" i="86"/>
  <c r="L284" i="86" s="1"/>
  <c r="L283" i="86" s="1"/>
  <c r="I285" i="86"/>
  <c r="F285" i="86"/>
  <c r="O284" i="86"/>
  <c r="N284" i="86"/>
  <c r="N283" i="86" s="1"/>
  <c r="M284" i="86"/>
  <c r="M283" i="86" s="1"/>
  <c r="K284" i="86"/>
  <c r="J284" i="86"/>
  <c r="J283" i="86" s="1"/>
  <c r="I284" i="86"/>
  <c r="I283" i="86" s="1"/>
  <c r="H284" i="86"/>
  <c r="G284" i="86"/>
  <c r="E284" i="86"/>
  <c r="E283" i="86" s="1"/>
  <c r="D284" i="86"/>
  <c r="D283" i="86" s="1"/>
  <c r="O283" i="86"/>
  <c r="K283" i="86"/>
  <c r="H283" i="86"/>
  <c r="G283" i="86"/>
  <c r="O282" i="86"/>
  <c r="O281" i="86" s="1"/>
  <c r="L282" i="86"/>
  <c r="I282" i="86"/>
  <c r="F282" i="86"/>
  <c r="N281" i="86"/>
  <c r="M281" i="86"/>
  <c r="L281" i="86"/>
  <c r="K281" i="86"/>
  <c r="J281" i="86"/>
  <c r="I281" i="86"/>
  <c r="H281" i="86"/>
  <c r="G281" i="86"/>
  <c r="E281" i="86"/>
  <c r="D281" i="86"/>
  <c r="O280" i="86"/>
  <c r="L280" i="86"/>
  <c r="I280" i="86"/>
  <c r="F280" i="86"/>
  <c r="O279" i="86"/>
  <c r="L279" i="86"/>
  <c r="I279" i="86"/>
  <c r="F279" i="86"/>
  <c r="O278" i="86"/>
  <c r="L278" i="86"/>
  <c r="I278" i="86"/>
  <c r="F278" i="86"/>
  <c r="C278" i="86" s="1"/>
  <c r="O277" i="86"/>
  <c r="L277" i="86"/>
  <c r="I277" i="86"/>
  <c r="I276" i="86" s="1"/>
  <c r="F277" i="86"/>
  <c r="N276" i="86"/>
  <c r="M276" i="86"/>
  <c r="K276" i="86"/>
  <c r="J276" i="86"/>
  <c r="H276" i="86"/>
  <c r="G276" i="86"/>
  <c r="E276" i="86"/>
  <c r="D276" i="86"/>
  <c r="O275" i="86"/>
  <c r="L275" i="86"/>
  <c r="I275" i="86"/>
  <c r="F275" i="86"/>
  <c r="O274" i="86"/>
  <c r="L274" i="86"/>
  <c r="I274" i="86"/>
  <c r="F274" i="86"/>
  <c r="O273" i="86"/>
  <c r="L273" i="86"/>
  <c r="L272" i="86" s="1"/>
  <c r="I273" i="86"/>
  <c r="F273" i="86"/>
  <c r="N272" i="86"/>
  <c r="N270" i="86" s="1"/>
  <c r="N269" i="86" s="1"/>
  <c r="M272" i="86"/>
  <c r="K272" i="86"/>
  <c r="J272" i="86"/>
  <c r="J270" i="86" s="1"/>
  <c r="J269" i="86" s="1"/>
  <c r="I272" i="86"/>
  <c r="H272" i="86"/>
  <c r="G272" i="86"/>
  <c r="G270" i="86" s="1"/>
  <c r="G269" i="86" s="1"/>
  <c r="E272" i="86"/>
  <c r="D272" i="86"/>
  <c r="D270" i="86" s="1"/>
  <c r="O271" i="86"/>
  <c r="L271" i="86"/>
  <c r="I271" i="86"/>
  <c r="F271" i="86"/>
  <c r="O268" i="86"/>
  <c r="L268" i="86"/>
  <c r="I268" i="86"/>
  <c r="F268" i="86"/>
  <c r="O267" i="86"/>
  <c r="L267" i="86"/>
  <c r="I267" i="86"/>
  <c r="F267" i="86"/>
  <c r="O266" i="86"/>
  <c r="O264" i="86" s="1"/>
  <c r="L266" i="86"/>
  <c r="I266" i="86"/>
  <c r="F266" i="86"/>
  <c r="C266" i="86"/>
  <c r="O265" i="86"/>
  <c r="L265" i="86"/>
  <c r="I265" i="86"/>
  <c r="F265" i="86"/>
  <c r="N264" i="86"/>
  <c r="M264" i="86"/>
  <c r="K264" i="86"/>
  <c r="J264" i="86"/>
  <c r="J259" i="86" s="1"/>
  <c r="I264" i="86"/>
  <c r="H264" i="86"/>
  <c r="G264" i="86"/>
  <c r="E264" i="86"/>
  <c r="D264" i="86"/>
  <c r="O263" i="86"/>
  <c r="L263" i="86"/>
  <c r="I263" i="86"/>
  <c r="F263" i="86"/>
  <c r="O262" i="86"/>
  <c r="L262" i="86"/>
  <c r="I262" i="86"/>
  <c r="F262" i="86"/>
  <c r="O261" i="86"/>
  <c r="L261" i="86"/>
  <c r="I261" i="86"/>
  <c r="I260" i="86" s="1"/>
  <c r="F261" i="86"/>
  <c r="N260" i="86"/>
  <c r="M260" i="86"/>
  <c r="K260" i="86"/>
  <c r="K259" i="86" s="1"/>
  <c r="J260" i="86"/>
  <c r="H260" i="86"/>
  <c r="H259" i="86" s="1"/>
  <c r="G260" i="86"/>
  <c r="E260" i="86"/>
  <c r="D260" i="86"/>
  <c r="N259" i="86"/>
  <c r="G259" i="86"/>
  <c r="D259" i="86"/>
  <c r="O258" i="86"/>
  <c r="L258" i="86"/>
  <c r="I258" i="86"/>
  <c r="F258" i="86"/>
  <c r="O257" i="86"/>
  <c r="L257" i="86"/>
  <c r="I257" i="86"/>
  <c r="F257" i="86"/>
  <c r="O256" i="86"/>
  <c r="L256" i="86"/>
  <c r="I256" i="86"/>
  <c r="F256" i="86"/>
  <c r="O255" i="86"/>
  <c r="L255" i="86"/>
  <c r="I255" i="86"/>
  <c r="F255" i="86"/>
  <c r="O254" i="86"/>
  <c r="L254" i="86"/>
  <c r="I254" i="86"/>
  <c r="F254" i="86"/>
  <c r="O253" i="86"/>
  <c r="L253" i="86"/>
  <c r="I253" i="86"/>
  <c r="F253" i="86"/>
  <c r="N252" i="86"/>
  <c r="M252" i="86"/>
  <c r="M251" i="86" s="1"/>
  <c r="K252" i="86"/>
  <c r="J252" i="86"/>
  <c r="J251" i="86" s="1"/>
  <c r="H252" i="86"/>
  <c r="H251" i="86" s="1"/>
  <c r="G252" i="86"/>
  <c r="E252" i="86"/>
  <c r="E251" i="86" s="1"/>
  <c r="D252" i="86"/>
  <c r="D251" i="86" s="1"/>
  <c r="N251" i="86"/>
  <c r="K251" i="86"/>
  <c r="G251" i="86"/>
  <c r="O250" i="86"/>
  <c r="L250" i="86"/>
  <c r="I250" i="86"/>
  <c r="F250" i="86"/>
  <c r="C250" i="86" s="1"/>
  <c r="O249" i="86"/>
  <c r="L249" i="86"/>
  <c r="I249" i="86"/>
  <c r="F249" i="86"/>
  <c r="O248" i="86"/>
  <c r="L248" i="86"/>
  <c r="I248" i="86"/>
  <c r="F248" i="86"/>
  <c r="O247" i="86"/>
  <c r="L247" i="86"/>
  <c r="L246" i="86" s="1"/>
  <c r="I247" i="86"/>
  <c r="F247" i="86"/>
  <c r="O246" i="86"/>
  <c r="N246" i="86"/>
  <c r="M246" i="86"/>
  <c r="K246" i="86"/>
  <c r="J246" i="86"/>
  <c r="H246" i="86"/>
  <c r="G246" i="86"/>
  <c r="E246" i="86"/>
  <c r="D246" i="86"/>
  <c r="O245" i="86"/>
  <c r="L245" i="86"/>
  <c r="I245" i="86"/>
  <c r="F245" i="86"/>
  <c r="O244" i="86"/>
  <c r="L244" i="86"/>
  <c r="I244" i="86"/>
  <c r="F244" i="86"/>
  <c r="O243" i="86"/>
  <c r="L243" i="86"/>
  <c r="I243" i="86"/>
  <c r="F243" i="86"/>
  <c r="O242" i="86"/>
  <c r="L242" i="86"/>
  <c r="I242" i="86"/>
  <c r="F242" i="86"/>
  <c r="O241" i="86"/>
  <c r="L241" i="86"/>
  <c r="I241" i="86"/>
  <c r="F241" i="86"/>
  <c r="O240" i="86"/>
  <c r="L240" i="86"/>
  <c r="I240" i="86"/>
  <c r="F240" i="86"/>
  <c r="O239" i="86"/>
  <c r="L239" i="86"/>
  <c r="L238" i="86" s="1"/>
  <c r="I239" i="86"/>
  <c r="F239" i="86"/>
  <c r="N238" i="86"/>
  <c r="M238" i="86"/>
  <c r="K238" i="86"/>
  <c r="J238" i="86"/>
  <c r="H238" i="86"/>
  <c r="G238" i="86"/>
  <c r="E238" i="86"/>
  <c r="D238" i="86"/>
  <c r="O237" i="86"/>
  <c r="L237" i="86"/>
  <c r="I237" i="86"/>
  <c r="F237" i="86"/>
  <c r="O236" i="86"/>
  <c r="L236" i="86"/>
  <c r="L235" i="86" s="1"/>
  <c r="I236" i="86"/>
  <c r="F236" i="86"/>
  <c r="O235" i="86"/>
  <c r="N235" i="86"/>
  <c r="M235" i="86"/>
  <c r="M231" i="86" s="1"/>
  <c r="K235" i="86"/>
  <c r="J235" i="86"/>
  <c r="H235" i="86"/>
  <c r="G235" i="86"/>
  <c r="E235" i="86"/>
  <c r="D235" i="86"/>
  <c r="O234" i="86"/>
  <c r="O233" i="86" s="1"/>
  <c r="L234" i="86"/>
  <c r="C234" i="86" s="1"/>
  <c r="I234" i="86"/>
  <c r="F234" i="86"/>
  <c r="F233" i="86" s="1"/>
  <c r="N233" i="86"/>
  <c r="M233" i="86"/>
  <c r="K233" i="86"/>
  <c r="J233" i="86"/>
  <c r="I233" i="86"/>
  <c r="H233" i="86"/>
  <c r="G233" i="86"/>
  <c r="E233" i="86"/>
  <c r="D233" i="86"/>
  <c r="O232" i="86"/>
  <c r="L232" i="86"/>
  <c r="I232" i="86"/>
  <c r="F232" i="86"/>
  <c r="O229" i="86"/>
  <c r="L229" i="86"/>
  <c r="I229" i="86"/>
  <c r="F229" i="86"/>
  <c r="O228" i="86"/>
  <c r="L228" i="86"/>
  <c r="L227" i="86" s="1"/>
  <c r="I228" i="86"/>
  <c r="I227" i="86" s="1"/>
  <c r="F228" i="86"/>
  <c r="O227" i="86"/>
  <c r="N227" i="86"/>
  <c r="M227" i="86"/>
  <c r="K227" i="86"/>
  <c r="J227" i="86"/>
  <c r="H227" i="86"/>
  <c r="G227" i="86"/>
  <c r="E227" i="86"/>
  <c r="D227" i="86"/>
  <c r="O226" i="86"/>
  <c r="L226" i="86"/>
  <c r="I226" i="86"/>
  <c r="F226" i="86"/>
  <c r="C226" i="86"/>
  <c r="O225" i="86"/>
  <c r="L225" i="86"/>
  <c r="I225" i="86"/>
  <c r="F225" i="86"/>
  <c r="C225" i="86" s="1"/>
  <c r="O224" i="86"/>
  <c r="L224" i="86"/>
  <c r="I224" i="86"/>
  <c r="F224" i="86"/>
  <c r="O223" i="86"/>
  <c r="L223" i="86"/>
  <c r="I223" i="86"/>
  <c r="F223" i="86"/>
  <c r="C223" i="86" s="1"/>
  <c r="O222" i="86"/>
  <c r="L222" i="86"/>
  <c r="I222" i="86"/>
  <c r="F222" i="86"/>
  <c r="C222" i="86" s="1"/>
  <c r="O221" i="86"/>
  <c r="L221" i="86"/>
  <c r="I221" i="86"/>
  <c r="F221" i="86"/>
  <c r="O220" i="86"/>
  <c r="L220" i="86"/>
  <c r="I220" i="86"/>
  <c r="F220" i="86"/>
  <c r="O219" i="86"/>
  <c r="L219" i="86"/>
  <c r="I219" i="86"/>
  <c r="F219" i="86"/>
  <c r="O218" i="86"/>
  <c r="L218" i="86"/>
  <c r="I218" i="86"/>
  <c r="F218" i="86"/>
  <c r="O217" i="86"/>
  <c r="L217" i="86"/>
  <c r="I217" i="86"/>
  <c r="F217" i="86"/>
  <c r="N216" i="86"/>
  <c r="M216" i="86"/>
  <c r="K216" i="86"/>
  <c r="J216" i="86"/>
  <c r="H216" i="86"/>
  <c r="G216" i="86"/>
  <c r="E216" i="86"/>
  <c r="D216" i="86"/>
  <c r="O215" i="86"/>
  <c r="L215" i="86"/>
  <c r="I215" i="86"/>
  <c r="F215" i="86"/>
  <c r="O214" i="86"/>
  <c r="L214" i="86"/>
  <c r="I214" i="86"/>
  <c r="F214" i="86"/>
  <c r="C214" i="86" s="1"/>
  <c r="O213" i="86"/>
  <c r="L213" i="86"/>
  <c r="I213" i="86"/>
  <c r="F213" i="86"/>
  <c r="O212" i="86"/>
  <c r="L212" i="86"/>
  <c r="I212" i="86"/>
  <c r="F212" i="86"/>
  <c r="O211" i="86"/>
  <c r="L211" i="86"/>
  <c r="I211" i="86"/>
  <c r="F211" i="86"/>
  <c r="O210" i="86"/>
  <c r="L210" i="86"/>
  <c r="I210" i="86"/>
  <c r="F210" i="86"/>
  <c r="O209" i="86"/>
  <c r="L209" i="86"/>
  <c r="I209" i="86"/>
  <c r="F209" i="86"/>
  <c r="O208" i="86"/>
  <c r="L208" i="86"/>
  <c r="I208" i="86"/>
  <c r="F208" i="86"/>
  <c r="O207" i="86"/>
  <c r="L207" i="86"/>
  <c r="I207" i="86"/>
  <c r="F207" i="86"/>
  <c r="O206" i="86"/>
  <c r="L206" i="86"/>
  <c r="I206" i="86"/>
  <c r="F206" i="86"/>
  <c r="N205" i="86"/>
  <c r="M205" i="86"/>
  <c r="K205" i="86"/>
  <c r="K204" i="86" s="1"/>
  <c r="J205" i="86"/>
  <c r="H205" i="86"/>
  <c r="G205" i="86"/>
  <c r="G204" i="86" s="1"/>
  <c r="E205" i="86"/>
  <c r="E204" i="86" s="1"/>
  <c r="D205" i="86"/>
  <c r="O203" i="86"/>
  <c r="L203" i="86"/>
  <c r="I203" i="86"/>
  <c r="F203" i="86"/>
  <c r="O202" i="86"/>
  <c r="L202" i="86"/>
  <c r="I202" i="86"/>
  <c r="F202" i="86"/>
  <c r="O201" i="86"/>
  <c r="L201" i="86"/>
  <c r="I201" i="86"/>
  <c r="F201" i="86"/>
  <c r="O200" i="86"/>
  <c r="L200" i="86"/>
  <c r="I200" i="86"/>
  <c r="F200" i="86"/>
  <c r="O199" i="86"/>
  <c r="L199" i="86"/>
  <c r="L198" i="86" s="1"/>
  <c r="I199" i="86"/>
  <c r="F199" i="86"/>
  <c r="F198" i="86" s="1"/>
  <c r="O198" i="86"/>
  <c r="N198" i="86"/>
  <c r="M198" i="86"/>
  <c r="K198" i="86"/>
  <c r="K196" i="86" s="1"/>
  <c r="J198" i="86"/>
  <c r="H198" i="86"/>
  <c r="H196" i="86" s="1"/>
  <c r="G198" i="86"/>
  <c r="G196" i="86" s="1"/>
  <c r="E198" i="86"/>
  <c r="E196" i="86" s="1"/>
  <c r="D198" i="86"/>
  <c r="O197" i="86"/>
  <c r="L197" i="86"/>
  <c r="I197" i="86"/>
  <c r="F197" i="86"/>
  <c r="N196" i="86"/>
  <c r="M196" i="86"/>
  <c r="J196" i="86"/>
  <c r="D196" i="86"/>
  <c r="O193" i="86"/>
  <c r="L193" i="86"/>
  <c r="L192" i="86" s="1"/>
  <c r="L191" i="86" s="1"/>
  <c r="I193" i="86"/>
  <c r="F193" i="86"/>
  <c r="O192" i="86"/>
  <c r="O191" i="86" s="1"/>
  <c r="N192" i="86"/>
  <c r="N191" i="86" s="1"/>
  <c r="M192" i="86"/>
  <c r="M191" i="86" s="1"/>
  <c r="K192" i="86"/>
  <c r="J192" i="86"/>
  <c r="J191" i="86" s="1"/>
  <c r="I192" i="86"/>
  <c r="I191" i="86" s="1"/>
  <c r="H192" i="86"/>
  <c r="G192" i="86"/>
  <c r="G191" i="86" s="1"/>
  <c r="E192" i="86"/>
  <c r="E191" i="86" s="1"/>
  <c r="D192" i="86"/>
  <c r="D191" i="86" s="1"/>
  <c r="D187" i="86" s="1"/>
  <c r="K191" i="86"/>
  <c r="K187" i="86" s="1"/>
  <c r="H191" i="86"/>
  <c r="O190" i="86"/>
  <c r="L190" i="86"/>
  <c r="I190" i="86"/>
  <c r="F190" i="86"/>
  <c r="O189" i="86"/>
  <c r="L189" i="86"/>
  <c r="L188" i="86" s="1"/>
  <c r="I189" i="86"/>
  <c r="I188" i="86" s="1"/>
  <c r="I187" i="86" s="1"/>
  <c r="F189" i="86"/>
  <c r="O188" i="86"/>
  <c r="N188" i="86"/>
  <c r="M188" i="86"/>
  <c r="M187" i="86" s="1"/>
  <c r="K188" i="86"/>
  <c r="J188" i="86"/>
  <c r="H188" i="86"/>
  <c r="H187" i="86" s="1"/>
  <c r="G188" i="86"/>
  <c r="F188" i="86"/>
  <c r="E188" i="86"/>
  <c r="D188" i="86"/>
  <c r="O187" i="86"/>
  <c r="O186" i="86"/>
  <c r="L186" i="86"/>
  <c r="I186" i="86"/>
  <c r="F186" i="86"/>
  <c r="O185" i="86"/>
  <c r="L185" i="86"/>
  <c r="L184" i="86" s="1"/>
  <c r="I185" i="86"/>
  <c r="I184" i="86" s="1"/>
  <c r="F185" i="86"/>
  <c r="O184" i="86"/>
  <c r="N184" i="86"/>
  <c r="M184" i="86"/>
  <c r="K184" i="86"/>
  <c r="J184" i="86"/>
  <c r="H184" i="86"/>
  <c r="G184" i="86"/>
  <c r="F184" i="86"/>
  <c r="E184" i="86"/>
  <c r="D184" i="86"/>
  <c r="O183" i="86"/>
  <c r="L183" i="86"/>
  <c r="I183" i="86"/>
  <c r="F183" i="86"/>
  <c r="C183" i="86" s="1"/>
  <c r="O182" i="86"/>
  <c r="L182" i="86"/>
  <c r="I182" i="86"/>
  <c r="F182" i="86"/>
  <c r="O181" i="86"/>
  <c r="L181" i="86"/>
  <c r="I181" i="86"/>
  <c r="F181" i="86"/>
  <c r="O180" i="86"/>
  <c r="L180" i="86"/>
  <c r="I180" i="86"/>
  <c r="I179" i="86" s="1"/>
  <c r="F180" i="86"/>
  <c r="N179" i="86"/>
  <c r="M179" i="86"/>
  <c r="L179" i="86"/>
  <c r="K179" i="86"/>
  <c r="J179" i="86"/>
  <c r="H179" i="86"/>
  <c r="G179" i="86"/>
  <c r="E179" i="86"/>
  <c r="D179" i="86"/>
  <c r="O178" i="86"/>
  <c r="L178" i="86"/>
  <c r="I178" i="86"/>
  <c r="F178" i="86"/>
  <c r="O177" i="86"/>
  <c r="L177" i="86"/>
  <c r="I177" i="86"/>
  <c r="F177" i="86"/>
  <c r="O176" i="86"/>
  <c r="O175" i="86" s="1"/>
  <c r="L176" i="86"/>
  <c r="L175" i="86" s="1"/>
  <c r="L174" i="86" s="1"/>
  <c r="L173" i="86" s="1"/>
  <c r="I176" i="86"/>
  <c r="I175" i="86" s="1"/>
  <c r="F176" i="86"/>
  <c r="N175" i="86"/>
  <c r="N174" i="86" s="1"/>
  <c r="N173" i="86" s="1"/>
  <c r="M175" i="86"/>
  <c r="K175" i="86"/>
  <c r="K174" i="86" s="1"/>
  <c r="J175" i="86"/>
  <c r="J174" i="86" s="1"/>
  <c r="J173" i="86" s="1"/>
  <c r="H175" i="86"/>
  <c r="G175" i="86"/>
  <c r="E175" i="86"/>
  <c r="E174" i="86" s="1"/>
  <c r="E173" i="86" s="1"/>
  <c r="D175" i="86"/>
  <c r="D174" i="86" s="1"/>
  <c r="D173" i="86" s="1"/>
  <c r="O172" i="86"/>
  <c r="L172" i="86"/>
  <c r="I172" i="86"/>
  <c r="F172" i="86"/>
  <c r="O171" i="86"/>
  <c r="L171" i="86"/>
  <c r="I171" i="86"/>
  <c r="F171" i="86"/>
  <c r="O170" i="86"/>
  <c r="L170" i="86"/>
  <c r="I170" i="86"/>
  <c r="F170" i="86"/>
  <c r="O169" i="86"/>
  <c r="L169" i="86"/>
  <c r="I169" i="86"/>
  <c r="F169" i="86"/>
  <c r="O168" i="86"/>
  <c r="L168" i="86"/>
  <c r="I168" i="86"/>
  <c r="F168" i="86"/>
  <c r="O167" i="86"/>
  <c r="O166" i="86" s="1"/>
  <c r="O165" i="86" s="1"/>
  <c r="L167" i="86"/>
  <c r="I167" i="86"/>
  <c r="F167" i="86"/>
  <c r="N166" i="86"/>
  <c r="M166" i="86"/>
  <c r="K166" i="86"/>
  <c r="K165" i="86" s="1"/>
  <c r="J166" i="86"/>
  <c r="J165" i="86" s="1"/>
  <c r="H166" i="86"/>
  <c r="H165" i="86" s="1"/>
  <c r="G166" i="86"/>
  <c r="G165" i="86" s="1"/>
  <c r="E166" i="86"/>
  <c r="D166" i="86"/>
  <c r="D165" i="86" s="1"/>
  <c r="N165" i="86"/>
  <c r="M165" i="86"/>
  <c r="E165" i="86"/>
  <c r="O164" i="86"/>
  <c r="L164" i="86"/>
  <c r="I164" i="86"/>
  <c r="F164" i="86"/>
  <c r="C164" i="86" s="1"/>
  <c r="O163" i="86"/>
  <c r="L163" i="86"/>
  <c r="I163" i="86"/>
  <c r="F163" i="86"/>
  <c r="O162" i="86"/>
  <c r="L162" i="86"/>
  <c r="I162" i="86"/>
  <c r="F162" i="86"/>
  <c r="O161" i="86"/>
  <c r="L161" i="86"/>
  <c r="L160" i="86" s="1"/>
  <c r="I161" i="86"/>
  <c r="I160" i="86" s="1"/>
  <c r="F161" i="86"/>
  <c r="O160" i="86"/>
  <c r="N160" i="86"/>
  <c r="M160" i="86"/>
  <c r="K160" i="86"/>
  <c r="J160" i="86"/>
  <c r="H160" i="86"/>
  <c r="G160" i="86"/>
  <c r="F160" i="86"/>
  <c r="E160" i="86"/>
  <c r="D160" i="86"/>
  <c r="O159" i="86"/>
  <c r="L159" i="86"/>
  <c r="I159" i="86"/>
  <c r="F159" i="86"/>
  <c r="O158" i="86"/>
  <c r="L158" i="86"/>
  <c r="I158" i="86"/>
  <c r="F158" i="86"/>
  <c r="O157" i="86"/>
  <c r="L157" i="86"/>
  <c r="I157" i="86"/>
  <c r="F157" i="86"/>
  <c r="O156" i="86"/>
  <c r="L156" i="86"/>
  <c r="I156" i="86"/>
  <c r="F156" i="86"/>
  <c r="O155" i="86"/>
  <c r="L155" i="86"/>
  <c r="I155" i="86"/>
  <c r="F155" i="86"/>
  <c r="O154" i="86"/>
  <c r="L154" i="86"/>
  <c r="I154" i="86"/>
  <c r="F154" i="86"/>
  <c r="O153" i="86"/>
  <c r="L153" i="86"/>
  <c r="I153" i="86"/>
  <c r="F153" i="86"/>
  <c r="O152" i="86"/>
  <c r="O151" i="86" s="1"/>
  <c r="L152" i="86"/>
  <c r="I152" i="86"/>
  <c r="F152" i="86"/>
  <c r="C152" i="86" s="1"/>
  <c r="N151" i="86"/>
  <c r="M151" i="86"/>
  <c r="K151" i="86"/>
  <c r="J151" i="86"/>
  <c r="H151" i="86"/>
  <c r="G151" i="86"/>
  <c r="E151" i="86"/>
  <c r="D151" i="86"/>
  <c r="O150" i="86"/>
  <c r="L150" i="86"/>
  <c r="I150" i="86"/>
  <c r="F150" i="86"/>
  <c r="C150" i="86" s="1"/>
  <c r="O149" i="86"/>
  <c r="L149" i="86"/>
  <c r="I149" i="86"/>
  <c r="F149" i="86"/>
  <c r="C149" i="86" s="1"/>
  <c r="O148" i="86"/>
  <c r="L148" i="86"/>
  <c r="I148" i="86"/>
  <c r="F148" i="86"/>
  <c r="C148" i="86" s="1"/>
  <c r="O147" i="86"/>
  <c r="L147" i="86"/>
  <c r="I147" i="86"/>
  <c r="F147" i="86"/>
  <c r="O146" i="86"/>
  <c r="L146" i="86"/>
  <c r="I146" i="86"/>
  <c r="F146" i="86"/>
  <c r="O145" i="86"/>
  <c r="L145" i="86"/>
  <c r="L144" i="86" s="1"/>
  <c r="I145" i="86"/>
  <c r="I144" i="86" s="1"/>
  <c r="F145" i="86"/>
  <c r="N144" i="86"/>
  <c r="M144" i="86"/>
  <c r="K144" i="86"/>
  <c r="J144" i="86"/>
  <c r="H144" i="86"/>
  <c r="G144" i="86"/>
  <c r="E144" i="86"/>
  <c r="D144" i="86"/>
  <c r="O143" i="86"/>
  <c r="L143" i="86"/>
  <c r="I143" i="86"/>
  <c r="F143" i="86"/>
  <c r="O142" i="86"/>
  <c r="L142" i="86"/>
  <c r="I142" i="86"/>
  <c r="I141" i="86" s="1"/>
  <c r="F142" i="86"/>
  <c r="F141" i="86" s="1"/>
  <c r="N141" i="86"/>
  <c r="M141" i="86"/>
  <c r="L141" i="86"/>
  <c r="K141" i="86"/>
  <c r="J141" i="86"/>
  <c r="H141" i="86"/>
  <c r="G141" i="86"/>
  <c r="E141" i="86"/>
  <c r="D141" i="86"/>
  <c r="O140" i="86"/>
  <c r="L140" i="86"/>
  <c r="I140" i="86"/>
  <c r="C140" i="86" s="1"/>
  <c r="F140" i="86"/>
  <c r="O139" i="86"/>
  <c r="L139" i="86"/>
  <c r="I139" i="86"/>
  <c r="F139" i="86"/>
  <c r="O138" i="86"/>
  <c r="L138" i="86"/>
  <c r="I138" i="86"/>
  <c r="F138" i="86"/>
  <c r="O137" i="86"/>
  <c r="L137" i="86"/>
  <c r="L136" i="86" s="1"/>
  <c r="I137" i="86"/>
  <c r="I136" i="86" s="1"/>
  <c r="F137" i="86"/>
  <c r="O136" i="86"/>
  <c r="N136" i="86"/>
  <c r="M136" i="86"/>
  <c r="K136" i="86"/>
  <c r="J136" i="86"/>
  <c r="H136" i="86"/>
  <c r="G136" i="86"/>
  <c r="E136" i="86"/>
  <c r="D136" i="86"/>
  <c r="O135" i="86"/>
  <c r="L135" i="86"/>
  <c r="I135" i="86"/>
  <c r="F135" i="86"/>
  <c r="O134" i="86"/>
  <c r="L134" i="86"/>
  <c r="I134" i="86"/>
  <c r="F134" i="86"/>
  <c r="O133" i="86"/>
  <c r="L133" i="86"/>
  <c r="I133" i="86"/>
  <c r="F133" i="86"/>
  <c r="O132" i="86"/>
  <c r="L132" i="86"/>
  <c r="I132" i="86"/>
  <c r="I131" i="86" s="1"/>
  <c r="F132" i="86"/>
  <c r="O131" i="86"/>
  <c r="N131" i="86"/>
  <c r="M131" i="86"/>
  <c r="K131" i="86"/>
  <c r="J131" i="86"/>
  <c r="H131" i="86"/>
  <c r="G131" i="86"/>
  <c r="G130" i="86" s="1"/>
  <c r="E131" i="86"/>
  <c r="D131" i="86"/>
  <c r="O129" i="86"/>
  <c r="L129" i="86"/>
  <c r="L128" i="86" s="1"/>
  <c r="I129" i="86"/>
  <c r="I128" i="86" s="1"/>
  <c r="F129" i="86"/>
  <c r="O128" i="86"/>
  <c r="N128" i="86"/>
  <c r="M128" i="86"/>
  <c r="K128" i="86"/>
  <c r="J128" i="86"/>
  <c r="H128" i="86"/>
  <c r="G128" i="86"/>
  <c r="F128" i="86"/>
  <c r="E128" i="86"/>
  <c r="D128" i="86"/>
  <c r="O127" i="86"/>
  <c r="L127" i="86"/>
  <c r="I127" i="86"/>
  <c r="F127" i="86"/>
  <c r="O126" i="86"/>
  <c r="L126" i="86"/>
  <c r="I126" i="86"/>
  <c r="F126" i="86"/>
  <c r="O125" i="86"/>
  <c r="L125" i="86"/>
  <c r="I125" i="86"/>
  <c r="F125" i="86"/>
  <c r="O124" i="86"/>
  <c r="L124" i="86"/>
  <c r="I124" i="86"/>
  <c r="F124" i="86"/>
  <c r="C124" i="86" s="1"/>
  <c r="O123" i="86"/>
  <c r="L123" i="86"/>
  <c r="I123" i="86"/>
  <c r="I122" i="86" s="1"/>
  <c r="F123" i="86"/>
  <c r="N122" i="86"/>
  <c r="M122" i="86"/>
  <c r="L122" i="86"/>
  <c r="K122" i="86"/>
  <c r="J122" i="86"/>
  <c r="H122" i="86"/>
  <c r="G122" i="86"/>
  <c r="E122" i="86"/>
  <c r="D122" i="86"/>
  <c r="O121" i="86"/>
  <c r="L121" i="86"/>
  <c r="I121" i="86"/>
  <c r="F121" i="86"/>
  <c r="O120" i="86"/>
  <c r="L120" i="86"/>
  <c r="C120" i="86" s="1"/>
  <c r="I120" i="86"/>
  <c r="F120" i="86"/>
  <c r="O119" i="86"/>
  <c r="L119" i="86"/>
  <c r="I119" i="86"/>
  <c r="F119" i="86"/>
  <c r="O118" i="86"/>
  <c r="L118" i="86"/>
  <c r="I118" i="86"/>
  <c r="F118" i="86"/>
  <c r="O117" i="86"/>
  <c r="L117" i="86"/>
  <c r="I117" i="86"/>
  <c r="F117" i="86"/>
  <c r="O116" i="86"/>
  <c r="N116" i="86"/>
  <c r="M116" i="86"/>
  <c r="K116" i="86"/>
  <c r="J116" i="86"/>
  <c r="H116" i="86"/>
  <c r="G116" i="86"/>
  <c r="E116" i="86"/>
  <c r="D116" i="86"/>
  <c r="O115" i="86"/>
  <c r="L115" i="86"/>
  <c r="I115" i="86"/>
  <c r="F115" i="86"/>
  <c r="O114" i="86"/>
  <c r="L114" i="86"/>
  <c r="I114" i="86"/>
  <c r="F114" i="86"/>
  <c r="O113" i="86"/>
  <c r="L113" i="86"/>
  <c r="L112" i="86" s="1"/>
  <c r="I113" i="86"/>
  <c r="I112" i="86" s="1"/>
  <c r="F113" i="86"/>
  <c r="O112" i="86"/>
  <c r="N112" i="86"/>
  <c r="M112" i="86"/>
  <c r="K112" i="86"/>
  <c r="J112" i="86"/>
  <c r="H112" i="86"/>
  <c r="G112" i="86"/>
  <c r="E112" i="86"/>
  <c r="D112" i="86"/>
  <c r="O111" i="86"/>
  <c r="L111" i="86"/>
  <c r="I111" i="86"/>
  <c r="F111" i="86"/>
  <c r="O110" i="86"/>
  <c r="L110" i="86"/>
  <c r="I110" i="86"/>
  <c r="F110" i="86"/>
  <c r="O109" i="86"/>
  <c r="L109" i="86"/>
  <c r="I109" i="86"/>
  <c r="F109" i="86"/>
  <c r="O108" i="86"/>
  <c r="L108" i="86"/>
  <c r="I108" i="86"/>
  <c r="F108" i="86"/>
  <c r="O107" i="86"/>
  <c r="L107" i="86"/>
  <c r="I107" i="86"/>
  <c r="F107" i="86"/>
  <c r="O106" i="86"/>
  <c r="L106" i="86"/>
  <c r="I106" i="86"/>
  <c r="F106" i="86"/>
  <c r="O105" i="86"/>
  <c r="L105" i="86"/>
  <c r="I105" i="86"/>
  <c r="F105" i="86"/>
  <c r="O104" i="86"/>
  <c r="L104" i="86"/>
  <c r="I104" i="86"/>
  <c r="F104" i="86"/>
  <c r="C104" i="86" s="1"/>
  <c r="N103" i="86"/>
  <c r="M103" i="86"/>
  <c r="K103" i="86"/>
  <c r="J103" i="86"/>
  <c r="H103" i="86"/>
  <c r="G103" i="86"/>
  <c r="E103" i="86"/>
  <c r="D103" i="86"/>
  <c r="O102" i="86"/>
  <c r="L102" i="86"/>
  <c r="I102" i="86"/>
  <c r="F102" i="86"/>
  <c r="C102" i="86" s="1"/>
  <c r="O101" i="86"/>
  <c r="L101" i="86"/>
  <c r="I101" i="86"/>
  <c r="F101" i="86"/>
  <c r="C101" i="86" s="1"/>
  <c r="O100" i="86"/>
  <c r="L100" i="86"/>
  <c r="I100" i="86"/>
  <c r="F100" i="86"/>
  <c r="C100" i="86" s="1"/>
  <c r="O99" i="86"/>
  <c r="L99" i="86"/>
  <c r="I99" i="86"/>
  <c r="F99" i="86"/>
  <c r="O98" i="86"/>
  <c r="L98" i="86"/>
  <c r="I98" i="86"/>
  <c r="F98" i="86"/>
  <c r="O97" i="86"/>
  <c r="L97" i="86"/>
  <c r="I97" i="86"/>
  <c r="F97" i="86"/>
  <c r="O96" i="86"/>
  <c r="L96" i="86"/>
  <c r="I96" i="86"/>
  <c r="F96" i="86"/>
  <c r="N95" i="86"/>
  <c r="M95" i="86"/>
  <c r="L95" i="86"/>
  <c r="K95" i="86"/>
  <c r="J95" i="86"/>
  <c r="H95" i="86"/>
  <c r="G95" i="86"/>
  <c r="E95" i="86"/>
  <c r="D95" i="86"/>
  <c r="O94" i="86"/>
  <c r="L94" i="86"/>
  <c r="I94" i="86"/>
  <c r="F94" i="86"/>
  <c r="O93" i="86"/>
  <c r="L93" i="86"/>
  <c r="I93" i="86"/>
  <c r="F93" i="86"/>
  <c r="O92" i="86"/>
  <c r="L92" i="86"/>
  <c r="I92" i="86"/>
  <c r="F92" i="86"/>
  <c r="O91" i="86"/>
  <c r="L91" i="86"/>
  <c r="I91" i="86"/>
  <c r="F91" i="86"/>
  <c r="O90" i="86"/>
  <c r="L90" i="86"/>
  <c r="I90" i="86"/>
  <c r="I89" i="86" s="1"/>
  <c r="F90" i="86"/>
  <c r="F89" i="86" s="1"/>
  <c r="N89" i="86"/>
  <c r="M89" i="86"/>
  <c r="K89" i="86"/>
  <c r="J89" i="86"/>
  <c r="H89" i="86"/>
  <c r="G89" i="86"/>
  <c r="E89" i="86"/>
  <c r="D89" i="86"/>
  <c r="O88" i="86"/>
  <c r="L88" i="86"/>
  <c r="I88" i="86"/>
  <c r="F88" i="86"/>
  <c r="O87" i="86"/>
  <c r="L87" i="86"/>
  <c r="I87" i="86"/>
  <c r="F87" i="86"/>
  <c r="O86" i="86"/>
  <c r="L86" i="86"/>
  <c r="I86" i="86"/>
  <c r="F86" i="86"/>
  <c r="O85" i="86"/>
  <c r="L85" i="86"/>
  <c r="I85" i="86"/>
  <c r="I84" i="86" s="1"/>
  <c r="F85" i="86"/>
  <c r="N84" i="86"/>
  <c r="M84" i="86"/>
  <c r="K84" i="86"/>
  <c r="J84" i="86"/>
  <c r="H84" i="86"/>
  <c r="G84" i="86"/>
  <c r="E84" i="86"/>
  <c r="E83" i="86" s="1"/>
  <c r="D84" i="86"/>
  <c r="O82" i="86"/>
  <c r="L82" i="86"/>
  <c r="I82" i="86"/>
  <c r="F82" i="86"/>
  <c r="O81" i="86"/>
  <c r="O80" i="86" s="1"/>
  <c r="L81" i="86"/>
  <c r="L80" i="86" s="1"/>
  <c r="I81" i="86"/>
  <c r="I80" i="86" s="1"/>
  <c r="F81" i="86"/>
  <c r="C81" i="86" s="1"/>
  <c r="N80" i="86"/>
  <c r="M80" i="86"/>
  <c r="K80" i="86"/>
  <c r="J80" i="86"/>
  <c r="H80" i="86"/>
  <c r="G80" i="86"/>
  <c r="F80" i="86"/>
  <c r="E80" i="86"/>
  <c r="D80" i="86"/>
  <c r="O79" i="86"/>
  <c r="L79" i="86"/>
  <c r="I79" i="86"/>
  <c r="F79" i="86"/>
  <c r="O78" i="86"/>
  <c r="L78" i="86"/>
  <c r="L77" i="86" s="1"/>
  <c r="I78" i="86"/>
  <c r="I77" i="86" s="1"/>
  <c r="F78" i="86"/>
  <c r="O77" i="86"/>
  <c r="N77" i="86"/>
  <c r="N76" i="86" s="1"/>
  <c r="M77" i="86"/>
  <c r="K77" i="86"/>
  <c r="J77" i="86"/>
  <c r="H77" i="86"/>
  <c r="G77" i="86"/>
  <c r="F77" i="86"/>
  <c r="E77" i="86"/>
  <c r="D77" i="86"/>
  <c r="D76" i="86" s="1"/>
  <c r="H76" i="86"/>
  <c r="O74" i="86"/>
  <c r="L74" i="86"/>
  <c r="I74" i="86"/>
  <c r="F74" i="86"/>
  <c r="O73" i="86"/>
  <c r="L73" i="86"/>
  <c r="C73" i="86" s="1"/>
  <c r="I73" i="86"/>
  <c r="F73" i="86"/>
  <c r="O72" i="86"/>
  <c r="L72" i="86"/>
  <c r="I72" i="86"/>
  <c r="F72" i="86"/>
  <c r="O71" i="86"/>
  <c r="L71" i="86"/>
  <c r="I71" i="86"/>
  <c r="F71" i="86"/>
  <c r="O70" i="86"/>
  <c r="L70" i="86"/>
  <c r="I70" i="86"/>
  <c r="F70" i="86"/>
  <c r="O69" i="86"/>
  <c r="N69" i="86"/>
  <c r="N67" i="86" s="1"/>
  <c r="M69" i="86"/>
  <c r="K69" i="86"/>
  <c r="J69" i="86"/>
  <c r="J67" i="86" s="1"/>
  <c r="H69" i="86"/>
  <c r="H67" i="86" s="1"/>
  <c r="G69" i="86"/>
  <c r="E69" i="86"/>
  <c r="E67" i="86" s="1"/>
  <c r="D69" i="86"/>
  <c r="O68" i="86"/>
  <c r="L68" i="86"/>
  <c r="I68" i="86"/>
  <c r="F68" i="86"/>
  <c r="M67" i="86"/>
  <c r="K67" i="86"/>
  <c r="G67" i="86"/>
  <c r="D67" i="86"/>
  <c r="O66" i="86"/>
  <c r="L66" i="86"/>
  <c r="I66" i="86"/>
  <c r="F66" i="86"/>
  <c r="O65" i="86"/>
  <c r="L65" i="86"/>
  <c r="I65" i="86"/>
  <c r="F65" i="86"/>
  <c r="O64" i="86"/>
  <c r="L64" i="86"/>
  <c r="I64" i="86"/>
  <c r="F64" i="86"/>
  <c r="O63" i="86"/>
  <c r="L63" i="86"/>
  <c r="I63" i="86"/>
  <c r="F63" i="86"/>
  <c r="C63" i="86" s="1"/>
  <c r="O62" i="86"/>
  <c r="L62" i="86"/>
  <c r="I62" i="86"/>
  <c r="F62" i="86"/>
  <c r="O61" i="86"/>
  <c r="L61" i="86"/>
  <c r="I61" i="86"/>
  <c r="F61" i="86"/>
  <c r="O60" i="86"/>
  <c r="L60" i="86"/>
  <c r="I60" i="86"/>
  <c r="F60" i="86"/>
  <c r="O59" i="86"/>
  <c r="L59" i="86"/>
  <c r="I59" i="86"/>
  <c r="I58" i="86" s="1"/>
  <c r="F59" i="86"/>
  <c r="N58" i="86"/>
  <c r="M58" i="86"/>
  <c r="K58" i="86"/>
  <c r="J58" i="86"/>
  <c r="H58" i="86"/>
  <c r="G58" i="86"/>
  <c r="E58" i="86"/>
  <c r="D58" i="86"/>
  <c r="O57" i="86"/>
  <c r="L57" i="86"/>
  <c r="I57" i="86"/>
  <c r="F57" i="86"/>
  <c r="O56" i="86"/>
  <c r="L56" i="86"/>
  <c r="I56" i="86"/>
  <c r="F56" i="86"/>
  <c r="F55" i="86" s="1"/>
  <c r="O55" i="86"/>
  <c r="N55" i="86"/>
  <c r="M55" i="86"/>
  <c r="K55" i="86"/>
  <c r="J55" i="86"/>
  <c r="J54" i="86" s="1"/>
  <c r="H55" i="86"/>
  <c r="H54" i="86" s="1"/>
  <c r="G55" i="86"/>
  <c r="E55" i="86"/>
  <c r="D55" i="86"/>
  <c r="D54" i="86" s="1"/>
  <c r="N54" i="86"/>
  <c r="N53" i="86" s="1"/>
  <c r="O47" i="86"/>
  <c r="C47" i="86" s="1"/>
  <c r="O46" i="86"/>
  <c r="C46" i="86" s="1"/>
  <c r="N45" i="86"/>
  <c r="M45" i="86"/>
  <c r="L44" i="86"/>
  <c r="I44" i="86"/>
  <c r="I43" i="86" s="1"/>
  <c r="F44" i="86"/>
  <c r="L43" i="86"/>
  <c r="K43" i="86"/>
  <c r="J43" i="86"/>
  <c r="H43" i="86"/>
  <c r="G43" i="86"/>
  <c r="E43" i="86"/>
  <c r="D43" i="86"/>
  <c r="F42" i="86"/>
  <c r="C42" i="86" s="1"/>
  <c r="E41" i="86"/>
  <c r="D41" i="86"/>
  <c r="L40" i="86"/>
  <c r="C40" i="86" s="1"/>
  <c r="L39" i="86"/>
  <c r="C39" i="86" s="1"/>
  <c r="L38" i="86"/>
  <c r="C38" i="86" s="1"/>
  <c r="L37" i="86"/>
  <c r="C37" i="86" s="1"/>
  <c r="K36" i="86"/>
  <c r="J36" i="86"/>
  <c r="L35" i="86"/>
  <c r="C35" i="86" s="1"/>
  <c r="L34" i="86"/>
  <c r="K33" i="86"/>
  <c r="J33" i="86"/>
  <c r="L32" i="86"/>
  <c r="K31" i="86"/>
  <c r="J31" i="86"/>
  <c r="L30" i="86"/>
  <c r="C30" i="86" s="1"/>
  <c r="L29" i="86"/>
  <c r="C29" i="86" s="1"/>
  <c r="L28" i="86"/>
  <c r="C28" i="86" s="1"/>
  <c r="K27" i="86"/>
  <c r="K26" i="86" s="1"/>
  <c r="J27" i="86"/>
  <c r="F25" i="86"/>
  <c r="C25" i="86" s="1"/>
  <c r="O23" i="86"/>
  <c r="L23" i="86"/>
  <c r="I23" i="86"/>
  <c r="F23" i="86"/>
  <c r="O22" i="86"/>
  <c r="L22" i="86"/>
  <c r="I22" i="86"/>
  <c r="F22" i="86"/>
  <c r="O21" i="86"/>
  <c r="N21" i="86"/>
  <c r="N292" i="86" s="1"/>
  <c r="N291" i="86" s="1"/>
  <c r="M21" i="86"/>
  <c r="M292" i="86" s="1"/>
  <c r="M291" i="86" s="1"/>
  <c r="K21" i="86"/>
  <c r="K292" i="86" s="1"/>
  <c r="K291" i="86" s="1"/>
  <c r="J21" i="86"/>
  <c r="H21" i="86"/>
  <c r="G21" i="86"/>
  <c r="G292" i="86" s="1"/>
  <c r="G291" i="86" s="1"/>
  <c r="F21" i="86"/>
  <c r="F292" i="86" s="1"/>
  <c r="E21" i="86"/>
  <c r="D21" i="86"/>
  <c r="D292" i="86" s="1"/>
  <c r="D291" i="86" s="1"/>
  <c r="M20" i="86"/>
  <c r="J26" i="86" l="1"/>
  <c r="G76" i="86"/>
  <c r="M76" i="86"/>
  <c r="I76" i="86"/>
  <c r="H83" i="86"/>
  <c r="C108" i="86"/>
  <c r="C115" i="86"/>
  <c r="C155" i="86"/>
  <c r="C163" i="86"/>
  <c r="C172" i="86"/>
  <c r="M174" i="86"/>
  <c r="M173" i="86" s="1"/>
  <c r="L233" i="86"/>
  <c r="O238" i="86"/>
  <c r="H270" i="86"/>
  <c r="H269" i="86" s="1"/>
  <c r="O276" i="86"/>
  <c r="C61" i="86"/>
  <c r="C62" i="86"/>
  <c r="C87" i="86"/>
  <c r="C128" i="86"/>
  <c r="D130" i="86"/>
  <c r="G187" i="86"/>
  <c r="C202" i="86"/>
  <c r="C203" i="86"/>
  <c r="C210" i="86"/>
  <c r="C213" i="86"/>
  <c r="C229" i="86"/>
  <c r="C242" i="86"/>
  <c r="C245" i="86"/>
  <c r="D269" i="86"/>
  <c r="C123" i="86"/>
  <c r="E231" i="86"/>
  <c r="K270" i="86"/>
  <c r="K269" i="86" s="1"/>
  <c r="E20" i="86"/>
  <c r="H53" i="86"/>
  <c r="C56" i="86"/>
  <c r="M54" i="86"/>
  <c r="M53" i="86" s="1"/>
  <c r="C68" i="86"/>
  <c r="O67" i="86"/>
  <c r="L89" i="86"/>
  <c r="E130" i="86"/>
  <c r="C139" i="86"/>
  <c r="I174" i="86"/>
  <c r="I173" i="86" s="1"/>
  <c r="C218" i="86"/>
  <c r="N231" i="86"/>
  <c r="C254" i="86"/>
  <c r="C256" i="86"/>
  <c r="C274" i="86"/>
  <c r="C275" i="86"/>
  <c r="C298" i="86"/>
  <c r="C299" i="86"/>
  <c r="C167" i="86"/>
  <c r="I205" i="86"/>
  <c r="H292" i="86"/>
  <c r="H291" i="86" s="1"/>
  <c r="H20" i="86"/>
  <c r="C22" i="86"/>
  <c r="C44" i="86"/>
  <c r="F43" i="86"/>
  <c r="C43" i="86" s="1"/>
  <c r="C64" i="86"/>
  <c r="J83" i="86"/>
  <c r="C91" i="86"/>
  <c r="C176" i="86"/>
  <c r="C127" i="86"/>
  <c r="C132" i="86"/>
  <c r="M130" i="86"/>
  <c r="G195" i="86"/>
  <c r="C224" i="86"/>
  <c r="H231" i="86"/>
  <c r="H230" i="86" s="1"/>
  <c r="L231" i="86"/>
  <c r="J231" i="86"/>
  <c r="I252" i="86"/>
  <c r="I251" i="86" s="1"/>
  <c r="I21" i="86"/>
  <c r="C228" i="86"/>
  <c r="F227" i="86"/>
  <c r="C227" i="86" s="1"/>
  <c r="C34" i="86"/>
  <c r="L33" i="86"/>
  <c r="C33" i="86" s="1"/>
  <c r="C66" i="86"/>
  <c r="C92" i="86"/>
  <c r="C153" i="86"/>
  <c r="G231" i="86"/>
  <c r="G230" i="86" s="1"/>
  <c r="L31" i="86"/>
  <c r="C31" i="86" s="1"/>
  <c r="C32" i="86"/>
  <c r="L36" i="86"/>
  <c r="C36" i="86" s="1"/>
  <c r="O45" i="86"/>
  <c r="C45" i="86" s="1"/>
  <c r="L27" i="86"/>
  <c r="C27" i="86" s="1"/>
  <c r="D53" i="86"/>
  <c r="J53" i="86"/>
  <c r="C72" i="86"/>
  <c r="L76" i="86"/>
  <c r="C96" i="86"/>
  <c r="C99" i="86"/>
  <c r="L103" i="86"/>
  <c r="C119" i="86"/>
  <c r="C180" i="86"/>
  <c r="C181" i="86"/>
  <c r="C206" i="86"/>
  <c r="M204" i="86"/>
  <c r="D231" i="86"/>
  <c r="D230" i="86" s="1"/>
  <c r="C258" i="86"/>
  <c r="C262" i="86"/>
  <c r="C263" i="86"/>
  <c r="L264" i="86"/>
  <c r="C282" i="86"/>
  <c r="F281" i="86"/>
  <c r="C280" i="86"/>
  <c r="L293" i="86"/>
  <c r="E292" i="86"/>
  <c r="E291" i="86" s="1"/>
  <c r="J292" i="86"/>
  <c r="J291" i="86" s="1"/>
  <c r="O292" i="86"/>
  <c r="F41" i="86"/>
  <c r="C41" i="86" s="1"/>
  <c r="K54" i="86"/>
  <c r="K53" i="86" s="1"/>
  <c r="C65" i="86"/>
  <c r="C74" i="86"/>
  <c r="E76" i="86"/>
  <c r="E75" i="86" s="1"/>
  <c r="J76" i="86"/>
  <c r="C82" i="86"/>
  <c r="N83" i="86"/>
  <c r="C88" i="86"/>
  <c r="C107" i="86"/>
  <c r="C121" i="86"/>
  <c r="D83" i="86"/>
  <c r="D75" i="86" s="1"/>
  <c r="O144" i="86"/>
  <c r="C159" i="86"/>
  <c r="C160" i="86"/>
  <c r="C171" i="86"/>
  <c r="G174" i="86"/>
  <c r="G173" i="86" s="1"/>
  <c r="C177" i="86"/>
  <c r="N187" i="86"/>
  <c r="H204" i="86"/>
  <c r="H195" i="86" s="1"/>
  <c r="C212" i="86"/>
  <c r="C215" i="86"/>
  <c r="J204" i="86"/>
  <c r="J195" i="86" s="1"/>
  <c r="J194" i="86" s="1"/>
  <c r="N204" i="86"/>
  <c r="N195" i="86" s="1"/>
  <c r="N194" i="86" s="1"/>
  <c r="C244" i="86"/>
  <c r="C247" i="86"/>
  <c r="O252" i="86"/>
  <c r="L260" i="86"/>
  <c r="C287" i="86"/>
  <c r="O272" i="86"/>
  <c r="O270" i="86" s="1"/>
  <c r="O269" i="86" s="1"/>
  <c r="C23" i="86"/>
  <c r="G54" i="86"/>
  <c r="G53" i="86" s="1"/>
  <c r="C57" i="86"/>
  <c r="E54" i="86"/>
  <c r="E53" i="86" s="1"/>
  <c r="E52" i="86" s="1"/>
  <c r="C59" i="86"/>
  <c r="C60" i="86"/>
  <c r="L58" i="86"/>
  <c r="L69" i="86"/>
  <c r="L67" i="86" s="1"/>
  <c r="F76" i="86"/>
  <c r="K76" i="86"/>
  <c r="C78" i="86"/>
  <c r="C79" i="86"/>
  <c r="F84" i="86"/>
  <c r="C86" i="86"/>
  <c r="K83" i="86"/>
  <c r="O95" i="86"/>
  <c r="I103" i="86"/>
  <c r="C111" i="86"/>
  <c r="L116" i="86"/>
  <c r="K130" i="86"/>
  <c r="C135" i="86"/>
  <c r="C143" i="86"/>
  <c r="C147" i="86"/>
  <c r="H130" i="86"/>
  <c r="H75" i="86" s="1"/>
  <c r="I166" i="86"/>
  <c r="I165" i="86" s="1"/>
  <c r="H174" i="86"/>
  <c r="H173" i="86" s="1"/>
  <c r="O179" i="86"/>
  <c r="O174" i="86" s="1"/>
  <c r="O173" i="86" s="1"/>
  <c r="C184" i="86"/>
  <c r="C185" i="86"/>
  <c r="C186" i="86"/>
  <c r="E187" i="86"/>
  <c r="K195" i="86"/>
  <c r="C201" i="86"/>
  <c r="D204" i="86"/>
  <c r="D195" i="86" s="1"/>
  <c r="C211" i="86"/>
  <c r="C221" i="86"/>
  <c r="C257" i="86"/>
  <c r="E259" i="86"/>
  <c r="O260" i="86"/>
  <c r="O259" i="86" s="1"/>
  <c r="C271" i="86"/>
  <c r="I270" i="86"/>
  <c r="I269" i="86" s="1"/>
  <c r="M270" i="86"/>
  <c r="M269" i="86" s="1"/>
  <c r="I286" i="86"/>
  <c r="C286" i="86" s="1"/>
  <c r="J20" i="86"/>
  <c r="C80" i="86"/>
  <c r="O76" i="86"/>
  <c r="I292" i="86"/>
  <c r="C220" i="86"/>
  <c r="I216" i="86"/>
  <c r="I204" i="86" s="1"/>
  <c r="C296" i="86"/>
  <c r="I293" i="86"/>
  <c r="L21" i="86"/>
  <c r="L55" i="86"/>
  <c r="F58" i="86"/>
  <c r="C77" i="86"/>
  <c r="L131" i="86"/>
  <c r="C154" i="86"/>
  <c r="F151" i="86"/>
  <c r="C277" i="86"/>
  <c r="F276" i="86"/>
  <c r="C285" i="86"/>
  <c r="F284" i="86"/>
  <c r="L151" i="86"/>
  <c r="C156" i="86"/>
  <c r="C168" i="86"/>
  <c r="L166" i="86"/>
  <c r="L165" i="86" s="1"/>
  <c r="N20" i="86"/>
  <c r="I55" i="86"/>
  <c r="O58" i="86"/>
  <c r="O54" i="86" s="1"/>
  <c r="O53" i="86" s="1"/>
  <c r="F69" i="86"/>
  <c r="C70" i="86"/>
  <c r="C71" i="86"/>
  <c r="M83" i="86"/>
  <c r="M75" i="86" s="1"/>
  <c r="M52" i="86" s="1"/>
  <c r="L84" i="86"/>
  <c r="O103" i="86"/>
  <c r="C188" i="86"/>
  <c r="L187" i="86"/>
  <c r="D289" i="86"/>
  <c r="L252" i="86"/>
  <c r="L251" i="86" s="1"/>
  <c r="C255" i="86"/>
  <c r="C178" i="86"/>
  <c r="F175" i="86"/>
  <c r="C301" i="86"/>
  <c r="K20" i="86"/>
  <c r="O20" i="86"/>
  <c r="F67" i="86"/>
  <c r="I69" i="86"/>
  <c r="I67" i="86" s="1"/>
  <c r="O84" i="86"/>
  <c r="C84" i="86" s="1"/>
  <c r="C90" i="86"/>
  <c r="G83" i="86"/>
  <c r="G75" i="86" s="1"/>
  <c r="C105" i="86"/>
  <c r="C106" i="86"/>
  <c r="F103" i="86"/>
  <c r="C125" i="86"/>
  <c r="C126" i="86"/>
  <c r="C129" i="86"/>
  <c r="C182" i="86"/>
  <c r="F179" i="86"/>
  <c r="C179" i="86" s="1"/>
  <c r="C93" i="86"/>
  <c r="C94" i="86"/>
  <c r="C97" i="86"/>
  <c r="C98" i="86"/>
  <c r="F95" i="86"/>
  <c r="C109" i="86"/>
  <c r="C110" i="86"/>
  <c r="F112" i="86"/>
  <c r="C112" i="86" s="1"/>
  <c r="C113" i="86"/>
  <c r="C114" i="86"/>
  <c r="F116" i="86"/>
  <c r="C117" i="86"/>
  <c r="C118" i="86"/>
  <c r="O122" i="86"/>
  <c r="C133" i="86"/>
  <c r="C134" i="86"/>
  <c r="F131" i="86"/>
  <c r="F136" i="86"/>
  <c r="C136" i="86" s="1"/>
  <c r="C137" i="86"/>
  <c r="C138" i="86"/>
  <c r="O141" i="86"/>
  <c r="C141" i="86" s="1"/>
  <c r="I151" i="86"/>
  <c r="I130" i="86" s="1"/>
  <c r="F166" i="86"/>
  <c r="J187" i="86"/>
  <c r="C207" i="86"/>
  <c r="L205" i="86"/>
  <c r="L216" i="86"/>
  <c r="C219" i="86"/>
  <c r="C237" i="86"/>
  <c r="F235" i="86"/>
  <c r="C249" i="86"/>
  <c r="F246" i="86"/>
  <c r="E270" i="86"/>
  <c r="E269" i="86" s="1"/>
  <c r="C300" i="86"/>
  <c r="C85" i="86"/>
  <c r="O89" i="86"/>
  <c r="C89" i="86" s="1"/>
  <c r="I95" i="86"/>
  <c r="I116" i="86"/>
  <c r="I83" i="86" s="1"/>
  <c r="F122" i="86"/>
  <c r="J130" i="86"/>
  <c r="N130" i="86"/>
  <c r="N75" i="86" s="1"/>
  <c r="N52" i="86" s="1"/>
  <c r="C142" i="86"/>
  <c r="F144" i="86"/>
  <c r="C144" i="86" s="1"/>
  <c r="C145" i="86"/>
  <c r="C146" i="86"/>
  <c r="C157" i="86"/>
  <c r="C158" i="86"/>
  <c r="C161" i="86"/>
  <c r="C162" i="86"/>
  <c r="C169" i="86"/>
  <c r="C170" i="86"/>
  <c r="K173" i="86"/>
  <c r="C189" i="86"/>
  <c r="C190" i="86"/>
  <c r="C200" i="86"/>
  <c r="I198" i="86"/>
  <c r="D194" i="86"/>
  <c r="N230" i="86"/>
  <c r="O231" i="86"/>
  <c r="I235" i="86"/>
  <c r="C236" i="86"/>
  <c r="C197" i="86"/>
  <c r="F196" i="86"/>
  <c r="C261" i="86"/>
  <c r="F260" i="86"/>
  <c r="C288" i="86"/>
  <c r="O196" i="86"/>
  <c r="O205" i="86"/>
  <c r="C217" i="86"/>
  <c r="F216" i="86"/>
  <c r="O216" i="86"/>
  <c r="J230" i="86"/>
  <c r="C232" i="86"/>
  <c r="K231" i="86"/>
  <c r="K230" i="86" s="1"/>
  <c r="K194" i="86" s="1"/>
  <c r="C239" i="86"/>
  <c r="C241" i="86"/>
  <c r="F238" i="86"/>
  <c r="C248" i="86"/>
  <c r="I246" i="86"/>
  <c r="E230" i="86"/>
  <c r="C253" i="86"/>
  <c r="F252" i="86"/>
  <c r="O251" i="86"/>
  <c r="M259" i="86"/>
  <c r="M230" i="86" s="1"/>
  <c r="C265" i="86"/>
  <c r="F264" i="86"/>
  <c r="C264" i="86" s="1"/>
  <c r="C273" i="86"/>
  <c r="F272" i="86"/>
  <c r="O293" i="86"/>
  <c r="O291" i="86" s="1"/>
  <c r="C193" i="86"/>
  <c r="F192" i="86"/>
  <c r="E195" i="86"/>
  <c r="M195" i="86"/>
  <c r="L196" i="86"/>
  <c r="C208" i="86"/>
  <c r="C209" i="86"/>
  <c r="F205" i="86"/>
  <c r="C233" i="86"/>
  <c r="C240" i="86"/>
  <c r="I238" i="86"/>
  <c r="I231" i="86" s="1"/>
  <c r="I230" i="86" s="1"/>
  <c r="C243" i="86"/>
  <c r="I259" i="86"/>
  <c r="L259" i="86"/>
  <c r="L230" i="86" s="1"/>
  <c r="C267" i="86"/>
  <c r="C268" i="86"/>
  <c r="L276" i="86"/>
  <c r="L270" i="86" s="1"/>
  <c r="L269" i="86" s="1"/>
  <c r="C279" i="86"/>
  <c r="C281" i="86"/>
  <c r="C295" i="86"/>
  <c r="C297" i="86"/>
  <c r="F293" i="86"/>
  <c r="F291" i="86" s="1"/>
  <c r="C199" i="86"/>
  <c r="C21" i="86" l="1"/>
  <c r="H194" i="86"/>
  <c r="N289" i="86"/>
  <c r="C122" i="86"/>
  <c r="C103" i="86"/>
  <c r="E289" i="86"/>
  <c r="C69" i="86"/>
  <c r="C76" i="86"/>
  <c r="H52" i="86"/>
  <c r="H289" i="86"/>
  <c r="H51" i="86"/>
  <c r="H290" i="86" s="1"/>
  <c r="C116" i="86"/>
  <c r="N51" i="86"/>
  <c r="M289" i="86"/>
  <c r="K289" i="86"/>
  <c r="L54" i="86"/>
  <c r="L53" i="86" s="1"/>
  <c r="L26" i="86"/>
  <c r="K75" i="86"/>
  <c r="G194" i="86"/>
  <c r="C67" i="86"/>
  <c r="I291" i="86"/>
  <c r="L204" i="86"/>
  <c r="L195" i="86"/>
  <c r="L194" i="86" s="1"/>
  <c r="O204" i="86"/>
  <c r="K52" i="86"/>
  <c r="K51" i="86" s="1"/>
  <c r="K50" i="86" s="1"/>
  <c r="J75" i="86"/>
  <c r="J52" i="86" s="1"/>
  <c r="J51" i="86" s="1"/>
  <c r="J50" i="86" s="1"/>
  <c r="O130" i="86"/>
  <c r="C95" i="86"/>
  <c r="L83" i="86"/>
  <c r="D52" i="86"/>
  <c r="D51" i="86" s="1"/>
  <c r="D24" i="86" s="1"/>
  <c r="D290" i="86" s="1"/>
  <c r="G52" i="86"/>
  <c r="G51" i="86" s="1"/>
  <c r="G289" i="86"/>
  <c r="N50" i="86"/>
  <c r="N290" i="86"/>
  <c r="I75" i="86"/>
  <c r="K290" i="86"/>
  <c r="J290" i="86"/>
  <c r="C235" i="86"/>
  <c r="F231" i="86"/>
  <c r="F174" i="86"/>
  <c r="C175" i="86"/>
  <c r="D50" i="86"/>
  <c r="C284" i="86"/>
  <c r="F283" i="86"/>
  <c r="C283" i="86" s="1"/>
  <c r="L292" i="86"/>
  <c r="L20" i="86"/>
  <c r="C205" i="86"/>
  <c r="F204" i="86"/>
  <c r="C204" i="86" s="1"/>
  <c r="O83" i="86"/>
  <c r="O75" i="86" s="1"/>
  <c r="O52" i="86" s="1"/>
  <c r="E194" i="86"/>
  <c r="E51" i="86" s="1"/>
  <c r="C252" i="86"/>
  <c r="F251" i="86"/>
  <c r="C251" i="86" s="1"/>
  <c r="O195" i="86"/>
  <c r="C260" i="86"/>
  <c r="F259" i="86"/>
  <c r="C259" i="86" s="1"/>
  <c r="C198" i="86"/>
  <c r="I196" i="86"/>
  <c r="I195" i="86" s="1"/>
  <c r="I194" i="86" s="1"/>
  <c r="C246" i="86"/>
  <c r="F130" i="86"/>
  <c r="C131" i="86"/>
  <c r="C55" i="86"/>
  <c r="I54" i="86"/>
  <c r="I53" i="86" s="1"/>
  <c r="C151" i="86"/>
  <c r="C58" i="86"/>
  <c r="F54" i="86"/>
  <c r="C26" i="86"/>
  <c r="C166" i="86"/>
  <c r="F165" i="86"/>
  <c r="C165" i="86" s="1"/>
  <c r="L130" i="86"/>
  <c r="L75" i="86" s="1"/>
  <c r="M194" i="86"/>
  <c r="M51" i="86" s="1"/>
  <c r="C293" i="86"/>
  <c r="C192" i="86"/>
  <c r="F191" i="86"/>
  <c r="F270" i="86"/>
  <c r="C272" i="86"/>
  <c r="C238" i="86"/>
  <c r="C216" i="86"/>
  <c r="O230" i="86"/>
  <c r="F83" i="86"/>
  <c r="C276" i="86"/>
  <c r="J289" i="86" l="1"/>
  <c r="C196" i="86"/>
  <c r="C130" i="86"/>
  <c r="I52" i="86"/>
  <c r="I51" i="86" s="1"/>
  <c r="H50" i="86"/>
  <c r="L289" i="86"/>
  <c r="L52" i="86"/>
  <c r="L51" i="86" s="1"/>
  <c r="E290" i="86"/>
  <c r="E50" i="86"/>
  <c r="M50" i="86"/>
  <c r="M290" i="86"/>
  <c r="O289" i="86"/>
  <c r="F269" i="86"/>
  <c r="C270" i="86"/>
  <c r="I289" i="86"/>
  <c r="C191" i="86"/>
  <c r="F187" i="86"/>
  <c r="C187" i="86" s="1"/>
  <c r="F195" i="86"/>
  <c r="O194" i="86"/>
  <c r="O51" i="86" s="1"/>
  <c r="F24" i="86"/>
  <c r="D20" i="86"/>
  <c r="C174" i="86"/>
  <c r="F173" i="86"/>
  <c r="C173" i="86" s="1"/>
  <c r="C83" i="86"/>
  <c r="F75" i="86"/>
  <c r="C75" i="86" s="1"/>
  <c r="C54" i="86"/>
  <c r="F53" i="86"/>
  <c r="L291" i="86"/>
  <c r="C291" i="86" s="1"/>
  <c r="C292" i="86"/>
  <c r="F230" i="86"/>
  <c r="C230" i="86" s="1"/>
  <c r="C231" i="86"/>
  <c r="G50" i="86"/>
  <c r="G24" i="86"/>
  <c r="O50" i="86" l="1"/>
  <c r="O290" i="86"/>
  <c r="L50" i="86"/>
  <c r="L290" i="86"/>
  <c r="F194" i="86"/>
  <c r="C194" i="86" s="1"/>
  <c r="C195" i="86"/>
  <c r="I50" i="86"/>
  <c r="F52" i="86"/>
  <c r="C53" i="86"/>
  <c r="I24" i="86"/>
  <c r="I20" i="86" s="1"/>
  <c r="G20" i="86"/>
  <c r="G290" i="86"/>
  <c r="F20" i="86"/>
  <c r="C269" i="86"/>
  <c r="F289" i="86"/>
  <c r="C289" i="86" s="1"/>
  <c r="C20" i="86" l="1"/>
  <c r="C24" i="86"/>
  <c r="F51" i="86"/>
  <c r="C52" i="86"/>
  <c r="I290" i="86"/>
  <c r="F290" i="86" l="1"/>
  <c r="C290" i="86" s="1"/>
  <c r="C51" i="86"/>
  <c r="F50" i="86"/>
  <c r="C50" i="86" s="1"/>
  <c r="F89" i="28" l="1"/>
  <c r="O301" i="85"/>
  <c r="L301" i="85"/>
  <c r="I301" i="85"/>
  <c r="F301" i="85"/>
  <c r="O300" i="85"/>
  <c r="L300" i="85"/>
  <c r="I300" i="85"/>
  <c r="F300" i="85"/>
  <c r="O299" i="85"/>
  <c r="L299" i="85"/>
  <c r="I299" i="85"/>
  <c r="F299" i="85"/>
  <c r="O298" i="85"/>
  <c r="L298" i="85"/>
  <c r="I298" i="85"/>
  <c r="F298" i="85"/>
  <c r="O297" i="85"/>
  <c r="L297" i="85"/>
  <c r="I297" i="85"/>
  <c r="F297" i="85"/>
  <c r="O296" i="85"/>
  <c r="L296" i="85"/>
  <c r="I296" i="85"/>
  <c r="F296" i="85"/>
  <c r="O295" i="85"/>
  <c r="L295" i="85"/>
  <c r="I295" i="85"/>
  <c r="F295" i="85"/>
  <c r="O294" i="85"/>
  <c r="O293" i="85" s="1"/>
  <c r="L294" i="85"/>
  <c r="I294" i="85"/>
  <c r="I293" i="85" s="1"/>
  <c r="F294" i="85"/>
  <c r="N293" i="85"/>
  <c r="M293" i="85"/>
  <c r="K293" i="85"/>
  <c r="J293" i="85"/>
  <c r="H293" i="85"/>
  <c r="G293" i="85"/>
  <c r="E293" i="85"/>
  <c r="D293" i="85"/>
  <c r="O288" i="85"/>
  <c r="L288" i="85"/>
  <c r="I288" i="85"/>
  <c r="F288" i="85"/>
  <c r="O287" i="85"/>
  <c r="L287" i="85"/>
  <c r="L286" i="85" s="1"/>
  <c r="I287" i="85"/>
  <c r="F287" i="85"/>
  <c r="O286" i="85"/>
  <c r="N286" i="85"/>
  <c r="M286" i="85"/>
  <c r="K286" i="85"/>
  <c r="J286" i="85"/>
  <c r="H286" i="85"/>
  <c r="G286" i="85"/>
  <c r="F286" i="85"/>
  <c r="E286" i="85"/>
  <c r="D286" i="85"/>
  <c r="O285" i="85"/>
  <c r="L285" i="85"/>
  <c r="L284" i="85" s="1"/>
  <c r="L283" i="85" s="1"/>
  <c r="I285" i="85"/>
  <c r="I284" i="85" s="1"/>
  <c r="I283" i="85" s="1"/>
  <c r="F285" i="85"/>
  <c r="O284" i="85"/>
  <c r="O283" i="85" s="1"/>
  <c r="N284" i="85"/>
  <c r="M284" i="85"/>
  <c r="M283" i="85" s="1"/>
  <c r="K284" i="85"/>
  <c r="K283" i="85" s="1"/>
  <c r="J284" i="85"/>
  <c r="J283" i="85" s="1"/>
  <c r="H284" i="85"/>
  <c r="H283" i="85" s="1"/>
  <c r="G284" i="85"/>
  <c r="G283" i="85" s="1"/>
  <c r="E284" i="85"/>
  <c r="E283" i="85" s="1"/>
  <c r="D284" i="85"/>
  <c r="N283" i="85"/>
  <c r="D283" i="85"/>
  <c r="O282" i="85"/>
  <c r="O281" i="85" s="1"/>
  <c r="L282" i="85"/>
  <c r="L281" i="85" s="1"/>
  <c r="I282" i="85"/>
  <c r="F282" i="85"/>
  <c r="N281" i="85"/>
  <c r="M281" i="85"/>
  <c r="K281" i="85"/>
  <c r="J281" i="85"/>
  <c r="I281" i="85"/>
  <c r="H281" i="85"/>
  <c r="G281" i="85"/>
  <c r="F281" i="85"/>
  <c r="E281" i="85"/>
  <c r="D281" i="85"/>
  <c r="O280" i="85"/>
  <c r="L280" i="85"/>
  <c r="I280" i="85"/>
  <c r="F280" i="85"/>
  <c r="O279" i="85"/>
  <c r="L279" i="85"/>
  <c r="I279" i="85"/>
  <c r="F279" i="85"/>
  <c r="O278" i="85"/>
  <c r="L278" i="85"/>
  <c r="I278" i="85"/>
  <c r="F278" i="85"/>
  <c r="O277" i="85"/>
  <c r="L277" i="85"/>
  <c r="I277" i="85"/>
  <c r="F277" i="85"/>
  <c r="N276" i="85"/>
  <c r="M276" i="85"/>
  <c r="K276" i="85"/>
  <c r="J276" i="85"/>
  <c r="H276" i="85"/>
  <c r="G276" i="85"/>
  <c r="E276" i="85"/>
  <c r="D276" i="85"/>
  <c r="O275" i="85"/>
  <c r="L275" i="85"/>
  <c r="I275" i="85"/>
  <c r="F275" i="85"/>
  <c r="O274" i="85"/>
  <c r="L274" i="85"/>
  <c r="I274" i="85"/>
  <c r="F274" i="85"/>
  <c r="O273" i="85"/>
  <c r="L273" i="85"/>
  <c r="L272" i="85" s="1"/>
  <c r="I273" i="85"/>
  <c r="F273" i="85"/>
  <c r="N272" i="85"/>
  <c r="M272" i="85"/>
  <c r="K272" i="85"/>
  <c r="K270" i="85" s="1"/>
  <c r="K269" i="85" s="1"/>
  <c r="J272" i="85"/>
  <c r="H272" i="85"/>
  <c r="G272" i="85"/>
  <c r="E272" i="85"/>
  <c r="D272" i="85"/>
  <c r="D270" i="85" s="1"/>
  <c r="D269" i="85" s="1"/>
  <c r="O271" i="85"/>
  <c r="L271" i="85"/>
  <c r="I271" i="85"/>
  <c r="F271" i="85"/>
  <c r="N270" i="85"/>
  <c r="J270" i="85"/>
  <c r="J269" i="85" s="1"/>
  <c r="G270" i="85"/>
  <c r="O268" i="85"/>
  <c r="L268" i="85"/>
  <c r="I268" i="85"/>
  <c r="F268" i="85"/>
  <c r="O267" i="85"/>
  <c r="L267" i="85"/>
  <c r="I267" i="85"/>
  <c r="F267" i="85"/>
  <c r="O266" i="85"/>
  <c r="L266" i="85"/>
  <c r="I266" i="85"/>
  <c r="F266" i="85"/>
  <c r="O265" i="85"/>
  <c r="L265" i="85"/>
  <c r="I265" i="85"/>
  <c r="I264" i="85" s="1"/>
  <c r="F265" i="85"/>
  <c r="N264" i="85"/>
  <c r="M264" i="85"/>
  <c r="K264" i="85"/>
  <c r="J264" i="85"/>
  <c r="H264" i="85"/>
  <c r="G264" i="85"/>
  <c r="E264" i="85"/>
  <c r="D264" i="85"/>
  <c r="O263" i="85"/>
  <c r="L263" i="85"/>
  <c r="I263" i="85"/>
  <c r="F263" i="85"/>
  <c r="O262" i="85"/>
  <c r="L262" i="85"/>
  <c r="I262" i="85"/>
  <c r="F262" i="85"/>
  <c r="O261" i="85"/>
  <c r="L261" i="85"/>
  <c r="I261" i="85"/>
  <c r="I260" i="85" s="1"/>
  <c r="F261" i="85"/>
  <c r="N260" i="85"/>
  <c r="N259" i="85" s="1"/>
  <c r="M260" i="85"/>
  <c r="M259" i="85" s="1"/>
  <c r="K260" i="85"/>
  <c r="K259" i="85" s="1"/>
  <c r="J260" i="85"/>
  <c r="H260" i="85"/>
  <c r="G260" i="85"/>
  <c r="G259" i="85" s="1"/>
  <c r="E260" i="85"/>
  <c r="D260" i="85"/>
  <c r="J259" i="85"/>
  <c r="H259" i="85"/>
  <c r="D259" i="85"/>
  <c r="O258" i="85"/>
  <c r="L258" i="85"/>
  <c r="I258" i="85"/>
  <c r="F258" i="85"/>
  <c r="O257" i="85"/>
  <c r="L257" i="85"/>
  <c r="I257" i="85"/>
  <c r="F257" i="85"/>
  <c r="O256" i="85"/>
  <c r="L256" i="85"/>
  <c r="I256" i="85"/>
  <c r="F256" i="85"/>
  <c r="O255" i="85"/>
  <c r="L255" i="85"/>
  <c r="I255" i="85"/>
  <c r="F255" i="85"/>
  <c r="O254" i="85"/>
  <c r="L254" i="85"/>
  <c r="I254" i="85"/>
  <c r="F254" i="85"/>
  <c r="O253" i="85"/>
  <c r="L253" i="85"/>
  <c r="I253" i="85"/>
  <c r="F253" i="85"/>
  <c r="N252" i="85"/>
  <c r="M252" i="85"/>
  <c r="M251" i="85" s="1"/>
  <c r="K252" i="85"/>
  <c r="J252" i="85"/>
  <c r="H252" i="85"/>
  <c r="H251" i="85" s="1"/>
  <c r="G252" i="85"/>
  <c r="G251" i="85" s="1"/>
  <c r="E252" i="85"/>
  <c r="E251" i="85" s="1"/>
  <c r="D252" i="85"/>
  <c r="N251" i="85"/>
  <c r="K251" i="85"/>
  <c r="J251" i="85"/>
  <c r="D251" i="85"/>
  <c r="O250" i="85"/>
  <c r="L250" i="85"/>
  <c r="I250" i="85"/>
  <c r="F250" i="85"/>
  <c r="O249" i="85"/>
  <c r="L249" i="85"/>
  <c r="I249" i="85"/>
  <c r="F249" i="85"/>
  <c r="O248" i="85"/>
  <c r="L248" i="85"/>
  <c r="I248" i="85"/>
  <c r="F248" i="85"/>
  <c r="O247" i="85"/>
  <c r="L247" i="85"/>
  <c r="L246" i="85" s="1"/>
  <c r="I247" i="85"/>
  <c r="F247" i="85"/>
  <c r="N246" i="85"/>
  <c r="M246" i="85"/>
  <c r="K246" i="85"/>
  <c r="J246" i="85"/>
  <c r="H246" i="85"/>
  <c r="G246" i="85"/>
  <c r="E246" i="85"/>
  <c r="D246" i="85"/>
  <c r="O245" i="85"/>
  <c r="L245" i="85"/>
  <c r="I245" i="85"/>
  <c r="F245" i="85"/>
  <c r="O244" i="85"/>
  <c r="L244" i="85"/>
  <c r="I244" i="85"/>
  <c r="F244" i="85"/>
  <c r="O243" i="85"/>
  <c r="L243" i="85"/>
  <c r="I243" i="85"/>
  <c r="F243" i="85"/>
  <c r="O242" i="85"/>
  <c r="L242" i="85"/>
  <c r="I242" i="85"/>
  <c r="F242" i="85"/>
  <c r="O241" i="85"/>
  <c r="L241" i="85"/>
  <c r="I241" i="85"/>
  <c r="F241" i="85"/>
  <c r="O240" i="85"/>
  <c r="L240" i="85"/>
  <c r="I240" i="85"/>
  <c r="F240" i="85"/>
  <c r="O239" i="85"/>
  <c r="O238" i="85" s="1"/>
  <c r="L239" i="85"/>
  <c r="I239" i="85"/>
  <c r="F239" i="85"/>
  <c r="N238" i="85"/>
  <c r="M238" i="85"/>
  <c r="K238" i="85"/>
  <c r="J238" i="85"/>
  <c r="H238" i="85"/>
  <c r="G238" i="85"/>
  <c r="E238" i="85"/>
  <c r="D238" i="85"/>
  <c r="O237" i="85"/>
  <c r="L237" i="85"/>
  <c r="I237" i="85"/>
  <c r="F237" i="85"/>
  <c r="O236" i="85"/>
  <c r="L236" i="85"/>
  <c r="I236" i="85"/>
  <c r="F236" i="85"/>
  <c r="F235" i="85" s="1"/>
  <c r="O235" i="85"/>
  <c r="N235" i="85"/>
  <c r="M235" i="85"/>
  <c r="L235" i="85"/>
  <c r="K235" i="85"/>
  <c r="J235" i="85"/>
  <c r="H235" i="85"/>
  <c r="G235" i="85"/>
  <c r="E235" i="85"/>
  <c r="D235" i="85"/>
  <c r="O234" i="85"/>
  <c r="O233" i="85" s="1"/>
  <c r="L234" i="85"/>
  <c r="L233" i="85" s="1"/>
  <c r="I234" i="85"/>
  <c r="F234" i="85"/>
  <c r="N233" i="85"/>
  <c r="M233" i="85"/>
  <c r="K233" i="85"/>
  <c r="J233" i="85"/>
  <c r="I233" i="85"/>
  <c r="H233" i="85"/>
  <c r="G233" i="85"/>
  <c r="F233" i="85"/>
  <c r="E233" i="85"/>
  <c r="D233" i="85"/>
  <c r="O232" i="85"/>
  <c r="L232" i="85"/>
  <c r="I232" i="85"/>
  <c r="F232" i="85"/>
  <c r="M231" i="85"/>
  <c r="E231" i="85"/>
  <c r="O229" i="85"/>
  <c r="L229" i="85"/>
  <c r="I229" i="85"/>
  <c r="F229" i="85"/>
  <c r="O228" i="85"/>
  <c r="L228" i="85"/>
  <c r="L227" i="85" s="1"/>
  <c r="I228" i="85"/>
  <c r="F228" i="85"/>
  <c r="F227" i="85" s="1"/>
  <c r="O227" i="85"/>
  <c r="N227" i="85"/>
  <c r="M227" i="85"/>
  <c r="K227" i="85"/>
  <c r="J227" i="85"/>
  <c r="H227" i="85"/>
  <c r="G227" i="85"/>
  <c r="E227" i="85"/>
  <c r="D227" i="85"/>
  <c r="O226" i="85"/>
  <c r="L226" i="85"/>
  <c r="I226" i="85"/>
  <c r="C226" i="85" s="1"/>
  <c r="F226" i="85"/>
  <c r="O225" i="85"/>
  <c r="L225" i="85"/>
  <c r="I225" i="85"/>
  <c r="F225" i="85"/>
  <c r="O224" i="85"/>
  <c r="L224" i="85"/>
  <c r="I224" i="85"/>
  <c r="F224" i="85"/>
  <c r="O223" i="85"/>
  <c r="L223" i="85"/>
  <c r="I223" i="85"/>
  <c r="F223" i="85"/>
  <c r="O222" i="85"/>
  <c r="L222" i="85"/>
  <c r="I222" i="85"/>
  <c r="F222" i="85"/>
  <c r="O221" i="85"/>
  <c r="L221" i="85"/>
  <c r="I221" i="85"/>
  <c r="F221" i="85"/>
  <c r="O220" i="85"/>
  <c r="L220" i="85"/>
  <c r="I220" i="85"/>
  <c r="F220" i="85"/>
  <c r="O219" i="85"/>
  <c r="L219" i="85"/>
  <c r="I219" i="85"/>
  <c r="F219" i="85"/>
  <c r="O218" i="85"/>
  <c r="L218" i="85"/>
  <c r="I218" i="85"/>
  <c r="F218" i="85"/>
  <c r="C218" i="85" s="1"/>
  <c r="O217" i="85"/>
  <c r="L217" i="85"/>
  <c r="I217" i="85"/>
  <c r="F217" i="85"/>
  <c r="N216" i="85"/>
  <c r="M216" i="85"/>
  <c r="K216" i="85"/>
  <c r="J216" i="85"/>
  <c r="H216" i="85"/>
  <c r="G216" i="85"/>
  <c r="E216" i="85"/>
  <c r="D216" i="85"/>
  <c r="O215" i="85"/>
  <c r="L215" i="85"/>
  <c r="I215" i="85"/>
  <c r="F215" i="85"/>
  <c r="O214" i="85"/>
  <c r="L214" i="85"/>
  <c r="I214" i="85"/>
  <c r="F214" i="85"/>
  <c r="O213" i="85"/>
  <c r="L213" i="85"/>
  <c r="I213" i="85"/>
  <c r="F213" i="85"/>
  <c r="O212" i="85"/>
  <c r="L212" i="85"/>
  <c r="I212" i="85"/>
  <c r="F212" i="85"/>
  <c r="O211" i="85"/>
  <c r="L211" i="85"/>
  <c r="I211" i="85"/>
  <c r="F211" i="85"/>
  <c r="O210" i="85"/>
  <c r="L210" i="85"/>
  <c r="I210" i="85"/>
  <c r="F210" i="85"/>
  <c r="O209" i="85"/>
  <c r="L209" i="85"/>
  <c r="I209" i="85"/>
  <c r="F209" i="85"/>
  <c r="O208" i="85"/>
  <c r="L208" i="85"/>
  <c r="I208" i="85"/>
  <c r="F208" i="85"/>
  <c r="O207" i="85"/>
  <c r="L207" i="85"/>
  <c r="I207" i="85"/>
  <c r="F207" i="85"/>
  <c r="O206" i="85"/>
  <c r="L206" i="85"/>
  <c r="I206" i="85"/>
  <c r="F206" i="85"/>
  <c r="N205" i="85"/>
  <c r="M205" i="85"/>
  <c r="K205" i="85"/>
  <c r="J205" i="85"/>
  <c r="H205" i="85"/>
  <c r="H204" i="85" s="1"/>
  <c r="G205" i="85"/>
  <c r="E205" i="85"/>
  <c r="D205" i="85"/>
  <c r="D204" i="85" s="1"/>
  <c r="M204" i="85"/>
  <c r="O203" i="85"/>
  <c r="L203" i="85"/>
  <c r="I203" i="85"/>
  <c r="F203" i="85"/>
  <c r="O202" i="85"/>
  <c r="L202" i="85"/>
  <c r="I202" i="85"/>
  <c r="F202" i="85"/>
  <c r="O201" i="85"/>
  <c r="L201" i="85"/>
  <c r="I201" i="85"/>
  <c r="F201" i="85"/>
  <c r="O200" i="85"/>
  <c r="L200" i="85"/>
  <c r="I200" i="85"/>
  <c r="F200" i="85"/>
  <c r="O199" i="85"/>
  <c r="L199" i="85"/>
  <c r="L198" i="85" s="1"/>
  <c r="I199" i="85"/>
  <c r="F199" i="85"/>
  <c r="F198" i="85" s="1"/>
  <c r="O198" i="85"/>
  <c r="N198" i="85"/>
  <c r="M198" i="85"/>
  <c r="K198" i="85"/>
  <c r="K196" i="85" s="1"/>
  <c r="J198" i="85"/>
  <c r="J196" i="85" s="1"/>
  <c r="H198" i="85"/>
  <c r="G198" i="85"/>
  <c r="G196" i="85" s="1"/>
  <c r="E198" i="85"/>
  <c r="E196" i="85" s="1"/>
  <c r="D198" i="85"/>
  <c r="O197" i="85"/>
  <c r="L197" i="85"/>
  <c r="L196" i="85" s="1"/>
  <c r="I197" i="85"/>
  <c r="F197" i="85"/>
  <c r="N196" i="85"/>
  <c r="M196" i="85"/>
  <c r="M195" i="85" s="1"/>
  <c r="H196" i="85"/>
  <c r="D196" i="85"/>
  <c r="O193" i="85"/>
  <c r="L193" i="85"/>
  <c r="L192" i="85" s="1"/>
  <c r="L191" i="85" s="1"/>
  <c r="I193" i="85"/>
  <c r="I192" i="85" s="1"/>
  <c r="I191" i="85" s="1"/>
  <c r="F193" i="85"/>
  <c r="O192" i="85"/>
  <c r="N192" i="85"/>
  <c r="N191" i="85" s="1"/>
  <c r="M192" i="85"/>
  <c r="M191" i="85" s="1"/>
  <c r="K192" i="85"/>
  <c r="J192" i="85"/>
  <c r="H192" i="85"/>
  <c r="H191" i="85" s="1"/>
  <c r="G192" i="85"/>
  <c r="G191" i="85" s="1"/>
  <c r="E192" i="85"/>
  <c r="E191" i="85" s="1"/>
  <c r="D192" i="85"/>
  <c r="O191" i="85"/>
  <c r="K191" i="85"/>
  <c r="J191" i="85"/>
  <c r="D191" i="85"/>
  <c r="O190" i="85"/>
  <c r="L190" i="85"/>
  <c r="I190" i="85"/>
  <c r="F190" i="85"/>
  <c r="O189" i="85"/>
  <c r="L189" i="85"/>
  <c r="L188" i="85" s="1"/>
  <c r="I189" i="85"/>
  <c r="I188" i="85" s="1"/>
  <c r="F189" i="85"/>
  <c r="N188" i="85"/>
  <c r="M188" i="85"/>
  <c r="K188" i="85"/>
  <c r="J188" i="85"/>
  <c r="H188" i="85"/>
  <c r="G188" i="85"/>
  <c r="E188" i="85"/>
  <c r="E187" i="85" s="1"/>
  <c r="D188" i="85"/>
  <c r="D187" i="85" s="1"/>
  <c r="J187" i="85"/>
  <c r="O186" i="85"/>
  <c r="L186" i="85"/>
  <c r="I186" i="85"/>
  <c r="F186" i="85"/>
  <c r="O185" i="85"/>
  <c r="L185" i="85"/>
  <c r="I185" i="85"/>
  <c r="I184" i="85" s="1"/>
  <c r="F185" i="85"/>
  <c r="N184" i="85"/>
  <c r="M184" i="85"/>
  <c r="K184" i="85"/>
  <c r="J184" i="85"/>
  <c r="H184" i="85"/>
  <c r="G184" i="85"/>
  <c r="E184" i="85"/>
  <c r="D184" i="85"/>
  <c r="O183" i="85"/>
  <c r="L183" i="85"/>
  <c r="I183" i="85"/>
  <c r="F183" i="85"/>
  <c r="O182" i="85"/>
  <c r="L182" i="85"/>
  <c r="I182" i="85"/>
  <c r="F182" i="85"/>
  <c r="O181" i="85"/>
  <c r="L181" i="85"/>
  <c r="I181" i="85"/>
  <c r="F181" i="85"/>
  <c r="O180" i="85"/>
  <c r="O179" i="85" s="1"/>
  <c r="L180" i="85"/>
  <c r="I180" i="85"/>
  <c r="F180" i="85"/>
  <c r="N179" i="85"/>
  <c r="M179" i="85"/>
  <c r="K179" i="85"/>
  <c r="K174" i="85" s="1"/>
  <c r="K173" i="85" s="1"/>
  <c r="J179" i="85"/>
  <c r="H179" i="85"/>
  <c r="G179" i="85"/>
  <c r="F179" i="85"/>
  <c r="E179" i="85"/>
  <c r="D179" i="85"/>
  <c r="O178" i="85"/>
  <c r="L178" i="85"/>
  <c r="I178" i="85"/>
  <c r="F178" i="85"/>
  <c r="O177" i="85"/>
  <c r="L177" i="85"/>
  <c r="I177" i="85"/>
  <c r="F177" i="85"/>
  <c r="O176" i="85"/>
  <c r="O175" i="85" s="1"/>
  <c r="O174" i="85" s="1"/>
  <c r="L176" i="85"/>
  <c r="I176" i="85"/>
  <c r="F176" i="85"/>
  <c r="F175" i="85" s="1"/>
  <c r="N175" i="85"/>
  <c r="N174" i="85" s="1"/>
  <c r="N173" i="85" s="1"/>
  <c r="M175" i="85"/>
  <c r="K175" i="85"/>
  <c r="J175" i="85"/>
  <c r="J174" i="85" s="1"/>
  <c r="H175" i="85"/>
  <c r="H174" i="85" s="1"/>
  <c r="H173" i="85" s="1"/>
  <c r="G175" i="85"/>
  <c r="G174" i="85" s="1"/>
  <c r="G173" i="85" s="1"/>
  <c r="E175" i="85"/>
  <c r="E174" i="85" s="1"/>
  <c r="D175" i="85"/>
  <c r="D174" i="85" s="1"/>
  <c r="D173" i="85" s="1"/>
  <c r="M174" i="85"/>
  <c r="M173" i="85" s="1"/>
  <c r="O172" i="85"/>
  <c r="L172" i="85"/>
  <c r="I172" i="85"/>
  <c r="F172" i="85"/>
  <c r="O171" i="85"/>
  <c r="L171" i="85"/>
  <c r="I171" i="85"/>
  <c r="F171" i="85"/>
  <c r="O170" i="85"/>
  <c r="L170" i="85"/>
  <c r="I170" i="85"/>
  <c r="F170" i="85"/>
  <c r="O169" i="85"/>
  <c r="L169" i="85"/>
  <c r="I169" i="85"/>
  <c r="F169" i="85"/>
  <c r="O168" i="85"/>
  <c r="L168" i="85"/>
  <c r="I168" i="85"/>
  <c r="F168" i="85"/>
  <c r="O167" i="85"/>
  <c r="L167" i="85"/>
  <c r="I167" i="85"/>
  <c r="F167" i="85"/>
  <c r="O166" i="85"/>
  <c r="O165" i="85" s="1"/>
  <c r="N166" i="85"/>
  <c r="M166" i="85"/>
  <c r="M165" i="85" s="1"/>
  <c r="K166" i="85"/>
  <c r="K165" i="85" s="1"/>
  <c r="J166" i="85"/>
  <c r="J165" i="85" s="1"/>
  <c r="H166" i="85"/>
  <c r="G166" i="85"/>
  <c r="G165" i="85" s="1"/>
  <c r="E166" i="85"/>
  <c r="E165" i="85" s="1"/>
  <c r="D166" i="85"/>
  <c r="D165" i="85" s="1"/>
  <c r="N165" i="85"/>
  <c r="H165" i="85"/>
  <c r="O164" i="85"/>
  <c r="L164" i="85"/>
  <c r="I164" i="85"/>
  <c r="F164" i="85"/>
  <c r="O163" i="85"/>
  <c r="L163" i="85"/>
  <c r="I163" i="85"/>
  <c r="F163" i="85"/>
  <c r="O162" i="85"/>
  <c r="L162" i="85"/>
  <c r="I162" i="85"/>
  <c r="F162" i="85"/>
  <c r="O161" i="85"/>
  <c r="L161" i="85"/>
  <c r="I161" i="85"/>
  <c r="I160" i="85" s="1"/>
  <c r="F161" i="85"/>
  <c r="N160" i="85"/>
  <c r="M160" i="85"/>
  <c r="K160" i="85"/>
  <c r="J160" i="85"/>
  <c r="H160" i="85"/>
  <c r="G160" i="85"/>
  <c r="E160" i="85"/>
  <c r="D160" i="85"/>
  <c r="O159" i="85"/>
  <c r="L159" i="85"/>
  <c r="I159" i="85"/>
  <c r="F159" i="85"/>
  <c r="O158" i="85"/>
  <c r="L158" i="85"/>
  <c r="I158" i="85"/>
  <c r="F158" i="85"/>
  <c r="O157" i="85"/>
  <c r="L157" i="85"/>
  <c r="I157" i="85"/>
  <c r="F157" i="85"/>
  <c r="O156" i="85"/>
  <c r="L156" i="85"/>
  <c r="I156" i="85"/>
  <c r="F156" i="85"/>
  <c r="O155" i="85"/>
  <c r="L155" i="85"/>
  <c r="I155" i="85"/>
  <c r="F155" i="85"/>
  <c r="O154" i="85"/>
  <c r="L154" i="85"/>
  <c r="I154" i="85"/>
  <c r="F154" i="85"/>
  <c r="O153" i="85"/>
  <c r="L153" i="85"/>
  <c r="I153" i="85"/>
  <c r="F153" i="85"/>
  <c r="O152" i="85"/>
  <c r="L152" i="85"/>
  <c r="I152" i="85"/>
  <c r="I151" i="85" s="1"/>
  <c r="D152" i="85"/>
  <c r="N151" i="85"/>
  <c r="M151" i="85"/>
  <c r="K151" i="85"/>
  <c r="J151" i="85"/>
  <c r="H151" i="85"/>
  <c r="G151" i="85"/>
  <c r="E151" i="85"/>
  <c r="O150" i="85"/>
  <c r="L150" i="85"/>
  <c r="I150" i="85"/>
  <c r="F150" i="85"/>
  <c r="O149" i="85"/>
  <c r="L149" i="85"/>
  <c r="I149" i="85"/>
  <c r="F149" i="85"/>
  <c r="O148" i="85"/>
  <c r="L148" i="85"/>
  <c r="I148" i="85"/>
  <c r="F148" i="85"/>
  <c r="O147" i="85"/>
  <c r="L147" i="85"/>
  <c r="I147" i="85"/>
  <c r="F147" i="85"/>
  <c r="O146" i="85"/>
  <c r="L146" i="85"/>
  <c r="I146" i="85"/>
  <c r="F146" i="85"/>
  <c r="O145" i="85"/>
  <c r="L145" i="85"/>
  <c r="I145" i="85"/>
  <c r="F145" i="85"/>
  <c r="N144" i="85"/>
  <c r="M144" i="85"/>
  <c r="K144" i="85"/>
  <c r="J144" i="85"/>
  <c r="H144" i="85"/>
  <c r="G144" i="85"/>
  <c r="E144" i="85"/>
  <c r="D144" i="85"/>
  <c r="O143" i="85"/>
  <c r="L143" i="85"/>
  <c r="I143" i="85"/>
  <c r="F143" i="85"/>
  <c r="O142" i="85"/>
  <c r="L142" i="85"/>
  <c r="L141" i="85" s="1"/>
  <c r="I142" i="85"/>
  <c r="I141" i="85" s="1"/>
  <c r="F142" i="85"/>
  <c r="N141" i="85"/>
  <c r="M141" i="85"/>
  <c r="K141" i="85"/>
  <c r="J141" i="85"/>
  <c r="H141" i="85"/>
  <c r="G141" i="85"/>
  <c r="E141" i="85"/>
  <c r="D141" i="85"/>
  <c r="O140" i="85"/>
  <c r="L140" i="85"/>
  <c r="I140" i="85"/>
  <c r="F140" i="85"/>
  <c r="O139" i="85"/>
  <c r="L139" i="85"/>
  <c r="I139" i="85"/>
  <c r="F139" i="85"/>
  <c r="O138" i="85"/>
  <c r="L138" i="85"/>
  <c r="I138" i="85"/>
  <c r="F138" i="85"/>
  <c r="O137" i="85"/>
  <c r="L137" i="85"/>
  <c r="I137" i="85"/>
  <c r="F137" i="85"/>
  <c r="N136" i="85"/>
  <c r="M136" i="85"/>
  <c r="K136" i="85"/>
  <c r="J136" i="85"/>
  <c r="H136" i="85"/>
  <c r="G136" i="85"/>
  <c r="E136" i="85"/>
  <c r="D136" i="85"/>
  <c r="O135" i="85"/>
  <c r="L135" i="85"/>
  <c r="I135" i="85"/>
  <c r="F135" i="85"/>
  <c r="O134" i="85"/>
  <c r="L134" i="85"/>
  <c r="I134" i="85"/>
  <c r="F134" i="85"/>
  <c r="O133" i="85"/>
  <c r="L133" i="85"/>
  <c r="I133" i="85"/>
  <c r="F133" i="85"/>
  <c r="O132" i="85"/>
  <c r="L132" i="85"/>
  <c r="I132" i="85"/>
  <c r="F132" i="85"/>
  <c r="O131" i="85"/>
  <c r="N131" i="85"/>
  <c r="M131" i="85"/>
  <c r="K131" i="85"/>
  <c r="J131" i="85"/>
  <c r="H131" i="85"/>
  <c r="G131" i="85"/>
  <c r="E131" i="85"/>
  <c r="D131" i="85"/>
  <c r="O129" i="85"/>
  <c r="O128" i="85" s="1"/>
  <c r="L129" i="85"/>
  <c r="L128" i="85" s="1"/>
  <c r="I129" i="85"/>
  <c r="I128" i="85" s="1"/>
  <c r="F129" i="85"/>
  <c r="F128" i="85" s="1"/>
  <c r="N128" i="85"/>
  <c r="M128" i="85"/>
  <c r="K128" i="85"/>
  <c r="J128" i="85"/>
  <c r="H128" i="85"/>
  <c r="G128" i="85"/>
  <c r="E128" i="85"/>
  <c r="D128" i="85"/>
  <c r="O127" i="85"/>
  <c r="L127" i="85"/>
  <c r="I127" i="85"/>
  <c r="D127" i="85"/>
  <c r="O126" i="85"/>
  <c r="L126" i="85"/>
  <c r="I126" i="85"/>
  <c r="F126" i="85"/>
  <c r="O125" i="85"/>
  <c r="L125" i="85"/>
  <c r="I125" i="85"/>
  <c r="F125" i="85"/>
  <c r="O124" i="85"/>
  <c r="L124" i="85"/>
  <c r="I124" i="85"/>
  <c r="F124" i="85"/>
  <c r="O123" i="85"/>
  <c r="L123" i="85"/>
  <c r="I123" i="85"/>
  <c r="F123" i="85"/>
  <c r="N122" i="85"/>
  <c r="M122" i="85"/>
  <c r="K122" i="85"/>
  <c r="J122" i="85"/>
  <c r="H122" i="85"/>
  <c r="G122" i="85"/>
  <c r="E122" i="85"/>
  <c r="O121" i="85"/>
  <c r="L121" i="85"/>
  <c r="I121" i="85"/>
  <c r="F121" i="85"/>
  <c r="O120" i="85"/>
  <c r="L120" i="85"/>
  <c r="I120" i="85"/>
  <c r="F120" i="85"/>
  <c r="O119" i="85"/>
  <c r="L119" i="85"/>
  <c r="I119" i="85"/>
  <c r="F119" i="85"/>
  <c r="O118" i="85"/>
  <c r="L118" i="85"/>
  <c r="I118" i="85"/>
  <c r="F118" i="85"/>
  <c r="O117" i="85"/>
  <c r="L117" i="85"/>
  <c r="L116" i="85" s="1"/>
  <c r="I117" i="85"/>
  <c r="F117" i="85"/>
  <c r="N116" i="85"/>
  <c r="M116" i="85"/>
  <c r="K116" i="85"/>
  <c r="J116" i="85"/>
  <c r="H116" i="85"/>
  <c r="G116" i="85"/>
  <c r="E116" i="85"/>
  <c r="O115" i="85"/>
  <c r="L115" i="85"/>
  <c r="I115" i="85"/>
  <c r="F115" i="85"/>
  <c r="O114" i="85"/>
  <c r="L114" i="85"/>
  <c r="I114" i="85"/>
  <c r="F114" i="85"/>
  <c r="O113" i="85"/>
  <c r="L113" i="85"/>
  <c r="I113" i="85"/>
  <c r="F113" i="85"/>
  <c r="N112" i="85"/>
  <c r="M112" i="85"/>
  <c r="K112" i="85"/>
  <c r="J112" i="85"/>
  <c r="H112" i="85"/>
  <c r="G112" i="85"/>
  <c r="E112" i="85"/>
  <c r="D112" i="85"/>
  <c r="O111" i="85"/>
  <c r="L111" i="85"/>
  <c r="I111" i="85"/>
  <c r="F111" i="85"/>
  <c r="O110" i="85"/>
  <c r="L110" i="85"/>
  <c r="I110" i="85"/>
  <c r="F110" i="85"/>
  <c r="O109" i="85"/>
  <c r="L109" i="85"/>
  <c r="I109" i="85"/>
  <c r="F109" i="85"/>
  <c r="O108" i="85"/>
  <c r="L108" i="85"/>
  <c r="I108" i="85"/>
  <c r="F108" i="85"/>
  <c r="O107" i="85"/>
  <c r="L107" i="85"/>
  <c r="I107" i="85"/>
  <c r="F107" i="85"/>
  <c r="O106" i="85"/>
  <c r="L106" i="85"/>
  <c r="I106" i="85"/>
  <c r="F106" i="85"/>
  <c r="O105" i="85"/>
  <c r="L105" i="85"/>
  <c r="I105" i="85"/>
  <c r="F105" i="85"/>
  <c r="O104" i="85"/>
  <c r="O103" i="85" s="1"/>
  <c r="L104" i="85"/>
  <c r="I104" i="85"/>
  <c r="I103" i="85" s="1"/>
  <c r="F104" i="85"/>
  <c r="N103" i="85"/>
  <c r="M103" i="85"/>
  <c r="K103" i="85"/>
  <c r="J103" i="85"/>
  <c r="H103" i="85"/>
  <c r="G103" i="85"/>
  <c r="E103" i="85"/>
  <c r="D103" i="85"/>
  <c r="O102" i="85"/>
  <c r="L102" i="85"/>
  <c r="I102" i="85"/>
  <c r="F102" i="85"/>
  <c r="O101" i="85"/>
  <c r="L101" i="85"/>
  <c r="I101" i="85"/>
  <c r="F101" i="85"/>
  <c r="O100" i="85"/>
  <c r="L100" i="85"/>
  <c r="I100" i="85"/>
  <c r="F100" i="85"/>
  <c r="O99" i="85"/>
  <c r="L99" i="85"/>
  <c r="I99" i="85"/>
  <c r="F99" i="85"/>
  <c r="O98" i="85"/>
  <c r="L98" i="85"/>
  <c r="I98" i="85"/>
  <c r="F98" i="85"/>
  <c r="O97" i="85"/>
  <c r="L97" i="85"/>
  <c r="I97" i="85"/>
  <c r="F97" i="85"/>
  <c r="O96" i="85"/>
  <c r="O95" i="85" s="1"/>
  <c r="L96" i="85"/>
  <c r="I96" i="85"/>
  <c r="I95" i="85" s="1"/>
  <c r="F96" i="85"/>
  <c r="F95" i="85" s="1"/>
  <c r="N95" i="85"/>
  <c r="M95" i="85"/>
  <c r="K95" i="85"/>
  <c r="J95" i="85"/>
  <c r="H95" i="85"/>
  <c r="G95" i="85"/>
  <c r="E95" i="85"/>
  <c r="D95" i="85"/>
  <c r="O94" i="85"/>
  <c r="L94" i="85"/>
  <c r="I94" i="85"/>
  <c r="F94" i="85"/>
  <c r="C94" i="85" s="1"/>
  <c r="O93" i="85"/>
  <c r="L93" i="85"/>
  <c r="I93" i="85"/>
  <c r="F93" i="85"/>
  <c r="O92" i="85"/>
  <c r="L92" i="85"/>
  <c r="I92" i="85"/>
  <c r="F92" i="85"/>
  <c r="O91" i="85"/>
  <c r="L91" i="85"/>
  <c r="I91" i="85"/>
  <c r="F91" i="85"/>
  <c r="O90" i="85"/>
  <c r="L90" i="85"/>
  <c r="L89" i="85" s="1"/>
  <c r="I90" i="85"/>
  <c r="I89" i="85" s="1"/>
  <c r="F90" i="85"/>
  <c r="N89" i="85"/>
  <c r="M89" i="85"/>
  <c r="K89" i="85"/>
  <c r="J89" i="85"/>
  <c r="H89" i="85"/>
  <c r="G89" i="85"/>
  <c r="E89" i="85"/>
  <c r="D89" i="85"/>
  <c r="O88" i="85"/>
  <c r="L88" i="85"/>
  <c r="I88" i="85"/>
  <c r="F88" i="85"/>
  <c r="O87" i="85"/>
  <c r="L87" i="85"/>
  <c r="I87" i="85"/>
  <c r="F87" i="85"/>
  <c r="O86" i="85"/>
  <c r="L86" i="85"/>
  <c r="I86" i="85"/>
  <c r="F86" i="85"/>
  <c r="O85" i="85"/>
  <c r="L85" i="85"/>
  <c r="I85" i="85"/>
  <c r="F85" i="85"/>
  <c r="N84" i="85"/>
  <c r="M84" i="85"/>
  <c r="K84" i="85"/>
  <c r="J84" i="85"/>
  <c r="I84" i="85"/>
  <c r="H84" i="85"/>
  <c r="G84" i="85"/>
  <c r="E84" i="85"/>
  <c r="D84" i="85"/>
  <c r="O82" i="85"/>
  <c r="L82" i="85"/>
  <c r="I82" i="85"/>
  <c r="F82" i="85"/>
  <c r="O81" i="85"/>
  <c r="L81" i="85"/>
  <c r="I81" i="85"/>
  <c r="I80" i="85" s="1"/>
  <c r="F81" i="85"/>
  <c r="N80" i="85"/>
  <c r="M80" i="85"/>
  <c r="K80" i="85"/>
  <c r="J80" i="85"/>
  <c r="H80" i="85"/>
  <c r="G80" i="85"/>
  <c r="E80" i="85"/>
  <c r="D80" i="85"/>
  <c r="O79" i="85"/>
  <c r="L79" i="85"/>
  <c r="I79" i="85"/>
  <c r="F79" i="85"/>
  <c r="O78" i="85"/>
  <c r="O77" i="85" s="1"/>
  <c r="L78" i="85"/>
  <c r="L77" i="85" s="1"/>
  <c r="I78" i="85"/>
  <c r="I77" i="85" s="1"/>
  <c r="F78" i="85"/>
  <c r="N77" i="85"/>
  <c r="M77" i="85"/>
  <c r="M76" i="85" s="1"/>
  <c r="K77" i="85"/>
  <c r="J77" i="85"/>
  <c r="H77" i="85"/>
  <c r="H76" i="85" s="1"/>
  <c r="G77" i="85"/>
  <c r="G76" i="85" s="1"/>
  <c r="F77" i="85"/>
  <c r="E77" i="85"/>
  <c r="D77" i="85"/>
  <c r="O74" i="85"/>
  <c r="L74" i="85"/>
  <c r="I74" i="85"/>
  <c r="F74" i="85"/>
  <c r="O73" i="85"/>
  <c r="L73" i="85"/>
  <c r="I73" i="85"/>
  <c r="F73" i="85"/>
  <c r="O72" i="85"/>
  <c r="L72" i="85"/>
  <c r="I72" i="85"/>
  <c r="F72" i="85"/>
  <c r="O71" i="85"/>
  <c r="L71" i="85"/>
  <c r="I71" i="85"/>
  <c r="F71" i="85"/>
  <c r="O70" i="85"/>
  <c r="O69" i="85" s="1"/>
  <c r="L70" i="85"/>
  <c r="L69" i="85" s="1"/>
  <c r="I70" i="85"/>
  <c r="I69" i="85" s="1"/>
  <c r="F70" i="85"/>
  <c r="N69" i="85"/>
  <c r="M69" i="85"/>
  <c r="M67" i="85" s="1"/>
  <c r="K69" i="85"/>
  <c r="J69" i="85"/>
  <c r="H69" i="85"/>
  <c r="H67" i="85" s="1"/>
  <c r="G69" i="85"/>
  <c r="G67" i="85" s="1"/>
  <c r="E69" i="85"/>
  <c r="E67" i="85" s="1"/>
  <c r="D69" i="85"/>
  <c r="D67" i="85" s="1"/>
  <c r="O68" i="85"/>
  <c r="L68" i="85"/>
  <c r="I68" i="85"/>
  <c r="F68" i="85"/>
  <c r="N67" i="85"/>
  <c r="K67" i="85"/>
  <c r="J67" i="85"/>
  <c r="O66" i="85"/>
  <c r="L66" i="85"/>
  <c r="I66" i="85"/>
  <c r="F66" i="85"/>
  <c r="O65" i="85"/>
  <c r="L65" i="85"/>
  <c r="I65" i="85"/>
  <c r="F65" i="85"/>
  <c r="O64" i="85"/>
  <c r="L64" i="85"/>
  <c r="I64" i="85"/>
  <c r="F64" i="85"/>
  <c r="O63" i="85"/>
  <c r="L63" i="85"/>
  <c r="I63" i="85"/>
  <c r="F63" i="85"/>
  <c r="O62" i="85"/>
  <c r="L62" i="85"/>
  <c r="I62" i="85"/>
  <c r="F62" i="85"/>
  <c r="O61" i="85"/>
  <c r="L61" i="85"/>
  <c r="I61" i="85"/>
  <c r="F61" i="85"/>
  <c r="O60" i="85"/>
  <c r="L60" i="85"/>
  <c r="I60" i="85"/>
  <c r="F60" i="85"/>
  <c r="O59" i="85"/>
  <c r="L59" i="85"/>
  <c r="L58" i="85" s="1"/>
  <c r="I59" i="85"/>
  <c r="F59" i="85"/>
  <c r="F58" i="85" s="1"/>
  <c r="O58" i="85"/>
  <c r="N58" i="85"/>
  <c r="M58" i="85"/>
  <c r="K58" i="85"/>
  <c r="J58" i="85"/>
  <c r="H58" i="85"/>
  <c r="G58" i="85"/>
  <c r="E58" i="85"/>
  <c r="D58" i="85"/>
  <c r="O57" i="85"/>
  <c r="L57" i="85"/>
  <c r="I57" i="85"/>
  <c r="F57" i="85"/>
  <c r="O56" i="85"/>
  <c r="O55" i="85" s="1"/>
  <c r="L56" i="85"/>
  <c r="I56" i="85"/>
  <c r="I55" i="85" s="1"/>
  <c r="F56" i="85"/>
  <c r="N55" i="85"/>
  <c r="N54" i="85" s="1"/>
  <c r="M55" i="85"/>
  <c r="L55" i="85"/>
  <c r="K55" i="85"/>
  <c r="J55" i="85"/>
  <c r="H55" i="85"/>
  <c r="G55" i="85"/>
  <c r="F55" i="85"/>
  <c r="E55" i="85"/>
  <c r="E54" i="85" s="1"/>
  <c r="E53" i="85" s="1"/>
  <c r="D55" i="85"/>
  <c r="M54" i="85"/>
  <c r="K54" i="85"/>
  <c r="K53" i="85" s="1"/>
  <c r="G54" i="85"/>
  <c r="O47" i="85"/>
  <c r="C47" i="85"/>
  <c r="O46" i="85"/>
  <c r="O45" i="85" s="1"/>
  <c r="N45" i="85"/>
  <c r="M45" i="85"/>
  <c r="L44" i="85"/>
  <c r="I44" i="85"/>
  <c r="I43" i="85" s="1"/>
  <c r="F44" i="85"/>
  <c r="C44" i="85" s="1"/>
  <c r="L43" i="85"/>
  <c r="K43" i="85"/>
  <c r="J43" i="85"/>
  <c r="H43" i="85"/>
  <c r="G43" i="85"/>
  <c r="E43" i="85"/>
  <c r="D43" i="85"/>
  <c r="F42" i="85"/>
  <c r="F41" i="85" s="1"/>
  <c r="C41" i="85" s="1"/>
  <c r="E41" i="85"/>
  <c r="D41" i="85"/>
  <c r="L40" i="85"/>
  <c r="C40" i="85" s="1"/>
  <c r="L39" i="85"/>
  <c r="C39" i="85" s="1"/>
  <c r="L38" i="85"/>
  <c r="C38" i="85" s="1"/>
  <c r="L37" i="85"/>
  <c r="K36" i="85"/>
  <c r="J36" i="85"/>
  <c r="L35" i="85"/>
  <c r="C35" i="85" s="1"/>
  <c r="L34" i="85"/>
  <c r="C34" i="85" s="1"/>
  <c r="K33" i="85"/>
  <c r="J33" i="85"/>
  <c r="L32" i="85"/>
  <c r="C32" i="85" s="1"/>
  <c r="K31" i="85"/>
  <c r="J31" i="85"/>
  <c r="L30" i="85"/>
  <c r="C30" i="85" s="1"/>
  <c r="L29" i="85"/>
  <c r="C29" i="85" s="1"/>
  <c r="L28" i="85"/>
  <c r="K27" i="85"/>
  <c r="J27" i="85"/>
  <c r="F25" i="85"/>
  <c r="C25" i="85" s="1"/>
  <c r="I24" i="85"/>
  <c r="F24" i="85"/>
  <c r="C24" i="85" s="1"/>
  <c r="D24" i="85"/>
  <c r="O23" i="85"/>
  <c r="L23" i="85"/>
  <c r="I23" i="85"/>
  <c r="F23" i="85"/>
  <c r="O22" i="85"/>
  <c r="O21" i="85" s="1"/>
  <c r="L22" i="85"/>
  <c r="I22" i="85"/>
  <c r="F22" i="85"/>
  <c r="N21" i="85"/>
  <c r="M21" i="85"/>
  <c r="L21" i="85"/>
  <c r="K21" i="85"/>
  <c r="K292" i="85" s="1"/>
  <c r="K291" i="85" s="1"/>
  <c r="J21" i="85"/>
  <c r="H21" i="85"/>
  <c r="G21" i="85"/>
  <c r="G292" i="85" s="1"/>
  <c r="F21" i="85"/>
  <c r="F292" i="85" s="1"/>
  <c r="E21" i="85"/>
  <c r="D21" i="85"/>
  <c r="J26" i="85" l="1"/>
  <c r="C137" i="85"/>
  <c r="K187" i="85"/>
  <c r="I187" i="85"/>
  <c r="C234" i="85"/>
  <c r="C57" i="85"/>
  <c r="C62" i="85"/>
  <c r="C66" i="85"/>
  <c r="G187" i="85"/>
  <c r="C206" i="85"/>
  <c r="G204" i="85"/>
  <c r="I272" i="85"/>
  <c r="N269" i="85"/>
  <c r="F43" i="85"/>
  <c r="C43" i="85" s="1"/>
  <c r="C237" i="85"/>
  <c r="G20" i="85"/>
  <c r="K76" i="85"/>
  <c r="C156" i="85"/>
  <c r="N187" i="85"/>
  <c r="N292" i="85"/>
  <c r="N291" i="85" s="1"/>
  <c r="C42" i="85"/>
  <c r="G53" i="85"/>
  <c r="L67" i="85"/>
  <c r="N83" i="85"/>
  <c r="C158" i="85"/>
  <c r="C159" i="85"/>
  <c r="C182" i="85"/>
  <c r="C183" i="85"/>
  <c r="C202" i="85"/>
  <c r="C214" i="85"/>
  <c r="I216" i="85"/>
  <c r="C222" i="85"/>
  <c r="C254" i="85"/>
  <c r="C256" i="85"/>
  <c r="I259" i="85"/>
  <c r="C266" i="85"/>
  <c r="C296" i="85"/>
  <c r="L112" i="85"/>
  <c r="L175" i="85"/>
  <c r="G195" i="85"/>
  <c r="O246" i="85"/>
  <c r="L292" i="85"/>
  <c r="L31" i="85"/>
  <c r="C31" i="85" s="1"/>
  <c r="L54" i="85"/>
  <c r="E76" i="85"/>
  <c r="J76" i="85"/>
  <c r="C82" i="85"/>
  <c r="C90" i="85"/>
  <c r="C91" i="85"/>
  <c r="C93" i="85"/>
  <c r="C145" i="85"/>
  <c r="C147" i="85"/>
  <c r="C149" i="85"/>
  <c r="C170" i="85"/>
  <c r="L187" i="85"/>
  <c r="C242" i="85"/>
  <c r="O252" i="85"/>
  <c r="L205" i="85"/>
  <c r="I276" i="85"/>
  <c r="D292" i="85"/>
  <c r="D291" i="85" s="1"/>
  <c r="H292" i="85"/>
  <c r="H291" i="85" s="1"/>
  <c r="E20" i="85"/>
  <c r="H54" i="85"/>
  <c r="C79" i="85"/>
  <c r="C86" i="85"/>
  <c r="C106" i="85"/>
  <c r="C107" i="85"/>
  <c r="C109" i="85"/>
  <c r="C110" i="85"/>
  <c r="J83" i="85"/>
  <c r="C115" i="85"/>
  <c r="C120" i="85"/>
  <c r="E130" i="85"/>
  <c r="C133" i="85"/>
  <c r="J130" i="85"/>
  <c r="H130" i="85"/>
  <c r="E173" i="85"/>
  <c r="J173" i="85"/>
  <c r="C178" i="85"/>
  <c r="C186" i="85"/>
  <c r="H187" i="85"/>
  <c r="K204" i="85"/>
  <c r="C210" i="85"/>
  <c r="N204" i="85"/>
  <c r="N195" i="85" s="1"/>
  <c r="H231" i="85"/>
  <c r="J231" i="85"/>
  <c r="J230" i="85" s="1"/>
  <c r="N231" i="85"/>
  <c r="C250" i="85"/>
  <c r="C258" i="85"/>
  <c r="C262" i="85"/>
  <c r="O272" i="85"/>
  <c r="H270" i="85"/>
  <c r="O276" i="85"/>
  <c r="C298" i="85"/>
  <c r="C299" i="85"/>
  <c r="L27" i="85"/>
  <c r="C28" i="85"/>
  <c r="L95" i="85"/>
  <c r="F103" i="85"/>
  <c r="M130" i="85"/>
  <c r="L36" i="85"/>
  <c r="C36" i="85" s="1"/>
  <c r="C37" i="85"/>
  <c r="C162" i="85"/>
  <c r="I21" i="85"/>
  <c r="C22" i="85"/>
  <c r="M292" i="85"/>
  <c r="M291" i="85" s="1"/>
  <c r="M20" i="85"/>
  <c r="I122" i="85"/>
  <c r="C126" i="85"/>
  <c r="E292" i="85"/>
  <c r="E291" i="85" s="1"/>
  <c r="J292" i="85"/>
  <c r="J291" i="85" s="1"/>
  <c r="M53" i="85"/>
  <c r="L53" i="85"/>
  <c r="C61" i="85"/>
  <c r="C63" i="85"/>
  <c r="C65" i="85"/>
  <c r="C74" i="85"/>
  <c r="I76" i="85"/>
  <c r="C81" i="85"/>
  <c r="O80" i="85"/>
  <c r="E83" i="85"/>
  <c r="C85" i="85"/>
  <c r="O84" i="85"/>
  <c r="H83" i="85"/>
  <c r="C92" i="85"/>
  <c r="C98" i="85"/>
  <c r="C102" i="85"/>
  <c r="C108" i="85"/>
  <c r="C114" i="85"/>
  <c r="I131" i="85"/>
  <c r="F136" i="85"/>
  <c r="O141" i="85"/>
  <c r="L144" i="85"/>
  <c r="L151" i="85"/>
  <c r="O160" i="85"/>
  <c r="L166" i="85"/>
  <c r="C172" i="85"/>
  <c r="C177" i="85"/>
  <c r="O184" i="85"/>
  <c r="O173" i="85" s="1"/>
  <c r="M187" i="85"/>
  <c r="C207" i="85"/>
  <c r="C219" i="85"/>
  <c r="C221" i="85"/>
  <c r="D231" i="85"/>
  <c r="D230" i="85" s="1"/>
  <c r="H230" i="85"/>
  <c r="C239" i="85"/>
  <c r="I252" i="85"/>
  <c r="I251" i="85" s="1"/>
  <c r="L252" i="85"/>
  <c r="L251" i="85" s="1"/>
  <c r="O264" i="85"/>
  <c r="E270" i="85"/>
  <c r="E269" i="85" s="1"/>
  <c r="C275" i="85"/>
  <c r="H269" i="85"/>
  <c r="C287" i="85"/>
  <c r="L33" i="85"/>
  <c r="C33" i="85" s="1"/>
  <c r="C46" i="85"/>
  <c r="D54" i="85"/>
  <c r="H53" i="85"/>
  <c r="C60" i="85"/>
  <c r="C64" i="85"/>
  <c r="C71" i="85"/>
  <c r="C73" i="85"/>
  <c r="D76" i="85"/>
  <c r="G83" i="85"/>
  <c r="K83" i="85"/>
  <c r="C87" i="85"/>
  <c r="C97" i="85"/>
  <c r="C99" i="85"/>
  <c r="C101" i="85"/>
  <c r="L103" i="85"/>
  <c r="C118" i="85"/>
  <c r="C119" i="85"/>
  <c r="C125" i="85"/>
  <c r="O122" i="85"/>
  <c r="C139" i="85"/>
  <c r="O151" i="85"/>
  <c r="L165" i="85"/>
  <c r="L179" i="85"/>
  <c r="L174" i="85" s="1"/>
  <c r="O188" i="85"/>
  <c r="O187" i="85" s="1"/>
  <c r="H195" i="85"/>
  <c r="C213" i="85"/>
  <c r="C220" i="85"/>
  <c r="C225" i="85"/>
  <c r="C229" i="85"/>
  <c r="N230" i="85"/>
  <c r="N194" i="85" s="1"/>
  <c r="G231" i="85"/>
  <c r="G230" i="85" s="1"/>
  <c r="G194" i="85" s="1"/>
  <c r="C243" i="85"/>
  <c r="C245" i="85"/>
  <c r="L260" i="85"/>
  <c r="C268" i="85"/>
  <c r="G269" i="85"/>
  <c r="C274" i="85"/>
  <c r="C280" i="85"/>
  <c r="C294" i="85"/>
  <c r="L293" i="85"/>
  <c r="E204" i="85"/>
  <c r="J204" i="85"/>
  <c r="J195" i="85" s="1"/>
  <c r="J194" i="85" s="1"/>
  <c r="C278" i="85"/>
  <c r="C282" i="85"/>
  <c r="G291" i="85"/>
  <c r="L291" i="85"/>
  <c r="C23" i="85"/>
  <c r="K26" i="85"/>
  <c r="J54" i="85"/>
  <c r="J53" i="85" s="1"/>
  <c r="N53" i="85"/>
  <c r="O54" i="85"/>
  <c r="C72" i="85"/>
  <c r="J75" i="85"/>
  <c r="N76" i="85"/>
  <c r="L80" i="85"/>
  <c r="L76" i="85" s="1"/>
  <c r="M83" i="85"/>
  <c r="M75" i="85" s="1"/>
  <c r="L84" i="85"/>
  <c r="C88" i="85"/>
  <c r="O89" i="85"/>
  <c r="C100" i="85"/>
  <c r="C105" i="85"/>
  <c r="C111" i="85"/>
  <c r="C121" i="85"/>
  <c r="C124" i="85"/>
  <c r="N130" i="85"/>
  <c r="L136" i="85"/>
  <c r="C143" i="85"/>
  <c r="F144" i="85"/>
  <c r="C150" i="85"/>
  <c r="C153" i="85"/>
  <c r="C154" i="85"/>
  <c r="C157" i="85"/>
  <c r="L160" i="85"/>
  <c r="C164" i="85"/>
  <c r="F166" i="85"/>
  <c r="F165" i="85" s="1"/>
  <c r="C169" i="85"/>
  <c r="C181" i="85"/>
  <c r="L184" i="85"/>
  <c r="K195" i="85"/>
  <c r="C201" i="85"/>
  <c r="D195" i="85"/>
  <c r="C212" i="85"/>
  <c r="C224" i="85"/>
  <c r="C233" i="85"/>
  <c r="C244" i="85"/>
  <c r="C255" i="85"/>
  <c r="C257" i="85"/>
  <c r="O260" i="85"/>
  <c r="L276" i="85"/>
  <c r="C281" i="85"/>
  <c r="C295" i="85"/>
  <c r="O292" i="85"/>
  <c r="O291" i="85" s="1"/>
  <c r="O20" i="85"/>
  <c r="D53" i="85"/>
  <c r="I67" i="85"/>
  <c r="E75" i="85"/>
  <c r="E52" i="85" s="1"/>
  <c r="H75" i="85"/>
  <c r="H52" i="85" s="1"/>
  <c r="K20" i="85"/>
  <c r="C45" i="85"/>
  <c r="O76" i="85"/>
  <c r="C95" i="85"/>
  <c r="I20" i="85"/>
  <c r="L26" i="85"/>
  <c r="C27" i="85"/>
  <c r="F54" i="85"/>
  <c r="O67" i="85"/>
  <c r="C77" i="85"/>
  <c r="C189" i="85"/>
  <c r="F188" i="85"/>
  <c r="C301" i="85"/>
  <c r="F20" i="85"/>
  <c r="J20" i="85"/>
  <c r="N20" i="85"/>
  <c r="C55" i="85"/>
  <c r="C59" i="85"/>
  <c r="F80" i="85"/>
  <c r="C80" i="85" s="1"/>
  <c r="F84" i="85"/>
  <c r="I112" i="85"/>
  <c r="I83" i="85" s="1"/>
  <c r="D116" i="85"/>
  <c r="I116" i="85"/>
  <c r="L122" i="85"/>
  <c r="L83" i="85" s="1"/>
  <c r="D122" i="85"/>
  <c r="F127" i="85"/>
  <c r="C127" i="85" s="1"/>
  <c r="G130" i="85"/>
  <c r="G75" i="85" s="1"/>
  <c r="K130" i="85"/>
  <c r="K75" i="85" s="1"/>
  <c r="K52" i="85" s="1"/>
  <c r="F131" i="85"/>
  <c r="C132" i="85"/>
  <c r="O136" i="85"/>
  <c r="O144" i="85"/>
  <c r="C161" i="85"/>
  <c r="F160" i="85"/>
  <c r="F174" i="85"/>
  <c r="C185" i="85"/>
  <c r="F184" i="85"/>
  <c r="C184" i="85" s="1"/>
  <c r="C240" i="85"/>
  <c r="I238" i="85"/>
  <c r="C56" i="85"/>
  <c r="I58" i="85"/>
  <c r="I54" i="85" s="1"/>
  <c r="I53" i="85" s="1"/>
  <c r="C68" i="85"/>
  <c r="F69" i="85"/>
  <c r="F89" i="85"/>
  <c r="C89" i="85" s="1"/>
  <c r="C96" i="85"/>
  <c r="C104" i="85"/>
  <c r="C134" i="85"/>
  <c r="C135" i="85"/>
  <c r="C138" i="85"/>
  <c r="C142" i="85"/>
  <c r="F141" i="85"/>
  <c r="C141" i="85" s="1"/>
  <c r="C146" i="85"/>
  <c r="F152" i="85"/>
  <c r="D151" i="85"/>
  <c r="D130" i="85" s="1"/>
  <c r="C163" i="85"/>
  <c r="C168" i="85"/>
  <c r="I166" i="85"/>
  <c r="I165" i="85" s="1"/>
  <c r="C171" i="85"/>
  <c r="I175" i="85"/>
  <c r="C176" i="85"/>
  <c r="H289" i="85"/>
  <c r="C70" i="85"/>
  <c r="C78" i="85"/>
  <c r="I179" i="85"/>
  <c r="C179" i="85" s="1"/>
  <c r="C180" i="85"/>
  <c r="C190" i="85"/>
  <c r="D20" i="85"/>
  <c r="H20" i="85"/>
  <c r="L20" i="85"/>
  <c r="C21" i="85"/>
  <c r="F112" i="85"/>
  <c r="C113" i="85"/>
  <c r="O112" i="85"/>
  <c r="F116" i="85"/>
  <c r="C117" i="85"/>
  <c r="O116" i="85"/>
  <c r="C123" i="85"/>
  <c r="F122" i="85"/>
  <c r="C128" i="85"/>
  <c r="C129" i="85"/>
  <c r="L131" i="85"/>
  <c r="L130" i="85" s="1"/>
  <c r="I136" i="85"/>
  <c r="C140" i="85"/>
  <c r="I144" i="85"/>
  <c r="C144" i="85" s="1"/>
  <c r="C148" i="85"/>
  <c r="C155" i="85"/>
  <c r="C193" i="85"/>
  <c r="F192" i="85"/>
  <c r="E195" i="85"/>
  <c r="C209" i="85"/>
  <c r="F205" i="85"/>
  <c r="C167" i="85"/>
  <c r="C200" i="85"/>
  <c r="I198" i="85"/>
  <c r="I196" i="85" s="1"/>
  <c r="C203" i="85"/>
  <c r="H194" i="85"/>
  <c r="C208" i="85"/>
  <c r="I205" i="85"/>
  <c r="C211" i="85"/>
  <c r="L216" i="85"/>
  <c r="L204" i="85" s="1"/>
  <c r="L195" i="85" s="1"/>
  <c r="C223" i="85"/>
  <c r="O231" i="85"/>
  <c r="L238" i="85"/>
  <c r="L231" i="85" s="1"/>
  <c r="M230" i="85"/>
  <c r="M194" i="85" s="1"/>
  <c r="E259" i="85"/>
  <c r="E230" i="85" s="1"/>
  <c r="C261" i="85"/>
  <c r="F260" i="85"/>
  <c r="O259" i="85"/>
  <c r="I270" i="85"/>
  <c r="I269" i="85" s="1"/>
  <c r="M270" i="85"/>
  <c r="M269" i="85" s="1"/>
  <c r="C277" i="85"/>
  <c r="F276" i="85"/>
  <c r="C276" i="85" s="1"/>
  <c r="C285" i="85"/>
  <c r="F284" i="85"/>
  <c r="C288" i="85"/>
  <c r="I286" i="85"/>
  <c r="C300" i="85"/>
  <c r="C197" i="85"/>
  <c r="F196" i="85"/>
  <c r="D194" i="85"/>
  <c r="C215" i="85"/>
  <c r="I227" i="85"/>
  <c r="C227" i="85" s="1"/>
  <c r="C228" i="85"/>
  <c r="I235" i="85"/>
  <c r="C235" i="85" s="1"/>
  <c r="C236" i="85"/>
  <c r="C247" i="85"/>
  <c r="C249" i="85"/>
  <c r="F246" i="85"/>
  <c r="C263" i="85"/>
  <c r="L264" i="85"/>
  <c r="L259" i="85" s="1"/>
  <c r="C267" i="85"/>
  <c r="C279" i="85"/>
  <c r="O196" i="85"/>
  <c r="O205" i="85"/>
  <c r="C217" i="85"/>
  <c r="F216" i="85"/>
  <c r="O216" i="85"/>
  <c r="C232" i="85"/>
  <c r="K231" i="85"/>
  <c r="K230" i="85" s="1"/>
  <c r="K194" i="85" s="1"/>
  <c r="C241" i="85"/>
  <c r="F238" i="85"/>
  <c r="C248" i="85"/>
  <c r="I246" i="85"/>
  <c r="C253" i="85"/>
  <c r="F252" i="85"/>
  <c r="O251" i="85"/>
  <c r="C265" i="85"/>
  <c r="F264" i="85"/>
  <c r="C271" i="85"/>
  <c r="L270" i="85"/>
  <c r="L269" i="85" s="1"/>
  <c r="C273" i="85"/>
  <c r="F272" i="85"/>
  <c r="J289" i="85"/>
  <c r="C297" i="85"/>
  <c r="F293" i="85"/>
  <c r="C293" i="85" s="1"/>
  <c r="C199" i="85"/>
  <c r="O53" i="85" l="1"/>
  <c r="N75" i="85"/>
  <c r="C136" i="85"/>
  <c r="C122" i="85"/>
  <c r="O270" i="85"/>
  <c r="O269" i="85" s="1"/>
  <c r="O83" i="85"/>
  <c r="L173" i="85"/>
  <c r="I174" i="85"/>
  <c r="I173" i="85" s="1"/>
  <c r="O130" i="85"/>
  <c r="J52" i="85"/>
  <c r="J51" i="85" s="1"/>
  <c r="C103" i="85"/>
  <c r="N289" i="85"/>
  <c r="M289" i="85"/>
  <c r="C165" i="85"/>
  <c r="C198" i="85"/>
  <c r="C160" i="85"/>
  <c r="I130" i="85"/>
  <c r="I75" i="85" s="1"/>
  <c r="I52" i="85" s="1"/>
  <c r="M52" i="85"/>
  <c r="M51" i="85" s="1"/>
  <c r="M290" i="85" s="1"/>
  <c r="C246" i="85"/>
  <c r="K289" i="85"/>
  <c r="L75" i="85"/>
  <c r="L52" i="85" s="1"/>
  <c r="H51" i="85"/>
  <c r="H290" i="85" s="1"/>
  <c r="N52" i="85"/>
  <c r="N51" i="85" s="1"/>
  <c r="D83" i="85"/>
  <c r="D75" i="85" s="1"/>
  <c r="E289" i="85"/>
  <c r="K51" i="85"/>
  <c r="L230" i="85"/>
  <c r="G52" i="85"/>
  <c r="G51" i="85" s="1"/>
  <c r="G289" i="85"/>
  <c r="C205" i="85"/>
  <c r="F204" i="85"/>
  <c r="F195" i="85" s="1"/>
  <c r="F191" i="85"/>
  <c r="C191" i="85" s="1"/>
  <c r="C192" i="85"/>
  <c r="F151" i="85"/>
  <c r="C151" i="85" s="1"/>
  <c r="C152" i="85"/>
  <c r="C20" i="85"/>
  <c r="F270" i="85"/>
  <c r="C272" i="85"/>
  <c r="C264" i="85"/>
  <c r="C238" i="85"/>
  <c r="I231" i="85"/>
  <c r="I230" i="85" s="1"/>
  <c r="O204" i="85"/>
  <c r="F231" i="85"/>
  <c r="F76" i="85"/>
  <c r="F291" i="85"/>
  <c r="C26" i="85"/>
  <c r="C252" i="85"/>
  <c r="F251" i="85"/>
  <c r="C251" i="85" s="1"/>
  <c r="C175" i="85"/>
  <c r="C131" i="85"/>
  <c r="C54" i="85"/>
  <c r="C58" i="85"/>
  <c r="O195" i="85"/>
  <c r="C196" i="85"/>
  <c r="C260" i="85"/>
  <c r="F259" i="85"/>
  <c r="C259" i="85" s="1"/>
  <c r="C166" i="85"/>
  <c r="C112" i="85"/>
  <c r="C69" i="85"/>
  <c r="F67" i="85"/>
  <c r="C67" i="85" s="1"/>
  <c r="C216" i="85"/>
  <c r="C286" i="85"/>
  <c r="C284" i="85"/>
  <c r="F283" i="85"/>
  <c r="C283" i="85" s="1"/>
  <c r="O230" i="85"/>
  <c r="I204" i="85"/>
  <c r="I195" i="85" s="1"/>
  <c r="E194" i="85"/>
  <c r="E51" i="85" s="1"/>
  <c r="C116" i="85"/>
  <c r="F173" i="85"/>
  <c r="C173" i="85" s="1"/>
  <c r="C174" i="85"/>
  <c r="C84" i="85"/>
  <c r="F83" i="85"/>
  <c r="C188" i="85"/>
  <c r="F187" i="85"/>
  <c r="C187" i="85" s="1"/>
  <c r="I292" i="85"/>
  <c r="L289" i="85" l="1"/>
  <c r="I194" i="85"/>
  <c r="O75" i="85"/>
  <c r="O52" i="85" s="1"/>
  <c r="C83" i="85"/>
  <c r="M50" i="85"/>
  <c r="N50" i="85"/>
  <c r="N290" i="85"/>
  <c r="H50" i="85"/>
  <c r="J50" i="85"/>
  <c r="J290" i="85"/>
  <c r="O194" i="85"/>
  <c r="O51" i="85" s="1"/>
  <c r="L194" i="85"/>
  <c r="L51" i="85" s="1"/>
  <c r="L50" i="85" s="1"/>
  <c r="D289" i="85"/>
  <c r="D52" i="85"/>
  <c r="D51" i="85" s="1"/>
  <c r="D290" i="85" s="1"/>
  <c r="F130" i="85"/>
  <c r="C130" i="85" s="1"/>
  <c r="E290" i="85"/>
  <c r="E50" i="85"/>
  <c r="L290" i="85"/>
  <c r="F53" i="85"/>
  <c r="F269" i="85"/>
  <c r="C270" i="85"/>
  <c r="C204" i="85"/>
  <c r="C76" i="85"/>
  <c r="G290" i="85"/>
  <c r="G50" i="85"/>
  <c r="K50" i="85"/>
  <c r="K290" i="85"/>
  <c r="I289" i="85"/>
  <c r="F194" i="85"/>
  <c r="C194" i="85" s="1"/>
  <c r="C195" i="85"/>
  <c r="F230" i="85"/>
  <c r="C230" i="85" s="1"/>
  <c r="C231" i="85"/>
  <c r="I51" i="85"/>
  <c r="I291" i="85"/>
  <c r="C291" i="85" s="1"/>
  <c r="C292" i="85"/>
  <c r="O289" i="85" l="1"/>
  <c r="F75" i="85"/>
  <c r="C75" i="85" s="1"/>
  <c r="O290" i="85"/>
  <c r="O50" i="85"/>
  <c r="D50" i="85"/>
  <c r="C269" i="85"/>
  <c r="F289" i="85"/>
  <c r="C289" i="85" s="1"/>
  <c r="C53" i="85"/>
  <c r="I290" i="85"/>
  <c r="I50" i="85"/>
  <c r="F52" i="85" l="1"/>
  <c r="C52" i="85"/>
  <c r="F51" i="85"/>
  <c r="F290" i="85" l="1"/>
  <c r="C290" i="85" s="1"/>
  <c r="F50" i="85"/>
  <c r="C50" i="85" s="1"/>
  <c r="C51" i="85"/>
  <c r="O301" i="84" l="1"/>
  <c r="L301" i="84"/>
  <c r="I301" i="84"/>
  <c r="F301" i="84"/>
  <c r="C301" i="84" s="1"/>
  <c r="O300" i="84"/>
  <c r="L300" i="84"/>
  <c r="I300" i="84"/>
  <c r="F300" i="84"/>
  <c r="O299" i="84"/>
  <c r="L299" i="84"/>
  <c r="I299" i="84"/>
  <c r="F299" i="84"/>
  <c r="O298" i="84"/>
  <c r="L298" i="84"/>
  <c r="I298" i="84"/>
  <c r="F298" i="84"/>
  <c r="O297" i="84"/>
  <c r="L297" i="84"/>
  <c r="I297" i="84"/>
  <c r="F297" i="84"/>
  <c r="O296" i="84"/>
  <c r="L296" i="84"/>
  <c r="I296" i="84"/>
  <c r="F296" i="84"/>
  <c r="O295" i="84"/>
  <c r="L295" i="84"/>
  <c r="I295" i="84"/>
  <c r="F295" i="84"/>
  <c r="O294" i="84"/>
  <c r="L294" i="84"/>
  <c r="L293" i="84" s="1"/>
  <c r="I294" i="84"/>
  <c r="F294" i="84"/>
  <c r="F293" i="84" s="1"/>
  <c r="N293" i="84"/>
  <c r="M293" i="84"/>
  <c r="K293" i="84"/>
  <c r="J293" i="84"/>
  <c r="H293" i="84"/>
  <c r="G293" i="84"/>
  <c r="E293" i="84"/>
  <c r="D293" i="84"/>
  <c r="O288" i="84"/>
  <c r="L288" i="84"/>
  <c r="I288" i="84"/>
  <c r="F288" i="84"/>
  <c r="O287" i="84"/>
  <c r="O286" i="84" s="1"/>
  <c r="L287" i="84"/>
  <c r="L286" i="84" s="1"/>
  <c r="I287" i="84"/>
  <c r="F287" i="84"/>
  <c r="F286" i="84" s="1"/>
  <c r="N286" i="84"/>
  <c r="M286" i="84"/>
  <c r="K286" i="84"/>
  <c r="J286" i="84"/>
  <c r="H286" i="84"/>
  <c r="G286" i="84"/>
  <c r="E286" i="84"/>
  <c r="D286" i="84"/>
  <c r="O285" i="84"/>
  <c r="O284" i="84" s="1"/>
  <c r="O283" i="84" s="1"/>
  <c r="L285" i="84"/>
  <c r="I285" i="84"/>
  <c r="I284" i="84" s="1"/>
  <c r="I283" i="84" s="1"/>
  <c r="F285" i="84"/>
  <c r="N284" i="84"/>
  <c r="N283" i="84" s="1"/>
  <c r="M284" i="84"/>
  <c r="L284" i="84"/>
  <c r="L283" i="84" s="1"/>
  <c r="K284" i="84"/>
  <c r="K283" i="84" s="1"/>
  <c r="J284" i="84"/>
  <c r="J283" i="84" s="1"/>
  <c r="H284" i="84"/>
  <c r="H283" i="84" s="1"/>
  <c r="G284" i="84"/>
  <c r="G283" i="84" s="1"/>
  <c r="E284" i="84"/>
  <c r="E283" i="84" s="1"/>
  <c r="D284" i="84"/>
  <c r="D283" i="84" s="1"/>
  <c r="M283" i="84"/>
  <c r="O282" i="84"/>
  <c r="O281" i="84" s="1"/>
  <c r="L282" i="84"/>
  <c r="L281" i="84" s="1"/>
  <c r="I282" i="84"/>
  <c r="I281" i="84" s="1"/>
  <c r="F282" i="84"/>
  <c r="F281" i="84" s="1"/>
  <c r="N281" i="84"/>
  <c r="M281" i="84"/>
  <c r="K281" i="84"/>
  <c r="J281" i="84"/>
  <c r="H281" i="84"/>
  <c r="G281" i="84"/>
  <c r="E281" i="84"/>
  <c r="D281" i="84"/>
  <c r="O280" i="84"/>
  <c r="L280" i="84"/>
  <c r="I280" i="84"/>
  <c r="F280" i="84"/>
  <c r="O279" i="84"/>
  <c r="L279" i="84"/>
  <c r="I279" i="84"/>
  <c r="F279" i="84"/>
  <c r="O278" i="84"/>
  <c r="L278" i="84"/>
  <c r="I278" i="84"/>
  <c r="F278" i="84"/>
  <c r="O277" i="84"/>
  <c r="O276" i="84" s="1"/>
  <c r="L277" i="84"/>
  <c r="I277" i="84"/>
  <c r="I276" i="84" s="1"/>
  <c r="F277" i="84"/>
  <c r="F276" i="84" s="1"/>
  <c r="N276" i="84"/>
  <c r="M276" i="84"/>
  <c r="K276" i="84"/>
  <c r="J276" i="84"/>
  <c r="J270" i="84" s="1"/>
  <c r="H276" i="84"/>
  <c r="G276" i="84"/>
  <c r="E276" i="84"/>
  <c r="D276" i="84"/>
  <c r="O275" i="84"/>
  <c r="L275" i="84"/>
  <c r="I275" i="84"/>
  <c r="F275" i="84"/>
  <c r="O274" i="84"/>
  <c r="L274" i="84"/>
  <c r="I274" i="84"/>
  <c r="F274" i="84"/>
  <c r="O273" i="84"/>
  <c r="O272" i="84" s="1"/>
  <c r="L273" i="84"/>
  <c r="L272" i="84" s="1"/>
  <c r="I273" i="84"/>
  <c r="I272" i="84" s="1"/>
  <c r="F273" i="84"/>
  <c r="N272" i="84"/>
  <c r="N270" i="84" s="1"/>
  <c r="N269" i="84" s="1"/>
  <c r="M272" i="84"/>
  <c r="M270" i="84" s="1"/>
  <c r="M269" i="84" s="1"/>
  <c r="K272" i="84"/>
  <c r="J272" i="84"/>
  <c r="H272" i="84"/>
  <c r="G272" i="84"/>
  <c r="E272" i="84"/>
  <c r="D272" i="84"/>
  <c r="O271" i="84"/>
  <c r="L271" i="84"/>
  <c r="I271" i="84"/>
  <c r="F271" i="84"/>
  <c r="O268" i="84"/>
  <c r="L268" i="84"/>
  <c r="I268" i="84"/>
  <c r="F268" i="84"/>
  <c r="O267" i="84"/>
  <c r="L267" i="84"/>
  <c r="I267" i="84"/>
  <c r="F267" i="84"/>
  <c r="O266" i="84"/>
  <c r="L266" i="84"/>
  <c r="I266" i="84"/>
  <c r="F266" i="84"/>
  <c r="O265" i="84"/>
  <c r="O264" i="84" s="1"/>
  <c r="L265" i="84"/>
  <c r="L264" i="84" s="1"/>
  <c r="I265" i="84"/>
  <c r="I264" i="84" s="1"/>
  <c r="F265" i="84"/>
  <c r="N264" i="84"/>
  <c r="M264" i="84"/>
  <c r="K264" i="84"/>
  <c r="J264" i="84"/>
  <c r="H264" i="84"/>
  <c r="G264" i="84"/>
  <c r="E264" i="84"/>
  <c r="D264" i="84"/>
  <c r="O263" i="84"/>
  <c r="L263" i="84"/>
  <c r="I263" i="84"/>
  <c r="F263" i="84"/>
  <c r="O262" i="84"/>
  <c r="L262" i="84"/>
  <c r="I262" i="84"/>
  <c r="F262" i="84"/>
  <c r="O261" i="84"/>
  <c r="O260" i="84" s="1"/>
  <c r="O259" i="84" s="1"/>
  <c r="L261" i="84"/>
  <c r="I261" i="84"/>
  <c r="I260" i="84" s="1"/>
  <c r="F261" i="84"/>
  <c r="F260" i="84" s="1"/>
  <c r="N260" i="84"/>
  <c r="M260" i="84"/>
  <c r="K260" i="84"/>
  <c r="J260" i="84"/>
  <c r="J259" i="84" s="1"/>
  <c r="H260" i="84"/>
  <c r="G260" i="84"/>
  <c r="E260" i="84"/>
  <c r="E259" i="84" s="1"/>
  <c r="D260" i="84"/>
  <c r="D259" i="84" s="1"/>
  <c r="G259" i="84"/>
  <c r="O258" i="84"/>
  <c r="L258" i="84"/>
  <c r="I258" i="84"/>
  <c r="F258" i="84"/>
  <c r="O257" i="84"/>
  <c r="L257" i="84"/>
  <c r="I257" i="84"/>
  <c r="F257" i="84"/>
  <c r="O256" i="84"/>
  <c r="L256" i="84"/>
  <c r="I256" i="84"/>
  <c r="F256" i="84"/>
  <c r="O255" i="84"/>
  <c r="L255" i="84"/>
  <c r="I255" i="84"/>
  <c r="F255" i="84"/>
  <c r="O254" i="84"/>
  <c r="L254" i="84"/>
  <c r="I254" i="84"/>
  <c r="F254" i="84"/>
  <c r="O253" i="84"/>
  <c r="O252" i="84" s="1"/>
  <c r="L253" i="84"/>
  <c r="L252" i="84" s="1"/>
  <c r="L251" i="84" s="1"/>
  <c r="I253" i="84"/>
  <c r="I252" i="84" s="1"/>
  <c r="F253" i="84"/>
  <c r="N252" i="84"/>
  <c r="N251" i="84" s="1"/>
  <c r="M252" i="84"/>
  <c r="M251" i="84" s="1"/>
  <c r="K252" i="84"/>
  <c r="K251" i="84" s="1"/>
  <c r="J252" i="84"/>
  <c r="J251" i="84" s="1"/>
  <c r="H252" i="84"/>
  <c r="H251" i="84" s="1"/>
  <c r="G252" i="84"/>
  <c r="G251" i="84" s="1"/>
  <c r="E252" i="84"/>
  <c r="E251" i="84" s="1"/>
  <c r="D252" i="84"/>
  <c r="D251" i="84" s="1"/>
  <c r="O250" i="84"/>
  <c r="L250" i="84"/>
  <c r="I250" i="84"/>
  <c r="F250" i="84"/>
  <c r="O249" i="84"/>
  <c r="L249" i="84"/>
  <c r="I249" i="84"/>
  <c r="F249" i="84"/>
  <c r="O248" i="84"/>
  <c r="L248" i="84"/>
  <c r="I248" i="84"/>
  <c r="F248" i="84"/>
  <c r="O247" i="84"/>
  <c r="L247" i="84"/>
  <c r="I247" i="84"/>
  <c r="F247" i="84"/>
  <c r="N246" i="84"/>
  <c r="M246" i="84"/>
  <c r="K246" i="84"/>
  <c r="J246" i="84"/>
  <c r="H246" i="84"/>
  <c r="G246" i="84"/>
  <c r="E246" i="84"/>
  <c r="D246" i="84"/>
  <c r="O245" i="84"/>
  <c r="L245" i="84"/>
  <c r="I245" i="84"/>
  <c r="F245" i="84"/>
  <c r="O244" i="84"/>
  <c r="L244" i="84"/>
  <c r="I244" i="84"/>
  <c r="F244" i="84"/>
  <c r="O243" i="84"/>
  <c r="L243" i="84"/>
  <c r="I243" i="84"/>
  <c r="F243" i="84"/>
  <c r="O242" i="84"/>
  <c r="L242" i="84"/>
  <c r="I242" i="84"/>
  <c r="F242" i="84"/>
  <c r="O241" i="84"/>
  <c r="L241" i="84"/>
  <c r="I241" i="84"/>
  <c r="F241" i="84"/>
  <c r="O240" i="84"/>
  <c r="L240" i="84"/>
  <c r="I240" i="84"/>
  <c r="F240" i="84"/>
  <c r="O239" i="84"/>
  <c r="L239" i="84"/>
  <c r="I239" i="84"/>
  <c r="F239" i="84"/>
  <c r="N238" i="84"/>
  <c r="M238" i="84"/>
  <c r="K238" i="84"/>
  <c r="J238" i="84"/>
  <c r="H238" i="84"/>
  <c r="G238" i="84"/>
  <c r="E238" i="84"/>
  <c r="D238" i="84"/>
  <c r="O237" i="84"/>
  <c r="L237" i="84"/>
  <c r="I237" i="84"/>
  <c r="F237" i="84"/>
  <c r="O236" i="84"/>
  <c r="L236" i="84"/>
  <c r="L235" i="84" s="1"/>
  <c r="I236" i="84"/>
  <c r="I235" i="84" s="1"/>
  <c r="F236" i="84"/>
  <c r="N235" i="84"/>
  <c r="M235" i="84"/>
  <c r="K235" i="84"/>
  <c r="J235" i="84"/>
  <c r="H235" i="84"/>
  <c r="G235" i="84"/>
  <c r="E235" i="84"/>
  <c r="D235" i="84"/>
  <c r="O234" i="84"/>
  <c r="O233" i="84" s="1"/>
  <c r="L234" i="84"/>
  <c r="L233" i="84" s="1"/>
  <c r="I234" i="84"/>
  <c r="I233" i="84" s="1"/>
  <c r="F234" i="84"/>
  <c r="F233" i="84" s="1"/>
  <c r="N233" i="84"/>
  <c r="M233" i="84"/>
  <c r="K233" i="84"/>
  <c r="J233" i="84"/>
  <c r="H233" i="84"/>
  <c r="G233" i="84"/>
  <c r="E233" i="84"/>
  <c r="D233" i="84"/>
  <c r="D231" i="84" s="1"/>
  <c r="O232" i="84"/>
  <c r="L232" i="84"/>
  <c r="I232" i="84"/>
  <c r="F232" i="84"/>
  <c r="O229" i="84"/>
  <c r="L229" i="84"/>
  <c r="I229" i="84"/>
  <c r="F229" i="84"/>
  <c r="O228" i="84"/>
  <c r="L228" i="84"/>
  <c r="L227" i="84" s="1"/>
  <c r="I228" i="84"/>
  <c r="I227" i="84" s="1"/>
  <c r="F228" i="84"/>
  <c r="O227" i="84"/>
  <c r="N227" i="84"/>
  <c r="M227" i="84"/>
  <c r="K227" i="84"/>
  <c r="J227" i="84"/>
  <c r="H227" i="84"/>
  <c r="G227" i="84"/>
  <c r="E227" i="84"/>
  <c r="D227" i="84"/>
  <c r="O226" i="84"/>
  <c r="L226" i="84"/>
  <c r="I226" i="84"/>
  <c r="F226" i="84"/>
  <c r="O225" i="84"/>
  <c r="L225" i="84"/>
  <c r="I225" i="84"/>
  <c r="F225" i="84"/>
  <c r="O224" i="84"/>
  <c r="L224" i="84"/>
  <c r="I224" i="84"/>
  <c r="F224" i="84"/>
  <c r="O223" i="84"/>
  <c r="L223" i="84"/>
  <c r="I223" i="84"/>
  <c r="F223" i="84"/>
  <c r="O222" i="84"/>
  <c r="L222" i="84"/>
  <c r="I222" i="84"/>
  <c r="F222" i="84"/>
  <c r="O221" i="84"/>
  <c r="L221" i="84"/>
  <c r="I221" i="84"/>
  <c r="F221" i="84"/>
  <c r="O220" i="84"/>
  <c r="L220" i="84"/>
  <c r="I220" i="84"/>
  <c r="F220" i="84"/>
  <c r="O219" i="84"/>
  <c r="L219" i="84"/>
  <c r="I219" i="84"/>
  <c r="C219" i="84" s="1"/>
  <c r="F219" i="84"/>
  <c r="O218" i="84"/>
  <c r="L218" i="84"/>
  <c r="I218" i="84"/>
  <c r="F218" i="84"/>
  <c r="O217" i="84"/>
  <c r="O216" i="84" s="1"/>
  <c r="L217" i="84"/>
  <c r="I217" i="84"/>
  <c r="I216" i="84" s="1"/>
  <c r="F217" i="84"/>
  <c r="N216" i="84"/>
  <c r="M216" i="84"/>
  <c r="K216" i="84"/>
  <c r="J216" i="84"/>
  <c r="H216" i="84"/>
  <c r="G216" i="84"/>
  <c r="E216" i="84"/>
  <c r="D216" i="84"/>
  <c r="O215" i="84"/>
  <c r="L215" i="84"/>
  <c r="I215" i="84"/>
  <c r="F215" i="84"/>
  <c r="O214" i="84"/>
  <c r="L214" i="84"/>
  <c r="I214" i="84"/>
  <c r="F214" i="84"/>
  <c r="O213" i="84"/>
  <c r="L213" i="84"/>
  <c r="I213" i="84"/>
  <c r="F213" i="84"/>
  <c r="O212" i="84"/>
  <c r="L212" i="84"/>
  <c r="I212" i="84"/>
  <c r="F212" i="84"/>
  <c r="O211" i="84"/>
  <c r="L211" i="84"/>
  <c r="I211" i="84"/>
  <c r="F211" i="84"/>
  <c r="O210" i="84"/>
  <c r="L210" i="84"/>
  <c r="I210" i="84"/>
  <c r="F210" i="84"/>
  <c r="O209" i="84"/>
  <c r="L209" i="84"/>
  <c r="I209" i="84"/>
  <c r="F209" i="84"/>
  <c r="O208" i="84"/>
  <c r="L208" i="84"/>
  <c r="I208" i="84"/>
  <c r="F208" i="84"/>
  <c r="O207" i="84"/>
  <c r="L207" i="84"/>
  <c r="I207" i="84"/>
  <c r="F207" i="84"/>
  <c r="O206" i="84"/>
  <c r="L206" i="84"/>
  <c r="I206" i="84"/>
  <c r="F206" i="84"/>
  <c r="N205" i="84"/>
  <c r="M205" i="84"/>
  <c r="K205" i="84"/>
  <c r="K204" i="84" s="1"/>
  <c r="J205" i="84"/>
  <c r="H205" i="84"/>
  <c r="G205" i="84"/>
  <c r="E205" i="84"/>
  <c r="D205" i="84"/>
  <c r="N204" i="84"/>
  <c r="O203" i="84"/>
  <c r="L203" i="84"/>
  <c r="I203" i="84"/>
  <c r="F203" i="84"/>
  <c r="O202" i="84"/>
  <c r="L202" i="84"/>
  <c r="I202" i="84"/>
  <c r="F202" i="84"/>
  <c r="O201" i="84"/>
  <c r="L201" i="84"/>
  <c r="I201" i="84"/>
  <c r="F201" i="84"/>
  <c r="O200" i="84"/>
  <c r="L200" i="84"/>
  <c r="I200" i="84"/>
  <c r="F200" i="84"/>
  <c r="O199" i="84"/>
  <c r="O198" i="84" s="1"/>
  <c r="L199" i="84"/>
  <c r="L198" i="84" s="1"/>
  <c r="I199" i="84"/>
  <c r="F199" i="84"/>
  <c r="F198" i="84" s="1"/>
  <c r="N198" i="84"/>
  <c r="N196" i="84" s="1"/>
  <c r="M198" i="84"/>
  <c r="M196" i="84" s="1"/>
  <c r="K198" i="84"/>
  <c r="K196" i="84" s="1"/>
  <c r="J198" i="84"/>
  <c r="J196" i="84" s="1"/>
  <c r="H198" i="84"/>
  <c r="H196" i="84" s="1"/>
  <c r="G198" i="84"/>
  <c r="G196" i="84" s="1"/>
  <c r="E198" i="84"/>
  <c r="D198" i="84"/>
  <c r="D196" i="84" s="1"/>
  <c r="O197" i="84"/>
  <c r="L197" i="84"/>
  <c r="I197" i="84"/>
  <c r="F197" i="84"/>
  <c r="E196" i="84"/>
  <c r="O193" i="84"/>
  <c r="L193" i="84"/>
  <c r="L192" i="84" s="1"/>
  <c r="L191" i="84" s="1"/>
  <c r="I193" i="84"/>
  <c r="F193" i="84"/>
  <c r="F192" i="84" s="1"/>
  <c r="F191" i="84" s="1"/>
  <c r="O192" i="84"/>
  <c r="O191" i="84" s="1"/>
  <c r="N192" i="84"/>
  <c r="N191" i="84" s="1"/>
  <c r="M192" i="84"/>
  <c r="M191" i="84" s="1"/>
  <c r="K192" i="84"/>
  <c r="K191" i="84" s="1"/>
  <c r="J192" i="84"/>
  <c r="J191" i="84" s="1"/>
  <c r="I192" i="84"/>
  <c r="I191" i="84" s="1"/>
  <c r="H192" i="84"/>
  <c r="H191" i="84" s="1"/>
  <c r="G192" i="84"/>
  <c r="G191" i="84" s="1"/>
  <c r="E192" i="84"/>
  <c r="E191" i="84" s="1"/>
  <c r="D192" i="84"/>
  <c r="D191" i="84" s="1"/>
  <c r="D187" i="84" s="1"/>
  <c r="O190" i="84"/>
  <c r="L190" i="84"/>
  <c r="I190" i="84"/>
  <c r="F190" i="84"/>
  <c r="O189" i="84"/>
  <c r="L189" i="84"/>
  <c r="L188" i="84" s="1"/>
  <c r="I189" i="84"/>
  <c r="F189" i="84"/>
  <c r="F188" i="84" s="1"/>
  <c r="F187" i="84" s="1"/>
  <c r="O188" i="84"/>
  <c r="N188" i="84"/>
  <c r="M188" i="84"/>
  <c r="K188" i="84"/>
  <c r="J188" i="84"/>
  <c r="H188" i="84"/>
  <c r="H187" i="84" s="1"/>
  <c r="G188" i="84"/>
  <c r="E188" i="84"/>
  <c r="D188" i="84"/>
  <c r="O186" i="84"/>
  <c r="L186" i="84"/>
  <c r="I186" i="84"/>
  <c r="F186" i="84"/>
  <c r="O185" i="84"/>
  <c r="L185" i="84"/>
  <c r="L184" i="84" s="1"/>
  <c r="I185" i="84"/>
  <c r="F185" i="84"/>
  <c r="F184" i="84" s="1"/>
  <c r="O184" i="84"/>
  <c r="N184" i="84"/>
  <c r="M184" i="84"/>
  <c r="K184" i="84"/>
  <c r="J184" i="84"/>
  <c r="H184" i="84"/>
  <c r="G184" i="84"/>
  <c r="E184" i="84"/>
  <c r="D184" i="84"/>
  <c r="O183" i="84"/>
  <c r="L183" i="84"/>
  <c r="I183" i="84"/>
  <c r="F183" i="84"/>
  <c r="O182" i="84"/>
  <c r="L182" i="84"/>
  <c r="I182" i="84"/>
  <c r="F182" i="84"/>
  <c r="O181" i="84"/>
  <c r="L181" i="84"/>
  <c r="I181" i="84"/>
  <c r="F181" i="84"/>
  <c r="O180" i="84"/>
  <c r="O179" i="84" s="1"/>
  <c r="L180" i="84"/>
  <c r="L179" i="84" s="1"/>
  <c r="I180" i="84"/>
  <c r="F180" i="84"/>
  <c r="C180" i="84" s="1"/>
  <c r="N179" i="84"/>
  <c r="M179" i="84"/>
  <c r="K179" i="84"/>
  <c r="J179" i="84"/>
  <c r="H179" i="84"/>
  <c r="G179" i="84"/>
  <c r="E179" i="84"/>
  <c r="D179" i="84"/>
  <c r="O178" i="84"/>
  <c r="L178" i="84"/>
  <c r="I178" i="84"/>
  <c r="F178" i="84"/>
  <c r="O177" i="84"/>
  <c r="L177" i="84"/>
  <c r="I177" i="84"/>
  <c r="F177" i="84"/>
  <c r="O176" i="84"/>
  <c r="O175" i="84" s="1"/>
  <c r="O174" i="84" s="1"/>
  <c r="L176" i="84"/>
  <c r="I176" i="84"/>
  <c r="I175" i="84" s="1"/>
  <c r="F176" i="84"/>
  <c r="C176" i="84" s="1"/>
  <c r="N175" i="84"/>
  <c r="M175" i="84"/>
  <c r="M174" i="84" s="1"/>
  <c r="K175" i="84"/>
  <c r="K174" i="84" s="1"/>
  <c r="K173" i="84" s="1"/>
  <c r="J175" i="84"/>
  <c r="H175" i="84"/>
  <c r="G175" i="84"/>
  <c r="G174" i="84" s="1"/>
  <c r="G173" i="84" s="1"/>
  <c r="E175" i="84"/>
  <c r="E174" i="84" s="1"/>
  <c r="E173" i="84" s="1"/>
  <c r="D175" i="84"/>
  <c r="O172" i="84"/>
  <c r="L172" i="84"/>
  <c r="I172" i="84"/>
  <c r="F172" i="84"/>
  <c r="O171" i="84"/>
  <c r="L171" i="84"/>
  <c r="I171" i="84"/>
  <c r="F171" i="84"/>
  <c r="O170" i="84"/>
  <c r="L170" i="84"/>
  <c r="I170" i="84"/>
  <c r="F170" i="84"/>
  <c r="O169" i="84"/>
  <c r="L169" i="84"/>
  <c r="I169" i="84"/>
  <c r="F169" i="84"/>
  <c r="O168" i="84"/>
  <c r="L168" i="84"/>
  <c r="I168" i="84"/>
  <c r="F168" i="84"/>
  <c r="O167" i="84"/>
  <c r="L167" i="84"/>
  <c r="I167" i="84"/>
  <c r="I166" i="84" s="1"/>
  <c r="I165" i="84" s="1"/>
  <c r="F167" i="84"/>
  <c r="N166" i="84"/>
  <c r="M166" i="84"/>
  <c r="M165" i="84" s="1"/>
  <c r="K166" i="84"/>
  <c r="K165" i="84" s="1"/>
  <c r="J166" i="84"/>
  <c r="H166" i="84"/>
  <c r="H165" i="84" s="1"/>
  <c r="G166" i="84"/>
  <c r="G165" i="84" s="1"/>
  <c r="E166" i="84"/>
  <c r="E165" i="84" s="1"/>
  <c r="D166" i="84"/>
  <c r="N165" i="84"/>
  <c r="J165" i="84"/>
  <c r="D165" i="84"/>
  <c r="O164" i="84"/>
  <c r="L164" i="84"/>
  <c r="I164" i="84"/>
  <c r="F164" i="84"/>
  <c r="O163" i="84"/>
  <c r="L163" i="84"/>
  <c r="I163" i="84"/>
  <c r="F163" i="84"/>
  <c r="O162" i="84"/>
  <c r="L162" i="84"/>
  <c r="I162" i="84"/>
  <c r="F162" i="84"/>
  <c r="O161" i="84"/>
  <c r="L161" i="84"/>
  <c r="L160" i="84" s="1"/>
  <c r="I161" i="84"/>
  <c r="F161" i="84"/>
  <c r="F160" i="84" s="1"/>
  <c r="O160" i="84"/>
  <c r="N160" i="84"/>
  <c r="M160" i="84"/>
  <c r="K160" i="84"/>
  <c r="J160" i="84"/>
  <c r="H160" i="84"/>
  <c r="G160" i="84"/>
  <c r="E160" i="84"/>
  <c r="D160" i="84"/>
  <c r="O159" i="84"/>
  <c r="L159" i="84"/>
  <c r="I159" i="84"/>
  <c r="F159" i="84"/>
  <c r="O158" i="84"/>
  <c r="L158" i="84"/>
  <c r="I158" i="84"/>
  <c r="F158" i="84"/>
  <c r="O157" i="84"/>
  <c r="L157" i="84"/>
  <c r="I157" i="84"/>
  <c r="F157" i="84"/>
  <c r="O156" i="84"/>
  <c r="L156" i="84"/>
  <c r="I156" i="84"/>
  <c r="F156" i="84"/>
  <c r="O155" i="84"/>
  <c r="L155" i="84"/>
  <c r="I155" i="84"/>
  <c r="F155" i="84"/>
  <c r="O154" i="84"/>
  <c r="L154" i="84"/>
  <c r="I154" i="84"/>
  <c r="F154" i="84"/>
  <c r="O153" i="84"/>
  <c r="L153" i="84"/>
  <c r="I153" i="84"/>
  <c r="F153" i="84"/>
  <c r="O152" i="84"/>
  <c r="L152" i="84"/>
  <c r="I152" i="84"/>
  <c r="F152" i="84"/>
  <c r="N151" i="84"/>
  <c r="M151" i="84"/>
  <c r="K151" i="84"/>
  <c r="J151" i="84"/>
  <c r="H151" i="84"/>
  <c r="G151" i="84"/>
  <c r="E151" i="84"/>
  <c r="D151" i="84"/>
  <c r="O150" i="84"/>
  <c r="L150" i="84"/>
  <c r="I150" i="84"/>
  <c r="F150" i="84"/>
  <c r="O149" i="84"/>
  <c r="L149" i="84"/>
  <c r="I149" i="84"/>
  <c r="F149" i="84"/>
  <c r="O148" i="84"/>
  <c r="L148" i="84"/>
  <c r="I148" i="84"/>
  <c r="F148" i="84"/>
  <c r="O147" i="84"/>
  <c r="L147" i="84"/>
  <c r="I147" i="84"/>
  <c r="F147" i="84"/>
  <c r="O146" i="84"/>
  <c r="L146" i="84"/>
  <c r="I146" i="84"/>
  <c r="F146" i="84"/>
  <c r="O145" i="84"/>
  <c r="L145" i="84"/>
  <c r="I145" i="84"/>
  <c r="F145" i="84"/>
  <c r="F144" i="84" s="1"/>
  <c r="N144" i="84"/>
  <c r="M144" i="84"/>
  <c r="K144" i="84"/>
  <c r="J144" i="84"/>
  <c r="H144" i="84"/>
  <c r="G144" i="84"/>
  <c r="E144" i="84"/>
  <c r="D144" i="84"/>
  <c r="O143" i="84"/>
  <c r="L143" i="84"/>
  <c r="I143" i="84"/>
  <c r="F143" i="84"/>
  <c r="O142" i="84"/>
  <c r="O141" i="84" s="1"/>
  <c r="L142" i="84"/>
  <c r="L141" i="84" s="1"/>
  <c r="I142" i="84"/>
  <c r="F142" i="84"/>
  <c r="N141" i="84"/>
  <c r="M141" i="84"/>
  <c r="K141" i="84"/>
  <c r="J141" i="84"/>
  <c r="H141" i="84"/>
  <c r="G141" i="84"/>
  <c r="F141" i="84"/>
  <c r="E141" i="84"/>
  <c r="D141" i="84"/>
  <c r="O140" i="84"/>
  <c r="L140" i="84"/>
  <c r="I140" i="84"/>
  <c r="F140" i="84"/>
  <c r="O139" i="84"/>
  <c r="L139" i="84"/>
  <c r="I139" i="84"/>
  <c r="F139" i="84"/>
  <c r="O138" i="84"/>
  <c r="L138" i="84"/>
  <c r="I138" i="84"/>
  <c r="F138" i="84"/>
  <c r="O137" i="84"/>
  <c r="L137" i="84"/>
  <c r="L136" i="84" s="1"/>
  <c r="I137" i="84"/>
  <c r="F137" i="84"/>
  <c r="F136" i="84" s="1"/>
  <c r="O136" i="84"/>
  <c r="N136" i="84"/>
  <c r="M136" i="84"/>
  <c r="K136" i="84"/>
  <c r="J136" i="84"/>
  <c r="H136" i="84"/>
  <c r="G136" i="84"/>
  <c r="E136" i="84"/>
  <c r="D136" i="84"/>
  <c r="O135" i="84"/>
  <c r="L135" i="84"/>
  <c r="I135" i="84"/>
  <c r="F135" i="84"/>
  <c r="O134" i="84"/>
  <c r="L134" i="84"/>
  <c r="I134" i="84"/>
  <c r="F134" i="84"/>
  <c r="O133" i="84"/>
  <c r="L133" i="84"/>
  <c r="I133" i="84"/>
  <c r="F133" i="84"/>
  <c r="O132" i="84"/>
  <c r="O131" i="84" s="1"/>
  <c r="L132" i="84"/>
  <c r="I132" i="84"/>
  <c r="I131" i="84" s="1"/>
  <c r="F132" i="84"/>
  <c r="N131" i="84"/>
  <c r="M131" i="84"/>
  <c r="L131" i="84"/>
  <c r="K131" i="84"/>
  <c r="J131" i="84"/>
  <c r="H131" i="84"/>
  <c r="G131" i="84"/>
  <c r="E131" i="84"/>
  <c r="D131" i="84"/>
  <c r="O129" i="84"/>
  <c r="L129" i="84"/>
  <c r="L128" i="84" s="1"/>
  <c r="I129" i="84"/>
  <c r="I128" i="84" s="1"/>
  <c r="F129" i="84"/>
  <c r="F128" i="84" s="1"/>
  <c r="C128" i="84" s="1"/>
  <c r="O128" i="84"/>
  <c r="N128" i="84"/>
  <c r="M128" i="84"/>
  <c r="K128" i="84"/>
  <c r="J128" i="84"/>
  <c r="H128" i="84"/>
  <c r="G128" i="84"/>
  <c r="E128" i="84"/>
  <c r="D128" i="84"/>
  <c r="O127" i="84"/>
  <c r="L127" i="84"/>
  <c r="I127" i="84"/>
  <c r="F127" i="84"/>
  <c r="O126" i="84"/>
  <c r="L126" i="84"/>
  <c r="I126" i="84"/>
  <c r="F126" i="84"/>
  <c r="O125" i="84"/>
  <c r="L125" i="84"/>
  <c r="I125" i="84"/>
  <c r="F125" i="84"/>
  <c r="O124" i="84"/>
  <c r="L124" i="84"/>
  <c r="I124" i="84"/>
  <c r="F124" i="84"/>
  <c r="O123" i="84"/>
  <c r="L123" i="84"/>
  <c r="I123" i="84"/>
  <c r="I122" i="84" s="1"/>
  <c r="F123" i="84"/>
  <c r="N122" i="84"/>
  <c r="M122" i="84"/>
  <c r="K122" i="84"/>
  <c r="J122" i="84"/>
  <c r="H122" i="84"/>
  <c r="G122" i="84"/>
  <c r="E122" i="84"/>
  <c r="D122" i="84"/>
  <c r="O121" i="84"/>
  <c r="L121" i="84"/>
  <c r="I121" i="84"/>
  <c r="F121" i="84"/>
  <c r="O120" i="84"/>
  <c r="L120" i="84"/>
  <c r="I120" i="84"/>
  <c r="F120" i="84"/>
  <c r="O119" i="84"/>
  <c r="L119" i="84"/>
  <c r="I119" i="84"/>
  <c r="F119" i="84"/>
  <c r="O118" i="84"/>
  <c r="L118" i="84"/>
  <c r="I118" i="84"/>
  <c r="F118" i="84"/>
  <c r="O117" i="84"/>
  <c r="L117" i="84"/>
  <c r="I117" i="84"/>
  <c r="F117" i="84"/>
  <c r="O116" i="84"/>
  <c r="N116" i="84"/>
  <c r="M116" i="84"/>
  <c r="K116" i="84"/>
  <c r="J116" i="84"/>
  <c r="H116" i="84"/>
  <c r="G116" i="84"/>
  <c r="E116" i="84"/>
  <c r="D116" i="84"/>
  <c r="O115" i="84"/>
  <c r="L115" i="84"/>
  <c r="I115" i="84"/>
  <c r="F115" i="84"/>
  <c r="O114" i="84"/>
  <c r="L114" i="84"/>
  <c r="I114" i="84"/>
  <c r="F114" i="84"/>
  <c r="O113" i="84"/>
  <c r="L113" i="84"/>
  <c r="L112" i="84" s="1"/>
  <c r="I113" i="84"/>
  <c r="F113" i="84"/>
  <c r="N112" i="84"/>
  <c r="M112" i="84"/>
  <c r="K112" i="84"/>
  <c r="J112" i="84"/>
  <c r="H112" i="84"/>
  <c r="G112" i="84"/>
  <c r="E112" i="84"/>
  <c r="D112" i="84"/>
  <c r="O111" i="84"/>
  <c r="L111" i="84"/>
  <c r="I111" i="84"/>
  <c r="F111" i="84"/>
  <c r="O110" i="84"/>
  <c r="L110" i="84"/>
  <c r="I110" i="84"/>
  <c r="F110" i="84"/>
  <c r="O109" i="84"/>
  <c r="L109" i="84"/>
  <c r="I109" i="84"/>
  <c r="F109" i="84"/>
  <c r="O108" i="84"/>
  <c r="L108" i="84"/>
  <c r="I108" i="84"/>
  <c r="F108" i="84"/>
  <c r="O107" i="84"/>
  <c r="L107" i="84"/>
  <c r="I107" i="84"/>
  <c r="F107" i="84"/>
  <c r="O106" i="84"/>
  <c r="L106" i="84"/>
  <c r="I106" i="84"/>
  <c r="F106" i="84"/>
  <c r="O105" i="84"/>
  <c r="L105" i="84"/>
  <c r="I105" i="84"/>
  <c r="F105" i="84"/>
  <c r="O104" i="84"/>
  <c r="L104" i="84"/>
  <c r="I104" i="84"/>
  <c r="F104" i="84"/>
  <c r="N103" i="84"/>
  <c r="M103" i="84"/>
  <c r="K103" i="84"/>
  <c r="J103" i="84"/>
  <c r="H103" i="84"/>
  <c r="G103" i="84"/>
  <c r="E103" i="84"/>
  <c r="D103" i="84"/>
  <c r="O102" i="84"/>
  <c r="L102" i="84"/>
  <c r="I102" i="84"/>
  <c r="F102" i="84"/>
  <c r="O101" i="84"/>
  <c r="L101" i="84"/>
  <c r="I101" i="84"/>
  <c r="F101" i="84"/>
  <c r="O100" i="84"/>
  <c r="L100" i="84"/>
  <c r="I100" i="84"/>
  <c r="F100" i="84"/>
  <c r="O99" i="84"/>
  <c r="L99" i="84"/>
  <c r="I99" i="84"/>
  <c r="F99" i="84"/>
  <c r="O98" i="84"/>
  <c r="L98" i="84"/>
  <c r="I98" i="84"/>
  <c r="F98" i="84"/>
  <c r="O97" i="84"/>
  <c r="L97" i="84"/>
  <c r="I97" i="84"/>
  <c r="F97" i="84"/>
  <c r="O96" i="84"/>
  <c r="L96" i="84"/>
  <c r="I96" i="84"/>
  <c r="F96" i="84"/>
  <c r="O95" i="84"/>
  <c r="N95" i="84"/>
  <c r="M95" i="84"/>
  <c r="K95" i="84"/>
  <c r="J95" i="84"/>
  <c r="H95" i="84"/>
  <c r="G95" i="84"/>
  <c r="E95" i="84"/>
  <c r="D95" i="84"/>
  <c r="O94" i="84"/>
  <c r="L94" i="84"/>
  <c r="I94" i="84"/>
  <c r="F94" i="84"/>
  <c r="O93" i="84"/>
  <c r="L93" i="84"/>
  <c r="I93" i="84"/>
  <c r="F93" i="84"/>
  <c r="O92" i="84"/>
  <c r="L92" i="84"/>
  <c r="I92" i="84"/>
  <c r="F92" i="84"/>
  <c r="O91" i="84"/>
  <c r="L91" i="84"/>
  <c r="I91" i="84"/>
  <c r="F91" i="84"/>
  <c r="O90" i="84"/>
  <c r="L90" i="84"/>
  <c r="I90" i="84"/>
  <c r="F90" i="84"/>
  <c r="N89" i="84"/>
  <c r="M89" i="84"/>
  <c r="K89" i="84"/>
  <c r="J89" i="84"/>
  <c r="H89" i="84"/>
  <c r="G89" i="84"/>
  <c r="E89" i="84"/>
  <c r="D89" i="84"/>
  <c r="O88" i="84"/>
  <c r="L88" i="84"/>
  <c r="I88" i="84"/>
  <c r="F88" i="84"/>
  <c r="O87" i="84"/>
  <c r="L87" i="84"/>
  <c r="I87" i="84"/>
  <c r="F87" i="84"/>
  <c r="O86" i="84"/>
  <c r="L86" i="84"/>
  <c r="I86" i="84"/>
  <c r="F86" i="84"/>
  <c r="O85" i="84"/>
  <c r="L85" i="84"/>
  <c r="I85" i="84"/>
  <c r="I84" i="84" s="1"/>
  <c r="F85" i="84"/>
  <c r="N84" i="84"/>
  <c r="M84" i="84"/>
  <c r="K84" i="84"/>
  <c r="J84" i="84"/>
  <c r="J83" i="84" s="1"/>
  <c r="H84" i="84"/>
  <c r="G84" i="84"/>
  <c r="E84" i="84"/>
  <c r="D84" i="84"/>
  <c r="D83" i="84" s="1"/>
  <c r="O82" i="84"/>
  <c r="L82" i="84"/>
  <c r="I82" i="84"/>
  <c r="F82" i="84"/>
  <c r="O81" i="84"/>
  <c r="O80" i="84" s="1"/>
  <c r="L81" i="84"/>
  <c r="L80" i="84" s="1"/>
  <c r="I81" i="84"/>
  <c r="I80" i="84" s="1"/>
  <c r="F81" i="84"/>
  <c r="F80" i="84" s="1"/>
  <c r="N80" i="84"/>
  <c r="M80" i="84"/>
  <c r="K80" i="84"/>
  <c r="J80" i="84"/>
  <c r="H80" i="84"/>
  <c r="G80" i="84"/>
  <c r="E80" i="84"/>
  <c r="D80" i="84"/>
  <c r="O79" i="84"/>
  <c r="L79" i="84"/>
  <c r="I79" i="84"/>
  <c r="F79" i="84"/>
  <c r="O78" i="84"/>
  <c r="L78" i="84"/>
  <c r="I78" i="84"/>
  <c r="I77" i="84" s="1"/>
  <c r="F78" i="84"/>
  <c r="N77" i="84"/>
  <c r="N76" i="84" s="1"/>
  <c r="M77" i="84"/>
  <c r="L77" i="84"/>
  <c r="K77" i="84"/>
  <c r="J77" i="84"/>
  <c r="H77" i="84"/>
  <c r="G77" i="84"/>
  <c r="G76" i="84" s="1"/>
  <c r="E77" i="84"/>
  <c r="D77" i="84"/>
  <c r="O74" i="84"/>
  <c r="L74" i="84"/>
  <c r="I74" i="84"/>
  <c r="F74" i="84"/>
  <c r="O73" i="84"/>
  <c r="L73" i="84"/>
  <c r="I73" i="84"/>
  <c r="F73" i="84"/>
  <c r="O72" i="84"/>
  <c r="L72" i="84"/>
  <c r="I72" i="84"/>
  <c r="F72" i="84"/>
  <c r="O71" i="84"/>
  <c r="L71" i="84"/>
  <c r="I71" i="84"/>
  <c r="F71" i="84"/>
  <c r="O70" i="84"/>
  <c r="L70" i="84"/>
  <c r="I70" i="84"/>
  <c r="F70" i="84"/>
  <c r="N69" i="84"/>
  <c r="M69" i="84"/>
  <c r="M67" i="84" s="1"/>
  <c r="K69" i="84"/>
  <c r="K67" i="84" s="1"/>
  <c r="J69" i="84"/>
  <c r="J67" i="84" s="1"/>
  <c r="H69" i="84"/>
  <c r="H67" i="84" s="1"/>
  <c r="G69" i="84"/>
  <c r="G67" i="84" s="1"/>
  <c r="E69" i="84"/>
  <c r="E67" i="84" s="1"/>
  <c r="D69" i="84"/>
  <c r="D67" i="84" s="1"/>
  <c r="O68" i="84"/>
  <c r="L68" i="84"/>
  <c r="I68" i="84"/>
  <c r="F68" i="84"/>
  <c r="N67" i="84"/>
  <c r="O66" i="84"/>
  <c r="L66" i="84"/>
  <c r="I66" i="84"/>
  <c r="F66" i="84"/>
  <c r="O65" i="84"/>
  <c r="L65" i="84"/>
  <c r="I65" i="84"/>
  <c r="F65" i="84"/>
  <c r="O64" i="84"/>
  <c r="L64" i="84"/>
  <c r="I64" i="84"/>
  <c r="F64" i="84"/>
  <c r="O63" i="84"/>
  <c r="L63" i="84"/>
  <c r="I63" i="84"/>
  <c r="F63" i="84"/>
  <c r="O62" i="84"/>
  <c r="L62" i="84"/>
  <c r="I62" i="84"/>
  <c r="F62" i="84"/>
  <c r="O61" i="84"/>
  <c r="L61" i="84"/>
  <c r="I61" i="84"/>
  <c r="F61" i="84"/>
  <c r="O60" i="84"/>
  <c r="L60" i="84"/>
  <c r="I60" i="84"/>
  <c r="F60" i="84"/>
  <c r="O59" i="84"/>
  <c r="L59" i="84"/>
  <c r="I59" i="84"/>
  <c r="C59" i="84" s="1"/>
  <c r="F59" i="84"/>
  <c r="N58" i="84"/>
  <c r="M58" i="84"/>
  <c r="K58" i="84"/>
  <c r="J58" i="84"/>
  <c r="H58" i="84"/>
  <c r="G58" i="84"/>
  <c r="E58" i="84"/>
  <c r="D58" i="84"/>
  <c r="O57" i="84"/>
  <c r="L57" i="84"/>
  <c r="I57" i="84"/>
  <c r="F57" i="84"/>
  <c r="O56" i="84"/>
  <c r="L56" i="84"/>
  <c r="L55" i="84" s="1"/>
  <c r="I56" i="84"/>
  <c r="I55" i="84" s="1"/>
  <c r="F56" i="84"/>
  <c r="O55" i="84"/>
  <c r="N55" i="84"/>
  <c r="N54" i="84" s="1"/>
  <c r="N53" i="84" s="1"/>
  <c r="M55" i="84"/>
  <c r="K55" i="84"/>
  <c r="J55" i="84"/>
  <c r="H55" i="84"/>
  <c r="H54" i="84" s="1"/>
  <c r="G55" i="84"/>
  <c r="F55" i="84"/>
  <c r="E55" i="84"/>
  <c r="D55" i="84"/>
  <c r="O47" i="84"/>
  <c r="C47" i="84" s="1"/>
  <c r="O46" i="84"/>
  <c r="N45" i="84"/>
  <c r="M45" i="84"/>
  <c r="L44" i="84"/>
  <c r="L43" i="84" s="1"/>
  <c r="I44" i="84"/>
  <c r="F44" i="84"/>
  <c r="K43" i="84"/>
  <c r="J43" i="84"/>
  <c r="I43" i="84"/>
  <c r="H43" i="84"/>
  <c r="G43" i="84"/>
  <c r="E43" i="84"/>
  <c r="D43" i="84"/>
  <c r="F42" i="84"/>
  <c r="E41" i="84"/>
  <c r="D41" i="84"/>
  <c r="L40" i="84"/>
  <c r="C40" i="84" s="1"/>
  <c r="L39" i="84"/>
  <c r="C39" i="84" s="1"/>
  <c r="L38" i="84"/>
  <c r="C38" i="84" s="1"/>
  <c r="L37" i="84"/>
  <c r="K36" i="84"/>
  <c r="J36" i="84"/>
  <c r="L35" i="84"/>
  <c r="C35" i="84" s="1"/>
  <c r="L34" i="84"/>
  <c r="K33" i="84"/>
  <c r="J33" i="84"/>
  <c r="L32" i="84"/>
  <c r="C32" i="84" s="1"/>
  <c r="K31" i="84"/>
  <c r="K26" i="84" s="1"/>
  <c r="J31" i="84"/>
  <c r="L30" i="84"/>
  <c r="C30" i="84" s="1"/>
  <c r="L29" i="84"/>
  <c r="C29" i="84" s="1"/>
  <c r="L28" i="84"/>
  <c r="K27" i="84"/>
  <c r="J27" i="84"/>
  <c r="J26" i="84" s="1"/>
  <c r="F25" i="84"/>
  <c r="C25" i="84" s="1"/>
  <c r="I24" i="84"/>
  <c r="O23" i="84"/>
  <c r="L23" i="84"/>
  <c r="I23" i="84"/>
  <c r="F23" i="84"/>
  <c r="C23" i="84" s="1"/>
  <c r="O22" i="84"/>
  <c r="O21" i="84" s="1"/>
  <c r="O292" i="84" s="1"/>
  <c r="L22" i="84"/>
  <c r="L21" i="84" s="1"/>
  <c r="L292" i="84" s="1"/>
  <c r="I22" i="84"/>
  <c r="I21" i="84" s="1"/>
  <c r="F22" i="84"/>
  <c r="F21" i="84" s="1"/>
  <c r="N21" i="84"/>
  <c r="M21" i="84"/>
  <c r="K21" i="84"/>
  <c r="K292" i="84" s="1"/>
  <c r="K291" i="84" s="1"/>
  <c r="J21" i="84"/>
  <c r="H21" i="84"/>
  <c r="G21" i="84"/>
  <c r="G292" i="84" s="1"/>
  <c r="E21" i="84"/>
  <c r="E292" i="84" s="1"/>
  <c r="E291" i="84" s="1"/>
  <c r="D21" i="84"/>
  <c r="C85" i="84" l="1"/>
  <c r="C86" i="84"/>
  <c r="C104" i="84"/>
  <c r="J187" i="84"/>
  <c r="C241" i="84"/>
  <c r="C245" i="84"/>
  <c r="C279" i="84"/>
  <c r="C44" i="84"/>
  <c r="E187" i="84"/>
  <c r="C237" i="84"/>
  <c r="K259" i="84"/>
  <c r="C267" i="84"/>
  <c r="L187" i="84"/>
  <c r="G20" i="84"/>
  <c r="K54" i="84"/>
  <c r="H76" i="84"/>
  <c r="C152" i="84"/>
  <c r="C156" i="84"/>
  <c r="C157" i="84"/>
  <c r="C159" i="84"/>
  <c r="C172" i="84"/>
  <c r="C225" i="84"/>
  <c r="C253" i="84"/>
  <c r="C273" i="84"/>
  <c r="O166" i="84"/>
  <c r="O165" i="84" s="1"/>
  <c r="I259" i="84"/>
  <c r="F43" i="84"/>
  <c r="C43" i="84" s="1"/>
  <c r="K83" i="84"/>
  <c r="C102" i="84"/>
  <c r="C106" i="84"/>
  <c r="C124" i="84"/>
  <c r="E130" i="84"/>
  <c r="C154" i="84"/>
  <c r="C164" i="84"/>
  <c r="C168" i="84"/>
  <c r="C171" i="84"/>
  <c r="N187" i="84"/>
  <c r="C197" i="84"/>
  <c r="N195" i="84"/>
  <c r="C201" i="84"/>
  <c r="C229" i="84"/>
  <c r="M231" i="84"/>
  <c r="C249" i="84"/>
  <c r="C257" i="84"/>
  <c r="N259" i="84"/>
  <c r="M259" i="84"/>
  <c r="F272" i="84"/>
  <c r="F270" i="84" s="1"/>
  <c r="K270" i="84"/>
  <c r="K269" i="84" s="1"/>
  <c r="G270" i="84"/>
  <c r="G269" i="84" s="1"/>
  <c r="C297" i="84"/>
  <c r="C299" i="84"/>
  <c r="C56" i="84"/>
  <c r="C57" i="84"/>
  <c r="C120" i="84"/>
  <c r="C148" i="84"/>
  <c r="K53" i="84"/>
  <c r="D54" i="84"/>
  <c r="D53" i="84" s="1"/>
  <c r="C71" i="84"/>
  <c r="J76" i="84"/>
  <c r="C100" i="84"/>
  <c r="M130" i="84"/>
  <c r="C200" i="84"/>
  <c r="C209" i="84"/>
  <c r="O235" i="84"/>
  <c r="C261" i="84"/>
  <c r="G54" i="84"/>
  <c r="M54" i="84"/>
  <c r="M53" i="84" s="1"/>
  <c r="C63" i="84"/>
  <c r="E76" i="84"/>
  <c r="C79" i="84"/>
  <c r="C91" i="84"/>
  <c r="G83" i="84"/>
  <c r="C140" i="84"/>
  <c r="O173" i="84"/>
  <c r="K187" i="84"/>
  <c r="D204" i="84"/>
  <c r="J204" i="84"/>
  <c r="C206" i="84"/>
  <c r="C213" i="84"/>
  <c r="C221" i="84"/>
  <c r="C222" i="84"/>
  <c r="C224" i="84"/>
  <c r="E231" i="84"/>
  <c r="E230" i="84" s="1"/>
  <c r="K231" i="84"/>
  <c r="K230" i="84" s="1"/>
  <c r="F238" i="84"/>
  <c r="C240" i="84"/>
  <c r="D270" i="84"/>
  <c r="D269" i="84" s="1"/>
  <c r="H270" i="84"/>
  <c r="H269" i="84" s="1"/>
  <c r="E270" i="84"/>
  <c r="E269" i="84" s="1"/>
  <c r="C285" i="84"/>
  <c r="O293" i="84"/>
  <c r="O291" i="84" s="1"/>
  <c r="L196" i="84"/>
  <c r="L76" i="84"/>
  <c r="C132" i="84"/>
  <c r="K20" i="84"/>
  <c r="G291" i="84"/>
  <c r="L31" i="84"/>
  <c r="C31" i="84" s="1"/>
  <c r="C62" i="84"/>
  <c r="L69" i="84"/>
  <c r="L67" i="84" s="1"/>
  <c r="D76" i="84"/>
  <c r="M76" i="84"/>
  <c r="E83" i="84"/>
  <c r="C92" i="84"/>
  <c r="C94" i="84"/>
  <c r="O112" i="84"/>
  <c r="O122" i="84"/>
  <c r="C133" i="84"/>
  <c r="C143" i="84"/>
  <c r="C147" i="84"/>
  <c r="O144" i="84"/>
  <c r="L151" i="84"/>
  <c r="C158" i="84"/>
  <c r="C163" i="84"/>
  <c r="C170" i="84"/>
  <c r="O196" i="84"/>
  <c r="C202" i="84"/>
  <c r="K195" i="84"/>
  <c r="C210" i="84"/>
  <c r="C212" i="84"/>
  <c r="O205" i="84"/>
  <c r="O204" i="84" s="1"/>
  <c r="H204" i="84"/>
  <c r="H195" i="84" s="1"/>
  <c r="C223" i="84"/>
  <c r="G231" i="84"/>
  <c r="G230" i="84" s="1"/>
  <c r="C233" i="84"/>
  <c r="C244" i="84"/>
  <c r="L246" i="84"/>
  <c r="I251" i="84"/>
  <c r="C274" i="84"/>
  <c r="L276" i="84"/>
  <c r="L270" i="84" s="1"/>
  <c r="L269" i="84" s="1"/>
  <c r="I69" i="84"/>
  <c r="M204" i="84"/>
  <c r="M195" i="84" s="1"/>
  <c r="D230" i="84"/>
  <c r="D292" i="84"/>
  <c r="D291" i="84" s="1"/>
  <c r="M292" i="84"/>
  <c r="M291" i="84" s="1"/>
  <c r="C55" i="84"/>
  <c r="C64" i="84"/>
  <c r="C66" i="84"/>
  <c r="C82" i="84"/>
  <c r="L84" i="84"/>
  <c r="I89" i="84"/>
  <c r="C96" i="84"/>
  <c r="C99" i="84"/>
  <c r="C111" i="84"/>
  <c r="C115" i="84"/>
  <c r="C125" i="84"/>
  <c r="C127" i="84"/>
  <c r="C134" i="84"/>
  <c r="C139" i="84"/>
  <c r="C149" i="84"/>
  <c r="M173" i="84"/>
  <c r="N174" i="84"/>
  <c r="N173" i="84" s="1"/>
  <c r="L175" i="84"/>
  <c r="L174" i="84" s="1"/>
  <c r="L173" i="84" s="1"/>
  <c r="C181" i="84"/>
  <c r="C203" i="84"/>
  <c r="G204" i="84"/>
  <c r="G195" i="84" s="1"/>
  <c r="C211" i="84"/>
  <c r="C217" i="84"/>
  <c r="L216" i="84"/>
  <c r="E204" i="84"/>
  <c r="E195" i="84" s="1"/>
  <c r="C243" i="84"/>
  <c r="C254" i="84"/>
  <c r="C263" i="84"/>
  <c r="C265" i="84"/>
  <c r="J269" i="84"/>
  <c r="C275" i="84"/>
  <c r="C277" i="84"/>
  <c r="C288" i="84"/>
  <c r="C296" i="84"/>
  <c r="L95" i="84"/>
  <c r="L103" i="84"/>
  <c r="F175" i="84"/>
  <c r="C281" i="84"/>
  <c r="H292" i="84"/>
  <c r="H291" i="84" s="1"/>
  <c r="E54" i="84"/>
  <c r="E53" i="84" s="1"/>
  <c r="J54" i="84"/>
  <c r="J53" i="84" s="1"/>
  <c r="L58" i="84"/>
  <c r="L54" i="84" s="1"/>
  <c r="C72" i="84"/>
  <c r="C74" i="84"/>
  <c r="K76" i="84"/>
  <c r="H83" i="84"/>
  <c r="N83" i="84"/>
  <c r="C87" i="84"/>
  <c r="L89" i="84"/>
  <c r="I95" i="84"/>
  <c r="C98" i="84"/>
  <c r="C108" i="84"/>
  <c r="C110" i="84"/>
  <c r="C114" i="84"/>
  <c r="F116" i="84"/>
  <c r="C119" i="84"/>
  <c r="C126" i="84"/>
  <c r="C150" i="84"/>
  <c r="D174" i="84"/>
  <c r="D173" i="84" s="1"/>
  <c r="J174" i="84"/>
  <c r="J173" i="84" s="1"/>
  <c r="C182" i="84"/>
  <c r="J195" i="84"/>
  <c r="C215" i="84"/>
  <c r="C218" i="84"/>
  <c r="H231" i="84"/>
  <c r="N231" i="84"/>
  <c r="N230" i="84" s="1"/>
  <c r="N194" i="84" s="1"/>
  <c r="O238" i="84"/>
  <c r="L238" i="84"/>
  <c r="C255" i="84"/>
  <c r="L260" i="84"/>
  <c r="L259" i="84" s="1"/>
  <c r="C266" i="84"/>
  <c r="C280" i="84"/>
  <c r="F284" i="84"/>
  <c r="C284" i="84" s="1"/>
  <c r="C298" i="84"/>
  <c r="C178" i="84"/>
  <c r="C42" i="84"/>
  <c r="F41" i="84"/>
  <c r="C41" i="84" s="1"/>
  <c r="C28" i="84"/>
  <c r="L27" i="84"/>
  <c r="G53" i="84"/>
  <c r="I54" i="84"/>
  <c r="O58" i="84"/>
  <c r="O54" i="84" s="1"/>
  <c r="O53" i="84" s="1"/>
  <c r="C68" i="84"/>
  <c r="O69" i="84"/>
  <c r="O67" i="84" s="1"/>
  <c r="F84" i="84"/>
  <c r="C88" i="84"/>
  <c r="O89" i="84"/>
  <c r="C105" i="84"/>
  <c r="F103" i="84"/>
  <c r="C146" i="84"/>
  <c r="I144" i="84"/>
  <c r="I20" i="84"/>
  <c r="C78" i="84"/>
  <c r="F77" i="84"/>
  <c r="J292" i="84"/>
  <c r="J291" i="84" s="1"/>
  <c r="J20" i="84"/>
  <c r="N292" i="84"/>
  <c r="N291" i="84" s="1"/>
  <c r="N20" i="84"/>
  <c r="C34" i="84"/>
  <c r="L33" i="84"/>
  <c r="C33" i="84" s="1"/>
  <c r="C37" i="84"/>
  <c r="L36" i="84"/>
  <c r="C36" i="84" s="1"/>
  <c r="C60" i="84"/>
  <c r="C61" i="84"/>
  <c r="I67" i="84"/>
  <c r="C70" i="84"/>
  <c r="F69" i="84"/>
  <c r="I76" i="84"/>
  <c r="M83" i="84"/>
  <c r="C90" i="84"/>
  <c r="F89" i="84"/>
  <c r="C101" i="84"/>
  <c r="F95" i="84"/>
  <c r="I112" i="84"/>
  <c r="C167" i="84"/>
  <c r="F166" i="84"/>
  <c r="F292" i="84"/>
  <c r="F291" i="84" s="1"/>
  <c r="C21" i="84"/>
  <c r="C22" i="84"/>
  <c r="C46" i="84"/>
  <c r="O45" i="84"/>
  <c r="H53" i="84"/>
  <c r="I58" i="84"/>
  <c r="C65" i="84"/>
  <c r="C73" i="84"/>
  <c r="O77" i="84"/>
  <c r="O76" i="84" s="1"/>
  <c r="C80" i="84"/>
  <c r="C81" i="84"/>
  <c r="O84" i="84"/>
  <c r="C93" i="84"/>
  <c r="C135" i="84"/>
  <c r="F131" i="84"/>
  <c r="H20" i="84"/>
  <c r="I103" i="84"/>
  <c r="C107" i="84"/>
  <c r="L122" i="84"/>
  <c r="H130" i="84"/>
  <c r="L144" i="84"/>
  <c r="O151" i="84"/>
  <c r="C169" i="84"/>
  <c r="C177" i="84"/>
  <c r="G187" i="84"/>
  <c r="M187" i="84"/>
  <c r="C190" i="84"/>
  <c r="I188" i="84"/>
  <c r="I187" i="84" s="1"/>
  <c r="C192" i="84"/>
  <c r="C191" i="84"/>
  <c r="C248" i="84"/>
  <c r="F246" i="84"/>
  <c r="C256" i="84"/>
  <c r="F252" i="84"/>
  <c r="I179" i="84"/>
  <c r="I174" i="84" s="1"/>
  <c r="M20" i="84"/>
  <c r="F58" i="84"/>
  <c r="F54" i="84" s="1"/>
  <c r="C97" i="84"/>
  <c r="C109" i="84"/>
  <c r="F112" i="84"/>
  <c r="C113" i="84"/>
  <c r="C118" i="84"/>
  <c r="I116" i="84"/>
  <c r="C121" i="84"/>
  <c r="D130" i="84"/>
  <c r="D75" i="84" s="1"/>
  <c r="D52" i="84" s="1"/>
  <c r="J130" i="84"/>
  <c r="J75" i="84" s="1"/>
  <c r="N130" i="84"/>
  <c r="K130" i="84"/>
  <c r="I141" i="84"/>
  <c r="C141" i="84" s="1"/>
  <c r="C142" i="84"/>
  <c r="C153" i="84"/>
  <c r="C155" i="84"/>
  <c r="F151" i="84"/>
  <c r="C162" i="84"/>
  <c r="I160" i="84"/>
  <c r="C160" i="84" s="1"/>
  <c r="L166" i="84"/>
  <c r="L165" i="84" s="1"/>
  <c r="H174" i="84"/>
  <c r="H173" i="84" s="1"/>
  <c r="C186" i="84"/>
  <c r="I184" i="84"/>
  <c r="C184" i="84" s="1"/>
  <c r="O103" i="84"/>
  <c r="L116" i="84"/>
  <c r="L83" i="84" s="1"/>
  <c r="C123" i="84"/>
  <c r="F122" i="84"/>
  <c r="G130" i="84"/>
  <c r="C138" i="84"/>
  <c r="I136" i="84"/>
  <c r="I151" i="84"/>
  <c r="C183" i="84"/>
  <c r="F179" i="84"/>
  <c r="O187" i="84"/>
  <c r="I198" i="84"/>
  <c r="C198" i="84" s="1"/>
  <c r="C199" i="84"/>
  <c r="C207" i="84"/>
  <c r="I205" i="84"/>
  <c r="I204" i="84" s="1"/>
  <c r="I286" i="84"/>
  <c r="I292" i="84" s="1"/>
  <c r="C287" i="84"/>
  <c r="C117" i="84"/>
  <c r="C129" i="84"/>
  <c r="C137" i="84"/>
  <c r="C145" i="84"/>
  <c r="C161" i="84"/>
  <c r="C185" i="84"/>
  <c r="C189" i="84"/>
  <c r="C193" i="84"/>
  <c r="D195" i="84"/>
  <c r="L205" i="84"/>
  <c r="L204" i="84" s="1"/>
  <c r="C214" i="84"/>
  <c r="C226" i="84"/>
  <c r="J231" i="84"/>
  <c r="J230" i="84" s="1"/>
  <c r="I246" i="84"/>
  <c r="C247" i="84"/>
  <c r="C250" i="84"/>
  <c r="C258" i="84"/>
  <c r="C262" i="84"/>
  <c r="I270" i="84"/>
  <c r="I269" i="84" s="1"/>
  <c r="C271" i="84"/>
  <c r="L291" i="84"/>
  <c r="I238" i="84"/>
  <c r="I231" i="84" s="1"/>
  <c r="C239" i="84"/>
  <c r="C242" i="84"/>
  <c r="H259" i="84"/>
  <c r="H230" i="84" s="1"/>
  <c r="F269" i="84"/>
  <c r="C272" i="84"/>
  <c r="C278" i="84"/>
  <c r="F196" i="84"/>
  <c r="C208" i="84"/>
  <c r="F205" i="84"/>
  <c r="C220" i="84"/>
  <c r="F216" i="84"/>
  <c r="C228" i="84"/>
  <c r="F227" i="84"/>
  <c r="C227" i="84" s="1"/>
  <c r="C232" i="84"/>
  <c r="C236" i="84"/>
  <c r="F235" i="84"/>
  <c r="O246" i="84"/>
  <c r="O251" i="84"/>
  <c r="C268" i="84"/>
  <c r="F264" i="84"/>
  <c r="C264" i="84" s="1"/>
  <c r="O270" i="84"/>
  <c r="O269" i="84" s="1"/>
  <c r="C295" i="84"/>
  <c r="I293" i="84"/>
  <c r="C300" i="84"/>
  <c r="C234" i="84"/>
  <c r="C282" i="84"/>
  <c r="F283" i="84"/>
  <c r="C283" i="84" s="1"/>
  <c r="C294" i="84"/>
  <c r="K75" i="84" l="1"/>
  <c r="F174" i="84"/>
  <c r="O195" i="84"/>
  <c r="E194" i="84"/>
  <c r="G75" i="84"/>
  <c r="G289" i="84" s="1"/>
  <c r="L231" i="84"/>
  <c r="L230" i="84" s="1"/>
  <c r="O130" i="84"/>
  <c r="E75" i="84"/>
  <c r="E52" i="84" s="1"/>
  <c r="E51" i="84" s="1"/>
  <c r="C235" i="84"/>
  <c r="L195" i="84"/>
  <c r="C187" i="84"/>
  <c r="K289" i="84"/>
  <c r="F259" i="84"/>
  <c r="C259" i="84" s="1"/>
  <c r="J194" i="84"/>
  <c r="I196" i="84"/>
  <c r="I195" i="84" s="1"/>
  <c r="D194" i="84"/>
  <c r="D51" i="84" s="1"/>
  <c r="C122" i="84"/>
  <c r="N75" i="84"/>
  <c r="N52" i="84" s="1"/>
  <c r="N51" i="84" s="1"/>
  <c r="H75" i="84"/>
  <c r="M230" i="84"/>
  <c r="M194" i="84" s="1"/>
  <c r="C293" i="84"/>
  <c r="C238" i="84"/>
  <c r="C276" i="84"/>
  <c r="O231" i="84"/>
  <c r="O230" i="84" s="1"/>
  <c r="O194" i="84" s="1"/>
  <c r="L53" i="84"/>
  <c r="F231" i="84"/>
  <c r="C216" i="84"/>
  <c r="I230" i="84"/>
  <c r="I194" i="84" s="1"/>
  <c r="C188" i="84"/>
  <c r="C112" i="84"/>
  <c r="C246" i="84"/>
  <c r="L130" i="84"/>
  <c r="L75" i="84" s="1"/>
  <c r="K52" i="84"/>
  <c r="C95" i="84"/>
  <c r="M75" i="84"/>
  <c r="C175" i="84"/>
  <c r="G194" i="84"/>
  <c r="C116" i="84"/>
  <c r="C103" i="84"/>
  <c r="C260" i="84"/>
  <c r="K194" i="84"/>
  <c r="L194" i="84"/>
  <c r="I291" i="84"/>
  <c r="C291" i="84" s="1"/>
  <c r="H52" i="84"/>
  <c r="C89" i="84"/>
  <c r="I53" i="84"/>
  <c r="H194" i="84"/>
  <c r="H289" i="84"/>
  <c r="J289" i="84"/>
  <c r="J52" i="84"/>
  <c r="M52" i="84"/>
  <c r="C136" i="84"/>
  <c r="I130" i="84"/>
  <c r="I173" i="84"/>
  <c r="I83" i="84"/>
  <c r="C27" i="84"/>
  <c r="L26" i="84"/>
  <c r="C196" i="84"/>
  <c r="C174" i="84"/>
  <c r="F173" i="84"/>
  <c r="C179" i="84"/>
  <c r="C166" i="84"/>
  <c r="F165" i="84"/>
  <c r="C165" i="84" s="1"/>
  <c r="C144" i="84"/>
  <c r="F83" i="84"/>
  <c r="C84" i="84"/>
  <c r="G52" i="84"/>
  <c r="F67" i="84"/>
  <c r="C67" i="84" s="1"/>
  <c r="C69" i="84"/>
  <c r="C286" i="84"/>
  <c r="F204" i="84"/>
  <c r="C204" i="84" s="1"/>
  <c r="C205" i="84"/>
  <c r="C270" i="84"/>
  <c r="D289" i="84"/>
  <c r="C151" i="84"/>
  <c r="C58" i="84"/>
  <c r="C252" i="84"/>
  <c r="F251" i="84"/>
  <c r="C251" i="84" s="1"/>
  <c r="C131" i="84"/>
  <c r="F130" i="84"/>
  <c r="C45" i="84"/>
  <c r="O20" i="84"/>
  <c r="C77" i="84"/>
  <c r="F76" i="84"/>
  <c r="C269" i="84"/>
  <c r="O83" i="84"/>
  <c r="O75" i="84" s="1"/>
  <c r="O52" i="84" s="1"/>
  <c r="C292" i="84"/>
  <c r="C54" i="84"/>
  <c r="E50" i="84" l="1"/>
  <c r="E24" i="84"/>
  <c r="E20" i="84" s="1"/>
  <c r="M289" i="84"/>
  <c r="C231" i="84"/>
  <c r="F53" i="84"/>
  <c r="E289" i="84"/>
  <c r="K51" i="84"/>
  <c r="K50" i="84" s="1"/>
  <c r="D24" i="84"/>
  <c r="F24" i="84" s="1"/>
  <c r="D50" i="84"/>
  <c r="O51" i="84"/>
  <c r="O290" i="84" s="1"/>
  <c r="M51" i="84"/>
  <c r="M50" i="84" s="1"/>
  <c r="H51" i="84"/>
  <c r="H290" i="84" s="1"/>
  <c r="F195" i="84"/>
  <c r="I75" i="84"/>
  <c r="I289" i="84" s="1"/>
  <c r="N289" i="84"/>
  <c r="C130" i="84"/>
  <c r="J51" i="84"/>
  <c r="L52" i="84"/>
  <c r="L51" i="84" s="1"/>
  <c r="L50" i="84" s="1"/>
  <c r="L289" i="84"/>
  <c r="I52" i="84"/>
  <c r="I51" i="84" s="1"/>
  <c r="I290" i="84" s="1"/>
  <c r="F230" i="84"/>
  <c r="C230" i="84" s="1"/>
  <c r="G51" i="84"/>
  <c r="G50" i="84" s="1"/>
  <c r="E290" i="84"/>
  <c r="O50" i="84"/>
  <c r="H50" i="84"/>
  <c r="F75" i="84"/>
  <c r="C76" i="84"/>
  <c r="L290" i="84"/>
  <c r="C26" i="84"/>
  <c r="L20" i="84"/>
  <c r="N50" i="84"/>
  <c r="N290" i="84"/>
  <c r="C83" i="84"/>
  <c r="M290" i="84"/>
  <c r="C195" i="84"/>
  <c r="J50" i="84"/>
  <c r="J290" i="84"/>
  <c r="C53" i="84"/>
  <c r="G290" i="84"/>
  <c r="C173" i="84"/>
  <c r="O289" i="84"/>
  <c r="D20" i="84" l="1"/>
  <c r="D290" i="84"/>
  <c r="C75" i="84"/>
  <c r="I50" i="84"/>
  <c r="K290" i="84"/>
  <c r="F194" i="84"/>
  <c r="C194" i="84" s="1"/>
  <c r="F289" i="84"/>
  <c r="C289" i="84" s="1"/>
  <c r="F52" i="84"/>
  <c r="C24" i="84"/>
  <c r="F20" i="84"/>
  <c r="C20" i="84" s="1"/>
  <c r="F51" i="84" l="1"/>
  <c r="C52" i="84"/>
  <c r="F290" i="84" l="1"/>
  <c r="C290" i="84" s="1"/>
  <c r="F50" i="84"/>
  <c r="C50" i="84" s="1"/>
  <c r="C51" i="84"/>
  <c r="R48" i="82" l="1"/>
  <c r="M48" i="82"/>
  <c r="H48" i="82" s="1"/>
  <c r="H47" i="82" s="1"/>
  <c r="F48" i="82"/>
  <c r="F47" i="82" s="1"/>
  <c r="W47" i="82"/>
  <c r="V47" i="82"/>
  <c r="U47" i="82"/>
  <c r="T47" i="82"/>
  <c r="R47" i="82"/>
  <c r="Q47" i="82"/>
  <c r="P47" i="82"/>
  <c r="O47" i="82"/>
  <c r="N47" i="82"/>
  <c r="M47" i="82"/>
  <c r="L47" i="82"/>
  <c r="K47" i="82"/>
  <c r="J47" i="82"/>
  <c r="I47" i="82"/>
  <c r="G47" i="82"/>
  <c r="R45" i="82"/>
  <c r="R44" i="82" s="1"/>
  <c r="R43" i="82" s="1"/>
  <c r="M45" i="82"/>
  <c r="H45" i="82" s="1"/>
  <c r="H44" i="82" s="1"/>
  <c r="H43" i="82" s="1"/>
  <c r="F45" i="82"/>
  <c r="W44" i="82"/>
  <c r="W43" i="82" s="1"/>
  <c r="U44" i="82"/>
  <c r="U43" i="82" s="1"/>
  <c r="Q44" i="82"/>
  <c r="P44" i="82"/>
  <c r="P43" i="82" s="1"/>
  <c r="O44" i="82"/>
  <c r="O43" i="82" s="1"/>
  <c r="N44" i="82"/>
  <c r="N43" i="82" s="1"/>
  <c r="L44" i="82"/>
  <c r="L43" i="82" s="1"/>
  <c r="K44" i="82"/>
  <c r="K43" i="82" s="1"/>
  <c r="J44" i="82"/>
  <c r="J43" i="82" s="1"/>
  <c r="I44" i="82"/>
  <c r="G44" i="82"/>
  <c r="G43" i="82" s="1"/>
  <c r="F44" i="82"/>
  <c r="F43" i="82" s="1"/>
  <c r="V43" i="82"/>
  <c r="T43" i="82"/>
  <c r="Q43" i="82"/>
  <c r="I43" i="82"/>
  <c r="R41" i="82"/>
  <c r="M41" i="82"/>
  <c r="H41" i="82"/>
  <c r="F41" i="82"/>
  <c r="W40" i="82"/>
  <c r="V40" i="82"/>
  <c r="U40" i="82"/>
  <c r="T40" i="82"/>
  <c r="R40" i="82"/>
  <c r="Q40" i="82"/>
  <c r="P40" i="82"/>
  <c r="O40" i="82"/>
  <c r="N40" i="82"/>
  <c r="M40" i="82"/>
  <c r="L40" i="82"/>
  <c r="K40" i="82"/>
  <c r="J40" i="82"/>
  <c r="I40" i="82"/>
  <c r="H40" i="82"/>
  <c r="G40" i="82"/>
  <c r="F40" i="82"/>
  <c r="R39" i="82"/>
  <c r="M39" i="82"/>
  <c r="H39" i="82" s="1"/>
  <c r="F39" i="82"/>
  <c r="R38" i="82"/>
  <c r="M38" i="82"/>
  <c r="H38" i="82" s="1"/>
  <c r="F38" i="82"/>
  <c r="R37" i="82"/>
  <c r="M37" i="82"/>
  <c r="F37" i="82"/>
  <c r="R36" i="82"/>
  <c r="M36" i="82"/>
  <c r="F36" i="82"/>
  <c r="W35" i="82"/>
  <c r="U35" i="82"/>
  <c r="Q35" i="82"/>
  <c r="P35" i="82"/>
  <c r="O35" i="82"/>
  <c r="N35" i="82"/>
  <c r="L35" i="82"/>
  <c r="K35" i="82"/>
  <c r="J35" i="82"/>
  <c r="I35" i="82"/>
  <c r="G35" i="82"/>
  <c r="R34" i="82"/>
  <c r="M34" i="82"/>
  <c r="H34" i="82"/>
  <c r="F34" i="82"/>
  <c r="R33" i="82"/>
  <c r="M33" i="82"/>
  <c r="F33" i="82"/>
  <c r="R32" i="82"/>
  <c r="M32" i="82"/>
  <c r="H32" i="82"/>
  <c r="F32" i="82"/>
  <c r="R31" i="82"/>
  <c r="M31" i="82"/>
  <c r="H31" i="82"/>
  <c r="F31" i="82"/>
  <c r="R30" i="82"/>
  <c r="M30" i="82"/>
  <c r="H30" i="82"/>
  <c r="F30" i="82"/>
  <c r="R29" i="82"/>
  <c r="M29" i="82"/>
  <c r="H29" i="82"/>
  <c r="F29" i="82"/>
  <c r="R28" i="82"/>
  <c r="M28" i="82"/>
  <c r="H28" i="82"/>
  <c r="F28" i="82"/>
  <c r="F27" i="82" s="1"/>
  <c r="W27" i="82"/>
  <c r="U27" i="82"/>
  <c r="Q27" i="82"/>
  <c r="P27" i="82"/>
  <c r="P11" i="82" s="1"/>
  <c r="P9" i="82" s="1"/>
  <c r="O27" i="82"/>
  <c r="N27" i="82"/>
  <c r="M27" i="82"/>
  <c r="L27" i="82"/>
  <c r="K27" i="82"/>
  <c r="J27" i="82"/>
  <c r="I27" i="82"/>
  <c r="G27" i="82"/>
  <c r="R25" i="82"/>
  <c r="M25" i="82"/>
  <c r="F25" i="82"/>
  <c r="R24" i="82"/>
  <c r="M24" i="82"/>
  <c r="H24" i="82" s="1"/>
  <c r="F24" i="82"/>
  <c r="R23" i="82"/>
  <c r="R22" i="82" s="1"/>
  <c r="M23" i="82"/>
  <c r="F23" i="82"/>
  <c r="W22" i="82"/>
  <c r="U22" i="82"/>
  <c r="Q22" i="82"/>
  <c r="P22" i="82"/>
  <c r="O22" i="82"/>
  <c r="N22" i="82"/>
  <c r="M22" i="82"/>
  <c r="L22" i="82"/>
  <c r="K22" i="82"/>
  <c r="J22" i="82"/>
  <c r="I22" i="82"/>
  <c r="G22" i="82"/>
  <c r="R21" i="82"/>
  <c r="H21" i="82" s="1"/>
  <c r="F21" i="82"/>
  <c r="R20" i="82"/>
  <c r="M20" i="82"/>
  <c r="R19" i="82"/>
  <c r="H19" i="82" s="1"/>
  <c r="M19" i="82"/>
  <c r="F19" i="82"/>
  <c r="R18" i="82"/>
  <c r="H18" i="82" s="1"/>
  <c r="M18" i="82"/>
  <c r="F18" i="82"/>
  <c r="R17" i="82"/>
  <c r="H17" i="82" s="1"/>
  <c r="M17" i="82"/>
  <c r="F17" i="82"/>
  <c r="R16" i="82"/>
  <c r="P16" i="82"/>
  <c r="M16" i="82"/>
  <c r="F16" i="82"/>
  <c r="R15" i="82"/>
  <c r="M15" i="82"/>
  <c r="F15" i="82"/>
  <c r="R14" i="82"/>
  <c r="M14" i="82"/>
  <c r="H14" i="82" s="1"/>
  <c r="K14" i="82"/>
  <c r="F14" i="82"/>
  <c r="R13" i="82"/>
  <c r="K13" i="82"/>
  <c r="M13" i="82" s="1"/>
  <c r="F13" i="82"/>
  <c r="W12" i="82"/>
  <c r="U12" i="82"/>
  <c r="Q12" i="82"/>
  <c r="P12" i="82"/>
  <c r="O12" i="82"/>
  <c r="N12" i="82"/>
  <c r="L12" i="82"/>
  <c r="L11" i="82" s="1"/>
  <c r="L9" i="82" s="1"/>
  <c r="J12" i="82"/>
  <c r="I12" i="82"/>
  <c r="G12" i="82"/>
  <c r="G11" i="82" s="1"/>
  <c r="W11" i="82"/>
  <c r="AF9" i="82"/>
  <c r="AE9" i="82"/>
  <c r="AD9" i="82"/>
  <c r="M1" i="82"/>
  <c r="K1" i="82"/>
  <c r="I11" i="82" l="1"/>
  <c r="I9" i="82" s="1"/>
  <c r="U11" i="82"/>
  <c r="U9" i="82" s="1"/>
  <c r="R12" i="82"/>
  <c r="H20" i="82"/>
  <c r="H25" i="82"/>
  <c r="O11" i="82"/>
  <c r="O9" i="82" s="1"/>
  <c r="H16" i="82"/>
  <c r="F22" i="82"/>
  <c r="F11" i="82" s="1"/>
  <c r="F9" i="82" s="1"/>
  <c r="J11" i="82"/>
  <c r="J9" i="82" s="1"/>
  <c r="N11" i="82"/>
  <c r="N9" i="82" s="1"/>
  <c r="H33" i="82"/>
  <c r="H27" i="82" s="1"/>
  <c r="F35" i="82"/>
  <c r="M44" i="82"/>
  <c r="M43" i="82" s="1"/>
  <c r="G9" i="82"/>
  <c r="W9" i="82"/>
  <c r="K12" i="82"/>
  <c r="K11" i="82" s="1"/>
  <c r="K9" i="82" s="1"/>
  <c r="K2" i="82" s="1"/>
  <c r="F12" i="82"/>
  <c r="H15" i="82"/>
  <c r="H23" i="82"/>
  <c r="H36" i="82"/>
  <c r="R35" i="82"/>
  <c r="H37" i="82"/>
  <c r="Q11" i="82"/>
  <c r="Q9" i="82" s="1"/>
  <c r="R27" i="82"/>
  <c r="R11" i="82" s="1"/>
  <c r="R9" i="82" s="1"/>
  <c r="H22" i="82"/>
  <c r="M12" i="82"/>
  <c r="H13" i="82"/>
  <c r="M35" i="82"/>
  <c r="H35" i="82" l="1"/>
  <c r="H12" i="82"/>
  <c r="M11" i="82"/>
  <c r="M9" i="82" s="1"/>
  <c r="M2" i="82" s="1"/>
  <c r="H11" i="82"/>
  <c r="H9" i="82" s="1"/>
  <c r="O301" i="81" l="1"/>
  <c r="L301" i="81"/>
  <c r="I301" i="81"/>
  <c r="F301" i="81"/>
  <c r="C301" i="81" s="1"/>
  <c r="O300" i="81"/>
  <c r="L300" i="81"/>
  <c r="I300" i="81"/>
  <c r="F300" i="81"/>
  <c r="C300" i="81" s="1"/>
  <c r="O299" i="81"/>
  <c r="L299" i="81"/>
  <c r="I299" i="81"/>
  <c r="F299" i="81"/>
  <c r="O298" i="81"/>
  <c r="L298" i="81"/>
  <c r="I298" i="81"/>
  <c r="F298" i="81"/>
  <c r="C298" i="81" s="1"/>
  <c r="O297" i="81"/>
  <c r="L297" i="81"/>
  <c r="I297" i="81"/>
  <c r="F297" i="81"/>
  <c r="O296" i="81"/>
  <c r="L296" i="81"/>
  <c r="I296" i="81"/>
  <c r="F296" i="81"/>
  <c r="O295" i="81"/>
  <c r="L295" i="81"/>
  <c r="I295" i="81"/>
  <c r="F295" i="81"/>
  <c r="O294" i="81"/>
  <c r="O293" i="81" s="1"/>
  <c r="L294" i="81"/>
  <c r="I294" i="81"/>
  <c r="F294" i="81"/>
  <c r="N293" i="81"/>
  <c r="M293" i="81"/>
  <c r="K293" i="81"/>
  <c r="J293" i="81"/>
  <c r="H293" i="81"/>
  <c r="G293" i="81"/>
  <c r="E293" i="81"/>
  <c r="D293" i="81"/>
  <c r="O288" i="81"/>
  <c r="L288" i="81"/>
  <c r="I288" i="81"/>
  <c r="F288" i="81"/>
  <c r="O287" i="81"/>
  <c r="L287" i="81"/>
  <c r="L286" i="81" s="1"/>
  <c r="I287" i="81"/>
  <c r="F287" i="81"/>
  <c r="O286" i="81"/>
  <c r="N286" i="81"/>
  <c r="M286" i="81"/>
  <c r="K286" i="81"/>
  <c r="J286" i="81"/>
  <c r="H286" i="81"/>
  <c r="G286" i="81"/>
  <c r="F286" i="81"/>
  <c r="E286" i="81"/>
  <c r="D286" i="81"/>
  <c r="O285" i="81"/>
  <c r="L285" i="81"/>
  <c r="L284" i="81" s="1"/>
  <c r="L283" i="81" s="1"/>
  <c r="I285" i="81"/>
  <c r="F285" i="81"/>
  <c r="O284" i="81"/>
  <c r="O283" i="81" s="1"/>
  <c r="N284" i="81"/>
  <c r="N283" i="81" s="1"/>
  <c r="M284" i="81"/>
  <c r="M283" i="81" s="1"/>
  <c r="K284" i="81"/>
  <c r="J284" i="81"/>
  <c r="I284" i="81"/>
  <c r="I283" i="81" s="1"/>
  <c r="H284" i="81"/>
  <c r="H283" i="81" s="1"/>
  <c r="G284" i="81"/>
  <c r="G283" i="81" s="1"/>
  <c r="E284" i="81"/>
  <c r="E283" i="81" s="1"/>
  <c r="D284" i="81"/>
  <c r="K283" i="81"/>
  <c r="J283" i="81"/>
  <c r="D283" i="81"/>
  <c r="O282" i="81"/>
  <c r="O281" i="81" s="1"/>
  <c r="L282" i="81"/>
  <c r="L281" i="81" s="1"/>
  <c r="I282" i="81"/>
  <c r="F282" i="81"/>
  <c r="F281" i="81" s="1"/>
  <c r="N281" i="81"/>
  <c r="M281" i="81"/>
  <c r="K281" i="81"/>
  <c r="J281" i="81"/>
  <c r="I281" i="81"/>
  <c r="H281" i="81"/>
  <c r="G281" i="81"/>
  <c r="E281" i="81"/>
  <c r="D281" i="81"/>
  <c r="O280" i="81"/>
  <c r="L280" i="81"/>
  <c r="I280" i="81"/>
  <c r="F280" i="81"/>
  <c r="O279" i="81"/>
  <c r="L279" i="81"/>
  <c r="I279" i="81"/>
  <c r="F279" i="81"/>
  <c r="O278" i="81"/>
  <c r="L278" i="81"/>
  <c r="I278" i="81"/>
  <c r="I276" i="81" s="1"/>
  <c r="F278" i="81"/>
  <c r="O277" i="81"/>
  <c r="L277" i="81"/>
  <c r="I277" i="81"/>
  <c r="F277" i="81"/>
  <c r="N276" i="81"/>
  <c r="M276" i="81"/>
  <c r="K276" i="81"/>
  <c r="J276" i="81"/>
  <c r="H276" i="81"/>
  <c r="G276" i="81"/>
  <c r="E276" i="81"/>
  <c r="D276" i="81"/>
  <c r="O275" i="81"/>
  <c r="L275" i="81"/>
  <c r="I275" i="81"/>
  <c r="F275" i="81"/>
  <c r="O274" i="81"/>
  <c r="L274" i="81"/>
  <c r="I274" i="81"/>
  <c r="F274" i="81"/>
  <c r="O273" i="81"/>
  <c r="L273" i="81"/>
  <c r="L272" i="81" s="1"/>
  <c r="I273" i="81"/>
  <c r="F273" i="81"/>
  <c r="N272" i="81"/>
  <c r="M272" i="81"/>
  <c r="K272" i="81"/>
  <c r="J272" i="81"/>
  <c r="H272" i="81"/>
  <c r="H270" i="81" s="1"/>
  <c r="H269" i="81" s="1"/>
  <c r="G272" i="81"/>
  <c r="G270" i="81" s="1"/>
  <c r="G269" i="81" s="1"/>
  <c r="E272" i="81"/>
  <c r="D272" i="81"/>
  <c r="D270" i="81" s="1"/>
  <c r="D269" i="81" s="1"/>
  <c r="O271" i="81"/>
  <c r="L271" i="81"/>
  <c r="I271" i="81"/>
  <c r="F271" i="81"/>
  <c r="N270" i="81"/>
  <c r="N269" i="81" s="1"/>
  <c r="K270" i="81"/>
  <c r="O268" i="81"/>
  <c r="L268" i="81"/>
  <c r="I268" i="81"/>
  <c r="F268" i="81"/>
  <c r="O267" i="81"/>
  <c r="L267" i="81"/>
  <c r="I267" i="81"/>
  <c r="F267" i="81"/>
  <c r="O266" i="81"/>
  <c r="L266" i="81"/>
  <c r="I266" i="81"/>
  <c r="F266" i="81"/>
  <c r="O265" i="81"/>
  <c r="L265" i="81"/>
  <c r="I265" i="81"/>
  <c r="F265" i="81"/>
  <c r="N264" i="81"/>
  <c r="N259" i="81" s="1"/>
  <c r="M264" i="81"/>
  <c r="K264" i="81"/>
  <c r="J264" i="81"/>
  <c r="H264" i="81"/>
  <c r="G264" i="81"/>
  <c r="E264" i="81"/>
  <c r="D264" i="81"/>
  <c r="O263" i="81"/>
  <c r="L263" i="81"/>
  <c r="I263" i="81"/>
  <c r="F263" i="81"/>
  <c r="O262" i="81"/>
  <c r="C262" i="81" s="1"/>
  <c r="L262" i="81"/>
  <c r="I262" i="81"/>
  <c r="F262" i="81"/>
  <c r="O261" i="81"/>
  <c r="L261" i="81"/>
  <c r="I261" i="81"/>
  <c r="F261" i="81"/>
  <c r="N260" i="81"/>
  <c r="M260" i="81"/>
  <c r="M259" i="81" s="1"/>
  <c r="K260" i="81"/>
  <c r="J260" i="81"/>
  <c r="J259" i="81" s="1"/>
  <c r="H260" i="81"/>
  <c r="G260" i="81"/>
  <c r="E260" i="81"/>
  <c r="D260" i="81"/>
  <c r="D259" i="81" s="1"/>
  <c r="G259" i="81"/>
  <c r="O258" i="81"/>
  <c r="L258" i="81"/>
  <c r="I258" i="81"/>
  <c r="F258" i="81"/>
  <c r="C258" i="81"/>
  <c r="O257" i="81"/>
  <c r="L257" i="81"/>
  <c r="I257" i="81"/>
  <c r="F257" i="81"/>
  <c r="C257" i="81" s="1"/>
  <c r="O256" i="81"/>
  <c r="L256" i="81"/>
  <c r="I256" i="81"/>
  <c r="F256" i="81"/>
  <c r="C256" i="81" s="1"/>
  <c r="O255" i="81"/>
  <c r="L255" i="81"/>
  <c r="I255" i="81"/>
  <c r="F255" i="81"/>
  <c r="O254" i="81"/>
  <c r="L254" i="81"/>
  <c r="I254" i="81"/>
  <c r="F254" i="81"/>
  <c r="C254" i="81" s="1"/>
  <c r="O253" i="81"/>
  <c r="L253" i="81"/>
  <c r="I253" i="81"/>
  <c r="F253" i="81"/>
  <c r="N252" i="81"/>
  <c r="M252" i="81"/>
  <c r="M251" i="81" s="1"/>
  <c r="K252" i="81"/>
  <c r="K251" i="81" s="1"/>
  <c r="J252" i="81"/>
  <c r="J251" i="81" s="1"/>
  <c r="H252" i="81"/>
  <c r="H251" i="81" s="1"/>
  <c r="G252" i="81"/>
  <c r="E252" i="81"/>
  <c r="E251" i="81" s="1"/>
  <c r="D252" i="81"/>
  <c r="N251" i="81"/>
  <c r="G251" i="81"/>
  <c r="D251" i="81"/>
  <c r="O250" i="81"/>
  <c r="L250" i="81"/>
  <c r="I250" i="81"/>
  <c r="F250" i="81"/>
  <c r="C250" i="81" s="1"/>
  <c r="O249" i="81"/>
  <c r="L249" i="81"/>
  <c r="I249" i="81"/>
  <c r="F249" i="81"/>
  <c r="O248" i="81"/>
  <c r="L248" i="81"/>
  <c r="I248" i="81"/>
  <c r="F248" i="81"/>
  <c r="O247" i="81"/>
  <c r="L247" i="81"/>
  <c r="L246" i="81" s="1"/>
  <c r="I247" i="81"/>
  <c r="F247" i="81"/>
  <c r="N246" i="81"/>
  <c r="M246" i="81"/>
  <c r="K246" i="81"/>
  <c r="J246" i="81"/>
  <c r="H246" i="81"/>
  <c r="G246" i="81"/>
  <c r="E246" i="81"/>
  <c r="D246" i="81"/>
  <c r="O245" i="81"/>
  <c r="L245" i="81"/>
  <c r="I245" i="81"/>
  <c r="F245" i="81"/>
  <c r="O244" i="81"/>
  <c r="L244" i="81"/>
  <c r="I244" i="81"/>
  <c r="F244" i="81"/>
  <c r="O243" i="81"/>
  <c r="L243" i="81"/>
  <c r="I243" i="81"/>
  <c r="F243" i="81"/>
  <c r="O242" i="81"/>
  <c r="L242" i="81"/>
  <c r="I242" i="81"/>
  <c r="C242" i="81" s="1"/>
  <c r="F242" i="81"/>
  <c r="O241" i="81"/>
  <c r="L241" i="81"/>
  <c r="I241" i="81"/>
  <c r="F241" i="81"/>
  <c r="O240" i="81"/>
  <c r="L240" i="81"/>
  <c r="I240" i="81"/>
  <c r="F240" i="81"/>
  <c r="O239" i="81"/>
  <c r="L239" i="81"/>
  <c r="L238" i="81" s="1"/>
  <c r="I239" i="81"/>
  <c r="F239" i="81"/>
  <c r="N238" i="81"/>
  <c r="M238" i="81"/>
  <c r="K238" i="81"/>
  <c r="J238" i="81"/>
  <c r="H238" i="81"/>
  <c r="G238" i="81"/>
  <c r="E238" i="81"/>
  <c r="D238" i="81"/>
  <c r="O237" i="81"/>
  <c r="L237" i="81"/>
  <c r="I237" i="81"/>
  <c r="F237" i="81"/>
  <c r="O236" i="81"/>
  <c r="L236" i="81"/>
  <c r="L235" i="81" s="1"/>
  <c r="I236" i="81"/>
  <c r="F236" i="81"/>
  <c r="F235" i="81" s="1"/>
  <c r="O235" i="81"/>
  <c r="N235" i="81"/>
  <c r="M235" i="81"/>
  <c r="K235" i="81"/>
  <c r="J235" i="81"/>
  <c r="H235" i="81"/>
  <c r="G235" i="81"/>
  <c r="E235" i="81"/>
  <c r="D235" i="81"/>
  <c r="O234" i="81"/>
  <c r="O233" i="81" s="1"/>
  <c r="L234" i="81"/>
  <c r="L233" i="81" s="1"/>
  <c r="I234" i="81"/>
  <c r="F234" i="81"/>
  <c r="F233" i="81" s="1"/>
  <c r="N233" i="81"/>
  <c r="M233" i="81"/>
  <c r="K233" i="81"/>
  <c r="J233" i="81"/>
  <c r="H233" i="81"/>
  <c r="H231" i="81" s="1"/>
  <c r="G233" i="81"/>
  <c r="E233" i="81"/>
  <c r="D233" i="81"/>
  <c r="O232" i="81"/>
  <c r="L232" i="81"/>
  <c r="I232" i="81"/>
  <c r="F232" i="81"/>
  <c r="O229" i="81"/>
  <c r="L229" i="81"/>
  <c r="I229" i="81"/>
  <c r="F229" i="81"/>
  <c r="O228" i="81"/>
  <c r="L228" i="81"/>
  <c r="I228" i="81"/>
  <c r="I227" i="81" s="1"/>
  <c r="F228" i="81"/>
  <c r="O227" i="81"/>
  <c r="N227" i="81"/>
  <c r="M227" i="81"/>
  <c r="L227" i="81"/>
  <c r="K227" i="81"/>
  <c r="J227" i="81"/>
  <c r="H227" i="81"/>
  <c r="G227" i="81"/>
  <c r="F227" i="81"/>
  <c r="E227" i="81"/>
  <c r="D227" i="81"/>
  <c r="O226" i="81"/>
  <c r="L226" i="81"/>
  <c r="H226" i="81"/>
  <c r="I226" i="81" s="1"/>
  <c r="F226" i="81"/>
  <c r="O225" i="81"/>
  <c r="L225" i="81"/>
  <c r="H225" i="81"/>
  <c r="I225" i="81" s="1"/>
  <c r="E225" i="81"/>
  <c r="F225" i="81" s="1"/>
  <c r="O224" i="81"/>
  <c r="L224" i="81"/>
  <c r="I224" i="81"/>
  <c r="F224" i="81"/>
  <c r="O223" i="81"/>
  <c r="L223" i="81"/>
  <c r="I223" i="81"/>
  <c r="F223" i="81"/>
  <c r="O222" i="81"/>
  <c r="L222" i="81"/>
  <c r="C222" i="81" s="1"/>
  <c r="I222" i="81"/>
  <c r="F222" i="81"/>
  <c r="O221" i="81"/>
  <c r="L221" i="81"/>
  <c r="I221" i="81"/>
  <c r="F221" i="81"/>
  <c r="O220" i="81"/>
  <c r="L220" i="81"/>
  <c r="I220" i="81"/>
  <c r="F220" i="81"/>
  <c r="O219" i="81"/>
  <c r="L219" i="81"/>
  <c r="I219" i="81"/>
  <c r="F219" i="81"/>
  <c r="O218" i="81"/>
  <c r="L218" i="81"/>
  <c r="I218" i="81"/>
  <c r="F218" i="81"/>
  <c r="O217" i="81"/>
  <c r="L217" i="81"/>
  <c r="I217" i="81"/>
  <c r="F217" i="81"/>
  <c r="N216" i="81"/>
  <c r="M216" i="81"/>
  <c r="K216" i="81"/>
  <c r="J216" i="81"/>
  <c r="H216" i="81"/>
  <c r="G216" i="81"/>
  <c r="E216" i="81"/>
  <c r="D216" i="81"/>
  <c r="O215" i="81"/>
  <c r="L215" i="81"/>
  <c r="I215" i="81"/>
  <c r="F215" i="81"/>
  <c r="O214" i="81"/>
  <c r="L214" i="81"/>
  <c r="I214" i="81"/>
  <c r="F214" i="81"/>
  <c r="O213" i="81"/>
  <c r="L213" i="81"/>
  <c r="I213" i="81"/>
  <c r="F213" i="81"/>
  <c r="O212" i="81"/>
  <c r="L212" i="81"/>
  <c r="I212" i="81"/>
  <c r="F212" i="81"/>
  <c r="O211" i="81"/>
  <c r="L211" i="81"/>
  <c r="I211" i="81"/>
  <c r="F211" i="81"/>
  <c r="O210" i="81"/>
  <c r="L210" i="81"/>
  <c r="I210" i="81"/>
  <c r="F210" i="81"/>
  <c r="O209" i="81"/>
  <c r="L209" i="81"/>
  <c r="I209" i="81"/>
  <c r="F209" i="81"/>
  <c r="O208" i="81"/>
  <c r="L208" i="81"/>
  <c r="I208" i="81"/>
  <c r="F208" i="81"/>
  <c r="O207" i="81"/>
  <c r="L207" i="81"/>
  <c r="I207" i="81"/>
  <c r="F207" i="81"/>
  <c r="O206" i="81"/>
  <c r="L206" i="81"/>
  <c r="I206" i="81"/>
  <c r="F206" i="81"/>
  <c r="C206" i="81"/>
  <c r="N205" i="81"/>
  <c r="M205" i="81"/>
  <c r="K205" i="81"/>
  <c r="J205" i="81"/>
  <c r="H205" i="81"/>
  <c r="G205" i="81"/>
  <c r="G204" i="81" s="1"/>
  <c r="E205" i="81"/>
  <c r="E204" i="81" s="1"/>
  <c r="D205" i="81"/>
  <c r="O203" i="81"/>
  <c r="L203" i="81"/>
  <c r="I203" i="81"/>
  <c r="F203" i="81"/>
  <c r="O202" i="81"/>
  <c r="L202" i="81"/>
  <c r="I202" i="81"/>
  <c r="F202" i="81"/>
  <c r="O201" i="81"/>
  <c r="L201" i="81"/>
  <c r="I201" i="81"/>
  <c r="F201" i="81"/>
  <c r="O200" i="81"/>
  <c r="L200" i="81"/>
  <c r="I200" i="81"/>
  <c r="F200" i="81"/>
  <c r="O199" i="81"/>
  <c r="L199" i="81"/>
  <c r="L198" i="81" s="1"/>
  <c r="I199" i="81"/>
  <c r="F199" i="81"/>
  <c r="O198" i="81"/>
  <c r="N198" i="81"/>
  <c r="M198" i="81"/>
  <c r="M196" i="81" s="1"/>
  <c r="K198" i="81"/>
  <c r="K196" i="81" s="1"/>
  <c r="J198" i="81"/>
  <c r="H198" i="81"/>
  <c r="H196" i="81" s="1"/>
  <c r="G198" i="81"/>
  <c r="G196" i="81" s="1"/>
  <c r="F198" i="81"/>
  <c r="E198" i="81"/>
  <c r="D198" i="81"/>
  <c r="O197" i="81"/>
  <c r="L197" i="81"/>
  <c r="I197" i="81"/>
  <c r="F197" i="81"/>
  <c r="N196" i="81"/>
  <c r="J196" i="81"/>
  <c r="E196" i="81"/>
  <c r="D196" i="81"/>
  <c r="O193" i="81"/>
  <c r="L193" i="81"/>
  <c r="I193" i="81"/>
  <c r="F193" i="81"/>
  <c r="O192" i="81"/>
  <c r="O191" i="81" s="1"/>
  <c r="N192" i="81"/>
  <c r="M192" i="81"/>
  <c r="M191" i="81" s="1"/>
  <c r="L192" i="81"/>
  <c r="L191" i="81" s="1"/>
  <c r="K192" i="81"/>
  <c r="K191" i="81" s="1"/>
  <c r="J192" i="81"/>
  <c r="I192" i="81"/>
  <c r="I191" i="81" s="1"/>
  <c r="H192" i="81"/>
  <c r="H191" i="81" s="1"/>
  <c r="H187" i="81" s="1"/>
  <c r="G192" i="81"/>
  <c r="G191" i="81" s="1"/>
  <c r="E192" i="81"/>
  <c r="E191" i="81" s="1"/>
  <c r="D192" i="81"/>
  <c r="N191" i="81"/>
  <c r="J191" i="81"/>
  <c r="D191" i="81"/>
  <c r="D187" i="81" s="1"/>
  <c r="O190" i="81"/>
  <c r="L190" i="81"/>
  <c r="I190" i="81"/>
  <c r="F190" i="81"/>
  <c r="O189" i="81"/>
  <c r="O188" i="81" s="1"/>
  <c r="O187" i="81" s="1"/>
  <c r="L189" i="81"/>
  <c r="I189" i="81"/>
  <c r="I188" i="81" s="1"/>
  <c r="I187" i="81" s="1"/>
  <c r="F189" i="81"/>
  <c r="N188" i="81"/>
  <c r="M188" i="81"/>
  <c r="K188" i="81"/>
  <c r="J188" i="81"/>
  <c r="H188" i="81"/>
  <c r="G188" i="81"/>
  <c r="E188" i="81"/>
  <c r="E187" i="81" s="1"/>
  <c r="D188" i="81"/>
  <c r="O186" i="81"/>
  <c r="L186" i="81"/>
  <c r="I186" i="81"/>
  <c r="F186" i="81"/>
  <c r="O185" i="81"/>
  <c r="L185" i="81"/>
  <c r="L184" i="81" s="1"/>
  <c r="I185" i="81"/>
  <c r="I184" i="81" s="1"/>
  <c r="F185" i="81"/>
  <c r="N184" i="81"/>
  <c r="M184" i="81"/>
  <c r="K184" i="81"/>
  <c r="J184" i="81"/>
  <c r="H184" i="81"/>
  <c r="G184" i="81"/>
  <c r="E184" i="81"/>
  <c r="D184" i="81"/>
  <c r="O183" i="81"/>
  <c r="L183" i="81"/>
  <c r="I183" i="81"/>
  <c r="F183" i="81"/>
  <c r="O182" i="81"/>
  <c r="L182" i="81"/>
  <c r="I182" i="81"/>
  <c r="F182" i="81"/>
  <c r="C182" i="81" s="1"/>
  <c r="O181" i="81"/>
  <c r="L181" i="81"/>
  <c r="I181" i="81"/>
  <c r="F181" i="81"/>
  <c r="O180" i="81"/>
  <c r="L180" i="81"/>
  <c r="I180" i="81"/>
  <c r="I179" i="81" s="1"/>
  <c r="F180" i="81"/>
  <c r="N179" i="81"/>
  <c r="M179" i="81"/>
  <c r="K179" i="81"/>
  <c r="J179" i="81"/>
  <c r="H179" i="81"/>
  <c r="G179" i="81"/>
  <c r="E179" i="81"/>
  <c r="D179" i="81"/>
  <c r="O178" i="81"/>
  <c r="L178" i="81"/>
  <c r="I178" i="81"/>
  <c r="C178" i="81" s="1"/>
  <c r="F178" i="81"/>
  <c r="O177" i="81"/>
  <c r="L177" i="81"/>
  <c r="I177" i="81"/>
  <c r="F177" i="81"/>
  <c r="O176" i="81"/>
  <c r="L176" i="81"/>
  <c r="L175" i="81" s="1"/>
  <c r="I176" i="81"/>
  <c r="F176" i="81"/>
  <c r="N175" i="81"/>
  <c r="N174" i="81" s="1"/>
  <c r="M175" i="81"/>
  <c r="M174" i="81" s="1"/>
  <c r="K175" i="81"/>
  <c r="K174" i="81" s="1"/>
  <c r="K173" i="81" s="1"/>
  <c r="J175" i="81"/>
  <c r="H175" i="81"/>
  <c r="H174" i="81" s="1"/>
  <c r="H173" i="81" s="1"/>
  <c r="G175" i="81"/>
  <c r="F175" i="81"/>
  <c r="E175" i="81"/>
  <c r="D175" i="81"/>
  <c r="D174" i="81" s="1"/>
  <c r="G174" i="81"/>
  <c r="G173" i="81" s="1"/>
  <c r="O172" i="81"/>
  <c r="L172" i="81"/>
  <c r="I172" i="81"/>
  <c r="F172" i="81"/>
  <c r="O171" i="81"/>
  <c r="L171" i="81"/>
  <c r="I171" i="81"/>
  <c r="F171" i="81"/>
  <c r="C171" i="81" s="1"/>
  <c r="O170" i="81"/>
  <c r="L170" i="81"/>
  <c r="I170" i="81"/>
  <c r="F170" i="81"/>
  <c r="C170" i="81" s="1"/>
  <c r="O169" i="81"/>
  <c r="L169" i="81"/>
  <c r="I169" i="81"/>
  <c r="F169" i="81"/>
  <c r="O168" i="81"/>
  <c r="L168" i="81"/>
  <c r="I168" i="81"/>
  <c r="F168" i="81"/>
  <c r="O167" i="81"/>
  <c r="L167" i="81"/>
  <c r="L166" i="81" s="1"/>
  <c r="L165" i="81" s="1"/>
  <c r="I167" i="81"/>
  <c r="F167" i="81"/>
  <c r="O166" i="81"/>
  <c r="O165" i="81" s="1"/>
  <c r="N166" i="81"/>
  <c r="M166" i="81"/>
  <c r="M165" i="81" s="1"/>
  <c r="K166" i="81"/>
  <c r="K165" i="81" s="1"/>
  <c r="J166" i="81"/>
  <c r="H166" i="81"/>
  <c r="H165" i="81" s="1"/>
  <c r="G166" i="81"/>
  <c r="G165" i="81" s="1"/>
  <c r="E166" i="81"/>
  <c r="E165" i="81" s="1"/>
  <c r="D166" i="81"/>
  <c r="N165" i="81"/>
  <c r="J165" i="81"/>
  <c r="D165" i="81"/>
  <c r="O164" i="81"/>
  <c r="L164" i="81"/>
  <c r="I164" i="81"/>
  <c r="F164" i="81"/>
  <c r="O163" i="81"/>
  <c r="L163" i="81"/>
  <c r="I163" i="81"/>
  <c r="F163" i="81"/>
  <c r="O162" i="81"/>
  <c r="L162" i="81"/>
  <c r="I162" i="81"/>
  <c r="F162" i="81"/>
  <c r="O161" i="81"/>
  <c r="L161" i="81"/>
  <c r="I161" i="81"/>
  <c r="I160" i="81" s="1"/>
  <c r="F161" i="81"/>
  <c r="F160" i="81" s="1"/>
  <c r="N160" i="81"/>
  <c r="M160" i="81"/>
  <c r="K160" i="81"/>
  <c r="J160" i="81"/>
  <c r="H160" i="81"/>
  <c r="G160" i="81"/>
  <c r="E160" i="81"/>
  <c r="D160" i="81"/>
  <c r="O159" i="81"/>
  <c r="L159" i="81"/>
  <c r="I159" i="81"/>
  <c r="F159" i="81"/>
  <c r="O158" i="81"/>
  <c r="L158" i="81"/>
  <c r="I158" i="81"/>
  <c r="F158" i="81"/>
  <c r="O157" i="81"/>
  <c r="L157" i="81"/>
  <c r="I157" i="81"/>
  <c r="F157" i="81"/>
  <c r="O156" i="81"/>
  <c r="L156" i="81"/>
  <c r="I156" i="81"/>
  <c r="F156" i="81"/>
  <c r="O155" i="81"/>
  <c r="L155" i="81"/>
  <c r="I155" i="81"/>
  <c r="F155" i="81"/>
  <c r="O154" i="81"/>
  <c r="L154" i="81"/>
  <c r="I154" i="81"/>
  <c r="F154" i="81"/>
  <c r="O153" i="81"/>
  <c r="L153" i="81"/>
  <c r="I153" i="81"/>
  <c r="F153" i="81"/>
  <c r="O152" i="81"/>
  <c r="L152" i="81"/>
  <c r="I152" i="81"/>
  <c r="F152" i="81"/>
  <c r="O151" i="81"/>
  <c r="N151" i="81"/>
  <c r="M151" i="81"/>
  <c r="K151" i="81"/>
  <c r="J151" i="81"/>
  <c r="H151" i="81"/>
  <c r="G151" i="81"/>
  <c r="E151" i="81"/>
  <c r="D151" i="81"/>
  <c r="O150" i="81"/>
  <c r="L150" i="81"/>
  <c r="C150" i="81" s="1"/>
  <c r="I150" i="81"/>
  <c r="F150" i="81"/>
  <c r="O149" i="81"/>
  <c r="L149" i="81"/>
  <c r="I149" i="81"/>
  <c r="F149" i="81"/>
  <c r="O148" i="81"/>
  <c r="L148" i="81"/>
  <c r="I148" i="81"/>
  <c r="F148" i="81"/>
  <c r="O147" i="81"/>
  <c r="L147" i="81"/>
  <c r="I147" i="81"/>
  <c r="F147" i="81"/>
  <c r="O146" i="81"/>
  <c r="L146" i="81"/>
  <c r="I146" i="81"/>
  <c r="F146" i="81"/>
  <c r="O145" i="81"/>
  <c r="L145" i="81"/>
  <c r="I145" i="81"/>
  <c r="F145" i="81"/>
  <c r="N144" i="81"/>
  <c r="M144" i="81"/>
  <c r="K144" i="81"/>
  <c r="J144" i="81"/>
  <c r="H144" i="81"/>
  <c r="H130" i="81" s="1"/>
  <c r="G144" i="81"/>
  <c r="E144" i="81"/>
  <c r="D144" i="81"/>
  <c r="O143" i="81"/>
  <c r="L143" i="81"/>
  <c r="I143" i="81"/>
  <c r="F143" i="81"/>
  <c r="O142" i="81"/>
  <c r="O141" i="81" s="1"/>
  <c r="L142" i="81"/>
  <c r="I142" i="81"/>
  <c r="F142" i="81"/>
  <c r="F141" i="81" s="1"/>
  <c r="N141" i="81"/>
  <c r="M141" i="81"/>
  <c r="L141" i="81"/>
  <c r="K141" i="81"/>
  <c r="J141" i="81"/>
  <c r="I141" i="81"/>
  <c r="H141" i="81"/>
  <c r="G141" i="81"/>
  <c r="E141" i="81"/>
  <c r="D141" i="81"/>
  <c r="O140" i="81"/>
  <c r="L140" i="81"/>
  <c r="I140" i="81"/>
  <c r="F140" i="81"/>
  <c r="O139" i="81"/>
  <c r="L139" i="81"/>
  <c r="I139" i="81"/>
  <c r="F139" i="81"/>
  <c r="O138" i="81"/>
  <c r="L138" i="81"/>
  <c r="C138" i="81" s="1"/>
  <c r="I138" i="81"/>
  <c r="F138" i="81"/>
  <c r="O137" i="81"/>
  <c r="L137" i="81"/>
  <c r="I137" i="81"/>
  <c r="F137" i="81"/>
  <c r="N136" i="81"/>
  <c r="M136" i="81"/>
  <c r="K136" i="81"/>
  <c r="J136" i="81"/>
  <c r="I136" i="81"/>
  <c r="H136" i="81"/>
  <c r="G136" i="81"/>
  <c r="E136" i="81"/>
  <c r="D136" i="81"/>
  <c r="O135" i="81"/>
  <c r="L135" i="81"/>
  <c r="I135" i="81"/>
  <c r="F135" i="81"/>
  <c r="O134" i="81"/>
  <c r="L134" i="81"/>
  <c r="I134" i="81"/>
  <c r="F134" i="81"/>
  <c r="O133" i="81"/>
  <c r="L133" i="81"/>
  <c r="I133" i="81"/>
  <c r="F133" i="81"/>
  <c r="F131" i="81" s="1"/>
  <c r="O132" i="81"/>
  <c r="L132" i="81"/>
  <c r="I132" i="81"/>
  <c r="I131" i="81" s="1"/>
  <c r="F132" i="81"/>
  <c r="O131" i="81"/>
  <c r="N131" i="81"/>
  <c r="M131" i="81"/>
  <c r="K131" i="81"/>
  <c r="J131" i="81"/>
  <c r="H131" i="81"/>
  <c r="G131" i="81"/>
  <c r="E131" i="81"/>
  <c r="D131" i="81"/>
  <c r="E130" i="81"/>
  <c r="O129" i="81"/>
  <c r="L129" i="81"/>
  <c r="L128" i="81" s="1"/>
  <c r="I129" i="81"/>
  <c r="F129" i="81"/>
  <c r="O128" i="81"/>
  <c r="N128" i="81"/>
  <c r="M128" i="81"/>
  <c r="K128" i="81"/>
  <c r="J128" i="81"/>
  <c r="H128" i="81"/>
  <c r="G128" i="81"/>
  <c r="F128" i="81"/>
  <c r="E128" i="81"/>
  <c r="D128" i="81"/>
  <c r="O127" i="81"/>
  <c r="L127" i="81"/>
  <c r="I127" i="81"/>
  <c r="F127" i="81"/>
  <c r="O126" i="81"/>
  <c r="L126" i="81"/>
  <c r="I126" i="81"/>
  <c r="F126" i="81"/>
  <c r="O125" i="81"/>
  <c r="L125" i="81"/>
  <c r="I125" i="81"/>
  <c r="F125" i="81"/>
  <c r="O124" i="81"/>
  <c r="L124" i="81"/>
  <c r="L122" i="81" s="1"/>
  <c r="I124" i="81"/>
  <c r="F124" i="81"/>
  <c r="O123" i="81"/>
  <c r="L123" i="81"/>
  <c r="I123" i="81"/>
  <c r="F123" i="81"/>
  <c r="O122" i="81"/>
  <c r="N122" i="81"/>
  <c r="M122" i="81"/>
  <c r="K122" i="81"/>
  <c r="J122" i="81"/>
  <c r="I122" i="81"/>
  <c r="H122" i="81"/>
  <c r="G122" i="81"/>
  <c r="E122" i="81"/>
  <c r="D122" i="81"/>
  <c r="O121" i="81"/>
  <c r="L121" i="81"/>
  <c r="I121" i="81"/>
  <c r="F121" i="81"/>
  <c r="C121" i="81" s="1"/>
  <c r="O120" i="81"/>
  <c r="L120" i="81"/>
  <c r="I120" i="81"/>
  <c r="F120" i="81"/>
  <c r="O119" i="81"/>
  <c r="L119" i="81"/>
  <c r="I119" i="81"/>
  <c r="F119" i="81"/>
  <c r="O118" i="81"/>
  <c r="L118" i="81"/>
  <c r="I118" i="81"/>
  <c r="F118" i="81"/>
  <c r="O117" i="81"/>
  <c r="L117" i="81"/>
  <c r="L116" i="81" s="1"/>
  <c r="I117" i="81"/>
  <c r="I116" i="81" s="1"/>
  <c r="F117" i="81"/>
  <c r="N116" i="81"/>
  <c r="M116" i="81"/>
  <c r="K116" i="81"/>
  <c r="J116" i="81"/>
  <c r="H116" i="81"/>
  <c r="G116" i="81"/>
  <c r="E116" i="81"/>
  <c r="D116" i="81"/>
  <c r="O115" i="81"/>
  <c r="L115" i="81"/>
  <c r="I115" i="81"/>
  <c r="F115" i="81"/>
  <c r="O114" i="81"/>
  <c r="L114" i="81"/>
  <c r="C114" i="81" s="1"/>
  <c r="I114" i="81"/>
  <c r="F114" i="81"/>
  <c r="O113" i="81"/>
  <c r="L113" i="81"/>
  <c r="L112" i="81" s="1"/>
  <c r="I113" i="81"/>
  <c r="F113" i="81"/>
  <c r="F112" i="81" s="1"/>
  <c r="O112" i="81"/>
  <c r="N112" i="81"/>
  <c r="M112" i="81"/>
  <c r="K112" i="81"/>
  <c r="J112" i="81"/>
  <c r="I112" i="81"/>
  <c r="H112" i="81"/>
  <c r="G112" i="81"/>
  <c r="E112" i="81"/>
  <c r="D112" i="81"/>
  <c r="O111" i="81"/>
  <c r="L111" i="81"/>
  <c r="I111" i="81"/>
  <c r="F111" i="81"/>
  <c r="C111" i="81" s="1"/>
  <c r="O110" i="81"/>
  <c r="L110" i="81"/>
  <c r="I110" i="81"/>
  <c r="F110" i="81"/>
  <c r="O109" i="81"/>
  <c r="L109" i="81"/>
  <c r="I109" i="81"/>
  <c r="F109" i="81"/>
  <c r="O108" i="81"/>
  <c r="L108" i="81"/>
  <c r="H108" i="81"/>
  <c r="I108" i="81" s="1"/>
  <c r="F108" i="81"/>
  <c r="O107" i="81"/>
  <c r="L107" i="81"/>
  <c r="I107" i="81"/>
  <c r="F107" i="81"/>
  <c r="C107" i="81" s="1"/>
  <c r="O106" i="81"/>
  <c r="L106" i="81"/>
  <c r="I106" i="81"/>
  <c r="F106" i="81"/>
  <c r="O105" i="81"/>
  <c r="L105" i="81"/>
  <c r="I105" i="81"/>
  <c r="F105" i="81"/>
  <c r="O104" i="81"/>
  <c r="L104" i="81"/>
  <c r="L103" i="81" s="1"/>
  <c r="I104" i="81"/>
  <c r="I103" i="81" s="1"/>
  <c r="F104" i="81"/>
  <c r="N103" i="81"/>
  <c r="M103" i="81"/>
  <c r="K103" i="81"/>
  <c r="J103" i="81"/>
  <c r="G103" i="81"/>
  <c r="E103" i="81"/>
  <c r="D103" i="81"/>
  <c r="O102" i="81"/>
  <c r="L102" i="81"/>
  <c r="I102" i="81"/>
  <c r="F102" i="81"/>
  <c r="O101" i="81"/>
  <c r="L101" i="81"/>
  <c r="I101" i="81"/>
  <c r="F101" i="81"/>
  <c r="O100" i="81"/>
  <c r="L100" i="81"/>
  <c r="I100" i="81"/>
  <c r="F100" i="81"/>
  <c r="O99" i="81"/>
  <c r="L99" i="81"/>
  <c r="I99" i="81"/>
  <c r="F99" i="81"/>
  <c r="O98" i="81"/>
  <c r="L98" i="81"/>
  <c r="I98" i="81"/>
  <c r="F98" i="81"/>
  <c r="O97" i="81"/>
  <c r="L97" i="81"/>
  <c r="I97" i="81"/>
  <c r="F97" i="81"/>
  <c r="O96" i="81"/>
  <c r="L96" i="81"/>
  <c r="I96" i="81"/>
  <c r="I95" i="81" s="1"/>
  <c r="F96" i="81"/>
  <c r="N95" i="81"/>
  <c r="M95" i="81"/>
  <c r="K95" i="81"/>
  <c r="J95" i="81"/>
  <c r="H95" i="81"/>
  <c r="G95" i="81"/>
  <c r="E95" i="81"/>
  <c r="D95" i="81"/>
  <c r="O94" i="81"/>
  <c r="L94" i="81"/>
  <c r="I94" i="81"/>
  <c r="F94" i="81"/>
  <c r="O93" i="81"/>
  <c r="L93" i="81"/>
  <c r="I93" i="81"/>
  <c r="F93" i="81"/>
  <c r="O92" i="81"/>
  <c r="L92" i="81"/>
  <c r="I92" i="81"/>
  <c r="F92" i="81"/>
  <c r="O91" i="81"/>
  <c r="L91" i="81"/>
  <c r="I91" i="81"/>
  <c r="F91" i="81"/>
  <c r="O90" i="81"/>
  <c r="L90" i="81"/>
  <c r="I90" i="81"/>
  <c r="F90" i="81"/>
  <c r="F89" i="81" s="1"/>
  <c r="O89" i="81"/>
  <c r="N89" i="81"/>
  <c r="N83" i="81" s="1"/>
  <c r="M89" i="81"/>
  <c r="K89" i="81"/>
  <c r="J89" i="81"/>
  <c r="I89" i="81"/>
  <c r="H89" i="81"/>
  <c r="G89" i="81"/>
  <c r="E89" i="81"/>
  <c r="D89" i="81"/>
  <c r="O88" i="81"/>
  <c r="L88" i="81"/>
  <c r="I88" i="81"/>
  <c r="F88" i="81"/>
  <c r="O87" i="81"/>
  <c r="L87" i="81"/>
  <c r="I87" i="81"/>
  <c r="F87" i="81"/>
  <c r="O86" i="81"/>
  <c r="L86" i="81"/>
  <c r="I86" i="81"/>
  <c r="F86" i="81"/>
  <c r="O85" i="81"/>
  <c r="L85" i="81"/>
  <c r="L84" i="81" s="1"/>
  <c r="I85" i="81"/>
  <c r="F85" i="81"/>
  <c r="F84" i="81" s="1"/>
  <c r="N84" i="81"/>
  <c r="M84" i="81"/>
  <c r="K84" i="81"/>
  <c r="J84" i="81"/>
  <c r="J83" i="81" s="1"/>
  <c r="H84" i="81"/>
  <c r="G84" i="81"/>
  <c r="E84" i="81"/>
  <c r="D84" i="81"/>
  <c r="D83" i="81"/>
  <c r="O82" i="81"/>
  <c r="L82" i="81"/>
  <c r="I82" i="81"/>
  <c r="F82" i="81"/>
  <c r="O81" i="81"/>
  <c r="O80" i="81" s="1"/>
  <c r="L81" i="81"/>
  <c r="I81" i="81"/>
  <c r="I80" i="81" s="1"/>
  <c r="I76" i="81" s="1"/>
  <c r="F81" i="81"/>
  <c r="N80" i="81"/>
  <c r="M80" i="81"/>
  <c r="L80" i="81"/>
  <c r="K80" i="81"/>
  <c r="K76" i="81" s="1"/>
  <c r="J80" i="81"/>
  <c r="H80" i="81"/>
  <c r="G80" i="81"/>
  <c r="F80" i="81"/>
  <c r="E80" i="81"/>
  <c r="D80" i="81"/>
  <c r="O79" i="81"/>
  <c r="L79" i="81"/>
  <c r="I79" i="81"/>
  <c r="F79" i="81"/>
  <c r="O78" i="81"/>
  <c r="L78" i="81"/>
  <c r="L77" i="81" s="1"/>
  <c r="I78" i="81"/>
  <c r="F78" i="81"/>
  <c r="F77" i="81" s="1"/>
  <c r="O77" i="81"/>
  <c r="N77" i="81"/>
  <c r="M77" i="81"/>
  <c r="K77" i="81"/>
  <c r="J77" i="81"/>
  <c r="I77" i="81"/>
  <c r="H77" i="81"/>
  <c r="G77" i="81"/>
  <c r="E77" i="81"/>
  <c r="E76" i="81" s="1"/>
  <c r="D77" i="81"/>
  <c r="M76" i="81"/>
  <c r="G76" i="81"/>
  <c r="O74" i="81"/>
  <c r="L74" i="81"/>
  <c r="I74" i="81"/>
  <c r="C74" i="81" s="1"/>
  <c r="F74" i="81"/>
  <c r="O73" i="81"/>
  <c r="L73" i="81"/>
  <c r="I73" i="81"/>
  <c r="F73" i="81"/>
  <c r="O72" i="81"/>
  <c r="L72" i="81"/>
  <c r="I72" i="81"/>
  <c r="F72" i="81"/>
  <c r="O71" i="81"/>
  <c r="L71" i="81"/>
  <c r="I71" i="81"/>
  <c r="F71" i="81"/>
  <c r="O70" i="81"/>
  <c r="L70" i="81"/>
  <c r="L69" i="81" s="1"/>
  <c r="I70" i="81"/>
  <c r="F70" i="81"/>
  <c r="F69" i="81" s="1"/>
  <c r="O69" i="81"/>
  <c r="N69" i="81"/>
  <c r="M69" i="81"/>
  <c r="M67" i="81" s="1"/>
  <c r="K69" i="81"/>
  <c r="J69" i="81"/>
  <c r="H69" i="81"/>
  <c r="H67" i="81" s="1"/>
  <c r="G69" i="81"/>
  <c r="G67" i="81" s="1"/>
  <c r="E69" i="81"/>
  <c r="D69" i="81"/>
  <c r="O68" i="81"/>
  <c r="L68" i="81"/>
  <c r="I68" i="81"/>
  <c r="F68" i="81"/>
  <c r="N67" i="81"/>
  <c r="K67" i="81"/>
  <c r="J67" i="81"/>
  <c r="E67" i="81"/>
  <c r="D67" i="81"/>
  <c r="O66" i="81"/>
  <c r="L66" i="81"/>
  <c r="I66" i="81"/>
  <c r="F66" i="81"/>
  <c r="O65" i="81"/>
  <c r="L65" i="81"/>
  <c r="I65" i="81"/>
  <c r="F65" i="81"/>
  <c r="O64" i="81"/>
  <c r="L64" i="81"/>
  <c r="I64" i="81"/>
  <c r="F64" i="81"/>
  <c r="O63" i="81"/>
  <c r="L63" i="81"/>
  <c r="I63" i="81"/>
  <c r="C63" i="81" s="1"/>
  <c r="F63" i="81"/>
  <c r="O62" i="81"/>
  <c r="L62" i="81"/>
  <c r="I62" i="81"/>
  <c r="F62" i="81"/>
  <c r="O61" i="81"/>
  <c r="L61" i="81"/>
  <c r="I61" i="81"/>
  <c r="F61" i="81"/>
  <c r="O60" i="81"/>
  <c r="L60" i="81"/>
  <c r="I60" i="81"/>
  <c r="F60" i="81"/>
  <c r="O59" i="81"/>
  <c r="L59" i="81"/>
  <c r="I59" i="81"/>
  <c r="F59" i="81"/>
  <c r="F58" i="81" s="1"/>
  <c r="N58" i="81"/>
  <c r="M58" i="81"/>
  <c r="M54" i="81" s="1"/>
  <c r="M53" i="81" s="1"/>
  <c r="K58" i="81"/>
  <c r="J58" i="81"/>
  <c r="H58" i="81"/>
  <c r="G58" i="81"/>
  <c r="E58" i="81"/>
  <c r="D58" i="81"/>
  <c r="O57" i="81"/>
  <c r="L57" i="81"/>
  <c r="I57" i="81"/>
  <c r="F57" i="81"/>
  <c r="O56" i="81"/>
  <c r="O55" i="81" s="1"/>
  <c r="L56" i="81"/>
  <c r="L55" i="81" s="1"/>
  <c r="I56" i="81"/>
  <c r="F56" i="81"/>
  <c r="N55" i="81"/>
  <c r="M55" i="81"/>
  <c r="K55" i="81"/>
  <c r="J55" i="81"/>
  <c r="J54" i="81" s="1"/>
  <c r="J53" i="81" s="1"/>
  <c r="I55" i="81"/>
  <c r="H55" i="81"/>
  <c r="G55" i="81"/>
  <c r="F55" i="81"/>
  <c r="F54" i="81" s="1"/>
  <c r="E55" i="81"/>
  <c r="D55" i="81"/>
  <c r="K54" i="81"/>
  <c r="K53" i="81" s="1"/>
  <c r="G54" i="81"/>
  <c r="G53" i="81" s="1"/>
  <c r="O47" i="81"/>
  <c r="C47" i="81" s="1"/>
  <c r="O46" i="81"/>
  <c r="C46" i="81" s="1"/>
  <c r="N45" i="81"/>
  <c r="M45" i="81"/>
  <c r="L44" i="81"/>
  <c r="L43" i="81" s="1"/>
  <c r="I44" i="81"/>
  <c r="I43" i="81" s="1"/>
  <c r="F44" i="81"/>
  <c r="K43" i="81"/>
  <c r="J43" i="81"/>
  <c r="H43" i="81"/>
  <c r="G43" i="81"/>
  <c r="F43" i="81"/>
  <c r="E43" i="81"/>
  <c r="D43" i="81"/>
  <c r="F42" i="81"/>
  <c r="C42" i="81" s="1"/>
  <c r="F41" i="81"/>
  <c r="C41" i="81" s="1"/>
  <c r="E41" i="81"/>
  <c r="D41" i="81"/>
  <c r="L40" i="81"/>
  <c r="C40" i="81" s="1"/>
  <c r="L39" i="81"/>
  <c r="C39" i="81" s="1"/>
  <c r="L38" i="81"/>
  <c r="C38" i="81" s="1"/>
  <c r="L37" i="81"/>
  <c r="C37" i="81" s="1"/>
  <c r="K36" i="81"/>
  <c r="J36" i="81"/>
  <c r="L35" i="81"/>
  <c r="C35" i="81" s="1"/>
  <c r="L34" i="81"/>
  <c r="C34" i="81" s="1"/>
  <c r="K33" i="81"/>
  <c r="J33" i="81"/>
  <c r="L32" i="81"/>
  <c r="L31" i="81" s="1"/>
  <c r="K31" i="81"/>
  <c r="J31" i="81"/>
  <c r="L30" i="81"/>
  <c r="C30" i="81" s="1"/>
  <c r="L29" i="81"/>
  <c r="C29" i="81" s="1"/>
  <c r="L28" i="81"/>
  <c r="C28" i="81"/>
  <c r="K27" i="81"/>
  <c r="J27" i="81"/>
  <c r="F25" i="81"/>
  <c r="C25" i="81" s="1"/>
  <c r="H24" i="81"/>
  <c r="E24" i="81"/>
  <c r="O23" i="81"/>
  <c r="L23" i="81"/>
  <c r="I23" i="81"/>
  <c r="F23" i="81"/>
  <c r="O22" i="81"/>
  <c r="L22" i="81"/>
  <c r="I22" i="81"/>
  <c r="F22" i="81"/>
  <c r="O21" i="81"/>
  <c r="O292" i="81" s="1"/>
  <c r="O291" i="81" s="1"/>
  <c r="N21" i="81"/>
  <c r="N292" i="81" s="1"/>
  <c r="N291" i="81" s="1"/>
  <c r="M21" i="81"/>
  <c r="M292" i="81" s="1"/>
  <c r="M291" i="81" s="1"/>
  <c r="K21" i="81"/>
  <c r="J21" i="81"/>
  <c r="J292" i="81" s="1"/>
  <c r="H21" i="81"/>
  <c r="H292" i="81" s="1"/>
  <c r="H291" i="81" s="1"/>
  <c r="G21" i="81"/>
  <c r="G292" i="81" s="1"/>
  <c r="G291" i="81" s="1"/>
  <c r="F21" i="81"/>
  <c r="E21" i="81"/>
  <c r="E292" i="81" s="1"/>
  <c r="E291" i="81" s="1"/>
  <c r="D21" i="81"/>
  <c r="D292" i="81" s="1"/>
  <c r="H20" i="81"/>
  <c r="D291" i="81" l="1"/>
  <c r="K26" i="81"/>
  <c r="M20" i="81"/>
  <c r="L76" i="81"/>
  <c r="I84" i="81"/>
  <c r="C88" i="81"/>
  <c r="E83" i="81"/>
  <c r="C109" i="81"/>
  <c r="C129" i="81"/>
  <c r="O136" i="81"/>
  <c r="J130" i="81"/>
  <c r="C149" i="81"/>
  <c r="O144" i="81"/>
  <c r="C168" i="81"/>
  <c r="C186" i="81"/>
  <c r="C218" i="81"/>
  <c r="C221" i="81"/>
  <c r="N231" i="81"/>
  <c r="N230" i="81" s="1"/>
  <c r="C266" i="81"/>
  <c r="O272" i="81"/>
  <c r="O270" i="81" s="1"/>
  <c r="O269" i="81" s="1"/>
  <c r="C282" i="81"/>
  <c r="C294" i="81"/>
  <c r="L58" i="81"/>
  <c r="L89" i="81"/>
  <c r="C89" i="81" s="1"/>
  <c r="G130" i="81"/>
  <c r="C142" i="81"/>
  <c r="L36" i="81"/>
  <c r="C36" i="81" s="1"/>
  <c r="I58" i="81"/>
  <c r="I54" i="81" s="1"/>
  <c r="J291" i="81"/>
  <c r="D54" i="81"/>
  <c r="D53" i="81" s="1"/>
  <c r="H54" i="81"/>
  <c r="H53" i="81" s="1"/>
  <c r="E54" i="81"/>
  <c r="E53" i="81" s="1"/>
  <c r="C62" i="81"/>
  <c r="C68" i="81"/>
  <c r="O67" i="81"/>
  <c r="D76" i="81"/>
  <c r="D75" i="81" s="1"/>
  <c r="D52" i="81" s="1"/>
  <c r="H76" i="81"/>
  <c r="G83" i="81"/>
  <c r="K83" i="81"/>
  <c r="C92" i="81"/>
  <c r="C94" i="81"/>
  <c r="O95" i="81"/>
  <c r="C112" i="81"/>
  <c r="C124" i="81"/>
  <c r="D130" i="81"/>
  <c r="N130" i="81"/>
  <c r="D173" i="81"/>
  <c r="N173" i="81"/>
  <c r="M187" i="81"/>
  <c r="C214" i="81"/>
  <c r="K204" i="81"/>
  <c r="M204" i="81"/>
  <c r="E231" i="81"/>
  <c r="J231" i="81"/>
  <c r="O238" i="81"/>
  <c r="I260" i="81"/>
  <c r="I259" i="81" s="1"/>
  <c r="K259" i="81"/>
  <c r="J270" i="81"/>
  <c r="J269" i="81" s="1"/>
  <c r="C278" i="81"/>
  <c r="O276" i="81"/>
  <c r="K130" i="81"/>
  <c r="O58" i="81"/>
  <c r="O54" i="81" s="1"/>
  <c r="O53" i="81" s="1"/>
  <c r="E20" i="81"/>
  <c r="F292" i="81"/>
  <c r="K292" i="81"/>
  <c r="K291" i="81" s="1"/>
  <c r="C23" i="81"/>
  <c r="O45" i="81"/>
  <c r="N54" i="81"/>
  <c r="N53" i="81" s="1"/>
  <c r="N52" i="81" s="1"/>
  <c r="L54" i="81"/>
  <c r="J76" i="81"/>
  <c r="J75" i="81" s="1"/>
  <c r="N76" i="81"/>
  <c r="N75" i="81" s="1"/>
  <c r="O76" i="81"/>
  <c r="O84" i="81"/>
  <c r="M83" i="81"/>
  <c r="C96" i="81"/>
  <c r="C99" i="81"/>
  <c r="C105" i="81"/>
  <c r="C106" i="81"/>
  <c r="O103" i="81"/>
  <c r="C118" i="81"/>
  <c r="C119" i="81"/>
  <c r="C120" i="81"/>
  <c r="O116" i="81"/>
  <c r="M130" i="81"/>
  <c r="M75" i="81" s="1"/>
  <c r="M52" i="81" s="1"/>
  <c r="L136" i="81"/>
  <c r="L144" i="81"/>
  <c r="F179" i="81"/>
  <c r="C181" i="81"/>
  <c r="O179" i="81"/>
  <c r="N187" i="81"/>
  <c r="G187" i="81"/>
  <c r="K187" i="81"/>
  <c r="C202" i="81"/>
  <c r="C203" i="81"/>
  <c r="C211" i="81"/>
  <c r="C234" i="81"/>
  <c r="O246" i="81"/>
  <c r="H259" i="81"/>
  <c r="C274" i="81"/>
  <c r="C54" i="81"/>
  <c r="C77" i="81"/>
  <c r="F76" i="81"/>
  <c r="C76" i="81" s="1"/>
  <c r="C80" i="81"/>
  <c r="C97" i="81"/>
  <c r="L131" i="81"/>
  <c r="C131" i="81" s="1"/>
  <c r="C154" i="81"/>
  <c r="L151" i="81"/>
  <c r="G75" i="81"/>
  <c r="G52" i="81" s="1"/>
  <c r="C22" i="81"/>
  <c r="J26" i="81"/>
  <c r="C55" i="81"/>
  <c r="C59" i="81"/>
  <c r="C64" i="81"/>
  <c r="C65" i="81"/>
  <c r="C66" i="81"/>
  <c r="C70" i="81"/>
  <c r="C82" i="81"/>
  <c r="C98" i="81"/>
  <c r="C117" i="81"/>
  <c r="F116" i="81"/>
  <c r="C116" i="81" s="1"/>
  <c r="I128" i="81"/>
  <c r="C128" i="81" s="1"/>
  <c r="F144" i="81"/>
  <c r="I144" i="81"/>
  <c r="C147" i="81"/>
  <c r="L160" i="81"/>
  <c r="C162" i="81"/>
  <c r="G195" i="81"/>
  <c r="D204" i="81"/>
  <c r="D195" i="81" s="1"/>
  <c r="D194" i="81" s="1"/>
  <c r="J230" i="81"/>
  <c r="I272" i="81"/>
  <c r="I293" i="81"/>
  <c r="C81" i="81"/>
  <c r="C104" i="81"/>
  <c r="F103" i="81"/>
  <c r="C103" i="81" s="1"/>
  <c r="C56" i="81"/>
  <c r="C73" i="81"/>
  <c r="C85" i="81"/>
  <c r="C86" i="81"/>
  <c r="C87" i="81"/>
  <c r="L95" i="81"/>
  <c r="L83" i="81" s="1"/>
  <c r="C100" i="81"/>
  <c r="C101" i="81"/>
  <c r="C102" i="81"/>
  <c r="I130" i="81"/>
  <c r="C210" i="81"/>
  <c r="L264" i="81"/>
  <c r="C43" i="81"/>
  <c r="C84" i="81"/>
  <c r="L21" i="81"/>
  <c r="C57" i="81"/>
  <c r="L67" i="81"/>
  <c r="L53" i="81" s="1"/>
  <c r="I69" i="81"/>
  <c r="I67" i="81" s="1"/>
  <c r="C71" i="81"/>
  <c r="C72" i="81"/>
  <c r="L27" i="81"/>
  <c r="C27" i="81" s="1"/>
  <c r="L33" i="81"/>
  <c r="C33" i="81" s="1"/>
  <c r="C44" i="81"/>
  <c r="C60" i="81"/>
  <c r="C61" i="81"/>
  <c r="F67" i="81"/>
  <c r="F53" i="81" s="1"/>
  <c r="C78" i="81"/>
  <c r="C79" i="81"/>
  <c r="C90" i="81"/>
  <c r="C91" i="81"/>
  <c r="F95" i="81"/>
  <c r="C137" i="81"/>
  <c r="F136" i="81"/>
  <c r="C136" i="81" s="1"/>
  <c r="C158" i="81"/>
  <c r="I151" i="81"/>
  <c r="E174" i="81"/>
  <c r="E173" i="81" s="1"/>
  <c r="L188" i="81"/>
  <c r="L187" i="81" s="1"/>
  <c r="C190" i="81"/>
  <c r="C226" i="81"/>
  <c r="I233" i="81"/>
  <c r="C233" i="81" s="1"/>
  <c r="M231" i="81"/>
  <c r="M230" i="81" s="1"/>
  <c r="C108" i="81"/>
  <c r="C113" i="81"/>
  <c r="C123" i="81"/>
  <c r="C140" i="81"/>
  <c r="C141" i="81"/>
  <c r="C152" i="81"/>
  <c r="C153" i="81"/>
  <c r="O160" i="81"/>
  <c r="C160" i="81" s="1"/>
  <c r="C172" i="81"/>
  <c r="J174" i="81"/>
  <c r="J173" i="81" s="1"/>
  <c r="C183" i="81"/>
  <c r="M173" i="81"/>
  <c r="J187" i="81"/>
  <c r="L196" i="81"/>
  <c r="C215" i="81"/>
  <c r="I216" i="81"/>
  <c r="C223" i="81"/>
  <c r="C225" i="81"/>
  <c r="J204" i="81"/>
  <c r="J195" i="81" s="1"/>
  <c r="J289" i="81" s="1"/>
  <c r="N204" i="81"/>
  <c r="N195" i="81" s="1"/>
  <c r="C243" i="81"/>
  <c r="I252" i="81"/>
  <c r="I251" i="81" s="1"/>
  <c r="O264" i="81"/>
  <c r="C115" i="81"/>
  <c r="C125" i="81"/>
  <c r="C127" i="81"/>
  <c r="C132" i="81"/>
  <c r="C133" i="81"/>
  <c r="C135" i="81"/>
  <c r="C139" i="81"/>
  <c r="C145" i="81"/>
  <c r="C146" i="81"/>
  <c r="C156" i="81"/>
  <c r="C157" i="81"/>
  <c r="C163" i="81"/>
  <c r="C177" i="81"/>
  <c r="O175" i="81"/>
  <c r="O174" i="81" s="1"/>
  <c r="O196" i="81"/>
  <c r="C213" i="81"/>
  <c r="C224" i="81"/>
  <c r="C227" i="81"/>
  <c r="C237" i="81"/>
  <c r="C239" i="81"/>
  <c r="C240" i="81"/>
  <c r="K269" i="81"/>
  <c r="C280" i="81"/>
  <c r="L293" i="81"/>
  <c r="C93" i="81"/>
  <c r="H103" i="81"/>
  <c r="H83" i="81" s="1"/>
  <c r="H75" i="81" s="1"/>
  <c r="H52" i="81" s="1"/>
  <c r="C110" i="81"/>
  <c r="F122" i="81"/>
  <c r="C122" i="81" s="1"/>
  <c r="C126" i="81"/>
  <c r="C134" i="81"/>
  <c r="C143" i="81"/>
  <c r="C148" i="81"/>
  <c r="F151" i="81"/>
  <c r="C151" i="81" s="1"/>
  <c r="C155" i="81"/>
  <c r="C159" i="81"/>
  <c r="C164" i="81"/>
  <c r="E75" i="81"/>
  <c r="K75" i="81"/>
  <c r="C167" i="81"/>
  <c r="C169" i="81"/>
  <c r="I175" i="81"/>
  <c r="L179" i="81"/>
  <c r="L174" i="81" s="1"/>
  <c r="L173" i="81" s="1"/>
  <c r="F184" i="81"/>
  <c r="O184" i="81"/>
  <c r="K195" i="81"/>
  <c r="C201" i="81"/>
  <c r="H204" i="81"/>
  <c r="H195" i="81" s="1"/>
  <c r="H194" i="81" s="1"/>
  <c r="C207" i="81"/>
  <c r="C212" i="81"/>
  <c r="O216" i="81"/>
  <c r="C228" i="81"/>
  <c r="C229" i="81"/>
  <c r="D231" i="81"/>
  <c r="D230" i="81" s="1"/>
  <c r="H230" i="81"/>
  <c r="K231" i="81"/>
  <c r="K230" i="81" s="1"/>
  <c r="K289" i="81" s="1"/>
  <c r="I238" i="81"/>
  <c r="C244" i="81"/>
  <c r="C245" i="81"/>
  <c r="O252" i="81"/>
  <c r="O251" i="81" s="1"/>
  <c r="C267" i="81"/>
  <c r="I264" i="81"/>
  <c r="C275" i="81"/>
  <c r="L276" i="81"/>
  <c r="L270" i="81" s="1"/>
  <c r="L269" i="81" s="1"/>
  <c r="C295" i="81"/>
  <c r="L292" i="81"/>
  <c r="K20" i="81"/>
  <c r="L26" i="81"/>
  <c r="L20" i="81" s="1"/>
  <c r="C31" i="81"/>
  <c r="J20" i="81"/>
  <c r="N20" i="81"/>
  <c r="I21" i="81"/>
  <c r="C32" i="81"/>
  <c r="O130" i="81"/>
  <c r="O20" i="81"/>
  <c r="K52" i="81"/>
  <c r="I174" i="81"/>
  <c r="I173" i="81" s="1"/>
  <c r="I166" i="81"/>
  <c r="I165" i="81" s="1"/>
  <c r="C176" i="81"/>
  <c r="C180" i="81"/>
  <c r="C193" i="81"/>
  <c r="F192" i="81"/>
  <c r="E195" i="81"/>
  <c r="M195" i="81"/>
  <c r="O205" i="81"/>
  <c r="C217" i="81"/>
  <c r="F216" i="81"/>
  <c r="O231" i="81"/>
  <c r="E259" i="81"/>
  <c r="C261" i="81"/>
  <c r="F260" i="81"/>
  <c r="I270" i="81"/>
  <c r="I269" i="81" s="1"/>
  <c r="M270" i="81"/>
  <c r="M269" i="81" s="1"/>
  <c r="C277" i="81"/>
  <c r="F276" i="81"/>
  <c r="C276" i="81" s="1"/>
  <c r="C287" i="81"/>
  <c r="C299" i="81"/>
  <c r="C45" i="81"/>
  <c r="C161" i="81"/>
  <c r="F166" i="81"/>
  <c r="F174" i="81"/>
  <c r="C185" i="81"/>
  <c r="C199" i="81"/>
  <c r="L205" i="81"/>
  <c r="C209" i="81"/>
  <c r="F205" i="81"/>
  <c r="C220" i="81"/>
  <c r="L231" i="81"/>
  <c r="I235" i="81"/>
  <c r="C236" i="81"/>
  <c r="C247" i="81"/>
  <c r="C249" i="81"/>
  <c r="F246" i="81"/>
  <c r="L252" i="81"/>
  <c r="L251" i="81" s="1"/>
  <c r="C255" i="81"/>
  <c r="E270" i="81"/>
  <c r="E269" i="81" s="1"/>
  <c r="C279" i="81"/>
  <c r="C281" i="81"/>
  <c r="C285" i="81"/>
  <c r="F284" i="81"/>
  <c r="C288" i="81"/>
  <c r="I286" i="81"/>
  <c r="C197" i="81"/>
  <c r="F196" i="81"/>
  <c r="C200" i="81"/>
  <c r="I198" i="81"/>
  <c r="C208" i="81"/>
  <c r="I205" i="81"/>
  <c r="C232" i="81"/>
  <c r="C241" i="81"/>
  <c r="F238" i="81"/>
  <c r="C238" i="81" s="1"/>
  <c r="C248" i="81"/>
  <c r="I246" i="81"/>
  <c r="I231" i="81" s="1"/>
  <c r="E230" i="81"/>
  <c r="C253" i="81"/>
  <c r="F252" i="81"/>
  <c r="C265" i="81"/>
  <c r="F264" i="81"/>
  <c r="C264" i="81" s="1"/>
  <c r="C271" i="81"/>
  <c r="C273" i="81"/>
  <c r="F272" i="81"/>
  <c r="C189" i="81"/>
  <c r="F188" i="81"/>
  <c r="L216" i="81"/>
  <c r="C219" i="81"/>
  <c r="C235" i="81"/>
  <c r="G231" i="81"/>
  <c r="G230" i="81" s="1"/>
  <c r="G194" i="81" s="1"/>
  <c r="G51" i="81" s="1"/>
  <c r="O260" i="81"/>
  <c r="L260" i="81"/>
  <c r="L259" i="81" s="1"/>
  <c r="C263" i="81"/>
  <c r="C268" i="81"/>
  <c r="C296" i="81"/>
  <c r="C297" i="81"/>
  <c r="F293" i="81"/>
  <c r="H51" i="81" l="1"/>
  <c r="E52" i="81"/>
  <c r="O259" i="81"/>
  <c r="L230" i="81"/>
  <c r="M289" i="81"/>
  <c r="F130" i="81"/>
  <c r="C67" i="81"/>
  <c r="C58" i="81"/>
  <c r="I230" i="81"/>
  <c r="H289" i="81"/>
  <c r="O204" i="81"/>
  <c r="O195" i="81" s="1"/>
  <c r="I53" i="81"/>
  <c r="O83" i="81"/>
  <c r="O75" i="81" s="1"/>
  <c r="N194" i="81"/>
  <c r="N51" i="81" s="1"/>
  <c r="N290" i="81" s="1"/>
  <c r="N289" i="81"/>
  <c r="H50" i="81"/>
  <c r="H290" i="81"/>
  <c r="E289" i="81"/>
  <c r="C175" i="81"/>
  <c r="C293" i="81"/>
  <c r="I204" i="81"/>
  <c r="L291" i="81"/>
  <c r="K194" i="81"/>
  <c r="K51" i="81" s="1"/>
  <c r="J194" i="81"/>
  <c r="C95" i="81"/>
  <c r="C144" i="81"/>
  <c r="O173" i="81"/>
  <c r="F83" i="81"/>
  <c r="D51" i="81"/>
  <c r="C184" i="81"/>
  <c r="J52" i="81"/>
  <c r="J51" i="81" s="1"/>
  <c r="J50" i="81" s="1"/>
  <c r="C179" i="81"/>
  <c r="D289" i="81"/>
  <c r="L130" i="81"/>
  <c r="L75" i="81" s="1"/>
  <c r="I83" i="81"/>
  <c r="I75" i="81" s="1"/>
  <c r="I52" i="81" s="1"/>
  <c r="C69" i="81"/>
  <c r="G50" i="81"/>
  <c r="G24" i="81"/>
  <c r="G290" i="81" s="1"/>
  <c r="N50" i="81"/>
  <c r="C286" i="81"/>
  <c r="C198" i="81"/>
  <c r="I196" i="81"/>
  <c r="C188" i="81"/>
  <c r="C252" i="81"/>
  <c r="F251" i="81"/>
  <c r="C251" i="81" s="1"/>
  <c r="C205" i="81"/>
  <c r="F204" i="81"/>
  <c r="F195" i="81" s="1"/>
  <c r="C192" i="81"/>
  <c r="F191" i="81"/>
  <c r="C191" i="81" s="1"/>
  <c r="C130" i="81"/>
  <c r="F270" i="81"/>
  <c r="C272" i="81"/>
  <c r="C196" i="81"/>
  <c r="G289" i="81"/>
  <c r="C246" i="81"/>
  <c r="C174" i="81"/>
  <c r="F173" i="81"/>
  <c r="C260" i="81"/>
  <c r="F259" i="81"/>
  <c r="C259" i="81" s="1"/>
  <c r="O230" i="81"/>
  <c r="F231" i="81"/>
  <c r="C53" i="81"/>
  <c r="I292" i="81"/>
  <c r="C21" i="81"/>
  <c r="C284" i="81"/>
  <c r="F283" i="81"/>
  <c r="C283" i="81" s="1"/>
  <c r="L204" i="81"/>
  <c r="L195" i="81" s="1"/>
  <c r="C166" i="81"/>
  <c r="F165" i="81"/>
  <c r="C165" i="81" s="1"/>
  <c r="C216" i="81"/>
  <c r="M194" i="81"/>
  <c r="F291" i="81"/>
  <c r="E194" i="81"/>
  <c r="E51" i="81" s="1"/>
  <c r="M51" i="81"/>
  <c r="C26" i="81"/>
  <c r="O52" i="81" l="1"/>
  <c r="L194" i="81"/>
  <c r="F187" i="81"/>
  <c r="C187" i="81" s="1"/>
  <c r="K50" i="81"/>
  <c r="K290" i="81"/>
  <c r="L289" i="81"/>
  <c r="L52" i="81"/>
  <c r="L51" i="81" s="1"/>
  <c r="C173" i="81"/>
  <c r="C83" i="81"/>
  <c r="O289" i="81"/>
  <c r="I195" i="81"/>
  <c r="C195" i="81" s="1"/>
  <c r="J290" i="81"/>
  <c r="D50" i="81"/>
  <c r="D24" i="81"/>
  <c r="E290" i="81"/>
  <c r="E50" i="81"/>
  <c r="F269" i="81"/>
  <c r="C270" i="81"/>
  <c r="F230" i="81"/>
  <c r="C230" i="81" s="1"/>
  <c r="C231" i="81"/>
  <c r="O194" i="81"/>
  <c r="O51" i="81" s="1"/>
  <c r="I24" i="81"/>
  <c r="G20" i="81"/>
  <c r="C292" i="81"/>
  <c r="I291" i="81"/>
  <c r="C291" i="81" s="1"/>
  <c r="F75" i="81"/>
  <c r="M50" i="81"/>
  <c r="M290" i="81"/>
  <c r="C204" i="81"/>
  <c r="L50" i="81" l="1"/>
  <c r="L290" i="81"/>
  <c r="F24" i="81"/>
  <c r="F20" i="81" s="1"/>
  <c r="D20" i="81"/>
  <c r="D290" i="81"/>
  <c r="I194" i="81"/>
  <c r="I51" i="81" s="1"/>
  <c r="I50" i="81" s="1"/>
  <c r="I289" i="81"/>
  <c r="C24" i="81"/>
  <c r="I20" i="81"/>
  <c r="C269" i="81"/>
  <c r="F289" i="81"/>
  <c r="C289" i="81" s="1"/>
  <c r="C75" i="81"/>
  <c r="F52" i="81"/>
  <c r="F194" i="81"/>
  <c r="C194" i="81" s="1"/>
  <c r="O50" i="81"/>
  <c r="O290" i="81"/>
  <c r="C20" i="81" l="1"/>
  <c r="I290" i="81"/>
  <c r="C52" i="81"/>
  <c r="F51" i="81"/>
  <c r="F290" i="81" l="1"/>
  <c r="C290" i="81" s="1"/>
  <c r="C51" i="81"/>
  <c r="F50" i="81"/>
  <c r="C50" i="81" s="1"/>
  <c r="E127" i="56" l="1"/>
  <c r="I65" i="80"/>
  <c r="H65" i="80"/>
  <c r="I64" i="80"/>
  <c r="H64" i="80"/>
  <c r="I63" i="80"/>
  <c r="H63" i="80"/>
  <c r="I62" i="80"/>
  <c r="H62" i="80"/>
  <c r="I61" i="80"/>
  <c r="H61" i="80"/>
  <c r="I60" i="80"/>
  <c r="F60" i="80"/>
  <c r="F56" i="80" s="1"/>
  <c r="I59" i="80"/>
  <c r="H59" i="80"/>
  <c r="I58" i="80"/>
  <c r="H58" i="80"/>
  <c r="I57" i="80"/>
  <c r="H57" i="80"/>
  <c r="G56" i="80"/>
  <c r="E56" i="80"/>
  <c r="D56" i="80"/>
  <c r="I49" i="80"/>
  <c r="D49" i="80"/>
  <c r="H49" i="80" s="1"/>
  <c r="I48" i="80"/>
  <c r="H48" i="80"/>
  <c r="I47" i="80"/>
  <c r="H47" i="80"/>
  <c r="I46" i="80"/>
  <c r="H46" i="80"/>
  <c r="I45" i="80"/>
  <c r="H45" i="80"/>
  <c r="I44" i="80"/>
  <c r="H44" i="80"/>
  <c r="I43" i="80"/>
  <c r="H43" i="80"/>
  <c r="I42" i="80"/>
  <c r="H42" i="80"/>
  <c r="I41" i="80"/>
  <c r="H41" i="80"/>
  <c r="I40" i="80"/>
  <c r="H40" i="80"/>
  <c r="I39" i="80"/>
  <c r="H39" i="80"/>
  <c r="I38" i="80"/>
  <c r="H38" i="80"/>
  <c r="I37" i="80"/>
  <c r="H37" i="80"/>
  <c r="I36" i="80"/>
  <c r="H36" i="80"/>
  <c r="I35" i="80"/>
  <c r="H35" i="80"/>
  <c r="I34" i="80"/>
  <c r="I33" i="80" s="1"/>
  <c r="H34" i="80"/>
  <c r="G33" i="80"/>
  <c r="F33" i="80"/>
  <c r="E33" i="80"/>
  <c r="I27" i="80"/>
  <c r="H27" i="80"/>
  <c r="I26" i="80"/>
  <c r="H26" i="80"/>
  <c r="I25" i="80"/>
  <c r="H25" i="80"/>
  <c r="I24" i="80"/>
  <c r="H24" i="80"/>
  <c r="I23" i="80"/>
  <c r="H23" i="80"/>
  <c r="I22" i="80"/>
  <c r="H22" i="80"/>
  <c r="I21" i="80"/>
  <c r="H21" i="80"/>
  <c r="I20" i="80"/>
  <c r="H20" i="80"/>
  <c r="I19" i="80"/>
  <c r="H19" i="80"/>
  <c r="I18" i="80"/>
  <c r="H18" i="80"/>
  <c r="I17" i="80"/>
  <c r="H17" i="80"/>
  <c r="I16" i="80"/>
  <c r="H16" i="80"/>
  <c r="I15" i="80"/>
  <c r="H15" i="80"/>
  <c r="I14" i="80"/>
  <c r="H14" i="80"/>
  <c r="G13" i="80"/>
  <c r="F13" i="80"/>
  <c r="E13" i="80"/>
  <c r="D13" i="80"/>
  <c r="I13" i="80" l="1"/>
  <c r="H33" i="80"/>
  <c r="H13" i="80"/>
  <c r="D33" i="80"/>
  <c r="I56" i="80"/>
  <c r="H60" i="80"/>
  <c r="H56" i="80" s="1"/>
  <c r="O301" i="79" l="1"/>
  <c r="L301" i="79"/>
  <c r="I301" i="79"/>
  <c r="F301" i="79"/>
  <c r="O300" i="79"/>
  <c r="L300" i="79"/>
  <c r="I300" i="79"/>
  <c r="F300" i="79"/>
  <c r="O299" i="79"/>
  <c r="L299" i="79"/>
  <c r="I299" i="79"/>
  <c r="F299" i="79"/>
  <c r="O298" i="79"/>
  <c r="L298" i="79"/>
  <c r="I298" i="79"/>
  <c r="F298" i="79"/>
  <c r="C298" i="79" s="1"/>
  <c r="O297" i="79"/>
  <c r="L297" i="79"/>
  <c r="I297" i="79"/>
  <c r="F297" i="79"/>
  <c r="O296" i="79"/>
  <c r="L296" i="79"/>
  <c r="I296" i="79"/>
  <c r="F296" i="79"/>
  <c r="O295" i="79"/>
  <c r="L295" i="79"/>
  <c r="I295" i="79"/>
  <c r="F295" i="79"/>
  <c r="O294" i="79"/>
  <c r="L294" i="79"/>
  <c r="L293" i="79" s="1"/>
  <c r="I294" i="79"/>
  <c r="F294" i="79"/>
  <c r="N293" i="79"/>
  <c r="M293" i="79"/>
  <c r="K293" i="79"/>
  <c r="J293" i="79"/>
  <c r="H293" i="79"/>
  <c r="G293" i="79"/>
  <c r="E293" i="79"/>
  <c r="D293" i="79"/>
  <c r="O288" i="79"/>
  <c r="L288" i="79"/>
  <c r="I288" i="79"/>
  <c r="F288" i="79"/>
  <c r="O287" i="79"/>
  <c r="L287" i="79"/>
  <c r="L286" i="79" s="1"/>
  <c r="I287" i="79"/>
  <c r="F287" i="79"/>
  <c r="F286" i="79" s="1"/>
  <c r="O286" i="79"/>
  <c r="N286" i="79"/>
  <c r="M286" i="79"/>
  <c r="K286" i="79"/>
  <c r="J286" i="79"/>
  <c r="H286" i="79"/>
  <c r="G286" i="79"/>
  <c r="E286" i="79"/>
  <c r="D286" i="79"/>
  <c r="O285" i="79"/>
  <c r="L285" i="79"/>
  <c r="L284" i="79" s="1"/>
  <c r="L283" i="79" s="1"/>
  <c r="I285" i="79"/>
  <c r="I284" i="79" s="1"/>
  <c r="I283" i="79" s="1"/>
  <c r="F285" i="79"/>
  <c r="O284" i="79"/>
  <c r="N284" i="79"/>
  <c r="M284" i="79"/>
  <c r="M283" i="79" s="1"/>
  <c r="K284" i="79"/>
  <c r="K283" i="79" s="1"/>
  <c r="J284" i="79"/>
  <c r="H284" i="79"/>
  <c r="H283" i="79" s="1"/>
  <c r="G284" i="79"/>
  <c r="G283" i="79" s="1"/>
  <c r="E284" i="79"/>
  <c r="E283" i="79" s="1"/>
  <c r="D284" i="79"/>
  <c r="O283" i="79"/>
  <c r="N283" i="79"/>
  <c r="J283" i="79"/>
  <c r="D283" i="79"/>
  <c r="O282" i="79"/>
  <c r="O281" i="79" s="1"/>
  <c r="L282" i="79"/>
  <c r="L281" i="79" s="1"/>
  <c r="I282" i="79"/>
  <c r="F282" i="79"/>
  <c r="N281" i="79"/>
  <c r="M281" i="79"/>
  <c r="K281" i="79"/>
  <c r="J281" i="79"/>
  <c r="I281" i="79"/>
  <c r="H281" i="79"/>
  <c r="G281" i="79"/>
  <c r="F281" i="79"/>
  <c r="E281" i="79"/>
  <c r="D281" i="79"/>
  <c r="O280" i="79"/>
  <c r="L280" i="79"/>
  <c r="I280" i="79"/>
  <c r="C280" i="79" s="1"/>
  <c r="F280" i="79"/>
  <c r="O279" i="79"/>
  <c r="L279" i="79"/>
  <c r="I279" i="79"/>
  <c r="F279" i="79"/>
  <c r="O278" i="79"/>
  <c r="L278" i="79"/>
  <c r="I278" i="79"/>
  <c r="I276" i="79" s="1"/>
  <c r="F278" i="79"/>
  <c r="O277" i="79"/>
  <c r="L277" i="79"/>
  <c r="L276" i="79" s="1"/>
  <c r="I277" i="79"/>
  <c r="F277" i="79"/>
  <c r="N276" i="79"/>
  <c r="M276" i="79"/>
  <c r="K276" i="79"/>
  <c r="K270" i="79" s="1"/>
  <c r="K269" i="79" s="1"/>
  <c r="J276" i="79"/>
  <c r="H276" i="79"/>
  <c r="G276" i="79"/>
  <c r="E276" i="79"/>
  <c r="D276" i="79"/>
  <c r="O275" i="79"/>
  <c r="L275" i="79"/>
  <c r="I275" i="79"/>
  <c r="F275" i="79"/>
  <c r="O274" i="79"/>
  <c r="L274" i="79"/>
  <c r="I274" i="79"/>
  <c r="F274" i="79"/>
  <c r="C274" i="79" s="1"/>
  <c r="O273" i="79"/>
  <c r="L273" i="79"/>
  <c r="L272" i="79" s="1"/>
  <c r="I273" i="79"/>
  <c r="F273" i="79"/>
  <c r="N272" i="79"/>
  <c r="M272" i="79"/>
  <c r="K272" i="79"/>
  <c r="J272" i="79"/>
  <c r="J270" i="79" s="1"/>
  <c r="J269" i="79" s="1"/>
  <c r="H272" i="79"/>
  <c r="G272" i="79"/>
  <c r="G270" i="79" s="1"/>
  <c r="G269" i="79" s="1"/>
  <c r="E272" i="79"/>
  <c r="D272" i="79"/>
  <c r="O271" i="79"/>
  <c r="L271" i="79"/>
  <c r="I271" i="79"/>
  <c r="F271" i="79"/>
  <c r="H270" i="79"/>
  <c r="H269" i="79" s="1"/>
  <c r="O268" i="79"/>
  <c r="L268" i="79"/>
  <c r="I268" i="79"/>
  <c r="F268" i="79"/>
  <c r="O267" i="79"/>
  <c r="L267" i="79"/>
  <c r="I267" i="79"/>
  <c r="F267" i="79"/>
  <c r="O266" i="79"/>
  <c r="L266" i="79"/>
  <c r="I266" i="79"/>
  <c r="F266" i="79"/>
  <c r="C266" i="79" s="1"/>
  <c r="O265" i="79"/>
  <c r="L265" i="79"/>
  <c r="L264" i="79" s="1"/>
  <c r="I265" i="79"/>
  <c r="F265" i="79"/>
  <c r="N264" i="79"/>
  <c r="M264" i="79"/>
  <c r="K264" i="79"/>
  <c r="J264" i="79"/>
  <c r="H264" i="79"/>
  <c r="G264" i="79"/>
  <c r="E264" i="79"/>
  <c r="D264" i="79"/>
  <c r="O263" i="79"/>
  <c r="L263" i="79"/>
  <c r="I263" i="79"/>
  <c r="F263" i="79"/>
  <c r="O262" i="79"/>
  <c r="L262" i="79"/>
  <c r="I262" i="79"/>
  <c r="F262" i="79"/>
  <c r="O261" i="79"/>
  <c r="L261" i="79"/>
  <c r="I261" i="79"/>
  <c r="I260" i="79" s="1"/>
  <c r="F261" i="79"/>
  <c r="N260" i="79"/>
  <c r="M260" i="79"/>
  <c r="K260" i="79"/>
  <c r="K259" i="79" s="1"/>
  <c r="J260" i="79"/>
  <c r="H260" i="79"/>
  <c r="H259" i="79" s="1"/>
  <c r="G260" i="79"/>
  <c r="G259" i="79" s="1"/>
  <c r="E260" i="79"/>
  <c r="D260" i="79"/>
  <c r="N259" i="79"/>
  <c r="O258" i="79"/>
  <c r="L258" i="79"/>
  <c r="I258" i="79"/>
  <c r="F258" i="79"/>
  <c r="O257" i="79"/>
  <c r="L257" i="79"/>
  <c r="I257" i="79"/>
  <c r="F257" i="79"/>
  <c r="O256" i="79"/>
  <c r="L256" i="79"/>
  <c r="I256" i="79"/>
  <c r="F256" i="79"/>
  <c r="O255" i="79"/>
  <c r="L255" i="79"/>
  <c r="I255" i="79"/>
  <c r="F255" i="79"/>
  <c r="O254" i="79"/>
  <c r="L254" i="79"/>
  <c r="I254" i="79"/>
  <c r="F254" i="79"/>
  <c r="O253" i="79"/>
  <c r="L253" i="79"/>
  <c r="L252" i="79" s="1"/>
  <c r="L251" i="79" s="1"/>
  <c r="I253" i="79"/>
  <c r="F253" i="79"/>
  <c r="N252" i="79"/>
  <c r="M252" i="79"/>
  <c r="M251" i="79" s="1"/>
  <c r="K252" i="79"/>
  <c r="J252" i="79"/>
  <c r="J251" i="79" s="1"/>
  <c r="H252" i="79"/>
  <c r="H251" i="79" s="1"/>
  <c r="G252" i="79"/>
  <c r="G251" i="79" s="1"/>
  <c r="E252" i="79"/>
  <c r="E251" i="79" s="1"/>
  <c r="D252" i="79"/>
  <c r="N251" i="79"/>
  <c r="K251" i="79"/>
  <c r="D251" i="79"/>
  <c r="O250" i="79"/>
  <c r="L250" i="79"/>
  <c r="I250" i="79"/>
  <c r="F250" i="79"/>
  <c r="O249" i="79"/>
  <c r="L249" i="79"/>
  <c r="I249" i="79"/>
  <c r="F249" i="79"/>
  <c r="O248" i="79"/>
  <c r="L248" i="79"/>
  <c r="I248" i="79"/>
  <c r="F248" i="79"/>
  <c r="O247" i="79"/>
  <c r="L247" i="79"/>
  <c r="L246" i="79" s="1"/>
  <c r="I247" i="79"/>
  <c r="F247" i="79"/>
  <c r="O246" i="79"/>
  <c r="N246" i="79"/>
  <c r="M246" i="79"/>
  <c r="K246" i="79"/>
  <c r="J246" i="79"/>
  <c r="H246" i="79"/>
  <c r="G246" i="79"/>
  <c r="E246" i="79"/>
  <c r="D246" i="79"/>
  <c r="O245" i="79"/>
  <c r="L245" i="79"/>
  <c r="I245" i="79"/>
  <c r="F245" i="79"/>
  <c r="O244" i="79"/>
  <c r="L244" i="79"/>
  <c r="I244" i="79"/>
  <c r="F244" i="79"/>
  <c r="O243" i="79"/>
  <c r="L243" i="79"/>
  <c r="I243" i="79"/>
  <c r="F243" i="79"/>
  <c r="O242" i="79"/>
  <c r="L242" i="79"/>
  <c r="I242" i="79"/>
  <c r="F242" i="79"/>
  <c r="O241" i="79"/>
  <c r="L241" i="79"/>
  <c r="I241" i="79"/>
  <c r="F241" i="79"/>
  <c r="O240" i="79"/>
  <c r="L240" i="79"/>
  <c r="I240" i="79"/>
  <c r="F240" i="79"/>
  <c r="O239" i="79"/>
  <c r="L239" i="79"/>
  <c r="I239" i="79"/>
  <c r="F239" i="79"/>
  <c r="F238" i="79" s="1"/>
  <c r="O238" i="79"/>
  <c r="N238" i="79"/>
  <c r="M238" i="79"/>
  <c r="K238" i="79"/>
  <c r="J238" i="79"/>
  <c r="H238" i="79"/>
  <c r="G238" i="79"/>
  <c r="E238" i="79"/>
  <c r="D238" i="79"/>
  <c r="O237" i="79"/>
  <c r="L237" i="79"/>
  <c r="I237" i="79"/>
  <c r="F237" i="79"/>
  <c r="O236" i="79"/>
  <c r="L236" i="79"/>
  <c r="L235" i="79" s="1"/>
  <c r="I236" i="79"/>
  <c r="F236" i="79"/>
  <c r="O235" i="79"/>
  <c r="N235" i="79"/>
  <c r="M235" i="79"/>
  <c r="M231" i="79" s="1"/>
  <c r="K235" i="79"/>
  <c r="J235" i="79"/>
  <c r="H235" i="79"/>
  <c r="G235" i="79"/>
  <c r="E235" i="79"/>
  <c r="D235" i="79"/>
  <c r="O234" i="79"/>
  <c r="O233" i="79" s="1"/>
  <c r="L234" i="79"/>
  <c r="I234" i="79"/>
  <c r="F234" i="79"/>
  <c r="N233" i="79"/>
  <c r="N231" i="79" s="1"/>
  <c r="N230" i="79" s="1"/>
  <c r="M233" i="79"/>
  <c r="K233" i="79"/>
  <c r="J233" i="79"/>
  <c r="I233" i="79"/>
  <c r="H233" i="79"/>
  <c r="G233" i="79"/>
  <c r="F233" i="79"/>
  <c r="E233" i="79"/>
  <c r="D233" i="79"/>
  <c r="O232" i="79"/>
  <c r="L232" i="79"/>
  <c r="I232" i="79"/>
  <c r="F232" i="79"/>
  <c r="O229" i="79"/>
  <c r="L229" i="79"/>
  <c r="I229" i="79"/>
  <c r="F229" i="79"/>
  <c r="O228" i="79"/>
  <c r="L228" i="79"/>
  <c r="L227" i="79" s="1"/>
  <c r="I228" i="79"/>
  <c r="F228" i="79"/>
  <c r="O227" i="79"/>
  <c r="N227" i="79"/>
  <c r="M227" i="79"/>
  <c r="K227" i="79"/>
  <c r="J227" i="79"/>
  <c r="H227" i="79"/>
  <c r="G227" i="79"/>
  <c r="F227" i="79"/>
  <c r="E227" i="79"/>
  <c r="D227" i="79"/>
  <c r="O226" i="79"/>
  <c r="L226" i="79"/>
  <c r="I226" i="79"/>
  <c r="F226" i="79"/>
  <c r="O225" i="79"/>
  <c r="L225" i="79"/>
  <c r="I225" i="79"/>
  <c r="F225" i="79"/>
  <c r="O224" i="79"/>
  <c r="L224" i="79"/>
  <c r="I224" i="79"/>
  <c r="F224" i="79"/>
  <c r="O223" i="79"/>
  <c r="L223" i="79"/>
  <c r="I223" i="79"/>
  <c r="F223" i="79"/>
  <c r="O222" i="79"/>
  <c r="L222" i="79"/>
  <c r="I222" i="79"/>
  <c r="F222" i="79"/>
  <c r="C222" i="79" s="1"/>
  <c r="O221" i="79"/>
  <c r="L221" i="79"/>
  <c r="I221" i="79"/>
  <c r="F221" i="79"/>
  <c r="O220" i="79"/>
  <c r="L220" i="79"/>
  <c r="I220" i="79"/>
  <c r="F220" i="79"/>
  <c r="O219" i="79"/>
  <c r="L219" i="79"/>
  <c r="I219" i="79"/>
  <c r="F219" i="79"/>
  <c r="O218" i="79"/>
  <c r="L218" i="79"/>
  <c r="I218" i="79"/>
  <c r="F218" i="79"/>
  <c r="O217" i="79"/>
  <c r="L217" i="79"/>
  <c r="I217" i="79"/>
  <c r="F217" i="79"/>
  <c r="N216" i="79"/>
  <c r="M216" i="79"/>
  <c r="M204" i="79" s="1"/>
  <c r="K216" i="79"/>
  <c r="J216" i="79"/>
  <c r="H216" i="79"/>
  <c r="G216" i="79"/>
  <c r="G204" i="79" s="1"/>
  <c r="E216" i="79"/>
  <c r="D216" i="79"/>
  <c r="O215" i="79"/>
  <c r="L215" i="79"/>
  <c r="I215" i="79"/>
  <c r="F215" i="79"/>
  <c r="O214" i="79"/>
  <c r="L214" i="79"/>
  <c r="I214" i="79"/>
  <c r="F214" i="79"/>
  <c r="O213" i="79"/>
  <c r="L213" i="79"/>
  <c r="I213" i="79"/>
  <c r="F213" i="79"/>
  <c r="O212" i="79"/>
  <c r="L212" i="79"/>
  <c r="I212" i="79"/>
  <c r="F212" i="79"/>
  <c r="O211" i="79"/>
  <c r="L211" i="79"/>
  <c r="C211" i="79" s="1"/>
  <c r="I211" i="79"/>
  <c r="F211" i="79"/>
  <c r="O210" i="79"/>
  <c r="L210" i="79"/>
  <c r="C210" i="79" s="1"/>
  <c r="I210" i="79"/>
  <c r="F210" i="79"/>
  <c r="O209" i="79"/>
  <c r="L209" i="79"/>
  <c r="I209" i="79"/>
  <c r="F209" i="79"/>
  <c r="O208" i="79"/>
  <c r="L208" i="79"/>
  <c r="I208" i="79"/>
  <c r="F208" i="79"/>
  <c r="O207" i="79"/>
  <c r="L207" i="79"/>
  <c r="I207" i="79"/>
  <c r="F207" i="79"/>
  <c r="O206" i="79"/>
  <c r="L206" i="79"/>
  <c r="C206" i="79" s="1"/>
  <c r="I206" i="79"/>
  <c r="F206" i="79"/>
  <c r="N205" i="79"/>
  <c r="M205" i="79"/>
  <c r="K205" i="79"/>
  <c r="J205" i="79"/>
  <c r="H205" i="79"/>
  <c r="H204" i="79" s="1"/>
  <c r="G205" i="79"/>
  <c r="E205" i="79"/>
  <c r="D205" i="79"/>
  <c r="D204" i="79" s="1"/>
  <c r="K204" i="79"/>
  <c r="O203" i="79"/>
  <c r="L203" i="79"/>
  <c r="I203" i="79"/>
  <c r="F203" i="79"/>
  <c r="O202" i="79"/>
  <c r="L202" i="79"/>
  <c r="I202" i="79"/>
  <c r="F202" i="79"/>
  <c r="O201" i="79"/>
  <c r="L201" i="79"/>
  <c r="I201" i="79"/>
  <c r="F201" i="79"/>
  <c r="O200" i="79"/>
  <c r="L200" i="79"/>
  <c r="I200" i="79"/>
  <c r="F200" i="79"/>
  <c r="O199" i="79"/>
  <c r="L199" i="79"/>
  <c r="L198" i="79" s="1"/>
  <c r="I199" i="79"/>
  <c r="F199" i="79"/>
  <c r="F198" i="79" s="1"/>
  <c r="O198" i="79"/>
  <c r="N198" i="79"/>
  <c r="M198" i="79"/>
  <c r="K198" i="79"/>
  <c r="K196" i="79" s="1"/>
  <c r="J198" i="79"/>
  <c r="J196" i="79" s="1"/>
  <c r="H198" i="79"/>
  <c r="H196" i="79" s="1"/>
  <c r="G198" i="79"/>
  <c r="G196" i="79" s="1"/>
  <c r="E198" i="79"/>
  <c r="D198" i="79"/>
  <c r="D196" i="79" s="1"/>
  <c r="O197" i="79"/>
  <c r="L197" i="79"/>
  <c r="I197" i="79"/>
  <c r="F197" i="79"/>
  <c r="N196" i="79"/>
  <c r="M196" i="79"/>
  <c r="E196" i="79"/>
  <c r="O193" i="79"/>
  <c r="L193" i="79"/>
  <c r="L192" i="79" s="1"/>
  <c r="L191" i="79" s="1"/>
  <c r="I193" i="79"/>
  <c r="I192" i="79" s="1"/>
  <c r="I191" i="79" s="1"/>
  <c r="F193" i="79"/>
  <c r="O192" i="79"/>
  <c r="O191" i="79" s="1"/>
  <c r="N192" i="79"/>
  <c r="N191" i="79" s="1"/>
  <c r="M192" i="79"/>
  <c r="M191" i="79" s="1"/>
  <c r="K192" i="79"/>
  <c r="J192" i="79"/>
  <c r="J191" i="79" s="1"/>
  <c r="H192" i="79"/>
  <c r="H191" i="79" s="1"/>
  <c r="G192" i="79"/>
  <c r="F192" i="79"/>
  <c r="E192" i="79"/>
  <c r="E191" i="79" s="1"/>
  <c r="D192" i="79"/>
  <c r="D191" i="79" s="1"/>
  <c r="K191" i="79"/>
  <c r="G191" i="79"/>
  <c r="O190" i="79"/>
  <c r="L190" i="79"/>
  <c r="I190" i="79"/>
  <c r="F190" i="79"/>
  <c r="O189" i="79"/>
  <c r="L189" i="79"/>
  <c r="L188" i="79" s="1"/>
  <c r="I189" i="79"/>
  <c r="I188" i="79" s="1"/>
  <c r="I187" i="79" s="1"/>
  <c r="F189" i="79"/>
  <c r="N188" i="79"/>
  <c r="M188" i="79"/>
  <c r="M187" i="79" s="1"/>
  <c r="K188" i="79"/>
  <c r="J188" i="79"/>
  <c r="J187" i="79" s="1"/>
  <c r="H188" i="79"/>
  <c r="G188" i="79"/>
  <c r="F188" i="79"/>
  <c r="E188" i="79"/>
  <c r="E187" i="79" s="1"/>
  <c r="D188" i="79"/>
  <c r="D187" i="79" s="1"/>
  <c r="O186" i="79"/>
  <c r="L186" i="79"/>
  <c r="I186" i="79"/>
  <c r="F186" i="79"/>
  <c r="O185" i="79"/>
  <c r="L185" i="79"/>
  <c r="L184" i="79" s="1"/>
  <c r="I185" i="79"/>
  <c r="I184" i="79" s="1"/>
  <c r="F185" i="79"/>
  <c r="F184" i="79" s="1"/>
  <c r="N184" i="79"/>
  <c r="M184" i="79"/>
  <c r="K184" i="79"/>
  <c r="J184" i="79"/>
  <c r="H184" i="79"/>
  <c r="G184" i="79"/>
  <c r="E184" i="79"/>
  <c r="D184" i="79"/>
  <c r="O183" i="79"/>
  <c r="L183" i="79"/>
  <c r="I183" i="79"/>
  <c r="F183" i="79"/>
  <c r="O182" i="79"/>
  <c r="L182" i="79"/>
  <c r="I182" i="79"/>
  <c r="F182" i="79"/>
  <c r="O181" i="79"/>
  <c r="L181" i="79"/>
  <c r="I181" i="79"/>
  <c r="F181" i="79"/>
  <c r="O180" i="79"/>
  <c r="L180" i="79"/>
  <c r="L179" i="79" s="1"/>
  <c r="I180" i="79"/>
  <c r="F180" i="79"/>
  <c r="N179" i="79"/>
  <c r="M179" i="79"/>
  <c r="K179" i="79"/>
  <c r="J179" i="79"/>
  <c r="H179" i="79"/>
  <c r="G179" i="79"/>
  <c r="E179" i="79"/>
  <c r="E174" i="79" s="1"/>
  <c r="E173" i="79" s="1"/>
  <c r="D179" i="79"/>
  <c r="O178" i="79"/>
  <c r="L178" i="79"/>
  <c r="I178" i="79"/>
  <c r="F178" i="79"/>
  <c r="O177" i="79"/>
  <c r="L177" i="79"/>
  <c r="I177" i="79"/>
  <c r="F177" i="79"/>
  <c r="O176" i="79"/>
  <c r="L176" i="79"/>
  <c r="L175" i="79" s="1"/>
  <c r="I176" i="79"/>
  <c r="I175" i="79" s="1"/>
  <c r="F176" i="79"/>
  <c r="O175" i="79"/>
  <c r="N175" i="79"/>
  <c r="M175" i="79"/>
  <c r="M174" i="79" s="1"/>
  <c r="M173" i="79" s="1"/>
  <c r="K175" i="79"/>
  <c r="J175" i="79"/>
  <c r="J174" i="79" s="1"/>
  <c r="J173" i="79" s="1"/>
  <c r="H175" i="79"/>
  <c r="G175" i="79"/>
  <c r="E175" i="79"/>
  <c r="D175" i="79"/>
  <c r="D174" i="79" s="1"/>
  <c r="D173" i="79" s="1"/>
  <c r="O172" i="79"/>
  <c r="L172" i="79"/>
  <c r="I172" i="79"/>
  <c r="F172" i="79"/>
  <c r="O171" i="79"/>
  <c r="L171" i="79"/>
  <c r="I171" i="79"/>
  <c r="F171" i="79"/>
  <c r="O170" i="79"/>
  <c r="L170" i="79"/>
  <c r="I170" i="79"/>
  <c r="F170" i="79"/>
  <c r="O169" i="79"/>
  <c r="L169" i="79"/>
  <c r="I169" i="79"/>
  <c r="F169" i="79"/>
  <c r="O168" i="79"/>
  <c r="L168" i="79"/>
  <c r="I168" i="79"/>
  <c r="F168" i="79"/>
  <c r="O167" i="79"/>
  <c r="O166" i="79" s="1"/>
  <c r="O165" i="79" s="1"/>
  <c r="L167" i="79"/>
  <c r="I167" i="79"/>
  <c r="F167" i="79"/>
  <c r="C167" i="79"/>
  <c r="N166" i="79"/>
  <c r="M166" i="79"/>
  <c r="K166" i="79"/>
  <c r="K165" i="79" s="1"/>
  <c r="J166" i="79"/>
  <c r="J165" i="79" s="1"/>
  <c r="H166" i="79"/>
  <c r="H165" i="79" s="1"/>
  <c r="G166" i="79"/>
  <c r="G165" i="79" s="1"/>
  <c r="E166" i="79"/>
  <c r="D166" i="79"/>
  <c r="D165" i="79" s="1"/>
  <c r="N165" i="79"/>
  <c r="M165" i="79"/>
  <c r="E165" i="79"/>
  <c r="O164" i="79"/>
  <c r="L164" i="79"/>
  <c r="I164" i="79"/>
  <c r="F164" i="79"/>
  <c r="O163" i="79"/>
  <c r="L163" i="79"/>
  <c r="I163" i="79"/>
  <c r="F163" i="79"/>
  <c r="O162" i="79"/>
  <c r="L162" i="79"/>
  <c r="I162" i="79"/>
  <c r="F162" i="79"/>
  <c r="O161" i="79"/>
  <c r="O160" i="79" s="1"/>
  <c r="L161" i="79"/>
  <c r="L160" i="79" s="1"/>
  <c r="I161" i="79"/>
  <c r="I160" i="79" s="1"/>
  <c r="F161" i="79"/>
  <c r="N160" i="79"/>
  <c r="M160" i="79"/>
  <c r="K160" i="79"/>
  <c r="J160" i="79"/>
  <c r="H160" i="79"/>
  <c r="G160" i="79"/>
  <c r="E160" i="79"/>
  <c r="D160" i="79"/>
  <c r="O159" i="79"/>
  <c r="L159" i="79"/>
  <c r="I159" i="79"/>
  <c r="F159" i="79"/>
  <c r="O158" i="79"/>
  <c r="L158" i="79"/>
  <c r="I158" i="79"/>
  <c r="F158" i="79"/>
  <c r="O157" i="79"/>
  <c r="L157" i="79"/>
  <c r="I157" i="79"/>
  <c r="F157" i="79"/>
  <c r="O156" i="79"/>
  <c r="L156" i="79"/>
  <c r="I156" i="79"/>
  <c r="F156" i="79"/>
  <c r="O155" i="79"/>
  <c r="L155" i="79"/>
  <c r="I155" i="79"/>
  <c r="F155" i="79"/>
  <c r="O154" i="79"/>
  <c r="L154" i="79"/>
  <c r="I154" i="79"/>
  <c r="F154" i="79"/>
  <c r="O153" i="79"/>
  <c r="L153" i="79"/>
  <c r="I153" i="79"/>
  <c r="F153" i="79"/>
  <c r="O152" i="79"/>
  <c r="L152" i="79"/>
  <c r="I152" i="79"/>
  <c r="F152" i="79"/>
  <c r="N151" i="79"/>
  <c r="M151" i="79"/>
  <c r="K151" i="79"/>
  <c r="J151" i="79"/>
  <c r="H151" i="79"/>
  <c r="G151" i="79"/>
  <c r="E151" i="79"/>
  <c r="D151" i="79"/>
  <c r="O150" i="79"/>
  <c r="L150" i="79"/>
  <c r="I150" i="79"/>
  <c r="F150" i="79"/>
  <c r="O149" i="79"/>
  <c r="L149" i="79"/>
  <c r="I149" i="79"/>
  <c r="F149" i="79"/>
  <c r="O148" i="79"/>
  <c r="L148" i="79"/>
  <c r="I148" i="79"/>
  <c r="F148" i="79"/>
  <c r="O147" i="79"/>
  <c r="L147" i="79"/>
  <c r="I147" i="79"/>
  <c r="F147" i="79"/>
  <c r="O146" i="79"/>
  <c r="L146" i="79"/>
  <c r="I146" i="79"/>
  <c r="F146" i="79"/>
  <c r="O145" i="79"/>
  <c r="O144" i="79" s="1"/>
  <c r="L145" i="79"/>
  <c r="I145" i="79"/>
  <c r="F145" i="79"/>
  <c r="N144" i="79"/>
  <c r="M144" i="79"/>
  <c r="K144" i="79"/>
  <c r="J144" i="79"/>
  <c r="H144" i="79"/>
  <c r="G144" i="79"/>
  <c r="E144" i="79"/>
  <c r="D144" i="79"/>
  <c r="O143" i="79"/>
  <c r="L143" i="79"/>
  <c r="I143" i="79"/>
  <c r="F143" i="79"/>
  <c r="O142" i="79"/>
  <c r="L142" i="79"/>
  <c r="L141" i="79" s="1"/>
  <c r="I142" i="79"/>
  <c r="F142" i="79"/>
  <c r="O141" i="79"/>
  <c r="N141" i="79"/>
  <c r="M141" i="79"/>
  <c r="K141" i="79"/>
  <c r="J141" i="79"/>
  <c r="H141" i="79"/>
  <c r="G141" i="79"/>
  <c r="E141" i="79"/>
  <c r="D141" i="79"/>
  <c r="O140" i="79"/>
  <c r="L140" i="79"/>
  <c r="I140" i="79"/>
  <c r="F140" i="79"/>
  <c r="O139" i="79"/>
  <c r="L139" i="79"/>
  <c r="I139" i="79"/>
  <c r="F139" i="79"/>
  <c r="O138" i="79"/>
  <c r="L138" i="79"/>
  <c r="I138" i="79"/>
  <c r="F138" i="79"/>
  <c r="O137" i="79"/>
  <c r="O136" i="79" s="1"/>
  <c r="L137" i="79"/>
  <c r="I137" i="79"/>
  <c r="F137" i="79"/>
  <c r="F136" i="79" s="1"/>
  <c r="N136" i="79"/>
  <c r="M136" i="79"/>
  <c r="K136" i="79"/>
  <c r="J136" i="79"/>
  <c r="H136" i="79"/>
  <c r="G136" i="79"/>
  <c r="E136" i="79"/>
  <c r="D136" i="79"/>
  <c r="O135" i="79"/>
  <c r="L135" i="79"/>
  <c r="I135" i="79"/>
  <c r="F135" i="79"/>
  <c r="O134" i="79"/>
  <c r="L134" i="79"/>
  <c r="I134" i="79"/>
  <c r="F134" i="79"/>
  <c r="O133" i="79"/>
  <c r="L133" i="79"/>
  <c r="I133" i="79"/>
  <c r="C133" i="79" s="1"/>
  <c r="F133" i="79"/>
  <c r="O132" i="79"/>
  <c r="L132" i="79"/>
  <c r="L131" i="79" s="1"/>
  <c r="I132" i="79"/>
  <c r="I131" i="79" s="1"/>
  <c r="F132" i="79"/>
  <c r="O131" i="79"/>
  <c r="N131" i="79"/>
  <c r="M131" i="79"/>
  <c r="K131" i="79"/>
  <c r="J131" i="79"/>
  <c r="H131" i="79"/>
  <c r="G131" i="79"/>
  <c r="E131" i="79"/>
  <c r="D131" i="79"/>
  <c r="O129" i="79"/>
  <c r="O128" i="79" s="1"/>
  <c r="L129" i="79"/>
  <c r="L128" i="79" s="1"/>
  <c r="I129" i="79"/>
  <c r="I128" i="79" s="1"/>
  <c r="F129" i="79"/>
  <c r="N128" i="79"/>
  <c r="M128" i="79"/>
  <c r="K128" i="79"/>
  <c r="J128" i="79"/>
  <c r="H128" i="79"/>
  <c r="G128" i="79"/>
  <c r="F128" i="79"/>
  <c r="E128" i="79"/>
  <c r="D128" i="79"/>
  <c r="O127" i="79"/>
  <c r="L127" i="79"/>
  <c r="I127" i="79"/>
  <c r="F127" i="79"/>
  <c r="O126" i="79"/>
  <c r="L126" i="79"/>
  <c r="I126" i="79"/>
  <c r="F126" i="79"/>
  <c r="O125" i="79"/>
  <c r="L125" i="79"/>
  <c r="I125" i="79"/>
  <c r="F125" i="79"/>
  <c r="O124" i="79"/>
  <c r="L124" i="79"/>
  <c r="I124" i="79"/>
  <c r="F124" i="79"/>
  <c r="O123" i="79"/>
  <c r="L123" i="79"/>
  <c r="I123" i="79"/>
  <c r="F123" i="79"/>
  <c r="N122" i="79"/>
  <c r="M122" i="79"/>
  <c r="K122" i="79"/>
  <c r="J122" i="79"/>
  <c r="H122" i="79"/>
  <c r="G122" i="79"/>
  <c r="E122" i="79"/>
  <c r="D122" i="79"/>
  <c r="O121" i="79"/>
  <c r="L121" i="79"/>
  <c r="I121" i="79"/>
  <c r="F121" i="79"/>
  <c r="C121" i="79" s="1"/>
  <c r="O120" i="79"/>
  <c r="L120" i="79"/>
  <c r="I120" i="79"/>
  <c r="F120" i="79"/>
  <c r="O119" i="79"/>
  <c r="L119" i="79"/>
  <c r="I119" i="79"/>
  <c r="F119" i="79"/>
  <c r="O118" i="79"/>
  <c r="L118" i="79"/>
  <c r="I118" i="79"/>
  <c r="F118" i="79"/>
  <c r="O117" i="79"/>
  <c r="L117" i="79"/>
  <c r="I117" i="79"/>
  <c r="I116" i="79" s="1"/>
  <c r="F117" i="79"/>
  <c r="N116" i="79"/>
  <c r="M116" i="79"/>
  <c r="K116" i="79"/>
  <c r="J116" i="79"/>
  <c r="H116" i="79"/>
  <c r="G116" i="79"/>
  <c r="E116" i="79"/>
  <c r="D116" i="79"/>
  <c r="O115" i="79"/>
  <c r="L115" i="79"/>
  <c r="I115" i="79"/>
  <c r="C115" i="79" s="1"/>
  <c r="F115" i="79"/>
  <c r="O114" i="79"/>
  <c r="L114" i="79"/>
  <c r="I114" i="79"/>
  <c r="F114" i="79"/>
  <c r="O113" i="79"/>
  <c r="O112" i="79" s="1"/>
  <c r="L113" i="79"/>
  <c r="I113" i="79"/>
  <c r="I112" i="79" s="1"/>
  <c r="F113" i="79"/>
  <c r="N112" i="79"/>
  <c r="M112" i="79"/>
  <c r="K112" i="79"/>
  <c r="J112" i="79"/>
  <c r="H112" i="79"/>
  <c r="G112" i="79"/>
  <c r="F112" i="79"/>
  <c r="E112" i="79"/>
  <c r="D112" i="79"/>
  <c r="O111" i="79"/>
  <c r="L111" i="79"/>
  <c r="I111" i="79"/>
  <c r="F111" i="79"/>
  <c r="O110" i="79"/>
  <c r="L110" i="79"/>
  <c r="I110" i="79"/>
  <c r="F110" i="79"/>
  <c r="O109" i="79"/>
  <c r="L109" i="79"/>
  <c r="I109" i="79"/>
  <c r="F109" i="79"/>
  <c r="O108" i="79"/>
  <c r="L108" i="79"/>
  <c r="I108" i="79"/>
  <c r="F108" i="79"/>
  <c r="O107" i="79"/>
  <c r="L107" i="79"/>
  <c r="I107" i="79"/>
  <c r="F107" i="79"/>
  <c r="O106" i="79"/>
  <c r="L106" i="79"/>
  <c r="I106" i="79"/>
  <c r="F106" i="79"/>
  <c r="O105" i="79"/>
  <c r="L105" i="79"/>
  <c r="I105" i="79"/>
  <c r="F105" i="79"/>
  <c r="O104" i="79"/>
  <c r="L104" i="79"/>
  <c r="I104" i="79"/>
  <c r="I103" i="79" s="1"/>
  <c r="F104" i="79"/>
  <c r="N103" i="79"/>
  <c r="M103" i="79"/>
  <c r="K103" i="79"/>
  <c r="J103" i="79"/>
  <c r="H103" i="79"/>
  <c r="G103" i="79"/>
  <c r="E103" i="79"/>
  <c r="D103" i="79"/>
  <c r="O102" i="79"/>
  <c r="L102" i="79"/>
  <c r="I102" i="79"/>
  <c r="F102" i="79"/>
  <c r="O101" i="79"/>
  <c r="L101" i="79"/>
  <c r="I101" i="79"/>
  <c r="F101" i="79"/>
  <c r="O100" i="79"/>
  <c r="L100" i="79"/>
  <c r="I100" i="79"/>
  <c r="F100" i="79"/>
  <c r="O99" i="79"/>
  <c r="L99" i="79"/>
  <c r="I99" i="79"/>
  <c r="F99" i="79"/>
  <c r="O98" i="79"/>
  <c r="L98" i="79"/>
  <c r="I98" i="79"/>
  <c r="F98" i="79"/>
  <c r="O97" i="79"/>
  <c r="L97" i="79"/>
  <c r="C97" i="79" s="1"/>
  <c r="I97" i="79"/>
  <c r="F97" i="79"/>
  <c r="O96" i="79"/>
  <c r="L96" i="79"/>
  <c r="I96" i="79"/>
  <c r="F96" i="79"/>
  <c r="N95" i="79"/>
  <c r="M95" i="79"/>
  <c r="K95" i="79"/>
  <c r="J95" i="79"/>
  <c r="H95" i="79"/>
  <c r="G95" i="79"/>
  <c r="E95" i="79"/>
  <c r="D95" i="79"/>
  <c r="O94" i="79"/>
  <c r="L94" i="79"/>
  <c r="I94" i="79"/>
  <c r="F94" i="79"/>
  <c r="O93" i="79"/>
  <c r="L93" i="79"/>
  <c r="I93" i="79"/>
  <c r="F93" i="79"/>
  <c r="O92" i="79"/>
  <c r="L92" i="79"/>
  <c r="I92" i="79"/>
  <c r="F92" i="79"/>
  <c r="O91" i="79"/>
  <c r="O89" i="79" s="1"/>
  <c r="L91" i="79"/>
  <c r="I91" i="79"/>
  <c r="F91" i="79"/>
  <c r="O90" i="79"/>
  <c r="L90" i="79"/>
  <c r="I90" i="79"/>
  <c r="F90" i="79"/>
  <c r="N89" i="79"/>
  <c r="M89" i="79"/>
  <c r="K89" i="79"/>
  <c r="J89" i="79"/>
  <c r="H89" i="79"/>
  <c r="G89" i="79"/>
  <c r="E89" i="79"/>
  <c r="D89" i="79"/>
  <c r="O88" i="79"/>
  <c r="L88" i="79"/>
  <c r="I88" i="79"/>
  <c r="F88" i="79"/>
  <c r="O87" i="79"/>
  <c r="L87" i="79"/>
  <c r="I87" i="79"/>
  <c r="F87" i="79"/>
  <c r="C87" i="79"/>
  <c r="O86" i="79"/>
  <c r="L86" i="79"/>
  <c r="I86" i="79"/>
  <c r="F86" i="79"/>
  <c r="C86" i="79" s="1"/>
  <c r="O85" i="79"/>
  <c r="L85" i="79"/>
  <c r="I85" i="79"/>
  <c r="F85" i="79"/>
  <c r="C85" i="79" s="1"/>
  <c r="N84" i="79"/>
  <c r="M84" i="79"/>
  <c r="K84" i="79"/>
  <c r="J84" i="79"/>
  <c r="H84" i="79"/>
  <c r="G84" i="79"/>
  <c r="E84" i="79"/>
  <c r="D84" i="79"/>
  <c r="O82" i="79"/>
  <c r="L82" i="79"/>
  <c r="I82" i="79"/>
  <c r="F82" i="79"/>
  <c r="O81" i="79"/>
  <c r="O80" i="79" s="1"/>
  <c r="L81" i="79"/>
  <c r="I81" i="79"/>
  <c r="F81" i="79"/>
  <c r="N80" i="79"/>
  <c r="M80" i="79"/>
  <c r="K80" i="79"/>
  <c r="J80" i="79"/>
  <c r="J76" i="79" s="1"/>
  <c r="I80" i="79"/>
  <c r="H80" i="79"/>
  <c r="G80" i="79"/>
  <c r="F80" i="79"/>
  <c r="E80" i="79"/>
  <c r="D80" i="79"/>
  <c r="O79" i="79"/>
  <c r="L79" i="79"/>
  <c r="I79" i="79"/>
  <c r="F79" i="79"/>
  <c r="O78" i="79"/>
  <c r="L78" i="79"/>
  <c r="L77" i="79" s="1"/>
  <c r="I78" i="79"/>
  <c r="F78" i="79"/>
  <c r="F77" i="79" s="1"/>
  <c r="O77" i="79"/>
  <c r="N77" i="79"/>
  <c r="M77" i="79"/>
  <c r="K77" i="79"/>
  <c r="K76" i="79" s="1"/>
  <c r="J77" i="79"/>
  <c r="H77" i="79"/>
  <c r="H76" i="79" s="1"/>
  <c r="G77" i="79"/>
  <c r="G76" i="79" s="1"/>
  <c r="E77" i="79"/>
  <c r="D77" i="79"/>
  <c r="M76" i="79"/>
  <c r="O74" i="79"/>
  <c r="L74" i="79"/>
  <c r="I74" i="79"/>
  <c r="F74" i="79"/>
  <c r="O73" i="79"/>
  <c r="L73" i="79"/>
  <c r="I73" i="79"/>
  <c r="F73" i="79"/>
  <c r="O72" i="79"/>
  <c r="L72" i="79"/>
  <c r="I72" i="79"/>
  <c r="F72" i="79"/>
  <c r="C72" i="79" s="1"/>
  <c r="O71" i="79"/>
  <c r="L71" i="79"/>
  <c r="I71" i="79"/>
  <c r="F71" i="79"/>
  <c r="O70" i="79"/>
  <c r="L70" i="79"/>
  <c r="I70" i="79"/>
  <c r="F70" i="79"/>
  <c r="C70" i="79" s="1"/>
  <c r="N69" i="79"/>
  <c r="M69" i="79"/>
  <c r="K69" i="79"/>
  <c r="K67" i="79" s="1"/>
  <c r="J69" i="79"/>
  <c r="J67" i="79" s="1"/>
  <c r="H69" i="79"/>
  <c r="H67" i="79" s="1"/>
  <c r="G69" i="79"/>
  <c r="G67" i="79" s="1"/>
  <c r="E69" i="79"/>
  <c r="E67" i="79" s="1"/>
  <c r="D69" i="79"/>
  <c r="D67" i="79" s="1"/>
  <c r="O68" i="79"/>
  <c r="L68" i="79"/>
  <c r="I68" i="79"/>
  <c r="F68" i="79"/>
  <c r="N67" i="79"/>
  <c r="M67" i="79"/>
  <c r="O66" i="79"/>
  <c r="L66" i="79"/>
  <c r="I66" i="79"/>
  <c r="F66" i="79"/>
  <c r="O65" i="79"/>
  <c r="L65" i="79"/>
  <c r="I65" i="79"/>
  <c r="F65" i="79"/>
  <c r="O64" i="79"/>
  <c r="L64" i="79"/>
  <c r="I64" i="79"/>
  <c r="F64" i="79"/>
  <c r="O63" i="79"/>
  <c r="L63" i="79"/>
  <c r="I63" i="79"/>
  <c r="F63" i="79"/>
  <c r="O62" i="79"/>
  <c r="L62" i="79"/>
  <c r="I62" i="79"/>
  <c r="F62" i="79"/>
  <c r="O61" i="79"/>
  <c r="L61" i="79"/>
  <c r="I61" i="79"/>
  <c r="F61" i="79"/>
  <c r="O60" i="79"/>
  <c r="L60" i="79"/>
  <c r="I60" i="79"/>
  <c r="F60" i="79"/>
  <c r="O59" i="79"/>
  <c r="L59" i="79"/>
  <c r="L58" i="79" s="1"/>
  <c r="I59" i="79"/>
  <c r="I58" i="79" s="1"/>
  <c r="F59" i="79"/>
  <c r="N58" i="79"/>
  <c r="M58" i="79"/>
  <c r="K58" i="79"/>
  <c r="J58" i="79"/>
  <c r="H58" i="79"/>
  <c r="H54" i="79" s="1"/>
  <c r="G58" i="79"/>
  <c r="E58" i="79"/>
  <c r="D58" i="79"/>
  <c r="O57" i="79"/>
  <c r="L57" i="79"/>
  <c r="I57" i="79"/>
  <c r="F57" i="79"/>
  <c r="O56" i="79"/>
  <c r="L56" i="79"/>
  <c r="L55" i="79" s="1"/>
  <c r="L54" i="79" s="1"/>
  <c r="I56" i="79"/>
  <c r="F56" i="79"/>
  <c r="O55" i="79"/>
  <c r="N55" i="79"/>
  <c r="M55" i="79"/>
  <c r="K55" i="79"/>
  <c r="J55" i="79"/>
  <c r="I55" i="79"/>
  <c r="H55" i="79"/>
  <c r="G55" i="79"/>
  <c r="F55" i="79"/>
  <c r="E55" i="79"/>
  <c r="E54" i="79" s="1"/>
  <c r="D55" i="79"/>
  <c r="K54" i="79"/>
  <c r="K53" i="79" s="1"/>
  <c r="J54" i="79"/>
  <c r="H53" i="79"/>
  <c r="O47" i="79"/>
  <c r="C47" i="79" s="1"/>
  <c r="O46" i="79"/>
  <c r="C46" i="79"/>
  <c r="N45" i="79"/>
  <c r="M45" i="79"/>
  <c r="L44" i="79"/>
  <c r="L43" i="79" s="1"/>
  <c r="I44" i="79"/>
  <c r="I43" i="79" s="1"/>
  <c r="F44" i="79"/>
  <c r="K43" i="79"/>
  <c r="J43" i="79"/>
  <c r="H43" i="79"/>
  <c r="G43" i="79"/>
  <c r="E43" i="79"/>
  <c r="D43" i="79"/>
  <c r="F42" i="79"/>
  <c r="F41" i="79" s="1"/>
  <c r="C41" i="79" s="1"/>
  <c r="E41" i="79"/>
  <c r="D41" i="79"/>
  <c r="L40" i="79"/>
  <c r="C40" i="79" s="1"/>
  <c r="L39" i="79"/>
  <c r="C39" i="79"/>
  <c r="L38" i="79"/>
  <c r="C38" i="79" s="1"/>
  <c r="L37" i="79"/>
  <c r="C37" i="79" s="1"/>
  <c r="K36" i="79"/>
  <c r="J36" i="79"/>
  <c r="L35" i="79"/>
  <c r="C35" i="79" s="1"/>
  <c r="L34" i="79"/>
  <c r="C34" i="79"/>
  <c r="K33" i="79"/>
  <c r="J33" i="79"/>
  <c r="L32" i="79"/>
  <c r="C32" i="79" s="1"/>
  <c r="K31" i="79"/>
  <c r="J31" i="79"/>
  <c r="L30" i="79"/>
  <c r="C30" i="79" s="1"/>
  <c r="L29" i="79"/>
  <c r="C29" i="79" s="1"/>
  <c r="L28" i="79"/>
  <c r="C28" i="79" s="1"/>
  <c r="K27" i="79"/>
  <c r="J27" i="79"/>
  <c r="F25" i="79"/>
  <c r="C25" i="79" s="1"/>
  <c r="I24" i="79"/>
  <c r="E24" i="79"/>
  <c r="O23" i="79"/>
  <c r="L23" i="79"/>
  <c r="I23" i="79"/>
  <c r="F23" i="79"/>
  <c r="O22" i="79"/>
  <c r="O21" i="79" s="1"/>
  <c r="L22" i="79"/>
  <c r="L21" i="79" s="1"/>
  <c r="L292" i="79" s="1"/>
  <c r="L291" i="79" s="1"/>
  <c r="I22" i="79"/>
  <c r="F22" i="79"/>
  <c r="N21" i="79"/>
  <c r="M21" i="79"/>
  <c r="M20" i="79" s="1"/>
  <c r="K21" i="79"/>
  <c r="J21" i="79"/>
  <c r="H21" i="79"/>
  <c r="H292" i="79" s="1"/>
  <c r="G21" i="79"/>
  <c r="G292" i="79" s="1"/>
  <c r="G291" i="79" s="1"/>
  <c r="E21" i="79"/>
  <c r="D21" i="79"/>
  <c r="D292" i="79" s="1"/>
  <c r="J26" i="79" l="1"/>
  <c r="C55" i="79"/>
  <c r="C57" i="79"/>
  <c r="N54" i="79"/>
  <c r="N53" i="79" s="1"/>
  <c r="C62" i="79"/>
  <c r="E53" i="79"/>
  <c r="O95" i="79"/>
  <c r="C145" i="79"/>
  <c r="C157" i="79"/>
  <c r="C161" i="79"/>
  <c r="C163" i="79"/>
  <c r="C226" i="79"/>
  <c r="J231" i="79"/>
  <c r="C250" i="79"/>
  <c r="C258" i="79"/>
  <c r="C282" i="79"/>
  <c r="C294" i="79"/>
  <c r="I136" i="79"/>
  <c r="H187" i="79"/>
  <c r="E231" i="79"/>
  <c r="E230" i="79" s="1"/>
  <c r="D291" i="79"/>
  <c r="L31" i="79"/>
  <c r="C31" i="79" s="1"/>
  <c r="G54" i="79"/>
  <c r="D54" i="79"/>
  <c r="D53" i="79" s="1"/>
  <c r="D76" i="79"/>
  <c r="C81" i="79"/>
  <c r="C107" i="79"/>
  <c r="C127" i="79"/>
  <c r="F144" i="79"/>
  <c r="E204" i="79"/>
  <c r="C214" i="79"/>
  <c r="C218" i="79"/>
  <c r="C219" i="79"/>
  <c r="C221" i="79"/>
  <c r="C242" i="79"/>
  <c r="O260" i="79"/>
  <c r="O259" i="79" s="1"/>
  <c r="O272" i="79"/>
  <c r="G20" i="79"/>
  <c r="E292" i="79"/>
  <c r="E291" i="79" s="1"/>
  <c r="I21" i="79"/>
  <c r="I20" i="79" s="1"/>
  <c r="L33" i="79"/>
  <c r="C33" i="79" s="1"/>
  <c r="C42" i="79"/>
  <c r="O69" i="79"/>
  <c r="O67" i="79" s="1"/>
  <c r="C79" i="79"/>
  <c r="E76" i="79"/>
  <c r="N76" i="79"/>
  <c r="M83" i="79"/>
  <c r="F116" i="79"/>
  <c r="C120" i="79"/>
  <c r="C140" i="79"/>
  <c r="C186" i="79"/>
  <c r="K187" i="79"/>
  <c r="C262" i="79"/>
  <c r="D259" i="79"/>
  <c r="J259" i="79"/>
  <c r="O264" i="79"/>
  <c r="I272" i="79"/>
  <c r="D270" i="79"/>
  <c r="C278" i="79"/>
  <c r="C135" i="79"/>
  <c r="D130" i="79"/>
  <c r="L80" i="79"/>
  <c r="L76" i="79" s="1"/>
  <c r="F84" i="79"/>
  <c r="O174" i="79"/>
  <c r="N292" i="79"/>
  <c r="N291" i="79" s="1"/>
  <c r="N20" i="79"/>
  <c r="C91" i="79"/>
  <c r="C113" i="79"/>
  <c r="C147" i="79"/>
  <c r="C149" i="79"/>
  <c r="C153" i="79"/>
  <c r="C159" i="79"/>
  <c r="C171" i="79"/>
  <c r="C183" i="79"/>
  <c r="O184" i="79"/>
  <c r="C184" i="79" s="1"/>
  <c r="L233" i="79"/>
  <c r="L231" i="79" s="1"/>
  <c r="L230" i="79" s="1"/>
  <c r="C234" i="79"/>
  <c r="C23" i="79"/>
  <c r="J53" i="79"/>
  <c r="C73" i="79"/>
  <c r="I89" i="79"/>
  <c r="J130" i="79"/>
  <c r="L144" i="79"/>
  <c r="I270" i="79"/>
  <c r="I269" i="79" s="1"/>
  <c r="F43" i="79"/>
  <c r="C43" i="79" s="1"/>
  <c r="C44" i="79"/>
  <c r="J292" i="79"/>
  <c r="J291" i="79" s="1"/>
  <c r="J20" i="79"/>
  <c r="C56" i="79"/>
  <c r="C61" i="79"/>
  <c r="C65" i="79"/>
  <c r="C66" i="79"/>
  <c r="C71" i="79"/>
  <c r="O84" i="79"/>
  <c r="C84" i="79" s="1"/>
  <c r="L84" i="79"/>
  <c r="C105" i="79"/>
  <c r="C106" i="79"/>
  <c r="L112" i="79"/>
  <c r="C112" i="79" s="1"/>
  <c r="C119" i="79"/>
  <c r="C126" i="79"/>
  <c r="C139" i="79"/>
  <c r="N130" i="79"/>
  <c r="L166" i="79"/>
  <c r="L165" i="79" s="1"/>
  <c r="H174" i="79"/>
  <c r="H173" i="79" s="1"/>
  <c r="N174" i="79"/>
  <c r="N173" i="79" s="1"/>
  <c r="L174" i="79"/>
  <c r="L173" i="79" s="1"/>
  <c r="O188" i="79"/>
  <c r="O187" i="79" s="1"/>
  <c r="C202" i="79"/>
  <c r="L205" i="79"/>
  <c r="C254" i="79"/>
  <c r="O231" i="79"/>
  <c r="C215" i="79"/>
  <c r="C223" i="79"/>
  <c r="C229" i="79"/>
  <c r="K292" i="79"/>
  <c r="K291" i="79" s="1"/>
  <c r="C22" i="79"/>
  <c r="L27" i="79"/>
  <c r="C27" i="79" s="1"/>
  <c r="L36" i="79"/>
  <c r="C36" i="79" s="1"/>
  <c r="O45" i="79"/>
  <c r="M54" i="79"/>
  <c r="M53" i="79" s="1"/>
  <c r="L69" i="79"/>
  <c r="L67" i="79" s="1"/>
  <c r="L53" i="79" s="1"/>
  <c r="O76" i="79"/>
  <c r="I84" i="79"/>
  <c r="G83" i="79"/>
  <c r="C102" i="79"/>
  <c r="C109" i="79"/>
  <c r="C111" i="79"/>
  <c r="L116" i="79"/>
  <c r="C125" i="79"/>
  <c r="E130" i="79"/>
  <c r="L136" i="79"/>
  <c r="C143" i="79"/>
  <c r="C155" i="79"/>
  <c r="F160" i="79"/>
  <c r="C160" i="79" s="1"/>
  <c r="C170" i="79"/>
  <c r="K174" i="79"/>
  <c r="K173" i="79" s="1"/>
  <c r="C176" i="79"/>
  <c r="C177" i="79"/>
  <c r="O179" i="79"/>
  <c r="C190" i="79"/>
  <c r="K195" i="79"/>
  <c r="C201" i="79"/>
  <c r="H195" i="79"/>
  <c r="C213" i="79"/>
  <c r="L216" i="79"/>
  <c r="C224" i="79"/>
  <c r="D231" i="79"/>
  <c r="D230" i="79" s="1"/>
  <c r="H231" i="79"/>
  <c r="H230" i="79" s="1"/>
  <c r="G231" i="79"/>
  <c r="G230" i="79" s="1"/>
  <c r="C243" i="79"/>
  <c r="C245" i="79"/>
  <c r="O252" i="79"/>
  <c r="C263" i="79"/>
  <c r="M270" i="79"/>
  <c r="M269" i="79" s="1"/>
  <c r="O276" i="79"/>
  <c r="O270" i="79" s="1"/>
  <c r="O269" i="79" s="1"/>
  <c r="C299" i="79"/>
  <c r="C225" i="79"/>
  <c r="K231" i="79"/>
  <c r="K230" i="79" s="1"/>
  <c r="C241" i="79"/>
  <c r="C295" i="79"/>
  <c r="K26" i="79"/>
  <c r="C63" i="79"/>
  <c r="C74" i="79"/>
  <c r="E83" i="79"/>
  <c r="K83" i="79"/>
  <c r="C99" i="79"/>
  <c r="I95" i="79"/>
  <c r="O103" i="79"/>
  <c r="L122" i="79"/>
  <c r="G130" i="79"/>
  <c r="K130" i="79"/>
  <c r="H130" i="79"/>
  <c r="C150" i="79"/>
  <c r="C154" i="79"/>
  <c r="C156" i="79"/>
  <c r="C162" i="79"/>
  <c r="I166" i="79"/>
  <c r="I165" i="79" s="1"/>
  <c r="G187" i="79"/>
  <c r="L187" i="79"/>
  <c r="L196" i="79"/>
  <c r="G195" i="79"/>
  <c r="G194" i="79" s="1"/>
  <c r="C203" i="79"/>
  <c r="D195" i="79"/>
  <c r="C207" i="79"/>
  <c r="C212" i="79"/>
  <c r="J204" i="79"/>
  <c r="J195" i="79" s="1"/>
  <c r="N204" i="79"/>
  <c r="N195" i="79" s="1"/>
  <c r="N194" i="79" s="1"/>
  <c r="L238" i="79"/>
  <c r="C244" i="79"/>
  <c r="F246" i="79"/>
  <c r="C249" i="79"/>
  <c r="C255" i="79"/>
  <c r="C257" i="79"/>
  <c r="E259" i="79"/>
  <c r="C267" i="79"/>
  <c r="N270" i="79"/>
  <c r="N269" i="79" s="1"/>
  <c r="C279" i="79"/>
  <c r="D269" i="79"/>
  <c r="O292" i="79"/>
  <c r="O20" i="79"/>
  <c r="G53" i="79"/>
  <c r="C45" i="79"/>
  <c r="I179" i="79"/>
  <c r="I174" i="79" s="1"/>
  <c r="I173" i="79" s="1"/>
  <c r="C208" i="79"/>
  <c r="I205" i="79"/>
  <c r="M292" i="79"/>
  <c r="M291" i="79" s="1"/>
  <c r="C296" i="79"/>
  <c r="I293" i="79"/>
  <c r="C78" i="79"/>
  <c r="C80" i="79"/>
  <c r="C90" i="79"/>
  <c r="F89" i="79"/>
  <c r="F95" i="79"/>
  <c r="C96" i="79"/>
  <c r="F103" i="79"/>
  <c r="C104" i="79"/>
  <c r="C136" i="79"/>
  <c r="C200" i="79"/>
  <c r="I198" i="79"/>
  <c r="I196" i="79" s="1"/>
  <c r="C137" i="79"/>
  <c r="C301" i="79"/>
  <c r="F21" i="79"/>
  <c r="F58" i="79"/>
  <c r="C58" i="79" s="1"/>
  <c r="O58" i="79"/>
  <c r="O54" i="79" s="1"/>
  <c r="O53" i="79" s="1"/>
  <c r="H20" i="79"/>
  <c r="C59" i="79"/>
  <c r="C64" i="79"/>
  <c r="C68" i="79"/>
  <c r="F76" i="79"/>
  <c r="I77" i="79"/>
  <c r="C92" i="79"/>
  <c r="C93" i="79"/>
  <c r="C100" i="79"/>
  <c r="C101" i="79"/>
  <c r="C124" i="79"/>
  <c r="F122" i="79"/>
  <c r="C128" i="79"/>
  <c r="C129" i="79"/>
  <c r="F131" i="79"/>
  <c r="C132" i="79"/>
  <c r="I141" i="79"/>
  <c r="I130" i="79" s="1"/>
  <c r="L151" i="79"/>
  <c r="C178" i="79"/>
  <c r="F175" i="79"/>
  <c r="C256" i="79"/>
  <c r="I252" i="79"/>
  <c r="I251" i="79" s="1"/>
  <c r="E20" i="79"/>
  <c r="H291" i="79"/>
  <c r="I54" i="79"/>
  <c r="C60" i="79"/>
  <c r="I69" i="79"/>
  <c r="I67" i="79" s="1"/>
  <c r="F69" i="79"/>
  <c r="D83" i="79"/>
  <c r="D75" i="79" s="1"/>
  <c r="H83" i="79"/>
  <c r="H75" i="79" s="1"/>
  <c r="C88" i="79"/>
  <c r="L95" i="79"/>
  <c r="L103" i="79"/>
  <c r="C108" i="79"/>
  <c r="C117" i="79"/>
  <c r="O116" i="79"/>
  <c r="C116" i="79" s="1"/>
  <c r="I122" i="79"/>
  <c r="I83" i="79" s="1"/>
  <c r="C123" i="79"/>
  <c r="I151" i="79"/>
  <c r="O151" i="79"/>
  <c r="O130" i="79" s="1"/>
  <c r="C164" i="79"/>
  <c r="N187" i="79"/>
  <c r="C82" i="79"/>
  <c r="J83" i="79"/>
  <c r="N83" i="79"/>
  <c r="L89" i="79"/>
  <c r="C94" i="79"/>
  <c r="C98" i="79"/>
  <c r="C110" i="79"/>
  <c r="C114" i="79"/>
  <c r="C118" i="79"/>
  <c r="O122" i="79"/>
  <c r="M130" i="79"/>
  <c r="M75" i="79" s="1"/>
  <c r="M52" i="79" s="1"/>
  <c r="C134" i="79"/>
  <c r="C138" i="79"/>
  <c r="C142" i="79"/>
  <c r="F141" i="79"/>
  <c r="C146" i="79"/>
  <c r="C158" i="79"/>
  <c r="C168" i="79"/>
  <c r="C169" i="79"/>
  <c r="G174" i="79"/>
  <c r="G173" i="79" s="1"/>
  <c r="C185" i="79"/>
  <c r="C188" i="79"/>
  <c r="C189" i="79"/>
  <c r="F191" i="79"/>
  <c r="C191" i="79" s="1"/>
  <c r="C192" i="79"/>
  <c r="C193" i="79"/>
  <c r="C268" i="79"/>
  <c r="I264" i="79"/>
  <c r="I259" i="79" s="1"/>
  <c r="I144" i="79"/>
  <c r="C148" i="79"/>
  <c r="F151" i="79"/>
  <c r="C152" i="79"/>
  <c r="C172" i="79"/>
  <c r="C180" i="79"/>
  <c r="C181" i="79"/>
  <c r="C182" i="79"/>
  <c r="F179" i="79"/>
  <c r="C220" i="79"/>
  <c r="I216" i="79"/>
  <c r="C237" i="79"/>
  <c r="F235" i="79"/>
  <c r="C261" i="79"/>
  <c r="F260" i="79"/>
  <c r="C197" i="79"/>
  <c r="F196" i="79"/>
  <c r="D194" i="79"/>
  <c r="I227" i="79"/>
  <c r="C227" i="79" s="1"/>
  <c r="C228" i="79"/>
  <c r="I235" i="79"/>
  <c r="C236" i="79"/>
  <c r="E270" i="79"/>
  <c r="E269" i="79" s="1"/>
  <c r="C273" i="79"/>
  <c r="F272" i="79"/>
  <c r="C272" i="79" s="1"/>
  <c r="C288" i="79"/>
  <c r="I286" i="79"/>
  <c r="C286" i="79" s="1"/>
  <c r="C300" i="79"/>
  <c r="F166" i="79"/>
  <c r="O196" i="79"/>
  <c r="O205" i="79"/>
  <c r="C217" i="79"/>
  <c r="F216" i="79"/>
  <c r="O216" i="79"/>
  <c r="J230" i="79"/>
  <c r="C232" i="79"/>
  <c r="C248" i="79"/>
  <c r="I246" i="79"/>
  <c r="C253" i="79"/>
  <c r="F252" i="79"/>
  <c r="O251" i="79"/>
  <c r="M259" i="79"/>
  <c r="M230" i="79" s="1"/>
  <c r="L260" i="79"/>
  <c r="L259" i="79" s="1"/>
  <c r="C265" i="79"/>
  <c r="F264" i="79"/>
  <c r="L270" i="79"/>
  <c r="L269" i="79" s="1"/>
  <c r="C275" i="79"/>
  <c r="C281" i="79"/>
  <c r="C285" i="79"/>
  <c r="F284" i="79"/>
  <c r="O293" i="79"/>
  <c r="E195" i="79"/>
  <c r="M195" i="79"/>
  <c r="C209" i="79"/>
  <c r="F205" i="79"/>
  <c r="C233" i="79"/>
  <c r="C240" i="79"/>
  <c r="I238" i="79"/>
  <c r="C238" i="79" s="1"/>
  <c r="C277" i="79"/>
  <c r="F276" i="79"/>
  <c r="C276" i="79" s="1"/>
  <c r="C297" i="79"/>
  <c r="F293" i="79"/>
  <c r="C199" i="79"/>
  <c r="C239" i="79"/>
  <c r="C247" i="79"/>
  <c r="C271" i="79"/>
  <c r="C287" i="79"/>
  <c r="C144" i="79" l="1"/>
  <c r="K194" i="79"/>
  <c r="O204" i="79"/>
  <c r="C95" i="79"/>
  <c r="O230" i="79"/>
  <c r="C246" i="79"/>
  <c r="N75" i="79"/>
  <c r="N52" i="79" s="1"/>
  <c r="N51" i="79" s="1"/>
  <c r="L130" i="79"/>
  <c r="L26" i="79"/>
  <c r="L20" i="79" s="1"/>
  <c r="H194" i="79"/>
  <c r="J75" i="79"/>
  <c r="J52" i="79" s="1"/>
  <c r="K75" i="79"/>
  <c r="K52" i="79" s="1"/>
  <c r="K51" i="79" s="1"/>
  <c r="K50" i="79" s="1"/>
  <c r="E75" i="79"/>
  <c r="E52" i="79" s="1"/>
  <c r="G75" i="79"/>
  <c r="G289" i="79" s="1"/>
  <c r="M289" i="79"/>
  <c r="N289" i="79"/>
  <c r="L204" i="79"/>
  <c r="L195" i="79" s="1"/>
  <c r="O173" i="79"/>
  <c r="C293" i="79"/>
  <c r="C264" i="79"/>
  <c r="E289" i="79"/>
  <c r="C151" i="79"/>
  <c r="I53" i="79"/>
  <c r="F54" i="79"/>
  <c r="O83" i="79"/>
  <c r="O75" i="79" s="1"/>
  <c r="J194" i="79"/>
  <c r="C179" i="79"/>
  <c r="K20" i="79"/>
  <c r="F83" i="79"/>
  <c r="F270" i="79"/>
  <c r="C270" i="79" s="1"/>
  <c r="F187" i="79"/>
  <c r="C187" i="79" s="1"/>
  <c r="L83" i="79"/>
  <c r="H52" i="79"/>
  <c r="H51" i="79" s="1"/>
  <c r="H289" i="79"/>
  <c r="N50" i="79"/>
  <c r="N290" i="79"/>
  <c r="D289" i="79"/>
  <c r="D52" i="79"/>
  <c r="D51" i="79" s="1"/>
  <c r="C83" i="79"/>
  <c r="E194" i="79"/>
  <c r="E51" i="79" s="1"/>
  <c r="C252" i="79"/>
  <c r="F251" i="79"/>
  <c r="C251" i="79" s="1"/>
  <c r="O195" i="79"/>
  <c r="O194" i="79" s="1"/>
  <c r="C69" i="79"/>
  <c r="F67" i="79"/>
  <c r="C67" i="79" s="1"/>
  <c r="F174" i="79"/>
  <c r="C175" i="79"/>
  <c r="I76" i="79"/>
  <c r="I75" i="79" s="1"/>
  <c r="C77" i="79"/>
  <c r="O291" i="79"/>
  <c r="C54" i="79"/>
  <c r="C205" i="79"/>
  <c r="F204" i="79"/>
  <c r="C260" i="79"/>
  <c r="F259" i="79"/>
  <c r="C259" i="79" s="1"/>
  <c r="I292" i="79"/>
  <c r="I291" i="79" s="1"/>
  <c r="C89" i="79"/>
  <c r="C216" i="79"/>
  <c r="C166" i="79"/>
  <c r="F165" i="79"/>
  <c r="C165" i="79" s="1"/>
  <c r="C141" i="79"/>
  <c r="C122" i="79"/>
  <c r="C76" i="79"/>
  <c r="C198" i="79"/>
  <c r="C103" i="79"/>
  <c r="I204" i="79"/>
  <c r="I195" i="79" s="1"/>
  <c r="G52" i="79"/>
  <c r="G51" i="79" s="1"/>
  <c r="M194" i="79"/>
  <c r="M51" i="79" s="1"/>
  <c r="F269" i="79"/>
  <c r="C284" i="79"/>
  <c r="F283" i="79"/>
  <c r="C283" i="79" s="1"/>
  <c r="I231" i="79"/>
  <c r="I230" i="79" s="1"/>
  <c r="J289" i="79"/>
  <c r="C196" i="79"/>
  <c r="F195" i="79"/>
  <c r="C235" i="79"/>
  <c r="F231" i="79"/>
  <c r="C131" i="79"/>
  <c r="F130" i="79"/>
  <c r="F292" i="79"/>
  <c r="C21" i="79"/>
  <c r="C26" i="79"/>
  <c r="J51" i="79" l="1"/>
  <c r="K289" i="79"/>
  <c r="O52" i="79"/>
  <c r="K290" i="79"/>
  <c r="C130" i="79"/>
  <c r="L75" i="79"/>
  <c r="L52" i="79" s="1"/>
  <c r="L194" i="79"/>
  <c r="L51" i="79" s="1"/>
  <c r="L289" i="79"/>
  <c r="I194" i="79"/>
  <c r="I52" i="79"/>
  <c r="M50" i="79"/>
  <c r="M290" i="79"/>
  <c r="I289" i="79"/>
  <c r="G290" i="79"/>
  <c r="G50" i="79"/>
  <c r="O51" i="79"/>
  <c r="F53" i="79"/>
  <c r="C174" i="79"/>
  <c r="F173" i="79"/>
  <c r="C173" i="79" s="1"/>
  <c r="E290" i="79"/>
  <c r="E50" i="79"/>
  <c r="D24" i="79"/>
  <c r="D50" i="79"/>
  <c r="F230" i="79"/>
  <c r="C230" i="79" s="1"/>
  <c r="C231" i="79"/>
  <c r="F75" i="79"/>
  <c r="C75" i="79" s="1"/>
  <c r="C204" i="79"/>
  <c r="J50" i="79"/>
  <c r="J290" i="79"/>
  <c r="O289" i="79"/>
  <c r="H290" i="79"/>
  <c r="H50" i="79"/>
  <c r="C195" i="79"/>
  <c r="C292" i="79"/>
  <c r="F291" i="79"/>
  <c r="C291" i="79" s="1"/>
  <c r="C269" i="79"/>
  <c r="I51" i="79" l="1"/>
  <c r="I50" i="79" s="1"/>
  <c r="L50" i="79"/>
  <c r="L290" i="79"/>
  <c r="F289" i="79"/>
  <c r="C289" i="79" s="1"/>
  <c r="F52" i="79"/>
  <c r="C53" i="79"/>
  <c r="O50" i="79"/>
  <c r="O290" i="79"/>
  <c r="F24" i="79"/>
  <c r="D20" i="79"/>
  <c r="F194" i="79"/>
  <c r="C194" i="79" s="1"/>
  <c r="D290" i="79"/>
  <c r="I290" i="79"/>
  <c r="C24" i="79" l="1"/>
  <c r="F20" i="79"/>
  <c r="C20" i="79" s="1"/>
  <c r="C52" i="79"/>
  <c r="F51" i="79"/>
  <c r="F290" i="79" l="1"/>
  <c r="C290" i="79" s="1"/>
  <c r="F50" i="79"/>
  <c r="C50" i="79" s="1"/>
  <c r="C51" i="79"/>
  <c r="O301" i="78" l="1"/>
  <c r="L301" i="78"/>
  <c r="I301" i="78"/>
  <c r="F301" i="78"/>
  <c r="O300" i="78"/>
  <c r="L300" i="78"/>
  <c r="I300" i="78"/>
  <c r="F300" i="78"/>
  <c r="O299" i="78"/>
  <c r="L299" i="78"/>
  <c r="I299" i="78"/>
  <c r="F299" i="78"/>
  <c r="O298" i="78"/>
  <c r="L298" i="78"/>
  <c r="I298" i="78"/>
  <c r="F298" i="78"/>
  <c r="O297" i="78"/>
  <c r="L297" i="78"/>
  <c r="I297" i="78"/>
  <c r="F297" i="78"/>
  <c r="O296" i="78"/>
  <c r="L296" i="78"/>
  <c r="I296" i="78"/>
  <c r="F296" i="78"/>
  <c r="O295" i="78"/>
  <c r="L295" i="78"/>
  <c r="I295" i="78"/>
  <c r="F295" i="78"/>
  <c r="O294" i="78"/>
  <c r="O293" i="78" s="1"/>
  <c r="L294" i="78"/>
  <c r="I294" i="78"/>
  <c r="F294" i="78"/>
  <c r="N293" i="78"/>
  <c r="M293" i="78"/>
  <c r="K293" i="78"/>
  <c r="J293" i="78"/>
  <c r="H293" i="78"/>
  <c r="G293" i="78"/>
  <c r="E293" i="78"/>
  <c r="D293" i="78"/>
  <c r="O288" i="78"/>
  <c r="L288" i="78"/>
  <c r="I288" i="78"/>
  <c r="F288" i="78"/>
  <c r="O287" i="78"/>
  <c r="L287" i="78"/>
  <c r="I287" i="78"/>
  <c r="F287" i="78"/>
  <c r="O286" i="78"/>
  <c r="N286" i="78"/>
  <c r="M286" i="78"/>
  <c r="K286" i="78"/>
  <c r="J286" i="78"/>
  <c r="H286" i="78"/>
  <c r="G286" i="78"/>
  <c r="F286" i="78"/>
  <c r="E286" i="78"/>
  <c r="D286" i="78"/>
  <c r="O285" i="78"/>
  <c r="L285" i="78"/>
  <c r="L284" i="78" s="1"/>
  <c r="L283" i="78" s="1"/>
  <c r="I285" i="78"/>
  <c r="F285" i="78"/>
  <c r="F284" i="78" s="1"/>
  <c r="O284" i="78"/>
  <c r="O283" i="78" s="1"/>
  <c r="N284" i="78"/>
  <c r="N283" i="78" s="1"/>
  <c r="M284" i="78"/>
  <c r="M283" i="78" s="1"/>
  <c r="K284" i="78"/>
  <c r="K283" i="78" s="1"/>
  <c r="J284" i="78"/>
  <c r="J283" i="78" s="1"/>
  <c r="I284" i="78"/>
  <c r="I283" i="78" s="1"/>
  <c r="H284" i="78"/>
  <c r="H283" i="78" s="1"/>
  <c r="G284" i="78"/>
  <c r="G283" i="78" s="1"/>
  <c r="E284" i="78"/>
  <c r="E283" i="78" s="1"/>
  <c r="D284" i="78"/>
  <c r="D283" i="78" s="1"/>
  <c r="O282" i="78"/>
  <c r="O281" i="78" s="1"/>
  <c r="L282" i="78"/>
  <c r="L281" i="78" s="1"/>
  <c r="I282" i="78"/>
  <c r="F282" i="78"/>
  <c r="F281" i="78" s="1"/>
  <c r="N281" i="78"/>
  <c r="M281" i="78"/>
  <c r="K281" i="78"/>
  <c r="J281" i="78"/>
  <c r="H281" i="78"/>
  <c r="G281" i="78"/>
  <c r="E281" i="78"/>
  <c r="D281" i="78"/>
  <c r="O280" i="78"/>
  <c r="L280" i="78"/>
  <c r="I280" i="78"/>
  <c r="F280" i="78"/>
  <c r="O279" i="78"/>
  <c r="L279" i="78"/>
  <c r="I279" i="78"/>
  <c r="F279" i="78"/>
  <c r="O278" i="78"/>
  <c r="L278" i="78"/>
  <c r="I278" i="78"/>
  <c r="F278" i="78"/>
  <c r="O277" i="78"/>
  <c r="L277" i="78"/>
  <c r="I277" i="78"/>
  <c r="I276" i="78" s="1"/>
  <c r="F277" i="78"/>
  <c r="N276" i="78"/>
  <c r="M276" i="78"/>
  <c r="K276" i="78"/>
  <c r="J276" i="78"/>
  <c r="H276" i="78"/>
  <c r="G276" i="78"/>
  <c r="E276" i="78"/>
  <c r="D276" i="78"/>
  <c r="O275" i="78"/>
  <c r="L275" i="78"/>
  <c r="I275" i="78"/>
  <c r="F275" i="78"/>
  <c r="O274" i="78"/>
  <c r="L274" i="78"/>
  <c r="I274" i="78"/>
  <c r="F274" i="78"/>
  <c r="O273" i="78"/>
  <c r="L273" i="78"/>
  <c r="L272" i="78" s="1"/>
  <c r="I273" i="78"/>
  <c r="I272" i="78" s="1"/>
  <c r="F273" i="78"/>
  <c r="N272" i="78"/>
  <c r="M272" i="78"/>
  <c r="M270" i="78" s="1"/>
  <c r="K272" i="78"/>
  <c r="K270" i="78" s="1"/>
  <c r="K269" i="78" s="1"/>
  <c r="J272" i="78"/>
  <c r="H272" i="78"/>
  <c r="G272" i="78"/>
  <c r="G270" i="78" s="1"/>
  <c r="G269" i="78" s="1"/>
  <c r="E272" i="78"/>
  <c r="D272" i="78"/>
  <c r="D270" i="78" s="1"/>
  <c r="O271" i="78"/>
  <c r="L271" i="78"/>
  <c r="I271" i="78"/>
  <c r="F271" i="78"/>
  <c r="H270" i="78"/>
  <c r="H269" i="78" s="1"/>
  <c r="O268" i="78"/>
  <c r="L268" i="78"/>
  <c r="I268" i="78"/>
  <c r="F268" i="78"/>
  <c r="O267" i="78"/>
  <c r="L267" i="78"/>
  <c r="I267" i="78"/>
  <c r="F267" i="78"/>
  <c r="O266" i="78"/>
  <c r="L266" i="78"/>
  <c r="I266" i="78"/>
  <c r="F266" i="78"/>
  <c r="O265" i="78"/>
  <c r="L265" i="78"/>
  <c r="I265" i="78"/>
  <c r="F265" i="78"/>
  <c r="N264" i="78"/>
  <c r="M264" i="78"/>
  <c r="K264" i="78"/>
  <c r="J264" i="78"/>
  <c r="H264" i="78"/>
  <c r="G264" i="78"/>
  <c r="E264" i="78"/>
  <c r="D264" i="78"/>
  <c r="O263" i="78"/>
  <c r="L263" i="78"/>
  <c r="I263" i="78"/>
  <c r="F263" i="78"/>
  <c r="O262" i="78"/>
  <c r="L262" i="78"/>
  <c r="I262" i="78"/>
  <c r="F262" i="78"/>
  <c r="O261" i="78"/>
  <c r="L261" i="78"/>
  <c r="I261" i="78"/>
  <c r="F261" i="78"/>
  <c r="N260" i="78"/>
  <c r="M260" i="78"/>
  <c r="K260" i="78"/>
  <c r="K259" i="78" s="1"/>
  <c r="J260" i="78"/>
  <c r="J259" i="78" s="1"/>
  <c r="H260" i="78"/>
  <c r="G260" i="78"/>
  <c r="G259" i="78" s="1"/>
  <c r="E260" i="78"/>
  <c r="D260" i="78"/>
  <c r="D259" i="78" s="1"/>
  <c r="O258" i="78"/>
  <c r="L258" i="78"/>
  <c r="I258" i="78"/>
  <c r="F258" i="78"/>
  <c r="O257" i="78"/>
  <c r="L257" i="78"/>
  <c r="I257" i="78"/>
  <c r="F257" i="78"/>
  <c r="O256" i="78"/>
  <c r="L256" i="78"/>
  <c r="I256" i="78"/>
  <c r="F256" i="78"/>
  <c r="O255" i="78"/>
  <c r="L255" i="78"/>
  <c r="I255" i="78"/>
  <c r="F255" i="78"/>
  <c r="O254" i="78"/>
  <c r="L254" i="78"/>
  <c r="I254" i="78"/>
  <c r="F254" i="78"/>
  <c r="O253" i="78"/>
  <c r="L253" i="78"/>
  <c r="I253" i="78"/>
  <c r="I252" i="78" s="1"/>
  <c r="I251" i="78" s="1"/>
  <c r="F253" i="78"/>
  <c r="N252" i="78"/>
  <c r="N251" i="78" s="1"/>
  <c r="M252" i="78"/>
  <c r="M251" i="78" s="1"/>
  <c r="K252" i="78"/>
  <c r="K251" i="78" s="1"/>
  <c r="J252" i="78"/>
  <c r="J251" i="78" s="1"/>
  <c r="H252" i="78"/>
  <c r="H251" i="78" s="1"/>
  <c r="G252" i="78"/>
  <c r="G251" i="78" s="1"/>
  <c r="E252" i="78"/>
  <c r="E251" i="78" s="1"/>
  <c r="D252" i="78"/>
  <c r="D251" i="78"/>
  <c r="O250" i="78"/>
  <c r="L250" i="78"/>
  <c r="I250" i="78"/>
  <c r="F250" i="78"/>
  <c r="O249" i="78"/>
  <c r="L249" i="78"/>
  <c r="I249" i="78"/>
  <c r="F249" i="78"/>
  <c r="O248" i="78"/>
  <c r="L248" i="78"/>
  <c r="I248" i="78"/>
  <c r="F248" i="78"/>
  <c r="O247" i="78"/>
  <c r="L247" i="78"/>
  <c r="L246" i="78" s="1"/>
  <c r="I247" i="78"/>
  <c r="F247" i="78"/>
  <c r="N246" i="78"/>
  <c r="M246" i="78"/>
  <c r="K246" i="78"/>
  <c r="J246" i="78"/>
  <c r="H246" i="78"/>
  <c r="G246" i="78"/>
  <c r="E246" i="78"/>
  <c r="D246" i="78"/>
  <c r="O245" i="78"/>
  <c r="L245" i="78"/>
  <c r="I245" i="78"/>
  <c r="F245" i="78"/>
  <c r="O244" i="78"/>
  <c r="L244" i="78"/>
  <c r="I244" i="78"/>
  <c r="F244" i="78"/>
  <c r="O243" i="78"/>
  <c r="L243" i="78"/>
  <c r="I243" i="78"/>
  <c r="F243" i="78"/>
  <c r="O242" i="78"/>
  <c r="L242" i="78"/>
  <c r="I242" i="78"/>
  <c r="F242" i="78"/>
  <c r="O241" i="78"/>
  <c r="L241" i="78"/>
  <c r="I241" i="78"/>
  <c r="F241" i="78"/>
  <c r="O240" i="78"/>
  <c r="L240" i="78"/>
  <c r="I240" i="78"/>
  <c r="F240" i="78"/>
  <c r="O239" i="78"/>
  <c r="L239" i="78"/>
  <c r="L238" i="78" s="1"/>
  <c r="I239" i="78"/>
  <c r="F239" i="78"/>
  <c r="N238" i="78"/>
  <c r="M238" i="78"/>
  <c r="K238" i="78"/>
  <c r="J238" i="78"/>
  <c r="H238" i="78"/>
  <c r="G238" i="78"/>
  <c r="E238" i="78"/>
  <c r="D238" i="78"/>
  <c r="O237" i="78"/>
  <c r="L237" i="78"/>
  <c r="I237" i="78"/>
  <c r="F237" i="78"/>
  <c r="O236" i="78"/>
  <c r="O235" i="78" s="1"/>
  <c r="L236" i="78"/>
  <c r="L235" i="78" s="1"/>
  <c r="I236" i="78"/>
  <c r="I235" i="78" s="1"/>
  <c r="F236" i="78"/>
  <c r="N235" i="78"/>
  <c r="M235" i="78"/>
  <c r="K235" i="78"/>
  <c r="J235" i="78"/>
  <c r="H235" i="78"/>
  <c r="G235" i="78"/>
  <c r="F235" i="78"/>
  <c r="E235" i="78"/>
  <c r="D235" i="78"/>
  <c r="O234" i="78"/>
  <c r="O233" i="78" s="1"/>
  <c r="L234" i="78"/>
  <c r="L233" i="78" s="1"/>
  <c r="I234" i="78"/>
  <c r="I233" i="78" s="1"/>
  <c r="F234" i="78"/>
  <c r="N233" i="78"/>
  <c r="M233" i="78"/>
  <c r="K233" i="78"/>
  <c r="J233" i="78"/>
  <c r="H233" i="78"/>
  <c r="G233" i="78"/>
  <c r="E233" i="78"/>
  <c r="D233" i="78"/>
  <c r="O232" i="78"/>
  <c r="L232" i="78"/>
  <c r="I232" i="78"/>
  <c r="F232" i="78"/>
  <c r="O229" i="78"/>
  <c r="L229" i="78"/>
  <c r="I229" i="78"/>
  <c r="F229" i="78"/>
  <c r="O228" i="78"/>
  <c r="L228" i="78"/>
  <c r="L227" i="78" s="1"/>
  <c r="I228" i="78"/>
  <c r="I227" i="78" s="1"/>
  <c r="F228" i="78"/>
  <c r="O227" i="78"/>
  <c r="N227" i="78"/>
  <c r="M227" i="78"/>
  <c r="K227" i="78"/>
  <c r="J227" i="78"/>
  <c r="H227" i="78"/>
  <c r="G227" i="78"/>
  <c r="F227" i="78"/>
  <c r="E227" i="78"/>
  <c r="D227" i="78"/>
  <c r="O226" i="78"/>
  <c r="L226" i="78"/>
  <c r="I226" i="78"/>
  <c r="F226" i="78"/>
  <c r="O225" i="78"/>
  <c r="L225" i="78"/>
  <c r="I225" i="78"/>
  <c r="F225" i="78"/>
  <c r="O224" i="78"/>
  <c r="L224" i="78"/>
  <c r="I224" i="78"/>
  <c r="F224" i="78"/>
  <c r="O223" i="78"/>
  <c r="L223" i="78"/>
  <c r="I223" i="78"/>
  <c r="F223" i="78"/>
  <c r="O222" i="78"/>
  <c r="L222" i="78"/>
  <c r="I222" i="78"/>
  <c r="F222" i="78"/>
  <c r="O221" i="78"/>
  <c r="L221" i="78"/>
  <c r="I221" i="78"/>
  <c r="F221" i="78"/>
  <c r="O220" i="78"/>
  <c r="L220" i="78"/>
  <c r="I220" i="78"/>
  <c r="F220" i="78"/>
  <c r="O219" i="78"/>
  <c r="L219" i="78"/>
  <c r="I219" i="78"/>
  <c r="F219" i="78"/>
  <c r="O218" i="78"/>
  <c r="L218" i="78"/>
  <c r="I218" i="78"/>
  <c r="F218" i="78"/>
  <c r="O217" i="78"/>
  <c r="L217" i="78"/>
  <c r="I217" i="78"/>
  <c r="F217" i="78"/>
  <c r="N216" i="78"/>
  <c r="M216" i="78"/>
  <c r="K216" i="78"/>
  <c r="J216" i="78"/>
  <c r="I216" i="78"/>
  <c r="H216" i="78"/>
  <c r="G216" i="78"/>
  <c r="E216" i="78"/>
  <c r="D216" i="78"/>
  <c r="O215" i="78"/>
  <c r="L215" i="78"/>
  <c r="I215" i="78"/>
  <c r="F215" i="78"/>
  <c r="O214" i="78"/>
  <c r="L214" i="78"/>
  <c r="I214" i="78"/>
  <c r="F214" i="78"/>
  <c r="O213" i="78"/>
  <c r="L213" i="78"/>
  <c r="I213" i="78"/>
  <c r="F213" i="78"/>
  <c r="O212" i="78"/>
  <c r="L212" i="78"/>
  <c r="I212" i="78"/>
  <c r="F212" i="78"/>
  <c r="O211" i="78"/>
  <c r="L211" i="78"/>
  <c r="I211" i="78"/>
  <c r="F211" i="78"/>
  <c r="O210" i="78"/>
  <c r="L210" i="78"/>
  <c r="I210" i="78"/>
  <c r="F210" i="78"/>
  <c r="O209" i="78"/>
  <c r="L209" i="78"/>
  <c r="I209" i="78"/>
  <c r="F209" i="78"/>
  <c r="O208" i="78"/>
  <c r="L208" i="78"/>
  <c r="I208" i="78"/>
  <c r="F208" i="78"/>
  <c r="O207" i="78"/>
  <c r="L207" i="78"/>
  <c r="I207" i="78"/>
  <c r="F207" i="78"/>
  <c r="O206" i="78"/>
  <c r="L206" i="78"/>
  <c r="I206" i="78"/>
  <c r="F206" i="78"/>
  <c r="N205" i="78"/>
  <c r="M205" i="78"/>
  <c r="L205" i="78"/>
  <c r="K205" i="78"/>
  <c r="J205" i="78"/>
  <c r="H205" i="78"/>
  <c r="G205" i="78"/>
  <c r="E205" i="78"/>
  <c r="D205" i="78"/>
  <c r="O203" i="78"/>
  <c r="L203" i="78"/>
  <c r="I203" i="78"/>
  <c r="F203" i="78"/>
  <c r="O202" i="78"/>
  <c r="L202" i="78"/>
  <c r="I202" i="78"/>
  <c r="F202" i="78"/>
  <c r="O201" i="78"/>
  <c r="L201" i="78"/>
  <c r="I201" i="78"/>
  <c r="F201" i="78"/>
  <c r="O200" i="78"/>
  <c r="L200" i="78"/>
  <c r="I200" i="78"/>
  <c r="F200" i="78"/>
  <c r="O199" i="78"/>
  <c r="O198" i="78" s="1"/>
  <c r="L199" i="78"/>
  <c r="L198" i="78" s="1"/>
  <c r="I199" i="78"/>
  <c r="F199" i="78"/>
  <c r="F198" i="78" s="1"/>
  <c r="N198" i="78"/>
  <c r="M198" i="78"/>
  <c r="M196" i="78" s="1"/>
  <c r="K198" i="78"/>
  <c r="K196" i="78" s="1"/>
  <c r="J198" i="78"/>
  <c r="J196" i="78" s="1"/>
  <c r="H198" i="78"/>
  <c r="H196" i="78" s="1"/>
  <c r="G198" i="78"/>
  <c r="G196" i="78" s="1"/>
  <c r="E198" i="78"/>
  <c r="D198" i="78"/>
  <c r="D196" i="78" s="1"/>
  <c r="O197" i="78"/>
  <c r="L197" i="78"/>
  <c r="I197" i="78"/>
  <c r="F197" i="78"/>
  <c r="N196" i="78"/>
  <c r="E196" i="78"/>
  <c r="O193" i="78"/>
  <c r="L193" i="78"/>
  <c r="L192" i="78" s="1"/>
  <c r="L191" i="78" s="1"/>
  <c r="I193" i="78"/>
  <c r="F193" i="78"/>
  <c r="F192" i="78" s="1"/>
  <c r="O192" i="78"/>
  <c r="O191" i="78" s="1"/>
  <c r="N192" i="78"/>
  <c r="N191" i="78" s="1"/>
  <c r="M192" i="78"/>
  <c r="M191" i="78" s="1"/>
  <c r="K192" i="78"/>
  <c r="K191" i="78" s="1"/>
  <c r="J192" i="78"/>
  <c r="J191" i="78" s="1"/>
  <c r="I192" i="78"/>
  <c r="I191" i="78" s="1"/>
  <c r="H192" i="78"/>
  <c r="G192" i="78"/>
  <c r="G191" i="78" s="1"/>
  <c r="E192" i="78"/>
  <c r="E191" i="78" s="1"/>
  <c r="D192" i="78"/>
  <c r="D191" i="78" s="1"/>
  <c r="H191" i="78"/>
  <c r="O190" i="78"/>
  <c r="L190" i="78"/>
  <c r="I190" i="78"/>
  <c r="F190" i="78"/>
  <c r="O189" i="78"/>
  <c r="L189" i="78"/>
  <c r="L188" i="78" s="1"/>
  <c r="I189" i="78"/>
  <c r="I188" i="78" s="1"/>
  <c r="F189" i="78"/>
  <c r="F188" i="78" s="1"/>
  <c r="N188" i="78"/>
  <c r="M188" i="78"/>
  <c r="K188" i="78"/>
  <c r="J188" i="78"/>
  <c r="H188" i="78"/>
  <c r="G188" i="78"/>
  <c r="E188" i="78"/>
  <c r="D188" i="78"/>
  <c r="O186" i="78"/>
  <c r="L186" i="78"/>
  <c r="I186" i="78"/>
  <c r="F186" i="78"/>
  <c r="O185" i="78"/>
  <c r="L185" i="78"/>
  <c r="L184" i="78" s="1"/>
  <c r="I185" i="78"/>
  <c r="F185" i="78"/>
  <c r="N184" i="78"/>
  <c r="M184" i="78"/>
  <c r="K184" i="78"/>
  <c r="J184" i="78"/>
  <c r="H184" i="78"/>
  <c r="G184" i="78"/>
  <c r="E184" i="78"/>
  <c r="D184" i="78"/>
  <c r="O183" i="78"/>
  <c r="L183" i="78"/>
  <c r="I183" i="78"/>
  <c r="F183" i="78"/>
  <c r="O182" i="78"/>
  <c r="L182" i="78"/>
  <c r="I182" i="78"/>
  <c r="F182" i="78"/>
  <c r="O181" i="78"/>
  <c r="L181" i="78"/>
  <c r="I181" i="78"/>
  <c r="F181" i="78"/>
  <c r="O180" i="78"/>
  <c r="O179" i="78" s="1"/>
  <c r="L180" i="78"/>
  <c r="L179" i="78" s="1"/>
  <c r="I180" i="78"/>
  <c r="F180" i="78"/>
  <c r="N179" i="78"/>
  <c r="M179" i="78"/>
  <c r="K179" i="78"/>
  <c r="J179" i="78"/>
  <c r="H179" i="78"/>
  <c r="G179" i="78"/>
  <c r="F179" i="78"/>
  <c r="E179" i="78"/>
  <c r="D179" i="78"/>
  <c r="O178" i="78"/>
  <c r="L178" i="78"/>
  <c r="I178" i="78"/>
  <c r="F178" i="78"/>
  <c r="O177" i="78"/>
  <c r="L177" i="78"/>
  <c r="I177" i="78"/>
  <c r="F177" i="78"/>
  <c r="O176" i="78"/>
  <c r="L176" i="78"/>
  <c r="I176" i="78"/>
  <c r="I175" i="78" s="1"/>
  <c r="F176" i="78"/>
  <c r="N175" i="78"/>
  <c r="M175" i="78"/>
  <c r="M174" i="78" s="1"/>
  <c r="M173" i="78" s="1"/>
  <c r="K175" i="78"/>
  <c r="J175" i="78"/>
  <c r="H175" i="78"/>
  <c r="G175" i="78"/>
  <c r="G174" i="78" s="1"/>
  <c r="E175" i="78"/>
  <c r="E174" i="78" s="1"/>
  <c r="E173" i="78" s="1"/>
  <c r="D175" i="78"/>
  <c r="O172" i="78"/>
  <c r="L172" i="78"/>
  <c r="I172" i="78"/>
  <c r="F172" i="78"/>
  <c r="O171" i="78"/>
  <c r="L171" i="78"/>
  <c r="I171" i="78"/>
  <c r="F171" i="78"/>
  <c r="O170" i="78"/>
  <c r="L170" i="78"/>
  <c r="I170" i="78"/>
  <c r="F170" i="78"/>
  <c r="O169" i="78"/>
  <c r="L169" i="78"/>
  <c r="I169" i="78"/>
  <c r="F169" i="78"/>
  <c r="O168" i="78"/>
  <c r="L168" i="78"/>
  <c r="I168" i="78"/>
  <c r="F168" i="78"/>
  <c r="O167" i="78"/>
  <c r="O166" i="78" s="1"/>
  <c r="L167" i="78"/>
  <c r="L166" i="78" s="1"/>
  <c r="L165" i="78" s="1"/>
  <c r="I167" i="78"/>
  <c r="F167" i="78"/>
  <c r="N166" i="78"/>
  <c r="N165" i="78" s="1"/>
  <c r="M166" i="78"/>
  <c r="M165" i="78" s="1"/>
  <c r="K166" i="78"/>
  <c r="K165" i="78" s="1"/>
  <c r="J166" i="78"/>
  <c r="J165" i="78" s="1"/>
  <c r="H166" i="78"/>
  <c r="H165" i="78" s="1"/>
  <c r="G166" i="78"/>
  <c r="G165" i="78" s="1"/>
  <c r="E166" i="78"/>
  <c r="E165" i="78" s="1"/>
  <c r="D166" i="78"/>
  <c r="D165" i="78" s="1"/>
  <c r="O164" i="78"/>
  <c r="L164" i="78"/>
  <c r="I164" i="78"/>
  <c r="F164" i="78"/>
  <c r="O163" i="78"/>
  <c r="L163" i="78"/>
  <c r="I163" i="78"/>
  <c r="F163" i="78"/>
  <c r="O162" i="78"/>
  <c r="L162" i="78"/>
  <c r="I162" i="78"/>
  <c r="F162" i="78"/>
  <c r="O161" i="78"/>
  <c r="L161" i="78"/>
  <c r="L160" i="78" s="1"/>
  <c r="I161" i="78"/>
  <c r="I160" i="78" s="1"/>
  <c r="F161" i="78"/>
  <c r="N160" i="78"/>
  <c r="M160" i="78"/>
  <c r="K160" i="78"/>
  <c r="J160" i="78"/>
  <c r="H160" i="78"/>
  <c r="G160" i="78"/>
  <c r="E160" i="78"/>
  <c r="D160" i="78"/>
  <c r="O159" i="78"/>
  <c r="L159" i="78"/>
  <c r="I159" i="78"/>
  <c r="F159" i="78"/>
  <c r="O158" i="78"/>
  <c r="L158" i="78"/>
  <c r="I158" i="78"/>
  <c r="F158" i="78"/>
  <c r="O157" i="78"/>
  <c r="L157" i="78"/>
  <c r="I157" i="78"/>
  <c r="F157" i="78"/>
  <c r="O156" i="78"/>
  <c r="L156" i="78"/>
  <c r="I156" i="78"/>
  <c r="F156" i="78"/>
  <c r="O155" i="78"/>
  <c r="L155" i="78"/>
  <c r="I155" i="78"/>
  <c r="F155" i="78"/>
  <c r="O154" i="78"/>
  <c r="L154" i="78"/>
  <c r="I154" i="78"/>
  <c r="F154" i="78"/>
  <c r="O153" i="78"/>
  <c r="L153" i="78"/>
  <c r="I153" i="78"/>
  <c r="F153" i="78"/>
  <c r="O152" i="78"/>
  <c r="L152" i="78"/>
  <c r="I152" i="78"/>
  <c r="F152" i="78"/>
  <c r="O151" i="78"/>
  <c r="N151" i="78"/>
  <c r="M151" i="78"/>
  <c r="K151" i="78"/>
  <c r="J151" i="78"/>
  <c r="H151" i="78"/>
  <c r="G151" i="78"/>
  <c r="E151" i="78"/>
  <c r="D151" i="78"/>
  <c r="O150" i="78"/>
  <c r="L150" i="78"/>
  <c r="I150" i="78"/>
  <c r="F150" i="78"/>
  <c r="O149" i="78"/>
  <c r="L149" i="78"/>
  <c r="I149" i="78"/>
  <c r="F149" i="78"/>
  <c r="O148" i="78"/>
  <c r="L148" i="78"/>
  <c r="I148" i="78"/>
  <c r="F148" i="78"/>
  <c r="O147" i="78"/>
  <c r="L147" i="78"/>
  <c r="I147" i="78"/>
  <c r="F147" i="78"/>
  <c r="O146" i="78"/>
  <c r="L146" i="78"/>
  <c r="I146" i="78"/>
  <c r="F146" i="78"/>
  <c r="O145" i="78"/>
  <c r="L145" i="78"/>
  <c r="I145" i="78"/>
  <c r="I144" i="78" s="1"/>
  <c r="F145" i="78"/>
  <c r="F144" i="78" s="1"/>
  <c r="N144" i="78"/>
  <c r="M144" i="78"/>
  <c r="K144" i="78"/>
  <c r="J144" i="78"/>
  <c r="H144" i="78"/>
  <c r="G144" i="78"/>
  <c r="E144" i="78"/>
  <c r="D144" i="78"/>
  <c r="O143" i="78"/>
  <c r="L143" i="78"/>
  <c r="I143" i="78"/>
  <c r="F143" i="78"/>
  <c r="O142" i="78"/>
  <c r="O141" i="78" s="1"/>
  <c r="L142" i="78"/>
  <c r="I142" i="78"/>
  <c r="I141" i="78" s="1"/>
  <c r="F142" i="78"/>
  <c r="N141" i="78"/>
  <c r="M141" i="78"/>
  <c r="K141" i="78"/>
  <c r="J141" i="78"/>
  <c r="H141" i="78"/>
  <c r="G141" i="78"/>
  <c r="E141" i="78"/>
  <c r="D141" i="78"/>
  <c r="O140" i="78"/>
  <c r="L140" i="78"/>
  <c r="I140" i="78"/>
  <c r="F140" i="78"/>
  <c r="O139" i="78"/>
  <c r="L139" i="78"/>
  <c r="I139" i="78"/>
  <c r="F139" i="78"/>
  <c r="O138" i="78"/>
  <c r="L138" i="78"/>
  <c r="I138" i="78"/>
  <c r="F138" i="78"/>
  <c r="O137" i="78"/>
  <c r="L137" i="78"/>
  <c r="L136" i="78" s="1"/>
  <c r="I137" i="78"/>
  <c r="F137" i="78"/>
  <c r="N136" i="78"/>
  <c r="M136" i="78"/>
  <c r="K136" i="78"/>
  <c r="J136" i="78"/>
  <c r="H136" i="78"/>
  <c r="G136" i="78"/>
  <c r="E136" i="78"/>
  <c r="D136" i="78"/>
  <c r="O135" i="78"/>
  <c r="L135" i="78"/>
  <c r="I135" i="78"/>
  <c r="F135" i="78"/>
  <c r="O134" i="78"/>
  <c r="L134" i="78"/>
  <c r="I134" i="78"/>
  <c r="F134" i="78"/>
  <c r="O133" i="78"/>
  <c r="L133" i="78"/>
  <c r="I133" i="78"/>
  <c r="F133" i="78"/>
  <c r="O132" i="78"/>
  <c r="L132" i="78"/>
  <c r="I132" i="78"/>
  <c r="F132" i="78"/>
  <c r="N131" i="78"/>
  <c r="M131" i="78"/>
  <c r="K131" i="78"/>
  <c r="J131" i="78"/>
  <c r="H131" i="78"/>
  <c r="G131" i="78"/>
  <c r="E131" i="78"/>
  <c r="D131" i="78"/>
  <c r="O129" i="78"/>
  <c r="L129" i="78"/>
  <c r="L128" i="78" s="1"/>
  <c r="I129" i="78"/>
  <c r="I128" i="78" s="1"/>
  <c r="F129" i="78"/>
  <c r="O128" i="78"/>
  <c r="N128" i="78"/>
  <c r="M128" i="78"/>
  <c r="K128" i="78"/>
  <c r="J128" i="78"/>
  <c r="H128" i="78"/>
  <c r="G128" i="78"/>
  <c r="F128" i="78"/>
  <c r="E128" i="78"/>
  <c r="D128" i="78"/>
  <c r="O127" i="78"/>
  <c r="L127" i="78"/>
  <c r="I127" i="78"/>
  <c r="F127" i="78"/>
  <c r="O126" i="78"/>
  <c r="L126" i="78"/>
  <c r="I126" i="78"/>
  <c r="F126" i="78"/>
  <c r="O125" i="78"/>
  <c r="L125" i="78"/>
  <c r="I125" i="78"/>
  <c r="F125" i="78"/>
  <c r="O124" i="78"/>
  <c r="L124" i="78"/>
  <c r="I124" i="78"/>
  <c r="F124" i="78"/>
  <c r="O123" i="78"/>
  <c r="L123" i="78"/>
  <c r="I123" i="78"/>
  <c r="F123" i="78"/>
  <c r="F122" i="78" s="1"/>
  <c r="N122" i="78"/>
  <c r="M122" i="78"/>
  <c r="K122" i="78"/>
  <c r="J122" i="78"/>
  <c r="H122" i="78"/>
  <c r="G122" i="78"/>
  <c r="E122" i="78"/>
  <c r="D122" i="78"/>
  <c r="O121" i="78"/>
  <c r="L121" i="78"/>
  <c r="I121" i="78"/>
  <c r="F121" i="78"/>
  <c r="O120" i="78"/>
  <c r="L120" i="78"/>
  <c r="I120" i="78"/>
  <c r="F120" i="78"/>
  <c r="O119" i="78"/>
  <c r="L119" i="78"/>
  <c r="I119" i="78"/>
  <c r="F119" i="78"/>
  <c r="O118" i="78"/>
  <c r="L118" i="78"/>
  <c r="I118" i="78"/>
  <c r="D118" i="78"/>
  <c r="D116" i="78" s="1"/>
  <c r="O117" i="78"/>
  <c r="L117" i="78"/>
  <c r="I117" i="78"/>
  <c r="F117" i="78"/>
  <c r="N116" i="78"/>
  <c r="M116" i="78"/>
  <c r="K116" i="78"/>
  <c r="J116" i="78"/>
  <c r="H116" i="78"/>
  <c r="G116" i="78"/>
  <c r="E116" i="78"/>
  <c r="O115" i="78"/>
  <c r="L115" i="78"/>
  <c r="I115" i="78"/>
  <c r="F115" i="78"/>
  <c r="O114" i="78"/>
  <c r="L114" i="78"/>
  <c r="I114" i="78"/>
  <c r="F114" i="78"/>
  <c r="O113" i="78"/>
  <c r="L113" i="78"/>
  <c r="I113" i="78"/>
  <c r="F113" i="78"/>
  <c r="O112" i="78"/>
  <c r="N112" i="78"/>
  <c r="M112" i="78"/>
  <c r="K112" i="78"/>
  <c r="J112" i="78"/>
  <c r="H112" i="78"/>
  <c r="G112" i="78"/>
  <c r="E112" i="78"/>
  <c r="D112" i="78"/>
  <c r="O111" i="78"/>
  <c r="L111" i="78"/>
  <c r="I111" i="78"/>
  <c r="F111" i="78"/>
  <c r="O110" i="78"/>
  <c r="L110" i="78"/>
  <c r="I110" i="78"/>
  <c r="F110" i="78"/>
  <c r="O109" i="78"/>
  <c r="L109" i="78"/>
  <c r="I109" i="78"/>
  <c r="F109" i="78"/>
  <c r="O108" i="78"/>
  <c r="L108" i="78"/>
  <c r="I108" i="78"/>
  <c r="F108" i="78"/>
  <c r="O107" i="78"/>
  <c r="L107" i="78"/>
  <c r="I107" i="78"/>
  <c r="F107" i="78"/>
  <c r="O106" i="78"/>
  <c r="L106" i="78"/>
  <c r="I106" i="78"/>
  <c r="F106" i="78"/>
  <c r="O105" i="78"/>
  <c r="L105" i="78"/>
  <c r="I105" i="78"/>
  <c r="F105" i="78"/>
  <c r="O104" i="78"/>
  <c r="L104" i="78"/>
  <c r="I104" i="78"/>
  <c r="F104" i="78"/>
  <c r="N103" i="78"/>
  <c r="M103" i="78"/>
  <c r="K103" i="78"/>
  <c r="J103" i="78"/>
  <c r="H103" i="78"/>
  <c r="G103" i="78"/>
  <c r="E103" i="78"/>
  <c r="D103" i="78"/>
  <c r="O102" i="78"/>
  <c r="L102" i="78"/>
  <c r="I102" i="78"/>
  <c r="F102" i="78"/>
  <c r="O101" i="78"/>
  <c r="L101" i="78"/>
  <c r="I101" i="78"/>
  <c r="F101" i="78"/>
  <c r="O100" i="78"/>
  <c r="L100" i="78"/>
  <c r="I100" i="78"/>
  <c r="F100" i="78"/>
  <c r="O99" i="78"/>
  <c r="L99" i="78"/>
  <c r="I99" i="78"/>
  <c r="F99" i="78"/>
  <c r="O98" i="78"/>
  <c r="L98" i="78"/>
  <c r="I98" i="78"/>
  <c r="F98" i="78"/>
  <c r="O97" i="78"/>
  <c r="L97" i="78"/>
  <c r="I97" i="78"/>
  <c r="F97" i="78"/>
  <c r="O96" i="78"/>
  <c r="O95" i="78" s="1"/>
  <c r="L96" i="78"/>
  <c r="I96" i="78"/>
  <c r="F96" i="78"/>
  <c r="N95" i="78"/>
  <c r="M95" i="78"/>
  <c r="K95" i="78"/>
  <c r="J95" i="78"/>
  <c r="H95" i="78"/>
  <c r="G95" i="78"/>
  <c r="E95" i="78"/>
  <c r="D95" i="78"/>
  <c r="O94" i="78"/>
  <c r="L94" i="78"/>
  <c r="I94" i="78"/>
  <c r="F94" i="78"/>
  <c r="O93" i="78"/>
  <c r="L93" i="78"/>
  <c r="I93" i="78"/>
  <c r="F93" i="78"/>
  <c r="O92" i="78"/>
  <c r="L92" i="78"/>
  <c r="I92" i="78"/>
  <c r="F92" i="78"/>
  <c r="O91" i="78"/>
  <c r="L91" i="78"/>
  <c r="I91" i="78"/>
  <c r="F91" i="78"/>
  <c r="O90" i="78"/>
  <c r="O89" i="78" s="1"/>
  <c r="L90" i="78"/>
  <c r="I90" i="78"/>
  <c r="I89" i="78" s="1"/>
  <c r="F90" i="78"/>
  <c r="N89" i="78"/>
  <c r="M89" i="78"/>
  <c r="K89" i="78"/>
  <c r="J89" i="78"/>
  <c r="H89" i="78"/>
  <c r="G89" i="78"/>
  <c r="E89" i="78"/>
  <c r="D89" i="78"/>
  <c r="O88" i="78"/>
  <c r="L88" i="78"/>
  <c r="I88" i="78"/>
  <c r="F88" i="78"/>
  <c r="O87" i="78"/>
  <c r="L87" i="78"/>
  <c r="I87" i="78"/>
  <c r="F87" i="78"/>
  <c r="O86" i="78"/>
  <c r="L86" i="78"/>
  <c r="I86" i="78"/>
  <c r="F86" i="78"/>
  <c r="O85" i="78"/>
  <c r="L85" i="78"/>
  <c r="L84" i="78" s="1"/>
  <c r="I85" i="78"/>
  <c r="I84" i="78" s="1"/>
  <c r="F85" i="78"/>
  <c r="N84" i="78"/>
  <c r="M84" i="78"/>
  <c r="K84" i="78"/>
  <c r="J84" i="78"/>
  <c r="H84" i="78"/>
  <c r="G84" i="78"/>
  <c r="E84" i="78"/>
  <c r="D84" i="78"/>
  <c r="O82" i="78"/>
  <c r="L82" i="78"/>
  <c r="I82" i="78"/>
  <c r="F82" i="78"/>
  <c r="O81" i="78"/>
  <c r="O80" i="78" s="1"/>
  <c r="L81" i="78"/>
  <c r="L80" i="78" s="1"/>
  <c r="I81" i="78"/>
  <c r="F81" i="78"/>
  <c r="F80" i="78" s="1"/>
  <c r="N80" i="78"/>
  <c r="M80" i="78"/>
  <c r="K80" i="78"/>
  <c r="J80" i="78"/>
  <c r="H80" i="78"/>
  <c r="G80" i="78"/>
  <c r="E80" i="78"/>
  <c r="D80" i="78"/>
  <c r="O79" i="78"/>
  <c r="L79" i="78"/>
  <c r="I79" i="78"/>
  <c r="F79" i="78"/>
  <c r="O78" i="78"/>
  <c r="L78" i="78"/>
  <c r="L77" i="78" s="1"/>
  <c r="I78" i="78"/>
  <c r="F78" i="78"/>
  <c r="F77" i="78" s="1"/>
  <c r="O77" i="78"/>
  <c r="N77" i="78"/>
  <c r="M77" i="78"/>
  <c r="K77" i="78"/>
  <c r="J77" i="78"/>
  <c r="H77" i="78"/>
  <c r="G77" i="78"/>
  <c r="E77" i="78"/>
  <c r="D77" i="78"/>
  <c r="N76" i="78"/>
  <c r="O74" i="78"/>
  <c r="L74" i="78"/>
  <c r="I74" i="78"/>
  <c r="F74" i="78"/>
  <c r="O73" i="78"/>
  <c r="L73" i="78"/>
  <c r="I73" i="78"/>
  <c r="F73" i="78"/>
  <c r="O72" i="78"/>
  <c r="L72" i="78"/>
  <c r="I72" i="78"/>
  <c r="F72" i="78"/>
  <c r="O71" i="78"/>
  <c r="L71" i="78"/>
  <c r="I71" i="78"/>
  <c r="F71" i="78"/>
  <c r="O70" i="78"/>
  <c r="L70" i="78"/>
  <c r="I70" i="78"/>
  <c r="F70" i="78"/>
  <c r="O69" i="78"/>
  <c r="N69" i="78"/>
  <c r="M69" i="78"/>
  <c r="K69" i="78"/>
  <c r="K67" i="78" s="1"/>
  <c r="J69" i="78"/>
  <c r="J67" i="78" s="1"/>
  <c r="H69" i="78"/>
  <c r="H67" i="78" s="1"/>
  <c r="G69" i="78"/>
  <c r="G67" i="78" s="1"/>
  <c r="E69" i="78"/>
  <c r="D69" i="78"/>
  <c r="D67" i="78" s="1"/>
  <c r="O68" i="78"/>
  <c r="L68" i="78"/>
  <c r="I68" i="78"/>
  <c r="F68" i="78"/>
  <c r="N67" i="78"/>
  <c r="M67" i="78"/>
  <c r="E67" i="78"/>
  <c r="O66" i="78"/>
  <c r="L66" i="78"/>
  <c r="I66" i="78"/>
  <c r="F66" i="78"/>
  <c r="O65" i="78"/>
  <c r="L65" i="78"/>
  <c r="I65" i="78"/>
  <c r="F65" i="78"/>
  <c r="O64" i="78"/>
  <c r="L64" i="78"/>
  <c r="I64" i="78"/>
  <c r="F64" i="78"/>
  <c r="O63" i="78"/>
  <c r="L63" i="78"/>
  <c r="I63" i="78"/>
  <c r="F63" i="78"/>
  <c r="O62" i="78"/>
  <c r="L62" i="78"/>
  <c r="I62" i="78"/>
  <c r="F62" i="78"/>
  <c r="O61" i="78"/>
  <c r="L61" i="78"/>
  <c r="I61" i="78"/>
  <c r="F61" i="78"/>
  <c r="O60" i="78"/>
  <c r="L60" i="78"/>
  <c r="I60" i="78"/>
  <c r="F60" i="78"/>
  <c r="O59" i="78"/>
  <c r="L59" i="78"/>
  <c r="I59" i="78"/>
  <c r="I58" i="78" s="1"/>
  <c r="F59" i="78"/>
  <c r="F58" i="78" s="1"/>
  <c r="N58" i="78"/>
  <c r="M58" i="78"/>
  <c r="K58" i="78"/>
  <c r="J58" i="78"/>
  <c r="H58" i="78"/>
  <c r="G58" i="78"/>
  <c r="E58" i="78"/>
  <c r="D58" i="78"/>
  <c r="O57" i="78"/>
  <c r="L57" i="78"/>
  <c r="I57" i="78"/>
  <c r="F57" i="78"/>
  <c r="O56" i="78"/>
  <c r="L56" i="78"/>
  <c r="I56" i="78"/>
  <c r="F56" i="78"/>
  <c r="N55" i="78"/>
  <c r="N54" i="78" s="1"/>
  <c r="M55" i="78"/>
  <c r="K55" i="78"/>
  <c r="J55" i="78"/>
  <c r="J54" i="78" s="1"/>
  <c r="I55" i="78"/>
  <c r="H55" i="78"/>
  <c r="G55" i="78"/>
  <c r="E55" i="78"/>
  <c r="E54" i="78" s="1"/>
  <c r="D55" i="78"/>
  <c r="D54" i="78" s="1"/>
  <c r="K54" i="78"/>
  <c r="O47" i="78"/>
  <c r="C47" i="78" s="1"/>
  <c r="O46" i="78"/>
  <c r="C46" i="78" s="1"/>
  <c r="N45" i="78"/>
  <c r="M45" i="78"/>
  <c r="L44" i="78"/>
  <c r="L43" i="78" s="1"/>
  <c r="I44" i="78"/>
  <c r="F44" i="78"/>
  <c r="F43" i="78" s="1"/>
  <c r="K43" i="78"/>
  <c r="J43" i="78"/>
  <c r="I43" i="78"/>
  <c r="H43" i="78"/>
  <c r="G43" i="78"/>
  <c r="E43" i="78"/>
  <c r="D43" i="78"/>
  <c r="F42" i="78"/>
  <c r="C42" i="78" s="1"/>
  <c r="E41" i="78"/>
  <c r="D41" i="78"/>
  <c r="L40" i="78"/>
  <c r="C40" i="78" s="1"/>
  <c r="L39" i="78"/>
  <c r="C39" i="78" s="1"/>
  <c r="L38" i="78"/>
  <c r="L37" i="78"/>
  <c r="C37" i="78" s="1"/>
  <c r="K36" i="78"/>
  <c r="J36" i="78"/>
  <c r="L35" i="78"/>
  <c r="C35" i="78" s="1"/>
  <c r="L34" i="78"/>
  <c r="C34" i="78" s="1"/>
  <c r="K33" i="78"/>
  <c r="J33" i="78"/>
  <c r="L32" i="78"/>
  <c r="C32" i="78" s="1"/>
  <c r="K31" i="78"/>
  <c r="J31" i="78"/>
  <c r="L30" i="78"/>
  <c r="C30" i="78" s="1"/>
  <c r="L29" i="78"/>
  <c r="C29" i="78" s="1"/>
  <c r="L28" i="78"/>
  <c r="K27" i="78"/>
  <c r="J27" i="78"/>
  <c r="F25" i="78"/>
  <c r="C25" i="78" s="1"/>
  <c r="I24" i="78"/>
  <c r="O23" i="78"/>
  <c r="L23" i="78"/>
  <c r="I23" i="78"/>
  <c r="F23" i="78"/>
  <c r="O22" i="78"/>
  <c r="O21" i="78" s="1"/>
  <c r="L22" i="78"/>
  <c r="I22" i="78"/>
  <c r="I21" i="78" s="1"/>
  <c r="F22" i="78"/>
  <c r="F21" i="78" s="1"/>
  <c r="N21" i="78"/>
  <c r="N292" i="78" s="1"/>
  <c r="N291" i="78" s="1"/>
  <c r="M21" i="78"/>
  <c r="M292" i="78" s="1"/>
  <c r="M291" i="78" s="1"/>
  <c r="K21" i="78"/>
  <c r="J21" i="78"/>
  <c r="J292" i="78" s="1"/>
  <c r="H21" i="78"/>
  <c r="H292" i="78" s="1"/>
  <c r="G21" i="78"/>
  <c r="G292" i="78" s="1"/>
  <c r="G291" i="78" s="1"/>
  <c r="E21" i="78"/>
  <c r="E292" i="78" s="1"/>
  <c r="E291" i="78" s="1"/>
  <c r="D21" i="78"/>
  <c r="D292" i="78" s="1"/>
  <c r="N20" i="78"/>
  <c r="J204" i="78" l="1"/>
  <c r="K130" i="78"/>
  <c r="E204" i="78"/>
  <c r="C262" i="78"/>
  <c r="C263" i="78"/>
  <c r="H259" i="78"/>
  <c r="C282" i="78"/>
  <c r="D291" i="78"/>
  <c r="C215" i="78"/>
  <c r="J291" i="78"/>
  <c r="J76" i="78"/>
  <c r="C219" i="78"/>
  <c r="K231" i="78"/>
  <c r="K230" i="78" s="1"/>
  <c r="M259" i="78"/>
  <c r="H54" i="78"/>
  <c r="E76" i="78"/>
  <c r="K76" i="78"/>
  <c r="C159" i="78"/>
  <c r="C178" i="78"/>
  <c r="M231" i="78"/>
  <c r="M230" i="78" s="1"/>
  <c r="K292" i="78"/>
  <c r="K291" i="78" s="1"/>
  <c r="C250" i="78"/>
  <c r="C274" i="78"/>
  <c r="M76" i="78"/>
  <c r="C74" i="78"/>
  <c r="C66" i="78"/>
  <c r="E195" i="78"/>
  <c r="C43" i="78"/>
  <c r="C94" i="78"/>
  <c r="L21" i="78"/>
  <c r="O45" i="78"/>
  <c r="C45" i="78" s="1"/>
  <c r="H76" i="78"/>
  <c r="L76" i="78"/>
  <c r="C81" i="78"/>
  <c r="C108" i="78"/>
  <c r="C109" i="78"/>
  <c r="C126" i="78"/>
  <c r="C243" i="78"/>
  <c r="C199" i="78"/>
  <c r="I281" i="78"/>
  <c r="N53" i="78"/>
  <c r="N187" i="78"/>
  <c r="C210" i="78"/>
  <c r="C23" i="78"/>
  <c r="L27" i="78"/>
  <c r="C27" i="78" s="1"/>
  <c r="K26" i="78"/>
  <c r="K20" i="78" s="1"/>
  <c r="F41" i="78"/>
  <c r="C41" i="78" s="1"/>
  <c r="G20" i="78"/>
  <c r="M54" i="78"/>
  <c r="C63" i="78"/>
  <c r="C71" i="78"/>
  <c r="O103" i="78"/>
  <c r="O122" i="78"/>
  <c r="C139" i="78"/>
  <c r="C140" i="78"/>
  <c r="C186" i="78"/>
  <c r="H187" i="78"/>
  <c r="C207" i="78"/>
  <c r="N204" i="78"/>
  <c r="N195" i="78" s="1"/>
  <c r="L252" i="78"/>
  <c r="L251" i="78" s="1"/>
  <c r="I260" i="78"/>
  <c r="C288" i="78"/>
  <c r="C298" i="78"/>
  <c r="D83" i="78"/>
  <c r="L141" i="78"/>
  <c r="C163" i="78"/>
  <c r="C171" i="78"/>
  <c r="L187" i="78"/>
  <c r="L196" i="78"/>
  <c r="L264" i="78"/>
  <c r="O67" i="78"/>
  <c r="H130" i="78"/>
  <c r="O184" i="78"/>
  <c r="K187" i="78"/>
  <c r="C223" i="78"/>
  <c r="M269" i="78"/>
  <c r="C28" i="78"/>
  <c r="G54" i="78"/>
  <c r="G53" i="78" s="1"/>
  <c r="D76" i="78"/>
  <c r="I80" i="78"/>
  <c r="C80" i="78" s="1"/>
  <c r="L95" i="78"/>
  <c r="C100" i="78"/>
  <c r="M83" i="78"/>
  <c r="C104" i="78"/>
  <c r="C123" i="78"/>
  <c r="C143" i="78"/>
  <c r="L175" i="78"/>
  <c r="L174" i="78" s="1"/>
  <c r="L173" i="78" s="1"/>
  <c r="C190" i="78"/>
  <c r="J195" i="78"/>
  <c r="C232" i="78"/>
  <c r="C267" i="78"/>
  <c r="I20" i="78"/>
  <c r="I54" i="78"/>
  <c r="E83" i="78"/>
  <c r="K83" i="78"/>
  <c r="K75" i="78" s="1"/>
  <c r="C91" i="78"/>
  <c r="F89" i="78"/>
  <c r="M130" i="78"/>
  <c r="O144" i="78"/>
  <c r="I205" i="78"/>
  <c r="I204" i="78" s="1"/>
  <c r="C294" i="78"/>
  <c r="I293" i="78"/>
  <c r="C278" i="78"/>
  <c r="F276" i="78"/>
  <c r="C57" i="78"/>
  <c r="O58" i="78"/>
  <c r="C68" i="78"/>
  <c r="D53" i="78"/>
  <c r="G83" i="78"/>
  <c r="C99" i="78"/>
  <c r="C107" i="78"/>
  <c r="C111" i="78"/>
  <c r="O116" i="78"/>
  <c r="C147" i="78"/>
  <c r="C149" i="78"/>
  <c r="C150" i="78"/>
  <c r="H174" i="78"/>
  <c r="H173" i="78" s="1"/>
  <c r="K174" i="78"/>
  <c r="K173" i="78" s="1"/>
  <c r="C183" i="78"/>
  <c r="G187" i="78"/>
  <c r="C202" i="78"/>
  <c r="C239" i="78"/>
  <c r="C255" i="78"/>
  <c r="C271" i="78"/>
  <c r="D269" i="78"/>
  <c r="C115" i="78"/>
  <c r="F112" i="78"/>
  <c r="D187" i="78"/>
  <c r="M20" i="78"/>
  <c r="C38" i="78"/>
  <c r="L36" i="78"/>
  <c r="C36" i="78" s="1"/>
  <c r="C65" i="78"/>
  <c r="C73" i="78"/>
  <c r="N83" i="78"/>
  <c r="O84" i="78"/>
  <c r="C92" i="78"/>
  <c r="C97" i="78"/>
  <c r="C125" i="78"/>
  <c r="C135" i="78"/>
  <c r="D130" i="78"/>
  <c r="C137" i="78"/>
  <c r="C138" i="78"/>
  <c r="C155" i="78"/>
  <c r="C158" i="78"/>
  <c r="O160" i="78"/>
  <c r="F166" i="78"/>
  <c r="F165" i="78" s="1"/>
  <c r="C167" i="78"/>
  <c r="C169" i="78"/>
  <c r="C170" i="78"/>
  <c r="C176" i="78"/>
  <c r="D204" i="78"/>
  <c r="D195" i="78" s="1"/>
  <c r="C227" i="78"/>
  <c r="J26" i="78"/>
  <c r="J20" i="78" s="1"/>
  <c r="M53" i="78"/>
  <c r="L55" i="78"/>
  <c r="C60" i="78"/>
  <c r="C64" i="78"/>
  <c r="H53" i="78"/>
  <c r="C70" i="78"/>
  <c r="G76" i="78"/>
  <c r="C79" i="78"/>
  <c r="C82" i="78"/>
  <c r="J83" i="78"/>
  <c r="C87" i="78"/>
  <c r="C93" i="78"/>
  <c r="F95" i="78"/>
  <c r="C98" i="78"/>
  <c r="C114" i="78"/>
  <c r="C121" i="78"/>
  <c r="C127" i="78"/>
  <c r="G130" i="78"/>
  <c r="L131" i="78"/>
  <c r="I136" i="78"/>
  <c r="C146" i="78"/>
  <c r="L151" i="78"/>
  <c r="C156" i="78"/>
  <c r="C161" i="78"/>
  <c r="C162" i="78"/>
  <c r="C168" i="78"/>
  <c r="C180" i="78"/>
  <c r="I184" i="78"/>
  <c r="I187" i="78"/>
  <c r="C203" i="78"/>
  <c r="C211" i="78"/>
  <c r="E231" i="78"/>
  <c r="G231" i="78"/>
  <c r="G230" i="78" s="1"/>
  <c r="O238" i="78"/>
  <c r="C266" i="78"/>
  <c r="I286" i="78"/>
  <c r="I292" i="78" s="1"/>
  <c r="I291" i="78" s="1"/>
  <c r="C295" i="78"/>
  <c r="C222" i="78"/>
  <c r="K204" i="78"/>
  <c r="K195" i="78" s="1"/>
  <c r="K194" i="78" s="1"/>
  <c r="N231" i="78"/>
  <c r="C235" i="78"/>
  <c r="C242" i="78"/>
  <c r="C258" i="78"/>
  <c r="I270" i="78"/>
  <c r="C287" i="78"/>
  <c r="C299" i="78"/>
  <c r="C208" i="78"/>
  <c r="C209" i="78"/>
  <c r="E20" i="78"/>
  <c r="H291" i="78"/>
  <c r="J53" i="78"/>
  <c r="E53" i="78"/>
  <c r="C56" i="78"/>
  <c r="O55" i="78"/>
  <c r="L58" i="78"/>
  <c r="C62" i="78"/>
  <c r="K53" i="78"/>
  <c r="F69" i="78"/>
  <c r="F67" i="78" s="1"/>
  <c r="C72" i="78"/>
  <c r="O76" i="78"/>
  <c r="C90" i="78"/>
  <c r="H83" i="78"/>
  <c r="H75" i="78" s="1"/>
  <c r="H52" i="78" s="1"/>
  <c r="C101" i="78"/>
  <c r="C110" i="78"/>
  <c r="L112" i="78"/>
  <c r="C119" i="78"/>
  <c r="C133" i="78"/>
  <c r="O131" i="78"/>
  <c r="O136" i="78"/>
  <c r="L144" i="78"/>
  <c r="C148" i="78"/>
  <c r="C153" i="78"/>
  <c r="O165" i="78"/>
  <c r="D174" i="78"/>
  <c r="D173" i="78" s="1"/>
  <c r="O188" i="78"/>
  <c r="O187" i="78" s="1"/>
  <c r="J187" i="78"/>
  <c r="C201" i="78"/>
  <c r="H204" i="78"/>
  <c r="H195" i="78" s="1"/>
  <c r="C214" i="78"/>
  <c r="C220" i="78"/>
  <c r="C226" i="78"/>
  <c r="G204" i="78"/>
  <c r="G195" i="78" s="1"/>
  <c r="H231" i="78"/>
  <c r="H230" i="78" s="1"/>
  <c r="J231" i="78"/>
  <c r="J230" i="78" s="1"/>
  <c r="I238" i="78"/>
  <c r="O246" i="78"/>
  <c r="N259" i="78"/>
  <c r="O260" i="78"/>
  <c r="L260" i="78"/>
  <c r="L259" i="78" s="1"/>
  <c r="I264" i="78"/>
  <c r="I259" i="78" s="1"/>
  <c r="E270" i="78"/>
  <c r="E269" i="78" s="1"/>
  <c r="N270" i="78"/>
  <c r="N269" i="78" s="1"/>
  <c r="C277" i="78"/>
  <c r="O276" i="78"/>
  <c r="C297" i="78"/>
  <c r="O292" i="78"/>
  <c r="O291" i="78" s="1"/>
  <c r="F292" i="78"/>
  <c r="C21" i="78"/>
  <c r="F76" i="78"/>
  <c r="C22" i="78"/>
  <c r="L33" i="78"/>
  <c r="C33" i="78" s="1"/>
  <c r="C88" i="78"/>
  <c r="C105" i="78"/>
  <c r="I103" i="78"/>
  <c r="C192" i="78"/>
  <c r="F191" i="78"/>
  <c r="C191" i="78" s="1"/>
  <c r="C44" i="78"/>
  <c r="F55" i="78"/>
  <c r="L69" i="78"/>
  <c r="L67" i="78" s="1"/>
  <c r="C78" i="78"/>
  <c r="C284" i="78"/>
  <c r="F283" i="78"/>
  <c r="C283" i="78" s="1"/>
  <c r="C96" i="78"/>
  <c r="C185" i="78"/>
  <c r="F184" i="78"/>
  <c r="C301" i="78"/>
  <c r="F84" i="78"/>
  <c r="L122" i="78"/>
  <c r="I131" i="78"/>
  <c r="L276" i="78"/>
  <c r="L270" i="78" s="1"/>
  <c r="L269" i="78" s="1"/>
  <c r="C279" i="78"/>
  <c r="L31" i="78"/>
  <c r="C59" i="78"/>
  <c r="I69" i="78"/>
  <c r="I67" i="78" s="1"/>
  <c r="I53" i="78" s="1"/>
  <c r="I77" i="78"/>
  <c r="C85" i="78"/>
  <c r="L103" i="78"/>
  <c r="I112" i="78"/>
  <c r="C113" i="78"/>
  <c r="L116" i="78"/>
  <c r="C128" i="78"/>
  <c r="N130" i="78"/>
  <c r="E130" i="78"/>
  <c r="C154" i="78"/>
  <c r="F151" i="78"/>
  <c r="F160" i="78"/>
  <c r="C160" i="78" s="1"/>
  <c r="M187" i="78"/>
  <c r="C61" i="78"/>
  <c r="C134" i="78"/>
  <c r="F131" i="78"/>
  <c r="C177" i="78"/>
  <c r="F175" i="78"/>
  <c r="C197" i="78"/>
  <c r="F196" i="78"/>
  <c r="C247" i="78"/>
  <c r="I95" i="78"/>
  <c r="I116" i="78"/>
  <c r="C117" i="78"/>
  <c r="F118" i="78"/>
  <c r="C142" i="78"/>
  <c r="F141" i="78"/>
  <c r="C141" i="78" s="1"/>
  <c r="H20" i="78"/>
  <c r="C86" i="78"/>
  <c r="L89" i="78"/>
  <c r="C89" i="78" s="1"/>
  <c r="C102" i="78"/>
  <c r="F103" i="78"/>
  <c r="C106" i="78"/>
  <c r="C120" i="78"/>
  <c r="C124" i="78"/>
  <c r="I122" i="78"/>
  <c r="C129" i="78"/>
  <c r="J130" i="78"/>
  <c r="J75" i="78" s="1"/>
  <c r="F136" i="78"/>
  <c r="C145" i="78"/>
  <c r="I151" i="78"/>
  <c r="C157" i="78"/>
  <c r="C164" i="78"/>
  <c r="C172" i="78"/>
  <c r="G173" i="78"/>
  <c r="O175" i="78"/>
  <c r="O174" i="78" s="1"/>
  <c r="O173" i="78" s="1"/>
  <c r="C182" i="78"/>
  <c r="F205" i="78"/>
  <c r="C206" i="78"/>
  <c r="C132" i="78"/>
  <c r="C152" i="78"/>
  <c r="I166" i="78"/>
  <c r="I165" i="78" s="1"/>
  <c r="J174" i="78"/>
  <c r="J173" i="78" s="1"/>
  <c r="N174" i="78"/>
  <c r="N173" i="78" s="1"/>
  <c r="E187" i="78"/>
  <c r="C200" i="78"/>
  <c r="I198" i="78"/>
  <c r="C218" i="78"/>
  <c r="F216" i="78"/>
  <c r="D231" i="78"/>
  <c r="D230" i="78" s="1"/>
  <c r="C249" i="78"/>
  <c r="F246" i="78"/>
  <c r="C254" i="78"/>
  <c r="F252" i="78"/>
  <c r="E259" i="78"/>
  <c r="C275" i="78"/>
  <c r="L293" i="78"/>
  <c r="C181" i="78"/>
  <c r="M204" i="78"/>
  <c r="M195" i="78" s="1"/>
  <c r="C221" i="78"/>
  <c r="C244" i="78"/>
  <c r="C245" i="78"/>
  <c r="C248" i="78"/>
  <c r="I246" i="78"/>
  <c r="I231" i="78" s="1"/>
  <c r="I230" i="78" s="1"/>
  <c r="C273" i="78"/>
  <c r="F272" i="78"/>
  <c r="I179" i="78"/>
  <c r="I174" i="78" s="1"/>
  <c r="C189" i="78"/>
  <c r="C193" i="78"/>
  <c r="O196" i="78"/>
  <c r="F233" i="78"/>
  <c r="C234" i="78"/>
  <c r="O205" i="78"/>
  <c r="C212" i="78"/>
  <c r="C213" i="78"/>
  <c r="C217" i="78"/>
  <c r="O216" i="78"/>
  <c r="L216" i="78"/>
  <c r="L204" i="78" s="1"/>
  <c r="L195" i="78" s="1"/>
  <c r="C224" i="78"/>
  <c r="C225" i="78"/>
  <c r="C228" i="78"/>
  <c r="C229" i="78"/>
  <c r="L231" i="78"/>
  <c r="C236" i="78"/>
  <c r="C237" i="78"/>
  <c r="C240" i="78"/>
  <c r="C241" i="78"/>
  <c r="F238" i="78"/>
  <c r="C238" i="78" s="1"/>
  <c r="C256" i="78"/>
  <c r="C257" i="78"/>
  <c r="F260" i="78"/>
  <c r="C261" i="78"/>
  <c r="F264" i="78"/>
  <c r="C265" i="78"/>
  <c r="O264" i="78"/>
  <c r="O259" i="78" s="1"/>
  <c r="C281" i="78"/>
  <c r="F293" i="78"/>
  <c r="C293" i="78" s="1"/>
  <c r="C300" i="78"/>
  <c r="C280" i="78"/>
  <c r="C253" i="78"/>
  <c r="O252" i="78"/>
  <c r="O251" i="78" s="1"/>
  <c r="C268" i="78"/>
  <c r="J270" i="78"/>
  <c r="J269" i="78" s="1"/>
  <c r="O272" i="78"/>
  <c r="O270" i="78" s="1"/>
  <c r="O269" i="78" s="1"/>
  <c r="C285" i="78"/>
  <c r="L286" i="78"/>
  <c r="L292" i="78" s="1"/>
  <c r="C296" i="78"/>
  <c r="L230" i="78" l="1"/>
  <c r="E75" i="78"/>
  <c r="I76" i="78"/>
  <c r="I269" i="78"/>
  <c r="C112" i="78"/>
  <c r="L54" i="78"/>
  <c r="L53" i="78" s="1"/>
  <c r="C136" i="78"/>
  <c r="N75" i="78"/>
  <c r="N52" i="78" s="1"/>
  <c r="C144" i="78"/>
  <c r="C58" i="78"/>
  <c r="M75" i="78"/>
  <c r="M52" i="78" s="1"/>
  <c r="F187" i="78"/>
  <c r="C187" i="78" s="1"/>
  <c r="O20" i="78"/>
  <c r="D75" i="78"/>
  <c r="D52" i="78" s="1"/>
  <c r="I173" i="78"/>
  <c r="L291" i="78"/>
  <c r="C184" i="78"/>
  <c r="O130" i="78"/>
  <c r="C276" i="78"/>
  <c r="E52" i="78"/>
  <c r="G194" i="78"/>
  <c r="H194" i="78"/>
  <c r="H51" i="78" s="1"/>
  <c r="K52" i="78"/>
  <c r="K51" i="78" s="1"/>
  <c r="K50" i="78" s="1"/>
  <c r="G75" i="78"/>
  <c r="G52" i="78" s="1"/>
  <c r="G51" i="78" s="1"/>
  <c r="L130" i="78"/>
  <c r="H289" i="78"/>
  <c r="D194" i="78"/>
  <c r="C69" i="78"/>
  <c r="N230" i="78"/>
  <c r="N194" i="78" s="1"/>
  <c r="C179" i="78"/>
  <c r="L194" i="78"/>
  <c r="C95" i="78"/>
  <c r="J289" i="78"/>
  <c r="K289" i="78"/>
  <c r="C246" i="78"/>
  <c r="J194" i="78"/>
  <c r="C188" i="78"/>
  <c r="J52" i="78"/>
  <c r="O83" i="78"/>
  <c r="E230" i="78"/>
  <c r="E194" i="78" s="1"/>
  <c r="C122" i="78"/>
  <c r="O54" i="78"/>
  <c r="O53" i="78" s="1"/>
  <c r="F291" i="78"/>
  <c r="O231" i="78"/>
  <c r="O230" i="78" s="1"/>
  <c r="M194" i="78"/>
  <c r="M289" i="78"/>
  <c r="C260" i="78"/>
  <c r="F259" i="78"/>
  <c r="C259" i="78" s="1"/>
  <c r="C205" i="78"/>
  <c r="F204" i="78"/>
  <c r="F195" i="78" s="1"/>
  <c r="C118" i="78"/>
  <c r="F116" i="78"/>
  <c r="C116" i="78" s="1"/>
  <c r="C31" i="78"/>
  <c r="L26" i="78"/>
  <c r="L83" i="78"/>
  <c r="C77" i="78"/>
  <c r="C264" i="78"/>
  <c r="O204" i="78"/>
  <c r="O195" i="78" s="1"/>
  <c r="C252" i="78"/>
  <c r="F251" i="78"/>
  <c r="C251" i="78" s="1"/>
  <c r="C198" i="78"/>
  <c r="I196" i="78"/>
  <c r="I195" i="78" s="1"/>
  <c r="C103" i="78"/>
  <c r="C76" i="78"/>
  <c r="I83" i="78"/>
  <c r="C67" i="78"/>
  <c r="C166" i="78"/>
  <c r="C292" i="78"/>
  <c r="C286" i="78"/>
  <c r="C233" i="78"/>
  <c r="F231" i="78"/>
  <c r="F174" i="78"/>
  <c r="C175" i="78"/>
  <c r="I130" i="78"/>
  <c r="F270" i="78"/>
  <c r="C272" i="78"/>
  <c r="C216" i="78"/>
  <c r="C196" i="78"/>
  <c r="F130" i="78"/>
  <c r="C131" i="78"/>
  <c r="C151" i="78"/>
  <c r="C84" i="78"/>
  <c r="C165" i="78"/>
  <c r="C55" i="78"/>
  <c r="F54" i="78"/>
  <c r="G289" i="78" l="1"/>
  <c r="E51" i="78"/>
  <c r="E290" i="78" s="1"/>
  <c r="N51" i="78"/>
  <c r="N50" i="78" s="1"/>
  <c r="C291" i="78"/>
  <c r="K290" i="78"/>
  <c r="N289" i="78"/>
  <c r="O75" i="78"/>
  <c r="O52" i="78" s="1"/>
  <c r="D289" i="78"/>
  <c r="I75" i="78"/>
  <c r="I52" i="78" s="1"/>
  <c r="D51" i="78"/>
  <c r="D50" i="78" s="1"/>
  <c r="G290" i="78"/>
  <c r="G50" i="78"/>
  <c r="L75" i="78"/>
  <c r="L289" i="78" s="1"/>
  <c r="J51" i="78"/>
  <c r="N290" i="78"/>
  <c r="C130" i="78"/>
  <c r="E289" i="78"/>
  <c r="M51" i="78"/>
  <c r="M50" i="78" s="1"/>
  <c r="O194" i="78"/>
  <c r="C195" i="78"/>
  <c r="F269" i="78"/>
  <c r="C270" i="78"/>
  <c r="F230" i="78"/>
  <c r="C230" i="78" s="1"/>
  <c r="C231" i="78"/>
  <c r="H290" i="78"/>
  <c r="H50" i="78"/>
  <c r="I194" i="78"/>
  <c r="I51" i="78" s="1"/>
  <c r="I289" i="78"/>
  <c r="L52" i="78"/>
  <c r="L51" i="78" s="1"/>
  <c r="L50" i="78" s="1"/>
  <c r="C26" i="78"/>
  <c r="L20" i="78"/>
  <c r="C204" i="78"/>
  <c r="F53" i="78"/>
  <c r="C54" i="78"/>
  <c r="F83" i="78"/>
  <c r="C174" i="78"/>
  <c r="F173" i="78"/>
  <c r="C173" i="78" s="1"/>
  <c r="E50" i="78" l="1"/>
  <c r="O289" i="78"/>
  <c r="O51" i="78"/>
  <c r="O290" i="78" s="1"/>
  <c r="D24" i="78"/>
  <c r="D290" i="78" s="1"/>
  <c r="J50" i="78"/>
  <c r="J290" i="78"/>
  <c r="M290" i="78"/>
  <c r="I290" i="78"/>
  <c r="I50" i="78"/>
  <c r="C83" i="78"/>
  <c r="F75" i="78"/>
  <c r="C75" i="78" s="1"/>
  <c r="L290" i="78"/>
  <c r="C269" i="78"/>
  <c r="C53" i="78"/>
  <c r="F194" i="78"/>
  <c r="C194" i="78" s="1"/>
  <c r="O50" i="78" l="1"/>
  <c r="D20" i="78"/>
  <c r="F24" i="78"/>
  <c r="F52" i="78"/>
  <c r="C52" i="78" s="1"/>
  <c r="F289" i="78"/>
  <c r="C289" i="78" s="1"/>
  <c r="F20" i="78" l="1"/>
  <c r="C20" i="78" s="1"/>
  <c r="C24" i="78"/>
  <c r="F51" i="78"/>
  <c r="C51" i="78" s="1"/>
  <c r="F290" i="78" l="1"/>
  <c r="C290" i="78" s="1"/>
  <c r="F50" i="78"/>
  <c r="C50" i="78" s="1"/>
  <c r="O301" i="77" l="1"/>
  <c r="L301" i="77"/>
  <c r="I301" i="77"/>
  <c r="F301" i="77"/>
  <c r="O300" i="77"/>
  <c r="L300" i="77"/>
  <c r="I300" i="77"/>
  <c r="F300" i="77"/>
  <c r="O299" i="77"/>
  <c r="L299" i="77"/>
  <c r="I299" i="77"/>
  <c r="F299" i="77"/>
  <c r="C299" i="77" s="1"/>
  <c r="O298" i="77"/>
  <c r="L298" i="77"/>
  <c r="I298" i="77"/>
  <c r="F298" i="77"/>
  <c r="C298" i="77" s="1"/>
  <c r="O297" i="77"/>
  <c r="L297" i="77"/>
  <c r="I297" i="77"/>
  <c r="F297" i="77"/>
  <c r="O296" i="77"/>
  <c r="L296" i="77"/>
  <c r="I296" i="77"/>
  <c r="F296" i="77"/>
  <c r="O295" i="77"/>
  <c r="L295" i="77"/>
  <c r="I295" i="77"/>
  <c r="F295" i="77"/>
  <c r="O294" i="77"/>
  <c r="O293" i="77" s="1"/>
  <c r="L294" i="77"/>
  <c r="I294" i="77"/>
  <c r="F294" i="77"/>
  <c r="N293" i="77"/>
  <c r="M293" i="77"/>
  <c r="K293" i="77"/>
  <c r="J293" i="77"/>
  <c r="H293" i="77"/>
  <c r="G293" i="77"/>
  <c r="E293" i="77"/>
  <c r="D293" i="77"/>
  <c r="O288" i="77"/>
  <c r="L288" i="77"/>
  <c r="I288" i="77"/>
  <c r="F288" i="77"/>
  <c r="O287" i="77"/>
  <c r="L287" i="77"/>
  <c r="L286" i="77" s="1"/>
  <c r="I287" i="77"/>
  <c r="F287" i="77"/>
  <c r="E287" i="77"/>
  <c r="N286" i="77"/>
  <c r="M286" i="77"/>
  <c r="K286" i="77"/>
  <c r="J286" i="77"/>
  <c r="H286" i="77"/>
  <c r="G286" i="77"/>
  <c r="E286" i="77"/>
  <c r="D286" i="77"/>
  <c r="O285" i="77"/>
  <c r="O284" i="77" s="1"/>
  <c r="O283" i="77" s="1"/>
  <c r="L285" i="77"/>
  <c r="I285" i="77"/>
  <c r="F285" i="77"/>
  <c r="N284" i="77"/>
  <c r="N283" i="77" s="1"/>
  <c r="M284" i="77"/>
  <c r="L284" i="77"/>
  <c r="L283" i="77" s="1"/>
  <c r="K284" i="77"/>
  <c r="J284" i="77"/>
  <c r="J283" i="77" s="1"/>
  <c r="H284" i="77"/>
  <c r="H283" i="77" s="1"/>
  <c r="G284" i="77"/>
  <c r="G283" i="77" s="1"/>
  <c r="F284" i="77"/>
  <c r="E284" i="77"/>
  <c r="E283" i="77" s="1"/>
  <c r="D284" i="77"/>
  <c r="D283" i="77" s="1"/>
  <c r="M283" i="77"/>
  <c r="K283" i="77"/>
  <c r="O282" i="77"/>
  <c r="O281" i="77" s="1"/>
  <c r="L282" i="77"/>
  <c r="L281" i="77" s="1"/>
  <c r="I282" i="77"/>
  <c r="F282" i="77"/>
  <c r="N281" i="77"/>
  <c r="M281" i="77"/>
  <c r="K281" i="77"/>
  <c r="J281" i="77"/>
  <c r="I281" i="77"/>
  <c r="H281" i="77"/>
  <c r="G281" i="77"/>
  <c r="E281" i="77"/>
  <c r="D281" i="77"/>
  <c r="O280" i="77"/>
  <c r="L280" i="77"/>
  <c r="I280" i="77"/>
  <c r="F280" i="77"/>
  <c r="O279" i="77"/>
  <c r="L279" i="77"/>
  <c r="I279" i="77"/>
  <c r="F279" i="77"/>
  <c r="O278" i="77"/>
  <c r="L278" i="77"/>
  <c r="I278" i="77"/>
  <c r="F278" i="77"/>
  <c r="O277" i="77"/>
  <c r="O276" i="77" s="1"/>
  <c r="L277" i="77"/>
  <c r="I277" i="77"/>
  <c r="F277" i="77"/>
  <c r="N276" i="77"/>
  <c r="M276" i="77"/>
  <c r="L276" i="77"/>
  <c r="K276" i="77"/>
  <c r="J276" i="77"/>
  <c r="H276" i="77"/>
  <c r="G276" i="77"/>
  <c r="E276" i="77"/>
  <c r="D276" i="77"/>
  <c r="D270" i="77" s="1"/>
  <c r="O275" i="77"/>
  <c r="L275" i="77"/>
  <c r="I275" i="77"/>
  <c r="F275" i="77"/>
  <c r="C275" i="77" s="1"/>
  <c r="O274" i="77"/>
  <c r="L274" i="77"/>
  <c r="I274" i="77"/>
  <c r="F274" i="77"/>
  <c r="O273" i="77"/>
  <c r="O272" i="77" s="1"/>
  <c r="L273" i="77"/>
  <c r="I273" i="77"/>
  <c r="F273" i="77"/>
  <c r="N272" i="77"/>
  <c r="M272" i="77"/>
  <c r="L272" i="77"/>
  <c r="K272" i="77"/>
  <c r="K270" i="77" s="1"/>
  <c r="K269" i="77" s="1"/>
  <c r="J272" i="77"/>
  <c r="H272" i="77"/>
  <c r="G272" i="77"/>
  <c r="F272" i="77"/>
  <c r="E272" i="77"/>
  <c r="D272" i="77"/>
  <c r="O271" i="77"/>
  <c r="L271" i="77"/>
  <c r="I271" i="77"/>
  <c r="F271" i="77"/>
  <c r="M270" i="77"/>
  <c r="M269" i="77" s="1"/>
  <c r="E270" i="77"/>
  <c r="E269" i="77" s="1"/>
  <c r="O268" i="77"/>
  <c r="L268" i="77"/>
  <c r="I268" i="77"/>
  <c r="F268" i="77"/>
  <c r="O267" i="77"/>
  <c r="L267" i="77"/>
  <c r="I267" i="77"/>
  <c r="F267" i="77"/>
  <c r="O266" i="77"/>
  <c r="L266" i="77"/>
  <c r="I266" i="77"/>
  <c r="F266" i="77"/>
  <c r="O265" i="77"/>
  <c r="L265" i="77"/>
  <c r="I265" i="77"/>
  <c r="F265" i="77"/>
  <c r="N264" i="77"/>
  <c r="M264" i="77"/>
  <c r="K264" i="77"/>
  <c r="J264" i="77"/>
  <c r="H264" i="77"/>
  <c r="G264" i="77"/>
  <c r="E264" i="77"/>
  <c r="D264" i="77"/>
  <c r="O263" i="77"/>
  <c r="L263" i="77"/>
  <c r="C263" i="77" s="1"/>
  <c r="I263" i="77"/>
  <c r="F263" i="77"/>
  <c r="O262" i="77"/>
  <c r="L262" i="77"/>
  <c r="I262" i="77"/>
  <c r="F262" i="77"/>
  <c r="O261" i="77"/>
  <c r="L261" i="77"/>
  <c r="L260" i="77" s="1"/>
  <c r="I261" i="77"/>
  <c r="F261" i="77"/>
  <c r="N260" i="77"/>
  <c r="M260" i="77"/>
  <c r="K260" i="77"/>
  <c r="J260" i="77"/>
  <c r="H260" i="77"/>
  <c r="G260" i="77"/>
  <c r="G259" i="77" s="1"/>
  <c r="F260" i="77"/>
  <c r="E260" i="77"/>
  <c r="E259" i="77" s="1"/>
  <c r="D260" i="77"/>
  <c r="D259" i="77" s="1"/>
  <c r="K259" i="77"/>
  <c r="O258" i="77"/>
  <c r="L258" i="77"/>
  <c r="I258" i="77"/>
  <c r="F258" i="77"/>
  <c r="O257" i="77"/>
  <c r="L257" i="77"/>
  <c r="I257" i="77"/>
  <c r="C257" i="77" s="1"/>
  <c r="F257" i="77"/>
  <c r="O256" i="77"/>
  <c r="L256" i="77"/>
  <c r="I256" i="77"/>
  <c r="F256" i="77"/>
  <c r="O255" i="77"/>
  <c r="L255" i="77"/>
  <c r="I255" i="77"/>
  <c r="F255" i="77"/>
  <c r="O254" i="77"/>
  <c r="L254" i="77"/>
  <c r="I254" i="77"/>
  <c r="F254" i="77"/>
  <c r="O253" i="77"/>
  <c r="O252" i="77" s="1"/>
  <c r="O251" i="77" s="1"/>
  <c r="L253" i="77"/>
  <c r="I253" i="77"/>
  <c r="F253" i="77"/>
  <c r="N252" i="77"/>
  <c r="N251" i="77" s="1"/>
  <c r="M252" i="77"/>
  <c r="K252" i="77"/>
  <c r="J252" i="77"/>
  <c r="J251" i="77" s="1"/>
  <c r="H252" i="77"/>
  <c r="H251" i="77" s="1"/>
  <c r="G252" i="77"/>
  <c r="G251" i="77" s="1"/>
  <c r="F252" i="77"/>
  <c r="E252" i="77"/>
  <c r="D252" i="77"/>
  <c r="D251" i="77" s="1"/>
  <c r="M251" i="77"/>
  <c r="K251" i="77"/>
  <c r="E251" i="77"/>
  <c r="O250" i="77"/>
  <c r="L250" i="77"/>
  <c r="I250" i="77"/>
  <c r="F250" i="77"/>
  <c r="O249" i="77"/>
  <c r="L249" i="77"/>
  <c r="I249" i="77"/>
  <c r="F249" i="77"/>
  <c r="O248" i="77"/>
  <c r="L248" i="77"/>
  <c r="I248" i="77"/>
  <c r="F248" i="77"/>
  <c r="O247" i="77"/>
  <c r="O246" i="77" s="1"/>
  <c r="L247" i="77"/>
  <c r="L246" i="77" s="1"/>
  <c r="I247" i="77"/>
  <c r="I246" i="77" s="1"/>
  <c r="F247" i="77"/>
  <c r="N246" i="77"/>
  <c r="M246" i="77"/>
  <c r="K246" i="77"/>
  <c r="J246" i="77"/>
  <c r="H246" i="77"/>
  <c r="G246" i="77"/>
  <c r="E246" i="77"/>
  <c r="D246" i="77"/>
  <c r="O245" i="77"/>
  <c r="L245" i="77"/>
  <c r="I245" i="77"/>
  <c r="F245" i="77"/>
  <c r="O244" i="77"/>
  <c r="L244" i="77"/>
  <c r="I244" i="77"/>
  <c r="F244" i="77"/>
  <c r="O243" i="77"/>
  <c r="L243" i="77"/>
  <c r="I243" i="77"/>
  <c r="F243" i="77"/>
  <c r="O242" i="77"/>
  <c r="L242" i="77"/>
  <c r="I242" i="77"/>
  <c r="F242" i="77"/>
  <c r="O241" i="77"/>
  <c r="L241" i="77"/>
  <c r="I241" i="77"/>
  <c r="F241" i="77"/>
  <c r="O240" i="77"/>
  <c r="L240" i="77"/>
  <c r="I240" i="77"/>
  <c r="F240" i="77"/>
  <c r="O239" i="77"/>
  <c r="O238" i="77" s="1"/>
  <c r="L239" i="77"/>
  <c r="I239" i="77"/>
  <c r="F239" i="77"/>
  <c r="N238" i="77"/>
  <c r="N231" i="77" s="1"/>
  <c r="M238" i="77"/>
  <c r="K238" i="77"/>
  <c r="J238" i="77"/>
  <c r="H238" i="77"/>
  <c r="H231" i="77" s="1"/>
  <c r="G238" i="77"/>
  <c r="E238" i="77"/>
  <c r="D238" i="77"/>
  <c r="O237" i="77"/>
  <c r="L237" i="77"/>
  <c r="I237" i="77"/>
  <c r="F237" i="77"/>
  <c r="O236" i="77"/>
  <c r="L236" i="77"/>
  <c r="L235" i="77" s="1"/>
  <c r="I236" i="77"/>
  <c r="F236" i="77"/>
  <c r="F235" i="77" s="1"/>
  <c r="O235" i="77"/>
  <c r="N235" i="77"/>
  <c r="M235" i="77"/>
  <c r="K235" i="77"/>
  <c r="J235" i="77"/>
  <c r="J231" i="77" s="1"/>
  <c r="H235" i="77"/>
  <c r="G235" i="77"/>
  <c r="E235" i="77"/>
  <c r="D235" i="77"/>
  <c r="O234" i="77"/>
  <c r="L234" i="77"/>
  <c r="L233" i="77" s="1"/>
  <c r="I234" i="77"/>
  <c r="I233" i="77" s="1"/>
  <c r="F234" i="77"/>
  <c r="O233" i="77"/>
  <c r="N233" i="77"/>
  <c r="M233" i="77"/>
  <c r="K233" i="77"/>
  <c r="J233" i="77"/>
  <c r="H233" i="77"/>
  <c r="G233" i="77"/>
  <c r="E233" i="77"/>
  <c r="D233" i="77"/>
  <c r="O232" i="77"/>
  <c r="L232" i="77"/>
  <c r="I232" i="77"/>
  <c r="F232" i="77"/>
  <c r="O229" i="77"/>
  <c r="L229" i="77"/>
  <c r="I229" i="77"/>
  <c r="F229" i="77"/>
  <c r="O228" i="77"/>
  <c r="L228" i="77"/>
  <c r="L227" i="77" s="1"/>
  <c r="I228" i="77"/>
  <c r="I227" i="77" s="1"/>
  <c r="F228" i="77"/>
  <c r="F227" i="77" s="1"/>
  <c r="O227" i="77"/>
  <c r="N227" i="77"/>
  <c r="M227" i="77"/>
  <c r="K227" i="77"/>
  <c r="J227" i="77"/>
  <c r="H227" i="77"/>
  <c r="G227" i="77"/>
  <c r="G204" i="77" s="1"/>
  <c r="E227" i="77"/>
  <c r="D227" i="77"/>
  <c r="O226" i="77"/>
  <c r="L226" i="77"/>
  <c r="I226" i="77"/>
  <c r="F226" i="77"/>
  <c r="O225" i="77"/>
  <c r="L225" i="77"/>
  <c r="I225" i="77"/>
  <c r="F225" i="77"/>
  <c r="O224" i="77"/>
  <c r="L224" i="77"/>
  <c r="I224" i="77"/>
  <c r="F224" i="77"/>
  <c r="O223" i="77"/>
  <c r="L223" i="77"/>
  <c r="C223" i="77" s="1"/>
  <c r="I223" i="77"/>
  <c r="F223" i="77"/>
  <c r="O222" i="77"/>
  <c r="L222" i="77"/>
  <c r="I222" i="77"/>
  <c r="F222" i="77"/>
  <c r="O221" i="77"/>
  <c r="L221" i="77"/>
  <c r="I221" i="77"/>
  <c r="F221" i="77"/>
  <c r="O220" i="77"/>
  <c r="L220" i="77"/>
  <c r="I220" i="77"/>
  <c r="F220" i="77"/>
  <c r="O219" i="77"/>
  <c r="L219" i="77"/>
  <c r="I219" i="77"/>
  <c r="F219" i="77"/>
  <c r="O218" i="77"/>
  <c r="L218" i="77"/>
  <c r="I218" i="77"/>
  <c r="F218" i="77"/>
  <c r="O217" i="77"/>
  <c r="L217" i="77"/>
  <c r="I217" i="77"/>
  <c r="F217" i="77"/>
  <c r="N216" i="77"/>
  <c r="N204" i="77" s="1"/>
  <c r="M216" i="77"/>
  <c r="K216" i="77"/>
  <c r="J216" i="77"/>
  <c r="H216" i="77"/>
  <c r="G216" i="77"/>
  <c r="E216" i="77"/>
  <c r="D216" i="77"/>
  <c r="O215" i="77"/>
  <c r="L215" i="77"/>
  <c r="I215" i="77"/>
  <c r="F215" i="77"/>
  <c r="O214" i="77"/>
  <c r="L214" i="77"/>
  <c r="I214" i="77"/>
  <c r="F214" i="77"/>
  <c r="O213" i="77"/>
  <c r="L213" i="77"/>
  <c r="I213" i="77"/>
  <c r="F213" i="77"/>
  <c r="O212" i="77"/>
  <c r="L212" i="77"/>
  <c r="I212" i="77"/>
  <c r="F212" i="77"/>
  <c r="O211" i="77"/>
  <c r="L211" i="77"/>
  <c r="I211" i="77"/>
  <c r="F211" i="77"/>
  <c r="O210" i="77"/>
  <c r="L210" i="77"/>
  <c r="I210" i="77"/>
  <c r="F210" i="77"/>
  <c r="O209" i="77"/>
  <c r="L209" i="77"/>
  <c r="I209" i="77"/>
  <c r="F209" i="77"/>
  <c r="O208" i="77"/>
  <c r="L208" i="77"/>
  <c r="I208" i="77"/>
  <c r="F208" i="77"/>
  <c r="O207" i="77"/>
  <c r="O205" i="77" s="1"/>
  <c r="L207" i="77"/>
  <c r="I207" i="77"/>
  <c r="F207" i="77"/>
  <c r="O206" i="77"/>
  <c r="L206" i="77"/>
  <c r="I206" i="77"/>
  <c r="F206" i="77"/>
  <c r="N205" i="77"/>
  <c r="M205" i="77"/>
  <c r="K205" i="77"/>
  <c r="J205" i="77"/>
  <c r="H205" i="77"/>
  <c r="G205" i="77"/>
  <c r="E205" i="77"/>
  <c r="D205" i="77"/>
  <c r="D204" i="77" s="1"/>
  <c r="O203" i="77"/>
  <c r="L203" i="77"/>
  <c r="I203" i="77"/>
  <c r="F203" i="77"/>
  <c r="O202" i="77"/>
  <c r="L202" i="77"/>
  <c r="I202" i="77"/>
  <c r="F202" i="77"/>
  <c r="O201" i="77"/>
  <c r="L201" i="77"/>
  <c r="I201" i="77"/>
  <c r="F201" i="77"/>
  <c r="O200" i="77"/>
  <c r="L200" i="77"/>
  <c r="I200" i="77"/>
  <c r="F200" i="77"/>
  <c r="O199" i="77"/>
  <c r="O198" i="77" s="1"/>
  <c r="L199" i="77"/>
  <c r="I199" i="77"/>
  <c r="I198" i="77" s="1"/>
  <c r="F199" i="77"/>
  <c r="N198" i="77"/>
  <c r="M198" i="77"/>
  <c r="M196" i="77" s="1"/>
  <c r="L198" i="77"/>
  <c r="K198" i="77"/>
  <c r="J198" i="77"/>
  <c r="H198" i="77"/>
  <c r="H196" i="77" s="1"/>
  <c r="G198" i="77"/>
  <c r="G196" i="77" s="1"/>
  <c r="G195" i="77" s="1"/>
  <c r="E198" i="77"/>
  <c r="D198" i="77"/>
  <c r="D196" i="77" s="1"/>
  <c r="O197" i="77"/>
  <c r="L197" i="77"/>
  <c r="I197" i="77"/>
  <c r="F197" i="77"/>
  <c r="N196" i="77"/>
  <c r="K196" i="77"/>
  <c r="J196" i="77"/>
  <c r="E196" i="77"/>
  <c r="O193" i="77"/>
  <c r="L193" i="77"/>
  <c r="L192" i="77" s="1"/>
  <c r="I193" i="77"/>
  <c r="F193" i="77"/>
  <c r="F192" i="77" s="1"/>
  <c r="F191" i="77" s="1"/>
  <c r="O192" i="77"/>
  <c r="N192" i="77"/>
  <c r="M192" i="77"/>
  <c r="M191" i="77" s="1"/>
  <c r="K192" i="77"/>
  <c r="K191" i="77" s="1"/>
  <c r="J192" i="77"/>
  <c r="J191" i="77" s="1"/>
  <c r="J187" i="77" s="1"/>
  <c r="I192" i="77"/>
  <c r="I191" i="77" s="1"/>
  <c r="H192" i="77"/>
  <c r="H191" i="77" s="1"/>
  <c r="G192" i="77"/>
  <c r="G191" i="77" s="1"/>
  <c r="E192" i="77"/>
  <c r="E191" i="77" s="1"/>
  <c r="D192" i="77"/>
  <c r="D191" i="77" s="1"/>
  <c r="O191" i="77"/>
  <c r="N191" i="77"/>
  <c r="O190" i="77"/>
  <c r="L190" i="77"/>
  <c r="I190" i="77"/>
  <c r="F190" i="77"/>
  <c r="O189" i="77"/>
  <c r="L189" i="77"/>
  <c r="L188" i="77" s="1"/>
  <c r="I189" i="77"/>
  <c r="I188" i="77" s="1"/>
  <c r="F189" i="77"/>
  <c r="O188" i="77"/>
  <c r="O187" i="77" s="1"/>
  <c r="N188" i="77"/>
  <c r="M188" i="77"/>
  <c r="K188" i="77"/>
  <c r="J188" i="77"/>
  <c r="H188" i="77"/>
  <c r="G188" i="77"/>
  <c r="E188" i="77"/>
  <c r="D188" i="77"/>
  <c r="D187" i="77" s="1"/>
  <c r="O186" i="77"/>
  <c r="L186" i="77"/>
  <c r="I186" i="77"/>
  <c r="F186" i="77"/>
  <c r="O185" i="77"/>
  <c r="L185" i="77"/>
  <c r="L184" i="77" s="1"/>
  <c r="I185" i="77"/>
  <c r="I184" i="77" s="1"/>
  <c r="F185" i="77"/>
  <c r="O184" i="77"/>
  <c r="N184" i="77"/>
  <c r="M184" i="77"/>
  <c r="K184" i="77"/>
  <c r="J184" i="77"/>
  <c r="H184" i="77"/>
  <c r="G184" i="77"/>
  <c r="E184" i="77"/>
  <c r="D184" i="77"/>
  <c r="O183" i="77"/>
  <c r="L183" i="77"/>
  <c r="I183" i="77"/>
  <c r="F183" i="77"/>
  <c r="O182" i="77"/>
  <c r="L182" i="77"/>
  <c r="I182" i="77"/>
  <c r="C182" i="77" s="1"/>
  <c r="F182" i="77"/>
  <c r="O181" i="77"/>
  <c r="L181" i="77"/>
  <c r="I181" i="77"/>
  <c r="F181" i="77"/>
  <c r="O180" i="77"/>
  <c r="O179" i="77" s="1"/>
  <c r="L180" i="77"/>
  <c r="I180" i="77"/>
  <c r="F180" i="77"/>
  <c r="N179" i="77"/>
  <c r="M179" i="77"/>
  <c r="K179" i="77"/>
  <c r="J179" i="77"/>
  <c r="H179" i="77"/>
  <c r="G179" i="77"/>
  <c r="E179" i="77"/>
  <c r="E174" i="77" s="1"/>
  <c r="E173" i="77" s="1"/>
  <c r="D179" i="77"/>
  <c r="O178" i="77"/>
  <c r="L178" i="77"/>
  <c r="I178" i="77"/>
  <c r="C178" i="77" s="1"/>
  <c r="F178" i="77"/>
  <c r="O177" i="77"/>
  <c r="L177" i="77"/>
  <c r="I177" i="77"/>
  <c r="F177" i="77"/>
  <c r="O176" i="77"/>
  <c r="O175" i="77" s="1"/>
  <c r="O174" i="77" s="1"/>
  <c r="L176" i="77"/>
  <c r="I176" i="77"/>
  <c r="F176" i="77"/>
  <c r="N175" i="77"/>
  <c r="N174" i="77" s="1"/>
  <c r="M175" i="77"/>
  <c r="K175" i="77"/>
  <c r="J175" i="77"/>
  <c r="J174" i="77" s="1"/>
  <c r="H175" i="77"/>
  <c r="H174" i="77" s="1"/>
  <c r="H173" i="77" s="1"/>
  <c r="G175" i="77"/>
  <c r="G174" i="77" s="1"/>
  <c r="G173" i="77" s="1"/>
  <c r="F175" i="77"/>
  <c r="E175" i="77"/>
  <c r="D175" i="77"/>
  <c r="M174" i="77"/>
  <c r="K174" i="77"/>
  <c r="K173" i="77" s="1"/>
  <c r="N173" i="77"/>
  <c r="O172" i="77"/>
  <c r="L172" i="77"/>
  <c r="I172" i="77"/>
  <c r="F172" i="77"/>
  <c r="O171" i="77"/>
  <c r="L171" i="77"/>
  <c r="I171" i="77"/>
  <c r="F171" i="77"/>
  <c r="O170" i="77"/>
  <c r="L170" i="77"/>
  <c r="I170" i="77"/>
  <c r="C170" i="77" s="1"/>
  <c r="F170" i="77"/>
  <c r="O169" i="77"/>
  <c r="L169" i="77"/>
  <c r="I169" i="77"/>
  <c r="F169" i="77"/>
  <c r="O168" i="77"/>
  <c r="L168" i="77"/>
  <c r="I168" i="77"/>
  <c r="F168" i="77"/>
  <c r="O167" i="77"/>
  <c r="L167" i="77"/>
  <c r="L166" i="77" s="1"/>
  <c r="L165" i="77" s="1"/>
  <c r="I167" i="77"/>
  <c r="F167" i="77"/>
  <c r="N166" i="77"/>
  <c r="M166" i="77"/>
  <c r="M165" i="77" s="1"/>
  <c r="K166" i="77"/>
  <c r="K165" i="77" s="1"/>
  <c r="J166" i="77"/>
  <c r="H166" i="77"/>
  <c r="H165" i="77" s="1"/>
  <c r="G166" i="77"/>
  <c r="G165" i="77" s="1"/>
  <c r="E166" i="77"/>
  <c r="E165" i="77" s="1"/>
  <c r="D166" i="77"/>
  <c r="N165" i="77"/>
  <c r="J165" i="77"/>
  <c r="D165" i="77"/>
  <c r="O164" i="77"/>
  <c r="L164" i="77"/>
  <c r="I164" i="77"/>
  <c r="F164" i="77"/>
  <c r="O163" i="77"/>
  <c r="L163" i="77"/>
  <c r="I163" i="77"/>
  <c r="F163" i="77"/>
  <c r="O162" i="77"/>
  <c r="L162" i="77"/>
  <c r="I162" i="77"/>
  <c r="F162" i="77"/>
  <c r="O161" i="77"/>
  <c r="L161" i="77"/>
  <c r="I161" i="77"/>
  <c r="I160" i="77" s="1"/>
  <c r="F161" i="77"/>
  <c r="O160" i="77"/>
  <c r="N160" i="77"/>
  <c r="M160" i="77"/>
  <c r="K160" i="77"/>
  <c r="J160" i="77"/>
  <c r="H160" i="77"/>
  <c r="G160" i="77"/>
  <c r="E160" i="77"/>
  <c r="D160" i="77"/>
  <c r="O159" i="77"/>
  <c r="L159" i="77"/>
  <c r="I159" i="77"/>
  <c r="F159" i="77"/>
  <c r="O158" i="77"/>
  <c r="L158" i="77"/>
  <c r="I158" i="77"/>
  <c r="F158" i="77"/>
  <c r="O157" i="77"/>
  <c r="L157" i="77"/>
  <c r="I157" i="77"/>
  <c r="F157" i="77"/>
  <c r="O156" i="77"/>
  <c r="L156" i="77"/>
  <c r="I156" i="77"/>
  <c r="F156" i="77"/>
  <c r="O155" i="77"/>
  <c r="L155" i="77"/>
  <c r="I155" i="77"/>
  <c r="F155" i="77"/>
  <c r="O154" i="77"/>
  <c r="L154" i="77"/>
  <c r="I154" i="77"/>
  <c r="F154" i="77"/>
  <c r="O153" i="77"/>
  <c r="L153" i="77"/>
  <c r="I153" i="77"/>
  <c r="F153" i="77"/>
  <c r="O152" i="77"/>
  <c r="L152" i="77"/>
  <c r="I152" i="77"/>
  <c r="F152" i="77"/>
  <c r="N151" i="77"/>
  <c r="M151" i="77"/>
  <c r="K151" i="77"/>
  <c r="J151" i="77"/>
  <c r="H151" i="77"/>
  <c r="G151" i="77"/>
  <c r="E151" i="77"/>
  <c r="D151" i="77"/>
  <c r="O150" i="77"/>
  <c r="L150" i="77"/>
  <c r="I150" i="77"/>
  <c r="F150" i="77"/>
  <c r="O149" i="77"/>
  <c r="L149" i="77"/>
  <c r="I149" i="77"/>
  <c r="F149" i="77"/>
  <c r="O148" i="77"/>
  <c r="L148" i="77"/>
  <c r="I148" i="77"/>
  <c r="F148" i="77"/>
  <c r="O147" i="77"/>
  <c r="L147" i="77"/>
  <c r="I147" i="77"/>
  <c r="F147" i="77"/>
  <c r="O146" i="77"/>
  <c r="O144" i="77" s="1"/>
  <c r="L146" i="77"/>
  <c r="I146" i="77"/>
  <c r="F146" i="77"/>
  <c r="C146" i="77"/>
  <c r="O145" i="77"/>
  <c r="L145" i="77"/>
  <c r="I145" i="77"/>
  <c r="F145" i="77"/>
  <c r="N144" i="77"/>
  <c r="M144" i="77"/>
  <c r="K144" i="77"/>
  <c r="J144" i="77"/>
  <c r="H144" i="77"/>
  <c r="G144" i="77"/>
  <c r="E144" i="77"/>
  <c r="D144" i="77"/>
  <c r="O143" i="77"/>
  <c r="L143" i="77"/>
  <c r="I143" i="77"/>
  <c r="F143" i="77"/>
  <c r="O142" i="77"/>
  <c r="O141" i="77" s="1"/>
  <c r="L142" i="77"/>
  <c r="I142" i="77"/>
  <c r="I141" i="77" s="1"/>
  <c r="F142" i="77"/>
  <c r="F141" i="77" s="1"/>
  <c r="N141" i="77"/>
  <c r="M141" i="77"/>
  <c r="K141" i="77"/>
  <c r="J141" i="77"/>
  <c r="H141" i="77"/>
  <c r="G141" i="77"/>
  <c r="E141" i="77"/>
  <c r="D141" i="77"/>
  <c r="O140" i="77"/>
  <c r="L140" i="77"/>
  <c r="I140" i="77"/>
  <c r="F140" i="77"/>
  <c r="O139" i="77"/>
  <c r="L139" i="77"/>
  <c r="I139" i="77"/>
  <c r="F139" i="77"/>
  <c r="O138" i="77"/>
  <c r="L138" i="77"/>
  <c r="I138" i="77"/>
  <c r="F138" i="77"/>
  <c r="O137" i="77"/>
  <c r="L137" i="77"/>
  <c r="I137" i="77"/>
  <c r="I136" i="77" s="1"/>
  <c r="F137" i="77"/>
  <c r="O136" i="77"/>
  <c r="N136" i="77"/>
  <c r="M136" i="77"/>
  <c r="K136" i="77"/>
  <c r="J136" i="77"/>
  <c r="H136" i="77"/>
  <c r="G136" i="77"/>
  <c r="E136" i="77"/>
  <c r="D136" i="77"/>
  <c r="O135" i="77"/>
  <c r="L135" i="77"/>
  <c r="I135" i="77"/>
  <c r="F135" i="77"/>
  <c r="O134" i="77"/>
  <c r="L134" i="77"/>
  <c r="I134" i="77"/>
  <c r="F134" i="77"/>
  <c r="O133" i="77"/>
  <c r="L133" i="77"/>
  <c r="I133" i="77"/>
  <c r="F133" i="77"/>
  <c r="O132" i="77"/>
  <c r="O131" i="77" s="1"/>
  <c r="L132" i="77"/>
  <c r="I132" i="77"/>
  <c r="F132" i="77"/>
  <c r="F131" i="77" s="1"/>
  <c r="N131" i="77"/>
  <c r="M131" i="77"/>
  <c r="K131" i="77"/>
  <c r="J131" i="77"/>
  <c r="H131" i="77"/>
  <c r="G131" i="77"/>
  <c r="E131" i="77"/>
  <c r="D131" i="77"/>
  <c r="O129" i="77"/>
  <c r="O128" i="77" s="1"/>
  <c r="L129" i="77"/>
  <c r="L128" i="77" s="1"/>
  <c r="I129" i="77"/>
  <c r="I128" i="77" s="1"/>
  <c r="F129" i="77"/>
  <c r="N128" i="77"/>
  <c r="M128" i="77"/>
  <c r="K128" i="77"/>
  <c r="J128" i="77"/>
  <c r="H128" i="77"/>
  <c r="G128" i="77"/>
  <c r="E128" i="77"/>
  <c r="D128" i="77"/>
  <c r="O127" i="77"/>
  <c r="L127" i="77"/>
  <c r="I127" i="77"/>
  <c r="F127" i="77"/>
  <c r="O126" i="77"/>
  <c r="L126" i="77"/>
  <c r="I126" i="77"/>
  <c r="F126" i="77"/>
  <c r="O125" i="77"/>
  <c r="L125" i="77"/>
  <c r="I125" i="77"/>
  <c r="F125" i="77"/>
  <c r="O124" i="77"/>
  <c r="L124" i="77"/>
  <c r="I124" i="77"/>
  <c r="F124" i="77"/>
  <c r="O123" i="77"/>
  <c r="L123" i="77"/>
  <c r="L122" i="77" s="1"/>
  <c r="I123" i="77"/>
  <c r="I122" i="77" s="1"/>
  <c r="F123" i="77"/>
  <c r="O122" i="77"/>
  <c r="N122" i="77"/>
  <c r="M122" i="77"/>
  <c r="K122" i="77"/>
  <c r="J122" i="77"/>
  <c r="H122" i="77"/>
  <c r="G122" i="77"/>
  <c r="E122" i="77"/>
  <c r="D122" i="77"/>
  <c r="O121" i="77"/>
  <c r="L121" i="77"/>
  <c r="I121" i="77"/>
  <c r="F121" i="77"/>
  <c r="O120" i="77"/>
  <c r="L120" i="77"/>
  <c r="I120" i="77"/>
  <c r="F120" i="77"/>
  <c r="O119" i="77"/>
  <c r="L119" i="77"/>
  <c r="I119" i="77"/>
  <c r="F119" i="77"/>
  <c r="O118" i="77"/>
  <c r="L118" i="77"/>
  <c r="C118" i="77" s="1"/>
  <c r="I118" i="77"/>
  <c r="F118" i="77"/>
  <c r="O117" i="77"/>
  <c r="L117" i="77"/>
  <c r="I117" i="77"/>
  <c r="F117" i="77"/>
  <c r="N116" i="77"/>
  <c r="M116" i="77"/>
  <c r="K116" i="77"/>
  <c r="J116" i="77"/>
  <c r="H116" i="77"/>
  <c r="G116" i="77"/>
  <c r="E116" i="77"/>
  <c r="D116" i="77"/>
  <c r="O115" i="77"/>
  <c r="L115" i="77"/>
  <c r="I115" i="77"/>
  <c r="F115" i="77"/>
  <c r="O114" i="77"/>
  <c r="O112" i="77" s="1"/>
  <c r="L114" i="77"/>
  <c r="I114" i="77"/>
  <c r="F114" i="77"/>
  <c r="O113" i="77"/>
  <c r="L113" i="77"/>
  <c r="I113" i="77"/>
  <c r="I112" i="77" s="1"/>
  <c r="F113" i="77"/>
  <c r="N112" i="77"/>
  <c r="M112" i="77"/>
  <c r="K112" i="77"/>
  <c r="J112" i="77"/>
  <c r="H112" i="77"/>
  <c r="G112" i="77"/>
  <c r="E112" i="77"/>
  <c r="D112" i="77"/>
  <c r="O111" i="77"/>
  <c r="L111" i="77"/>
  <c r="I111" i="77"/>
  <c r="F111" i="77"/>
  <c r="O110" i="77"/>
  <c r="C110" i="77" s="1"/>
  <c r="L110" i="77"/>
  <c r="I110" i="77"/>
  <c r="F110" i="77"/>
  <c r="O109" i="77"/>
  <c r="L109" i="77"/>
  <c r="I109" i="77"/>
  <c r="F109" i="77"/>
  <c r="O108" i="77"/>
  <c r="L108" i="77"/>
  <c r="I108" i="77"/>
  <c r="F108" i="77"/>
  <c r="O107" i="77"/>
  <c r="L107" i="77"/>
  <c r="I107" i="77"/>
  <c r="F107" i="77"/>
  <c r="O106" i="77"/>
  <c r="L106" i="77"/>
  <c r="I106" i="77"/>
  <c r="F106" i="77"/>
  <c r="O105" i="77"/>
  <c r="L105" i="77"/>
  <c r="I105" i="77"/>
  <c r="F105" i="77"/>
  <c r="O104" i="77"/>
  <c r="L104" i="77"/>
  <c r="I104" i="77"/>
  <c r="F104" i="77"/>
  <c r="N103" i="77"/>
  <c r="M103" i="77"/>
  <c r="K103" i="77"/>
  <c r="J103" i="77"/>
  <c r="H103" i="77"/>
  <c r="G103" i="77"/>
  <c r="E103" i="77"/>
  <c r="D103" i="77"/>
  <c r="O102" i="77"/>
  <c r="L102" i="77"/>
  <c r="I102" i="77"/>
  <c r="F102" i="77"/>
  <c r="O101" i="77"/>
  <c r="L101" i="77"/>
  <c r="I101" i="77"/>
  <c r="F101" i="77"/>
  <c r="O100" i="77"/>
  <c r="L100" i="77"/>
  <c r="I100" i="77"/>
  <c r="F100" i="77"/>
  <c r="O99" i="77"/>
  <c r="L99" i="77"/>
  <c r="I99" i="77"/>
  <c r="F99" i="77"/>
  <c r="O98" i="77"/>
  <c r="L98" i="77"/>
  <c r="I98" i="77"/>
  <c r="F98" i="77"/>
  <c r="O97" i="77"/>
  <c r="L97" i="77"/>
  <c r="I97" i="77"/>
  <c r="F97" i="77"/>
  <c r="O96" i="77"/>
  <c r="L96" i="77"/>
  <c r="L95" i="77" s="1"/>
  <c r="I96" i="77"/>
  <c r="F96" i="77"/>
  <c r="N95" i="77"/>
  <c r="N83" i="77" s="1"/>
  <c r="M95" i="77"/>
  <c r="K95" i="77"/>
  <c r="J95" i="77"/>
  <c r="I95" i="77"/>
  <c r="H95" i="77"/>
  <c r="G95" i="77"/>
  <c r="E95" i="77"/>
  <c r="D95" i="77"/>
  <c r="O94" i="77"/>
  <c r="L94" i="77"/>
  <c r="I94" i="77"/>
  <c r="F94" i="77"/>
  <c r="C94" i="77" s="1"/>
  <c r="O93" i="77"/>
  <c r="L93" i="77"/>
  <c r="I93" i="77"/>
  <c r="F93" i="77"/>
  <c r="O92" i="77"/>
  <c r="L92" i="77"/>
  <c r="I92" i="77"/>
  <c r="F92" i="77"/>
  <c r="O91" i="77"/>
  <c r="L91" i="77"/>
  <c r="I91" i="77"/>
  <c r="F91" i="77"/>
  <c r="O90" i="77"/>
  <c r="L90" i="77"/>
  <c r="I90" i="77"/>
  <c r="F90" i="77"/>
  <c r="N89" i="77"/>
  <c r="M89" i="77"/>
  <c r="L89" i="77"/>
  <c r="K89" i="77"/>
  <c r="J89" i="77"/>
  <c r="H89" i="77"/>
  <c r="G89" i="77"/>
  <c r="E89" i="77"/>
  <c r="D89" i="77"/>
  <c r="O88" i="77"/>
  <c r="L88" i="77"/>
  <c r="I88" i="77"/>
  <c r="F88" i="77"/>
  <c r="O87" i="77"/>
  <c r="L87" i="77"/>
  <c r="I87" i="77"/>
  <c r="F87" i="77"/>
  <c r="O86" i="77"/>
  <c r="L86" i="77"/>
  <c r="I86" i="77"/>
  <c r="F86" i="77"/>
  <c r="O85" i="77"/>
  <c r="L85" i="77"/>
  <c r="L84" i="77" s="1"/>
  <c r="I85" i="77"/>
  <c r="F85" i="77"/>
  <c r="F84" i="77" s="1"/>
  <c r="N84" i="77"/>
  <c r="M84" i="77"/>
  <c r="K84" i="77"/>
  <c r="J84" i="77"/>
  <c r="H84" i="77"/>
  <c r="G84" i="77"/>
  <c r="E84" i="77"/>
  <c r="D84" i="77"/>
  <c r="O82" i="77"/>
  <c r="L82" i="77"/>
  <c r="I82" i="77"/>
  <c r="F82" i="77"/>
  <c r="O81" i="77"/>
  <c r="L81" i="77"/>
  <c r="L80" i="77" s="1"/>
  <c r="I81" i="77"/>
  <c r="I80" i="77" s="1"/>
  <c r="F81" i="77"/>
  <c r="F80" i="77" s="1"/>
  <c r="N80" i="77"/>
  <c r="M80" i="77"/>
  <c r="K80" i="77"/>
  <c r="J80" i="77"/>
  <c r="H80" i="77"/>
  <c r="G80" i="77"/>
  <c r="E80" i="77"/>
  <c r="D80" i="77"/>
  <c r="O79" i="77"/>
  <c r="L79" i="77"/>
  <c r="I79" i="77"/>
  <c r="F79" i="77"/>
  <c r="O78" i="77"/>
  <c r="O77" i="77" s="1"/>
  <c r="L78" i="77"/>
  <c r="L77" i="77" s="1"/>
  <c r="L76" i="77" s="1"/>
  <c r="I78" i="77"/>
  <c r="F78" i="77"/>
  <c r="N77" i="77"/>
  <c r="M77" i="77"/>
  <c r="K77" i="77"/>
  <c r="J77" i="77"/>
  <c r="H77" i="77"/>
  <c r="H76" i="77" s="1"/>
  <c r="G77" i="77"/>
  <c r="E77" i="77"/>
  <c r="D77" i="77"/>
  <c r="O74" i="77"/>
  <c r="L74" i="77"/>
  <c r="I74" i="77"/>
  <c r="F74" i="77"/>
  <c r="C74" i="77"/>
  <c r="O73" i="77"/>
  <c r="L73" i="77"/>
  <c r="I73" i="77"/>
  <c r="F73" i="77"/>
  <c r="C73" i="77" s="1"/>
  <c r="O72" i="77"/>
  <c r="L72" i="77"/>
  <c r="I72" i="77"/>
  <c r="F72" i="77"/>
  <c r="O71" i="77"/>
  <c r="L71" i="77"/>
  <c r="I71" i="77"/>
  <c r="F71" i="77"/>
  <c r="O70" i="77"/>
  <c r="L70" i="77"/>
  <c r="I70" i="77"/>
  <c r="F70" i="77"/>
  <c r="C70" i="77" s="1"/>
  <c r="N69" i="77"/>
  <c r="N67" i="77" s="1"/>
  <c r="M69" i="77"/>
  <c r="L69" i="77"/>
  <c r="K69" i="77"/>
  <c r="K67" i="77" s="1"/>
  <c r="J69" i="77"/>
  <c r="H69" i="77"/>
  <c r="H67" i="77" s="1"/>
  <c r="G69" i="77"/>
  <c r="G67" i="77" s="1"/>
  <c r="E69" i="77"/>
  <c r="E67" i="77" s="1"/>
  <c r="D69" i="77"/>
  <c r="D67" i="77" s="1"/>
  <c r="O68" i="77"/>
  <c r="L68" i="77"/>
  <c r="I68" i="77"/>
  <c r="F68" i="77"/>
  <c r="M67" i="77"/>
  <c r="J67" i="77"/>
  <c r="O66" i="77"/>
  <c r="L66" i="77"/>
  <c r="I66" i="77"/>
  <c r="F66" i="77"/>
  <c r="O65" i="77"/>
  <c r="L65" i="77"/>
  <c r="I65" i="77"/>
  <c r="F65" i="77"/>
  <c r="O64" i="77"/>
  <c r="L64" i="77"/>
  <c r="I64" i="77"/>
  <c r="F64" i="77"/>
  <c r="O63" i="77"/>
  <c r="L63" i="77"/>
  <c r="I63" i="77"/>
  <c r="F63" i="77"/>
  <c r="O62" i="77"/>
  <c r="L62" i="77"/>
  <c r="I62" i="77"/>
  <c r="F62" i="77"/>
  <c r="O61" i="77"/>
  <c r="L61" i="77"/>
  <c r="I61" i="77"/>
  <c r="F61" i="77"/>
  <c r="O60" i="77"/>
  <c r="L60" i="77"/>
  <c r="I60" i="77"/>
  <c r="F60" i="77"/>
  <c r="O59" i="77"/>
  <c r="L59" i="77"/>
  <c r="L58" i="77" s="1"/>
  <c r="I59" i="77"/>
  <c r="F59" i="77"/>
  <c r="O58" i="77"/>
  <c r="N58" i="77"/>
  <c r="M58" i="77"/>
  <c r="K58" i="77"/>
  <c r="J58" i="77"/>
  <c r="H58" i="77"/>
  <c r="G58" i="77"/>
  <c r="E58" i="77"/>
  <c r="D58" i="77"/>
  <c r="O57" i="77"/>
  <c r="L57" i="77"/>
  <c r="I57" i="77"/>
  <c r="F57" i="77"/>
  <c r="O56" i="77"/>
  <c r="L56" i="77"/>
  <c r="L55" i="77" s="1"/>
  <c r="I56" i="77"/>
  <c r="I55" i="77" s="1"/>
  <c r="F56" i="77"/>
  <c r="N55" i="77"/>
  <c r="N54" i="77" s="1"/>
  <c r="M55" i="77"/>
  <c r="M54" i="77" s="1"/>
  <c r="K55" i="77"/>
  <c r="K54" i="77" s="1"/>
  <c r="J55" i="77"/>
  <c r="H55" i="77"/>
  <c r="H54" i="77" s="1"/>
  <c r="H53" i="77" s="1"/>
  <c r="G55" i="77"/>
  <c r="E55" i="77"/>
  <c r="D55" i="77"/>
  <c r="D54" i="77" s="1"/>
  <c r="D53" i="77" s="1"/>
  <c r="O47" i="77"/>
  <c r="C47" i="77" s="1"/>
  <c r="O46" i="77"/>
  <c r="N45" i="77"/>
  <c r="M45" i="77"/>
  <c r="L44" i="77"/>
  <c r="L43" i="77" s="1"/>
  <c r="I44" i="77"/>
  <c r="F44" i="77"/>
  <c r="K43" i="77"/>
  <c r="J43" i="77"/>
  <c r="I43" i="77"/>
  <c r="H43" i="77"/>
  <c r="G43" i="77"/>
  <c r="F43" i="77"/>
  <c r="E43" i="77"/>
  <c r="D43" i="77"/>
  <c r="F42" i="77"/>
  <c r="F41" i="77" s="1"/>
  <c r="C42" i="77"/>
  <c r="E41" i="77"/>
  <c r="D41" i="77"/>
  <c r="C41" i="77"/>
  <c r="L40" i="77"/>
  <c r="C40" i="77" s="1"/>
  <c r="L39" i="77"/>
  <c r="C39" i="77" s="1"/>
  <c r="L38" i="77"/>
  <c r="C38" i="77" s="1"/>
  <c r="L37" i="77"/>
  <c r="C37" i="77" s="1"/>
  <c r="K36" i="77"/>
  <c r="J36" i="77"/>
  <c r="L35" i="77"/>
  <c r="C35" i="77" s="1"/>
  <c r="L34" i="77"/>
  <c r="C34" i="77" s="1"/>
  <c r="K33" i="77"/>
  <c r="J33" i="77"/>
  <c r="L32" i="77"/>
  <c r="K31" i="77"/>
  <c r="J31" i="77"/>
  <c r="L30" i="77"/>
  <c r="C30" i="77" s="1"/>
  <c r="L29" i="77"/>
  <c r="C29" i="77" s="1"/>
  <c r="L28" i="77"/>
  <c r="C28" i="77" s="1"/>
  <c r="K27" i="77"/>
  <c r="J27" i="77"/>
  <c r="F25" i="77"/>
  <c r="C25" i="77" s="1"/>
  <c r="I24" i="77"/>
  <c r="F24" i="77"/>
  <c r="E24" i="77"/>
  <c r="O23" i="77"/>
  <c r="L23" i="77"/>
  <c r="I23" i="77"/>
  <c r="F23" i="77"/>
  <c r="O22" i="77"/>
  <c r="O21" i="77" s="1"/>
  <c r="L22" i="77"/>
  <c r="L21" i="77" s="1"/>
  <c r="L292" i="77" s="1"/>
  <c r="I22" i="77"/>
  <c r="F22" i="77"/>
  <c r="F21" i="77" s="1"/>
  <c r="N21" i="77"/>
  <c r="N292" i="77" s="1"/>
  <c r="N291" i="77" s="1"/>
  <c r="M21" i="77"/>
  <c r="K21" i="77"/>
  <c r="J21" i="77"/>
  <c r="J292" i="77" s="1"/>
  <c r="H21" i="77"/>
  <c r="H292" i="77" s="1"/>
  <c r="H291" i="77" s="1"/>
  <c r="G21" i="77"/>
  <c r="E21" i="77"/>
  <c r="D21" i="77"/>
  <c r="N20" i="77"/>
  <c r="L191" i="77" l="1"/>
  <c r="C192" i="77"/>
  <c r="L27" i="77"/>
  <c r="C27" i="77" s="1"/>
  <c r="M259" i="77"/>
  <c r="M76" i="77"/>
  <c r="G83" i="77"/>
  <c r="C108" i="77"/>
  <c r="C109" i="77"/>
  <c r="O116" i="77"/>
  <c r="C138" i="77"/>
  <c r="C158" i="77"/>
  <c r="C162" i="77"/>
  <c r="L175" i="77"/>
  <c r="N187" i="77"/>
  <c r="L187" i="77"/>
  <c r="C219" i="77"/>
  <c r="C220" i="77"/>
  <c r="C222" i="77"/>
  <c r="H204" i="77"/>
  <c r="H195" i="77" s="1"/>
  <c r="M231" i="77"/>
  <c r="M230" i="77" s="1"/>
  <c r="C296" i="77"/>
  <c r="J291" i="77"/>
  <c r="E20" i="77"/>
  <c r="K26" i="77"/>
  <c r="K20" i="77" s="1"/>
  <c r="L33" i="77"/>
  <c r="C33" i="77" s="1"/>
  <c r="N53" i="77"/>
  <c r="K76" i="77"/>
  <c r="N76" i="77"/>
  <c r="C98" i="77"/>
  <c r="C99" i="77"/>
  <c r="C104" i="77"/>
  <c r="C134" i="77"/>
  <c r="M130" i="77"/>
  <c r="C168" i="77"/>
  <c r="C169" i="77"/>
  <c r="E187" i="77"/>
  <c r="H187" i="77"/>
  <c r="C191" i="77"/>
  <c r="C203" i="77"/>
  <c r="C243" i="77"/>
  <c r="C245" i="77"/>
  <c r="C247" i="77"/>
  <c r="C267" i="77"/>
  <c r="G270" i="77"/>
  <c r="G269" i="77" s="1"/>
  <c r="L196" i="77"/>
  <c r="C207" i="77"/>
  <c r="E292" i="77"/>
  <c r="E291" i="77" s="1"/>
  <c r="O45" i="77"/>
  <c r="C45" i="77" s="1"/>
  <c r="E54" i="77"/>
  <c r="E53" i="77" s="1"/>
  <c r="G76" i="77"/>
  <c r="E76" i="77"/>
  <c r="J76" i="77"/>
  <c r="J83" i="77"/>
  <c r="C127" i="77"/>
  <c r="C132" i="77"/>
  <c r="G130" i="77"/>
  <c r="C156" i="77"/>
  <c r="I166" i="77"/>
  <c r="I165" i="77" s="1"/>
  <c r="C200" i="77"/>
  <c r="C202" i="77"/>
  <c r="C211" i="77"/>
  <c r="C227" i="77"/>
  <c r="C239" i="77"/>
  <c r="C271" i="77"/>
  <c r="C274" i="77"/>
  <c r="H270" i="77"/>
  <c r="H269" i="77" s="1"/>
  <c r="M20" i="77"/>
  <c r="M292" i="77"/>
  <c r="M291" i="77" s="1"/>
  <c r="C279" i="77"/>
  <c r="F276" i="77"/>
  <c r="F270" i="77" s="1"/>
  <c r="H83" i="77"/>
  <c r="E130" i="77"/>
  <c r="I293" i="77"/>
  <c r="C294" i="77"/>
  <c r="C57" i="77"/>
  <c r="J54" i="77"/>
  <c r="J53" i="77" s="1"/>
  <c r="C62" i="77"/>
  <c r="C82" i="77"/>
  <c r="C86" i="77"/>
  <c r="C106" i="77"/>
  <c r="L238" i="77"/>
  <c r="L231" i="77" s="1"/>
  <c r="C255" i="77"/>
  <c r="F77" i="77"/>
  <c r="F76" i="77" s="1"/>
  <c r="C78" i="77"/>
  <c r="C199" i="77"/>
  <c r="F198" i="77"/>
  <c r="F196" i="77" s="1"/>
  <c r="O55" i="77"/>
  <c r="O54" i="77" s="1"/>
  <c r="O53" i="77" s="1"/>
  <c r="K204" i="77"/>
  <c r="K195" i="77" s="1"/>
  <c r="K194" i="77" s="1"/>
  <c r="D292" i="77"/>
  <c r="D291" i="77" s="1"/>
  <c r="D20" i="77"/>
  <c r="C24" i="77"/>
  <c r="C46" i="77"/>
  <c r="C66" i="77"/>
  <c r="O69" i="77"/>
  <c r="O67" i="77" s="1"/>
  <c r="C87" i="77"/>
  <c r="K83" i="77"/>
  <c r="C93" i="77"/>
  <c r="C114" i="77"/>
  <c r="C124" i="77"/>
  <c r="C215" i="77"/>
  <c r="D269" i="77"/>
  <c r="F286" i="77"/>
  <c r="C287" i="77"/>
  <c r="C126" i="77"/>
  <c r="K130" i="77"/>
  <c r="L141" i="77"/>
  <c r="L179" i="77"/>
  <c r="D195" i="77"/>
  <c r="C201" i="77"/>
  <c r="C210" i="77"/>
  <c r="C224" i="77"/>
  <c r="C229" i="77"/>
  <c r="K231" i="77"/>
  <c r="K230" i="77" s="1"/>
  <c r="O231" i="77"/>
  <c r="L252" i="77"/>
  <c r="L251" i="77" s="1"/>
  <c r="C262" i="77"/>
  <c r="C22" i="77"/>
  <c r="H20" i="77"/>
  <c r="C61" i="77"/>
  <c r="C65" i="77"/>
  <c r="D76" i="77"/>
  <c r="E83" i="77"/>
  <c r="C97" i="77"/>
  <c r="C102" i="77"/>
  <c r="C133" i="77"/>
  <c r="C150" i="77"/>
  <c r="C154" i="77"/>
  <c r="C157" i="77"/>
  <c r="C172" i="77"/>
  <c r="O173" i="77"/>
  <c r="C186" i="77"/>
  <c r="M204" i="77"/>
  <c r="M195" i="77" s="1"/>
  <c r="C212" i="77"/>
  <c r="C214" i="77"/>
  <c r="C225" i="77"/>
  <c r="G231" i="77"/>
  <c r="G230" i="77" s="1"/>
  <c r="G194" i="77" s="1"/>
  <c r="C249" i="77"/>
  <c r="C254" i="77"/>
  <c r="C266" i="77"/>
  <c r="L270" i="77"/>
  <c r="L269" i="77" s="1"/>
  <c r="L293" i="77"/>
  <c r="L291" i="77" s="1"/>
  <c r="L131" i="77"/>
  <c r="L174" i="77"/>
  <c r="L173" i="77" s="1"/>
  <c r="C190" i="77"/>
  <c r="E204" i="77"/>
  <c r="E195" i="77" s="1"/>
  <c r="C208" i="77"/>
  <c r="C221" i="77"/>
  <c r="C226" i="77"/>
  <c r="C248" i="77"/>
  <c r="L264" i="77"/>
  <c r="L259" i="77" s="1"/>
  <c r="J26" i="77"/>
  <c r="K53" i="77"/>
  <c r="M53" i="77"/>
  <c r="L54" i="77"/>
  <c r="G54" i="77"/>
  <c r="G53" i="77" s="1"/>
  <c r="C63" i="77"/>
  <c r="O89" i="77"/>
  <c r="C101" i="77"/>
  <c r="C107" i="77"/>
  <c r="M83" i="77"/>
  <c r="M75" i="77" s="1"/>
  <c r="I131" i="77"/>
  <c r="C131" i="77" s="1"/>
  <c r="L151" i="77"/>
  <c r="L160" i="77"/>
  <c r="C164" i="77"/>
  <c r="O166" i="77"/>
  <c r="O165" i="77" s="1"/>
  <c r="J173" i="77"/>
  <c r="M187" i="77"/>
  <c r="C213" i="77"/>
  <c r="J204" i="77"/>
  <c r="J195" i="77" s="1"/>
  <c r="C218" i="77"/>
  <c r="E231" i="77"/>
  <c r="E230" i="77" s="1"/>
  <c r="I238" i="77"/>
  <c r="C241" i="77"/>
  <c r="C256" i="77"/>
  <c r="C258" i="77"/>
  <c r="H259" i="77"/>
  <c r="H230" i="77" s="1"/>
  <c r="C278" i="77"/>
  <c r="O286" i="77"/>
  <c r="O292" i="77"/>
  <c r="E75" i="77"/>
  <c r="E52" i="77" s="1"/>
  <c r="C23" i="77"/>
  <c r="I21" i="77"/>
  <c r="C32" i="77"/>
  <c r="L31" i="77"/>
  <c r="C183" i="77"/>
  <c r="F179" i="77"/>
  <c r="O230" i="77"/>
  <c r="C250" i="77"/>
  <c r="F246" i="77"/>
  <c r="C246" i="77" s="1"/>
  <c r="C301" i="77"/>
  <c r="K292" i="77"/>
  <c r="K291" i="77" s="1"/>
  <c r="C44" i="77"/>
  <c r="F55" i="77"/>
  <c r="C56" i="77"/>
  <c r="F58" i="77"/>
  <c r="C60" i="77"/>
  <c r="L67" i="77"/>
  <c r="K75" i="77"/>
  <c r="K52" i="77" s="1"/>
  <c r="C81" i="77"/>
  <c r="O80" i="77"/>
  <c r="O76" i="77" s="1"/>
  <c r="D83" i="77"/>
  <c r="I84" i="77"/>
  <c r="C84" i="77" s="1"/>
  <c r="C88" i="77"/>
  <c r="F89" i="77"/>
  <c r="C92" i="77"/>
  <c r="F95" i="77"/>
  <c r="C96" i="77"/>
  <c r="O95" i="77"/>
  <c r="L103" i="77"/>
  <c r="C140" i="77"/>
  <c r="I175" i="77"/>
  <c r="C176" i="77"/>
  <c r="I179" i="77"/>
  <c r="C180" i="77"/>
  <c r="C71" i="77"/>
  <c r="I69" i="77"/>
  <c r="I67" i="77" s="1"/>
  <c r="C79" i="77"/>
  <c r="I77" i="77"/>
  <c r="G292" i="77"/>
  <c r="G291" i="77" s="1"/>
  <c r="G20" i="77"/>
  <c r="J20" i="77"/>
  <c r="G75" i="77"/>
  <c r="C80" i="77"/>
  <c r="C91" i="77"/>
  <c r="I89" i="77"/>
  <c r="I103" i="77"/>
  <c r="C167" i="77"/>
  <c r="F166" i="77"/>
  <c r="C90" i="77"/>
  <c r="I144" i="77"/>
  <c r="C148" i="77"/>
  <c r="I151" i="77"/>
  <c r="C152" i="77"/>
  <c r="C43" i="77"/>
  <c r="I58" i="77"/>
  <c r="I54" i="77" s="1"/>
  <c r="C59" i="77"/>
  <c r="F292" i="77"/>
  <c r="F20" i="77"/>
  <c r="L36" i="77"/>
  <c r="C36" i="77" s="1"/>
  <c r="C64" i="77"/>
  <c r="C68" i="77"/>
  <c r="F69" i="77"/>
  <c r="C72" i="77"/>
  <c r="C85" i="77"/>
  <c r="O84" i="77"/>
  <c r="C100" i="77"/>
  <c r="F103" i="77"/>
  <c r="F112" i="77"/>
  <c r="C113" i="77"/>
  <c r="I116" i="77"/>
  <c r="C120" i="77"/>
  <c r="C155" i="77"/>
  <c r="F151" i="77"/>
  <c r="D174" i="77"/>
  <c r="D173" i="77" s="1"/>
  <c r="F116" i="77"/>
  <c r="C117" i="77"/>
  <c r="F136" i="77"/>
  <c r="C137" i="77"/>
  <c r="C141" i="77"/>
  <c r="C142" i="77"/>
  <c r="F160" i="77"/>
  <c r="C160" i="77" s="1"/>
  <c r="C161" i="77"/>
  <c r="G187" i="77"/>
  <c r="F188" i="77"/>
  <c r="C189" i="77"/>
  <c r="C209" i="77"/>
  <c r="I205" i="77"/>
  <c r="O103" i="77"/>
  <c r="C111" i="77"/>
  <c r="C115" i="77"/>
  <c r="C119" i="77"/>
  <c r="C123" i="77"/>
  <c r="F122" i="77"/>
  <c r="C122" i="77" s="1"/>
  <c r="D130" i="77"/>
  <c r="H130" i="77"/>
  <c r="C135" i="77"/>
  <c r="C139" i="77"/>
  <c r="C143" i="77"/>
  <c r="C147" i="77"/>
  <c r="O151" i="77"/>
  <c r="O130" i="77" s="1"/>
  <c r="C159" i="77"/>
  <c r="C163" i="77"/>
  <c r="C171" i="77"/>
  <c r="M173" i="77"/>
  <c r="F174" i="77"/>
  <c r="F144" i="77"/>
  <c r="C145" i="77"/>
  <c r="K187" i="77"/>
  <c r="C237" i="77"/>
  <c r="I235" i="77"/>
  <c r="I231" i="77" s="1"/>
  <c r="C105" i="77"/>
  <c r="L112" i="77"/>
  <c r="L116" i="77"/>
  <c r="C121" i="77"/>
  <c r="C125" i="77"/>
  <c r="F128" i="77"/>
  <c r="C128" i="77" s="1"/>
  <c r="C129" i="77"/>
  <c r="J130" i="77"/>
  <c r="J75" i="77" s="1"/>
  <c r="J52" i="77" s="1"/>
  <c r="N130" i="77"/>
  <c r="L136" i="77"/>
  <c r="L144" i="77"/>
  <c r="C149" i="77"/>
  <c r="C153" i="77"/>
  <c r="C177" i="77"/>
  <c r="C181" i="77"/>
  <c r="F184" i="77"/>
  <c r="C184" i="77" s="1"/>
  <c r="C185" i="77"/>
  <c r="I187" i="77"/>
  <c r="F251" i="77"/>
  <c r="I252" i="77"/>
  <c r="I251" i="77" s="1"/>
  <c r="C253" i="77"/>
  <c r="C282" i="77"/>
  <c r="F281" i="77"/>
  <c r="C281" i="77" s="1"/>
  <c r="F283" i="77"/>
  <c r="C193" i="77"/>
  <c r="I196" i="77"/>
  <c r="C197" i="77"/>
  <c r="L205" i="77"/>
  <c r="O216" i="77"/>
  <c r="L216" i="77"/>
  <c r="C234" i="77"/>
  <c r="F233" i="77"/>
  <c r="C233" i="77" s="1"/>
  <c r="C240" i="77"/>
  <c r="C242" i="77"/>
  <c r="F238" i="77"/>
  <c r="I260" i="77"/>
  <c r="C261" i="77"/>
  <c r="O264" i="77"/>
  <c r="J270" i="77"/>
  <c r="J269" i="77" s="1"/>
  <c r="N270" i="77"/>
  <c r="N269" i="77" s="1"/>
  <c r="I284" i="77"/>
  <c r="I283" i="77" s="1"/>
  <c r="C285" i="77"/>
  <c r="C288" i="77"/>
  <c r="I286" i="77"/>
  <c r="C286" i="77" s="1"/>
  <c r="C300" i="77"/>
  <c r="C198" i="77"/>
  <c r="E194" i="77"/>
  <c r="C206" i="77"/>
  <c r="F205" i="77"/>
  <c r="O204" i="77"/>
  <c r="C244" i="77"/>
  <c r="I276" i="77"/>
  <c r="C277" i="77"/>
  <c r="C280" i="77"/>
  <c r="N195" i="77"/>
  <c r="O196" i="77"/>
  <c r="F216" i="77"/>
  <c r="I216" i="77"/>
  <c r="C217" i="77"/>
  <c r="D231" i="77"/>
  <c r="D230" i="77" s="1"/>
  <c r="J259" i="77"/>
  <c r="J230" i="77" s="1"/>
  <c r="N259" i="77"/>
  <c r="N230" i="77" s="1"/>
  <c r="O260" i="77"/>
  <c r="O259" i="77" s="1"/>
  <c r="F264" i="77"/>
  <c r="I264" i="77"/>
  <c r="C265" i="77"/>
  <c r="C268" i="77"/>
  <c r="O270" i="77"/>
  <c r="O269" i="77" s="1"/>
  <c r="I272" i="77"/>
  <c r="C272" i="77" s="1"/>
  <c r="C273" i="77"/>
  <c r="C295" i="77"/>
  <c r="C297" i="77"/>
  <c r="F293" i="77"/>
  <c r="O291" i="77"/>
  <c r="C228" i="77"/>
  <c r="C232" i="77"/>
  <c r="C236" i="77"/>
  <c r="K51" i="77" l="1"/>
  <c r="D194" i="77"/>
  <c r="C216" i="77"/>
  <c r="L130" i="77"/>
  <c r="I130" i="77"/>
  <c r="M194" i="77"/>
  <c r="J289" i="77"/>
  <c r="O20" i="77"/>
  <c r="F231" i="77"/>
  <c r="N75" i="77"/>
  <c r="H75" i="77"/>
  <c r="I204" i="77"/>
  <c r="I53" i="77"/>
  <c r="K289" i="77"/>
  <c r="E289" i="77"/>
  <c r="M289" i="77"/>
  <c r="M52" i="77"/>
  <c r="M51" i="77" s="1"/>
  <c r="M50" i="77" s="1"/>
  <c r="K50" i="77"/>
  <c r="K290" i="77"/>
  <c r="L230" i="77"/>
  <c r="C293" i="77"/>
  <c r="C276" i="77"/>
  <c r="O83" i="77"/>
  <c r="O75" i="77" s="1"/>
  <c r="O52" i="77" s="1"/>
  <c r="L83" i="77"/>
  <c r="L75" i="77" s="1"/>
  <c r="L52" i="77" s="1"/>
  <c r="D75" i="77"/>
  <c r="D52" i="77" s="1"/>
  <c r="D51" i="77" s="1"/>
  <c r="L53" i="77"/>
  <c r="F291" i="77"/>
  <c r="C264" i="77"/>
  <c r="C196" i="77"/>
  <c r="C238" i="77"/>
  <c r="L204" i="77"/>
  <c r="L195" i="77" s="1"/>
  <c r="G289" i="77"/>
  <c r="C251" i="77"/>
  <c r="I174" i="77"/>
  <c r="I173" i="77" s="1"/>
  <c r="H194" i="77"/>
  <c r="N52" i="77"/>
  <c r="N289" i="77"/>
  <c r="H52" i="77"/>
  <c r="H51" i="77" s="1"/>
  <c r="H289" i="77"/>
  <c r="F259" i="77"/>
  <c r="C116" i="77"/>
  <c r="C55" i="77"/>
  <c r="F54" i="77"/>
  <c r="C69" i="77"/>
  <c r="F67" i="77"/>
  <c r="C67" i="77" s="1"/>
  <c r="G52" i="77"/>
  <c r="G51" i="77" s="1"/>
  <c r="F173" i="77"/>
  <c r="C77" i="77"/>
  <c r="I76" i="77"/>
  <c r="C76" i="77" s="1"/>
  <c r="C89" i="77"/>
  <c r="F83" i="77"/>
  <c r="I292" i="77"/>
  <c r="I291" i="77" s="1"/>
  <c r="C291" i="77" s="1"/>
  <c r="C21" i="77"/>
  <c r="I20" i="77"/>
  <c r="N194" i="77"/>
  <c r="F269" i="77"/>
  <c r="I195" i="77"/>
  <c r="C283" i="77"/>
  <c r="C175" i="77"/>
  <c r="C136" i="77"/>
  <c r="C112" i="77"/>
  <c r="F130" i="77"/>
  <c r="C58" i="77"/>
  <c r="J194" i="77"/>
  <c r="J51" i="77" s="1"/>
  <c r="E51" i="77"/>
  <c r="F230" i="77"/>
  <c r="C231" i="77"/>
  <c r="I270" i="77"/>
  <c r="I269" i="77" s="1"/>
  <c r="O195" i="77"/>
  <c r="O194" i="77" s="1"/>
  <c r="C205" i="77"/>
  <c r="F204" i="77"/>
  <c r="C284" i="77"/>
  <c r="C144" i="77"/>
  <c r="C235" i="77"/>
  <c r="I259" i="77"/>
  <c r="I230" i="77" s="1"/>
  <c r="C252" i="77"/>
  <c r="C260" i="77"/>
  <c r="F187" i="77"/>
  <c r="C187" i="77" s="1"/>
  <c r="C188" i="77"/>
  <c r="C151" i="77"/>
  <c r="C103" i="77"/>
  <c r="C166" i="77"/>
  <c r="F165" i="77"/>
  <c r="C165" i="77" s="1"/>
  <c r="C95" i="77"/>
  <c r="I83" i="77"/>
  <c r="C179" i="77"/>
  <c r="C31" i="77"/>
  <c r="L26" i="77"/>
  <c r="L194" i="77" l="1"/>
  <c r="L51" i="77" s="1"/>
  <c r="F75" i="77"/>
  <c r="C75" i="77" s="1"/>
  <c r="C130" i="77"/>
  <c r="C174" i="77"/>
  <c r="M290" i="77"/>
  <c r="C83" i="77"/>
  <c r="C173" i="77"/>
  <c r="L289" i="77"/>
  <c r="D289" i="77"/>
  <c r="J50" i="77"/>
  <c r="J290" i="77"/>
  <c r="C26" i="77"/>
  <c r="L20" i="77"/>
  <c r="C20" i="77" s="1"/>
  <c r="H290" i="77"/>
  <c r="H50" i="77"/>
  <c r="C230" i="77"/>
  <c r="C269" i="77"/>
  <c r="D290" i="77"/>
  <c r="D50" i="77"/>
  <c r="C292" i="77"/>
  <c r="E290" i="77"/>
  <c r="E50" i="77"/>
  <c r="C270" i="77"/>
  <c r="I75" i="77"/>
  <c r="I52" i="77" s="1"/>
  <c r="O51" i="77"/>
  <c r="C259" i="77"/>
  <c r="O289" i="77"/>
  <c r="C204" i="77"/>
  <c r="F195" i="77"/>
  <c r="I194" i="77"/>
  <c r="G290" i="77"/>
  <c r="G50" i="77"/>
  <c r="F53" i="77"/>
  <c r="C54" i="77"/>
  <c r="N51" i="77"/>
  <c r="L50" i="77" l="1"/>
  <c r="L290" i="77"/>
  <c r="F289" i="77"/>
  <c r="I289" i="77"/>
  <c r="O50" i="77"/>
  <c r="O290" i="77"/>
  <c r="F52" i="77"/>
  <c r="C53" i="77"/>
  <c r="N50" i="77"/>
  <c r="N290" i="77"/>
  <c r="I51" i="77"/>
  <c r="F194" i="77"/>
  <c r="C194" i="77" s="1"/>
  <c r="C195" i="77"/>
  <c r="C289" i="77" l="1"/>
  <c r="I290" i="77"/>
  <c r="I50" i="77"/>
  <c r="C52" i="77"/>
  <c r="F51" i="77"/>
  <c r="F290" i="77" l="1"/>
  <c r="C290" i="77" s="1"/>
  <c r="C51" i="77"/>
  <c r="F50" i="77"/>
  <c r="C50" i="77" s="1"/>
  <c r="O301" i="76" l="1"/>
  <c r="L301" i="76"/>
  <c r="I301" i="76"/>
  <c r="F301" i="76"/>
  <c r="O300" i="76"/>
  <c r="L300" i="76"/>
  <c r="I300" i="76"/>
  <c r="F300" i="76"/>
  <c r="C300" i="76" s="1"/>
  <c r="O299" i="76"/>
  <c r="L299" i="76"/>
  <c r="I299" i="76"/>
  <c r="F299" i="76"/>
  <c r="C299" i="76" s="1"/>
  <c r="O298" i="76"/>
  <c r="L298" i="76"/>
  <c r="I298" i="76"/>
  <c r="F298" i="76"/>
  <c r="C298" i="76" s="1"/>
  <c r="O297" i="76"/>
  <c r="L297" i="76"/>
  <c r="I297" i="76"/>
  <c r="F297" i="76"/>
  <c r="O296" i="76"/>
  <c r="L296" i="76"/>
  <c r="I296" i="76"/>
  <c r="F296" i="76"/>
  <c r="O295" i="76"/>
  <c r="L295" i="76"/>
  <c r="I295" i="76"/>
  <c r="F295" i="76"/>
  <c r="O294" i="76"/>
  <c r="L294" i="76"/>
  <c r="I294" i="76"/>
  <c r="F294" i="76"/>
  <c r="N293" i="76"/>
  <c r="M293" i="76"/>
  <c r="K293" i="76"/>
  <c r="J293" i="76"/>
  <c r="H293" i="76"/>
  <c r="G293" i="76"/>
  <c r="E293" i="76"/>
  <c r="D293" i="76"/>
  <c r="O288" i="76"/>
  <c r="L288" i="76"/>
  <c r="I288" i="76"/>
  <c r="F288" i="76"/>
  <c r="O287" i="76"/>
  <c r="L287" i="76"/>
  <c r="L286" i="76" s="1"/>
  <c r="I287" i="76"/>
  <c r="I286" i="76" s="1"/>
  <c r="F287" i="76"/>
  <c r="O286" i="76"/>
  <c r="N286" i="76"/>
  <c r="M286" i="76"/>
  <c r="K286" i="76"/>
  <c r="J286" i="76"/>
  <c r="H286" i="76"/>
  <c r="G286" i="76"/>
  <c r="F286" i="76"/>
  <c r="E286" i="76"/>
  <c r="D286" i="76"/>
  <c r="O285" i="76"/>
  <c r="O284" i="76" s="1"/>
  <c r="O283" i="76" s="1"/>
  <c r="L285" i="76"/>
  <c r="I285" i="76"/>
  <c r="I284" i="76" s="1"/>
  <c r="I283" i="76" s="1"/>
  <c r="F285" i="76"/>
  <c r="N284" i="76"/>
  <c r="N283" i="76" s="1"/>
  <c r="M284" i="76"/>
  <c r="M283" i="76" s="1"/>
  <c r="L284" i="76"/>
  <c r="L283" i="76" s="1"/>
  <c r="K284" i="76"/>
  <c r="K283" i="76" s="1"/>
  <c r="J284" i="76"/>
  <c r="J283" i="76" s="1"/>
  <c r="H284" i="76"/>
  <c r="H283" i="76" s="1"/>
  <c r="G284" i="76"/>
  <c r="E284" i="76"/>
  <c r="E283" i="76" s="1"/>
  <c r="D284" i="76"/>
  <c r="D283" i="76" s="1"/>
  <c r="G283" i="76"/>
  <c r="O282" i="76"/>
  <c r="O281" i="76" s="1"/>
  <c r="L282" i="76"/>
  <c r="I282" i="76"/>
  <c r="F282" i="76"/>
  <c r="N281" i="76"/>
  <c r="M281" i="76"/>
  <c r="L281" i="76"/>
  <c r="K281" i="76"/>
  <c r="J281" i="76"/>
  <c r="I281" i="76"/>
  <c r="H281" i="76"/>
  <c r="G281" i="76"/>
  <c r="F281" i="76"/>
  <c r="E281" i="76"/>
  <c r="D281" i="76"/>
  <c r="O280" i="76"/>
  <c r="L280" i="76"/>
  <c r="I280" i="76"/>
  <c r="F280" i="76"/>
  <c r="O279" i="76"/>
  <c r="L279" i="76"/>
  <c r="I279" i="76"/>
  <c r="F279" i="76"/>
  <c r="O278" i="76"/>
  <c r="L278" i="76"/>
  <c r="L276" i="76" s="1"/>
  <c r="I278" i="76"/>
  <c r="F278" i="76"/>
  <c r="O277" i="76"/>
  <c r="L277" i="76"/>
  <c r="I277" i="76"/>
  <c r="I276" i="76" s="1"/>
  <c r="F277" i="76"/>
  <c r="N276" i="76"/>
  <c r="M276" i="76"/>
  <c r="K276" i="76"/>
  <c r="J276" i="76"/>
  <c r="H276" i="76"/>
  <c r="G276" i="76"/>
  <c r="G270" i="76" s="1"/>
  <c r="E276" i="76"/>
  <c r="D276" i="76"/>
  <c r="O275" i="76"/>
  <c r="L275" i="76"/>
  <c r="I275" i="76"/>
  <c r="F275" i="76"/>
  <c r="O274" i="76"/>
  <c r="L274" i="76"/>
  <c r="I274" i="76"/>
  <c r="F274" i="76"/>
  <c r="O273" i="76"/>
  <c r="L273" i="76"/>
  <c r="L272" i="76" s="1"/>
  <c r="I273" i="76"/>
  <c r="I272" i="76" s="1"/>
  <c r="F273" i="76"/>
  <c r="N272" i="76"/>
  <c r="M272" i="76"/>
  <c r="M270" i="76" s="1"/>
  <c r="K272" i="76"/>
  <c r="J272" i="76"/>
  <c r="H272" i="76"/>
  <c r="G272" i="76"/>
  <c r="E272" i="76"/>
  <c r="D272" i="76"/>
  <c r="D270" i="76" s="1"/>
  <c r="D269" i="76" s="1"/>
  <c r="O271" i="76"/>
  <c r="L271" i="76"/>
  <c r="I271" i="76"/>
  <c r="F271" i="76"/>
  <c r="N270" i="76"/>
  <c r="N269" i="76" s="1"/>
  <c r="K270" i="76"/>
  <c r="K269" i="76"/>
  <c r="O268" i="76"/>
  <c r="L268" i="76"/>
  <c r="I268" i="76"/>
  <c r="F268" i="76"/>
  <c r="O267" i="76"/>
  <c r="L267" i="76"/>
  <c r="I267" i="76"/>
  <c r="F267" i="76"/>
  <c r="O266" i="76"/>
  <c r="L266" i="76"/>
  <c r="I266" i="76"/>
  <c r="F266" i="76"/>
  <c r="O265" i="76"/>
  <c r="O264" i="76" s="1"/>
  <c r="L265" i="76"/>
  <c r="I265" i="76"/>
  <c r="F265" i="76"/>
  <c r="N264" i="76"/>
  <c r="M264" i="76"/>
  <c r="K264" i="76"/>
  <c r="J264" i="76"/>
  <c r="H264" i="76"/>
  <c r="G264" i="76"/>
  <c r="E264" i="76"/>
  <c r="D264" i="76"/>
  <c r="O263" i="76"/>
  <c r="L263" i="76"/>
  <c r="I263" i="76"/>
  <c r="F263" i="76"/>
  <c r="O262" i="76"/>
  <c r="L262" i="76"/>
  <c r="I262" i="76"/>
  <c r="F262" i="76"/>
  <c r="O261" i="76"/>
  <c r="O260" i="76" s="1"/>
  <c r="L261" i="76"/>
  <c r="I261" i="76"/>
  <c r="F261" i="76"/>
  <c r="F260" i="76" s="1"/>
  <c r="N260" i="76"/>
  <c r="M260" i="76"/>
  <c r="K260" i="76"/>
  <c r="K259" i="76" s="1"/>
  <c r="J260" i="76"/>
  <c r="J259" i="76" s="1"/>
  <c r="H260" i="76"/>
  <c r="H259" i="76" s="1"/>
  <c r="G260" i="76"/>
  <c r="E260" i="76"/>
  <c r="E259" i="76" s="1"/>
  <c r="D260" i="76"/>
  <c r="N259" i="76"/>
  <c r="O258" i="76"/>
  <c r="L258" i="76"/>
  <c r="I258" i="76"/>
  <c r="F258" i="76"/>
  <c r="O257" i="76"/>
  <c r="L257" i="76"/>
  <c r="I257" i="76"/>
  <c r="F257" i="76"/>
  <c r="O256" i="76"/>
  <c r="L256" i="76"/>
  <c r="I256" i="76"/>
  <c r="F256" i="76"/>
  <c r="O255" i="76"/>
  <c r="L255" i="76"/>
  <c r="I255" i="76"/>
  <c r="F255" i="76"/>
  <c r="O254" i="76"/>
  <c r="L254" i="76"/>
  <c r="I254" i="76"/>
  <c r="F254" i="76"/>
  <c r="O253" i="76"/>
  <c r="O252" i="76" s="1"/>
  <c r="O251" i="76" s="1"/>
  <c r="L253" i="76"/>
  <c r="I253" i="76"/>
  <c r="C253" i="76" s="1"/>
  <c r="F253" i="76"/>
  <c r="N252" i="76"/>
  <c r="M252" i="76"/>
  <c r="K252" i="76"/>
  <c r="K251" i="76" s="1"/>
  <c r="J252" i="76"/>
  <c r="J251" i="76" s="1"/>
  <c r="H252" i="76"/>
  <c r="H251" i="76" s="1"/>
  <c r="G252" i="76"/>
  <c r="G251" i="76" s="1"/>
  <c r="E252" i="76"/>
  <c r="D252" i="76"/>
  <c r="D251" i="76" s="1"/>
  <c r="N251" i="76"/>
  <c r="M251" i="76"/>
  <c r="E251" i="76"/>
  <c r="O250" i="76"/>
  <c r="L250" i="76"/>
  <c r="I250" i="76"/>
  <c r="F250" i="76"/>
  <c r="O249" i="76"/>
  <c r="L249" i="76"/>
  <c r="I249" i="76"/>
  <c r="F249" i="76"/>
  <c r="O248" i="76"/>
  <c r="L248" i="76"/>
  <c r="I248" i="76"/>
  <c r="F248" i="76"/>
  <c r="O247" i="76"/>
  <c r="L247" i="76"/>
  <c r="I247" i="76"/>
  <c r="I246" i="76" s="1"/>
  <c r="F247" i="76"/>
  <c r="N246" i="76"/>
  <c r="M246" i="76"/>
  <c r="K246" i="76"/>
  <c r="J246" i="76"/>
  <c r="H246" i="76"/>
  <c r="G246" i="76"/>
  <c r="E246" i="76"/>
  <c r="E231" i="76" s="1"/>
  <c r="D246" i="76"/>
  <c r="O245" i="76"/>
  <c r="L245" i="76"/>
  <c r="I245" i="76"/>
  <c r="F245" i="76"/>
  <c r="O244" i="76"/>
  <c r="L244" i="76"/>
  <c r="I244" i="76"/>
  <c r="F244" i="76"/>
  <c r="O243" i="76"/>
  <c r="L243" i="76"/>
  <c r="I243" i="76"/>
  <c r="F243" i="76"/>
  <c r="O242" i="76"/>
  <c r="L242" i="76"/>
  <c r="I242" i="76"/>
  <c r="F242" i="76"/>
  <c r="O241" i="76"/>
  <c r="L241" i="76"/>
  <c r="I241" i="76"/>
  <c r="C241" i="76" s="1"/>
  <c r="F241" i="76"/>
  <c r="O240" i="76"/>
  <c r="L240" i="76"/>
  <c r="I240" i="76"/>
  <c r="F240" i="76"/>
  <c r="O239" i="76"/>
  <c r="L239" i="76"/>
  <c r="I239" i="76"/>
  <c r="F239" i="76"/>
  <c r="N238" i="76"/>
  <c r="M238" i="76"/>
  <c r="K238" i="76"/>
  <c r="J238" i="76"/>
  <c r="H238" i="76"/>
  <c r="G238" i="76"/>
  <c r="F238" i="76"/>
  <c r="E238" i="76"/>
  <c r="D238" i="76"/>
  <c r="O237" i="76"/>
  <c r="L237" i="76"/>
  <c r="I237" i="76"/>
  <c r="F237" i="76"/>
  <c r="O236" i="76"/>
  <c r="L236" i="76"/>
  <c r="L235" i="76" s="1"/>
  <c r="I236" i="76"/>
  <c r="I235" i="76" s="1"/>
  <c r="F236" i="76"/>
  <c r="N235" i="76"/>
  <c r="M235" i="76"/>
  <c r="K235" i="76"/>
  <c r="J235" i="76"/>
  <c r="H235" i="76"/>
  <c r="G235" i="76"/>
  <c r="E235" i="76"/>
  <c r="D235" i="76"/>
  <c r="O234" i="76"/>
  <c r="O233" i="76" s="1"/>
  <c r="L234" i="76"/>
  <c r="I234" i="76"/>
  <c r="I233" i="76" s="1"/>
  <c r="F234" i="76"/>
  <c r="C234" i="76"/>
  <c r="N233" i="76"/>
  <c r="M233" i="76"/>
  <c r="L233" i="76"/>
  <c r="K233" i="76"/>
  <c r="K231" i="76" s="1"/>
  <c r="K230" i="76" s="1"/>
  <c r="J233" i="76"/>
  <c r="H233" i="76"/>
  <c r="G233" i="76"/>
  <c r="G231" i="76" s="1"/>
  <c r="F233" i="76"/>
  <c r="E233" i="76"/>
  <c r="D233" i="76"/>
  <c r="O232" i="76"/>
  <c r="L232" i="76"/>
  <c r="I232" i="76"/>
  <c r="F232" i="76"/>
  <c r="O229" i="76"/>
  <c r="L229" i="76"/>
  <c r="I229" i="76"/>
  <c r="F229" i="76"/>
  <c r="O228" i="76"/>
  <c r="O227" i="76" s="1"/>
  <c r="L228" i="76"/>
  <c r="L227" i="76" s="1"/>
  <c r="I228" i="76"/>
  <c r="F228" i="76"/>
  <c r="F227" i="76" s="1"/>
  <c r="N227" i="76"/>
  <c r="M227" i="76"/>
  <c r="K227" i="76"/>
  <c r="J227" i="76"/>
  <c r="I227" i="76"/>
  <c r="H227" i="76"/>
  <c r="G227" i="76"/>
  <c r="E227" i="76"/>
  <c r="D227" i="76"/>
  <c r="O226" i="76"/>
  <c r="L226" i="76"/>
  <c r="I226" i="76"/>
  <c r="F226" i="76"/>
  <c r="C226" i="76" s="1"/>
  <c r="O225" i="76"/>
  <c r="L225" i="76"/>
  <c r="I225" i="76"/>
  <c r="F225" i="76"/>
  <c r="O224" i="76"/>
  <c r="L224" i="76"/>
  <c r="I224" i="76"/>
  <c r="F224" i="76"/>
  <c r="O223" i="76"/>
  <c r="L223" i="76"/>
  <c r="I223" i="76"/>
  <c r="F223" i="76"/>
  <c r="O222" i="76"/>
  <c r="L222" i="76"/>
  <c r="I222" i="76"/>
  <c r="F222" i="76"/>
  <c r="O221" i="76"/>
  <c r="L221" i="76"/>
  <c r="I221" i="76"/>
  <c r="F221" i="76"/>
  <c r="O220" i="76"/>
  <c r="L220" i="76"/>
  <c r="I220" i="76"/>
  <c r="F220" i="76"/>
  <c r="O219" i="76"/>
  <c r="L219" i="76"/>
  <c r="I219" i="76"/>
  <c r="F219" i="76"/>
  <c r="O218" i="76"/>
  <c r="L218" i="76"/>
  <c r="I218" i="76"/>
  <c r="F218" i="76"/>
  <c r="C218" i="76" s="1"/>
  <c r="O217" i="76"/>
  <c r="L217" i="76"/>
  <c r="I217" i="76"/>
  <c r="F217" i="76"/>
  <c r="N216" i="76"/>
  <c r="M216" i="76"/>
  <c r="K216" i="76"/>
  <c r="J216" i="76"/>
  <c r="I216" i="76"/>
  <c r="H216" i="76"/>
  <c r="G216" i="76"/>
  <c r="E216" i="76"/>
  <c r="D216" i="76"/>
  <c r="O215" i="76"/>
  <c r="L215" i="76"/>
  <c r="I215" i="76"/>
  <c r="F215" i="76"/>
  <c r="O214" i="76"/>
  <c r="L214" i="76"/>
  <c r="I214" i="76"/>
  <c r="F214" i="76"/>
  <c r="O213" i="76"/>
  <c r="L213" i="76"/>
  <c r="I213" i="76"/>
  <c r="F213" i="76"/>
  <c r="O212" i="76"/>
  <c r="L212" i="76"/>
  <c r="I212" i="76"/>
  <c r="F212" i="76"/>
  <c r="O211" i="76"/>
  <c r="L211" i="76"/>
  <c r="I211" i="76"/>
  <c r="F211" i="76"/>
  <c r="O210" i="76"/>
  <c r="L210" i="76"/>
  <c r="I210" i="76"/>
  <c r="C210" i="76" s="1"/>
  <c r="F210" i="76"/>
  <c r="O209" i="76"/>
  <c r="L209" i="76"/>
  <c r="I209" i="76"/>
  <c r="F209" i="76"/>
  <c r="O208" i="76"/>
  <c r="L208" i="76"/>
  <c r="I208" i="76"/>
  <c r="F208" i="76"/>
  <c r="O207" i="76"/>
  <c r="L207" i="76"/>
  <c r="I207" i="76"/>
  <c r="F207" i="76"/>
  <c r="O206" i="76"/>
  <c r="L206" i="76"/>
  <c r="I206" i="76"/>
  <c r="F206" i="76"/>
  <c r="N205" i="76"/>
  <c r="M205" i="76"/>
  <c r="K205" i="76"/>
  <c r="K204" i="76" s="1"/>
  <c r="J205" i="76"/>
  <c r="H205" i="76"/>
  <c r="H204" i="76" s="1"/>
  <c r="G205" i="76"/>
  <c r="E205" i="76"/>
  <c r="D205" i="76"/>
  <c r="O203" i="76"/>
  <c r="L203" i="76"/>
  <c r="I203" i="76"/>
  <c r="F203" i="76"/>
  <c r="O202" i="76"/>
  <c r="L202" i="76"/>
  <c r="I202" i="76"/>
  <c r="F202" i="76"/>
  <c r="O201" i="76"/>
  <c r="L201" i="76"/>
  <c r="I201" i="76"/>
  <c r="F201" i="76"/>
  <c r="O200" i="76"/>
  <c r="L200" i="76"/>
  <c r="I200" i="76"/>
  <c r="F200" i="76"/>
  <c r="O199" i="76"/>
  <c r="L199" i="76"/>
  <c r="L198" i="76" s="1"/>
  <c r="I199" i="76"/>
  <c r="I198" i="76" s="1"/>
  <c r="F199" i="76"/>
  <c r="F198" i="76" s="1"/>
  <c r="N198" i="76"/>
  <c r="N196" i="76" s="1"/>
  <c r="M198" i="76"/>
  <c r="M196" i="76" s="1"/>
  <c r="K198" i="76"/>
  <c r="K196" i="76" s="1"/>
  <c r="J198" i="76"/>
  <c r="J196" i="76" s="1"/>
  <c r="H198" i="76"/>
  <c r="H196" i="76" s="1"/>
  <c r="H195" i="76" s="1"/>
  <c r="G198" i="76"/>
  <c r="G196" i="76" s="1"/>
  <c r="E198" i="76"/>
  <c r="E196" i="76" s="1"/>
  <c r="D198" i="76"/>
  <c r="D196" i="76" s="1"/>
  <c r="O197" i="76"/>
  <c r="L197" i="76"/>
  <c r="I197" i="76"/>
  <c r="F197" i="76"/>
  <c r="I196" i="76"/>
  <c r="O193" i="76"/>
  <c r="O192" i="76" s="1"/>
  <c r="O191" i="76" s="1"/>
  <c r="L193" i="76"/>
  <c r="L192" i="76" s="1"/>
  <c r="L191" i="76" s="1"/>
  <c r="I193" i="76"/>
  <c r="F193" i="76"/>
  <c r="F192" i="76" s="1"/>
  <c r="F191" i="76" s="1"/>
  <c r="N192" i="76"/>
  <c r="N191" i="76" s="1"/>
  <c r="M192" i="76"/>
  <c r="M191" i="76" s="1"/>
  <c r="K192" i="76"/>
  <c r="K191" i="76" s="1"/>
  <c r="J192" i="76"/>
  <c r="J191" i="76" s="1"/>
  <c r="I192" i="76"/>
  <c r="I191" i="76" s="1"/>
  <c r="H192" i="76"/>
  <c r="H191" i="76" s="1"/>
  <c r="G192" i="76"/>
  <c r="G191" i="76" s="1"/>
  <c r="E192" i="76"/>
  <c r="E191" i="76" s="1"/>
  <c r="D192" i="76"/>
  <c r="D191" i="76" s="1"/>
  <c r="O190" i="76"/>
  <c r="L190" i="76"/>
  <c r="I190" i="76"/>
  <c r="F190" i="76"/>
  <c r="O189" i="76"/>
  <c r="L189" i="76"/>
  <c r="I189" i="76"/>
  <c r="I188" i="76" s="1"/>
  <c r="I187" i="76" s="1"/>
  <c r="F189" i="76"/>
  <c r="F188" i="76" s="1"/>
  <c r="N188" i="76"/>
  <c r="M188" i="76"/>
  <c r="L188" i="76"/>
  <c r="K188" i="76"/>
  <c r="J188" i="76"/>
  <c r="J187" i="76" s="1"/>
  <c r="H188" i="76"/>
  <c r="H187" i="76" s="1"/>
  <c r="G188" i="76"/>
  <c r="E188" i="76"/>
  <c r="D188" i="76"/>
  <c r="O186" i="76"/>
  <c r="L186" i="76"/>
  <c r="I186" i="76"/>
  <c r="F186" i="76"/>
  <c r="O185" i="76"/>
  <c r="L185" i="76"/>
  <c r="L184" i="76" s="1"/>
  <c r="I185" i="76"/>
  <c r="F185" i="76"/>
  <c r="N184" i="76"/>
  <c r="M184" i="76"/>
  <c r="K184" i="76"/>
  <c r="J184" i="76"/>
  <c r="H184" i="76"/>
  <c r="G184" i="76"/>
  <c r="E184" i="76"/>
  <c r="D184" i="76"/>
  <c r="O183" i="76"/>
  <c r="L183" i="76"/>
  <c r="I183" i="76"/>
  <c r="F183" i="76"/>
  <c r="O182" i="76"/>
  <c r="L182" i="76"/>
  <c r="I182" i="76"/>
  <c r="F182" i="76"/>
  <c r="O181" i="76"/>
  <c r="L181" i="76"/>
  <c r="I181" i="76"/>
  <c r="F181" i="76"/>
  <c r="O180" i="76"/>
  <c r="L180" i="76"/>
  <c r="L179" i="76" s="1"/>
  <c r="I180" i="76"/>
  <c r="F180" i="76"/>
  <c r="N179" i="76"/>
  <c r="M179" i="76"/>
  <c r="K179" i="76"/>
  <c r="J179" i="76"/>
  <c r="H179" i="76"/>
  <c r="G179" i="76"/>
  <c r="G174" i="76" s="1"/>
  <c r="G173" i="76" s="1"/>
  <c r="E179" i="76"/>
  <c r="D179" i="76"/>
  <c r="O178" i="76"/>
  <c r="L178" i="76"/>
  <c r="I178" i="76"/>
  <c r="F178" i="76"/>
  <c r="O177" i="76"/>
  <c r="L177" i="76"/>
  <c r="I177" i="76"/>
  <c r="F177" i="76"/>
  <c r="O176" i="76"/>
  <c r="L176" i="76"/>
  <c r="L175" i="76" s="1"/>
  <c r="I176" i="76"/>
  <c r="F176" i="76"/>
  <c r="O175" i="76"/>
  <c r="N175" i="76"/>
  <c r="N174" i="76" s="1"/>
  <c r="N173" i="76" s="1"/>
  <c r="M175" i="76"/>
  <c r="K175" i="76"/>
  <c r="J175" i="76"/>
  <c r="J174" i="76" s="1"/>
  <c r="J173" i="76" s="1"/>
  <c r="I175" i="76"/>
  <c r="H175" i="76"/>
  <c r="G175" i="76"/>
  <c r="F175" i="76"/>
  <c r="E175" i="76"/>
  <c r="E174" i="76" s="1"/>
  <c r="E173" i="76" s="1"/>
  <c r="D175" i="76"/>
  <c r="H174" i="76"/>
  <c r="H173" i="76" s="1"/>
  <c r="D174" i="76"/>
  <c r="D173" i="76" s="1"/>
  <c r="O172" i="76"/>
  <c r="L172" i="76"/>
  <c r="I172" i="76"/>
  <c r="F172" i="76"/>
  <c r="O171" i="76"/>
  <c r="L171" i="76"/>
  <c r="I171" i="76"/>
  <c r="F171" i="76"/>
  <c r="O170" i="76"/>
  <c r="L170" i="76"/>
  <c r="I170" i="76"/>
  <c r="F170" i="76"/>
  <c r="O169" i="76"/>
  <c r="L169" i="76"/>
  <c r="I169" i="76"/>
  <c r="F169" i="76"/>
  <c r="O168" i="76"/>
  <c r="L168" i="76"/>
  <c r="I168" i="76"/>
  <c r="F168" i="76"/>
  <c r="O167" i="76"/>
  <c r="L167" i="76"/>
  <c r="L166" i="76" s="1"/>
  <c r="L165" i="76" s="1"/>
  <c r="I167" i="76"/>
  <c r="F167" i="76"/>
  <c r="O166" i="76"/>
  <c r="O165" i="76" s="1"/>
  <c r="N166" i="76"/>
  <c r="N165" i="76" s="1"/>
  <c r="M166" i="76"/>
  <c r="K166" i="76"/>
  <c r="K165" i="76" s="1"/>
  <c r="J166" i="76"/>
  <c r="J165" i="76" s="1"/>
  <c r="H166" i="76"/>
  <c r="H165" i="76" s="1"/>
  <c r="G166" i="76"/>
  <c r="E166" i="76"/>
  <c r="D166" i="76"/>
  <c r="M165" i="76"/>
  <c r="G165" i="76"/>
  <c r="E165" i="76"/>
  <c r="D165" i="76"/>
  <c r="O164" i="76"/>
  <c r="L164" i="76"/>
  <c r="I164" i="76"/>
  <c r="F164" i="76"/>
  <c r="C164" i="76" s="1"/>
  <c r="O163" i="76"/>
  <c r="L163" i="76"/>
  <c r="I163" i="76"/>
  <c r="F163" i="76"/>
  <c r="O162" i="76"/>
  <c r="L162" i="76"/>
  <c r="I162" i="76"/>
  <c r="F162" i="76"/>
  <c r="C162" i="76" s="1"/>
  <c r="O161" i="76"/>
  <c r="O160" i="76" s="1"/>
  <c r="L161" i="76"/>
  <c r="I161" i="76"/>
  <c r="I160" i="76" s="1"/>
  <c r="F161" i="76"/>
  <c r="C161" i="76" s="1"/>
  <c r="N160" i="76"/>
  <c r="M160" i="76"/>
  <c r="K160" i="76"/>
  <c r="J160" i="76"/>
  <c r="H160" i="76"/>
  <c r="G160" i="76"/>
  <c r="E160" i="76"/>
  <c r="D160" i="76"/>
  <c r="O159" i="76"/>
  <c r="L159" i="76"/>
  <c r="I159" i="76"/>
  <c r="F159" i="76"/>
  <c r="O158" i="76"/>
  <c r="L158" i="76"/>
  <c r="I158" i="76"/>
  <c r="F158" i="76"/>
  <c r="O157" i="76"/>
  <c r="L157" i="76"/>
  <c r="I157" i="76"/>
  <c r="F157" i="76"/>
  <c r="O156" i="76"/>
  <c r="L156" i="76"/>
  <c r="I156" i="76"/>
  <c r="F156" i="76"/>
  <c r="O155" i="76"/>
  <c r="L155" i="76"/>
  <c r="I155" i="76"/>
  <c r="F155" i="76"/>
  <c r="O154" i="76"/>
  <c r="L154" i="76"/>
  <c r="I154" i="76"/>
  <c r="F154" i="76"/>
  <c r="O153" i="76"/>
  <c r="L153" i="76"/>
  <c r="I153" i="76"/>
  <c r="F153" i="76"/>
  <c r="O152" i="76"/>
  <c r="L152" i="76"/>
  <c r="I152" i="76"/>
  <c r="I151" i="76" s="1"/>
  <c r="F152" i="76"/>
  <c r="N151" i="76"/>
  <c r="M151" i="76"/>
  <c r="K151" i="76"/>
  <c r="J151" i="76"/>
  <c r="H151" i="76"/>
  <c r="G151" i="76"/>
  <c r="E151" i="76"/>
  <c r="D151" i="76"/>
  <c r="O150" i="76"/>
  <c r="L150" i="76"/>
  <c r="I150" i="76"/>
  <c r="F150" i="76"/>
  <c r="O149" i="76"/>
  <c r="L149" i="76"/>
  <c r="I149" i="76"/>
  <c r="C149" i="76" s="1"/>
  <c r="F149" i="76"/>
  <c r="O148" i="76"/>
  <c r="L148" i="76"/>
  <c r="I148" i="76"/>
  <c r="F148" i="76"/>
  <c r="O147" i="76"/>
  <c r="L147" i="76"/>
  <c r="I147" i="76"/>
  <c r="F147" i="76"/>
  <c r="O146" i="76"/>
  <c r="L146" i="76"/>
  <c r="I146" i="76"/>
  <c r="F146" i="76"/>
  <c r="O145" i="76"/>
  <c r="L145" i="76"/>
  <c r="I145" i="76"/>
  <c r="I144" i="76" s="1"/>
  <c r="F145" i="76"/>
  <c r="F144" i="76" s="1"/>
  <c r="N144" i="76"/>
  <c r="M144" i="76"/>
  <c r="K144" i="76"/>
  <c r="J144" i="76"/>
  <c r="H144" i="76"/>
  <c r="G144" i="76"/>
  <c r="E144" i="76"/>
  <c r="D144" i="76"/>
  <c r="O143" i="76"/>
  <c r="L143" i="76"/>
  <c r="I143" i="76"/>
  <c r="F143" i="76"/>
  <c r="O142" i="76"/>
  <c r="O141" i="76" s="1"/>
  <c r="L142" i="76"/>
  <c r="L141" i="76" s="1"/>
  <c r="I142" i="76"/>
  <c r="I141" i="76" s="1"/>
  <c r="F142" i="76"/>
  <c r="N141" i="76"/>
  <c r="M141" i="76"/>
  <c r="K141" i="76"/>
  <c r="J141" i="76"/>
  <c r="H141" i="76"/>
  <c r="G141" i="76"/>
  <c r="F141" i="76"/>
  <c r="E141" i="76"/>
  <c r="D141" i="76"/>
  <c r="O140" i="76"/>
  <c r="L140" i="76"/>
  <c r="I140" i="76"/>
  <c r="F140" i="76"/>
  <c r="O139" i="76"/>
  <c r="L139" i="76"/>
  <c r="I139" i="76"/>
  <c r="F139" i="76"/>
  <c r="O138" i="76"/>
  <c r="L138" i="76"/>
  <c r="I138" i="76"/>
  <c r="F138" i="76"/>
  <c r="O137" i="76"/>
  <c r="L137" i="76"/>
  <c r="L136" i="76" s="1"/>
  <c r="I137" i="76"/>
  <c r="I136" i="76" s="1"/>
  <c r="F137" i="76"/>
  <c r="N136" i="76"/>
  <c r="M136" i="76"/>
  <c r="K136" i="76"/>
  <c r="J136" i="76"/>
  <c r="H136" i="76"/>
  <c r="G136" i="76"/>
  <c r="E136" i="76"/>
  <c r="D136" i="76"/>
  <c r="O135" i="76"/>
  <c r="L135" i="76"/>
  <c r="I135" i="76"/>
  <c r="F135" i="76"/>
  <c r="O134" i="76"/>
  <c r="L134" i="76"/>
  <c r="I134" i="76"/>
  <c r="F134" i="76"/>
  <c r="C134" i="76"/>
  <c r="O133" i="76"/>
  <c r="L133" i="76"/>
  <c r="I133" i="76"/>
  <c r="F133" i="76"/>
  <c r="C133" i="76" s="1"/>
  <c r="O132" i="76"/>
  <c r="L132" i="76"/>
  <c r="I132" i="76"/>
  <c r="I131" i="76" s="1"/>
  <c r="F132" i="76"/>
  <c r="N131" i="76"/>
  <c r="M131" i="76"/>
  <c r="K131" i="76"/>
  <c r="J131" i="76"/>
  <c r="J130" i="76" s="1"/>
  <c r="H131" i="76"/>
  <c r="G131" i="76"/>
  <c r="E131" i="76"/>
  <c r="D131" i="76"/>
  <c r="O129" i="76"/>
  <c r="O128" i="76" s="1"/>
  <c r="L129" i="76"/>
  <c r="L128" i="76" s="1"/>
  <c r="I129" i="76"/>
  <c r="C129" i="76" s="1"/>
  <c r="F129" i="76"/>
  <c r="F128" i="76" s="1"/>
  <c r="N128" i="76"/>
  <c r="M128" i="76"/>
  <c r="K128" i="76"/>
  <c r="J128" i="76"/>
  <c r="H128" i="76"/>
  <c r="G128" i="76"/>
  <c r="E128" i="76"/>
  <c r="D128" i="76"/>
  <c r="O127" i="76"/>
  <c r="L127" i="76"/>
  <c r="I127" i="76"/>
  <c r="F127" i="76"/>
  <c r="O126" i="76"/>
  <c r="L126" i="76"/>
  <c r="I126" i="76"/>
  <c r="F126" i="76"/>
  <c r="O125" i="76"/>
  <c r="L125" i="76"/>
  <c r="I125" i="76"/>
  <c r="F125" i="76"/>
  <c r="O124" i="76"/>
  <c r="L124" i="76"/>
  <c r="I124" i="76"/>
  <c r="F124" i="76"/>
  <c r="O123" i="76"/>
  <c r="L123" i="76"/>
  <c r="I123" i="76"/>
  <c r="I122" i="76" s="1"/>
  <c r="F123" i="76"/>
  <c r="N122" i="76"/>
  <c r="M122" i="76"/>
  <c r="K122" i="76"/>
  <c r="J122" i="76"/>
  <c r="H122" i="76"/>
  <c r="G122" i="76"/>
  <c r="E122" i="76"/>
  <c r="D122" i="76"/>
  <c r="O121" i="76"/>
  <c r="C121" i="76" s="1"/>
  <c r="L121" i="76"/>
  <c r="I121" i="76"/>
  <c r="F121" i="76"/>
  <c r="O120" i="76"/>
  <c r="L120" i="76"/>
  <c r="I120" i="76"/>
  <c r="F120" i="76"/>
  <c r="C120" i="76" s="1"/>
  <c r="O119" i="76"/>
  <c r="L119" i="76"/>
  <c r="I119" i="76"/>
  <c r="F119" i="76"/>
  <c r="C119" i="76" s="1"/>
  <c r="O118" i="76"/>
  <c r="L118" i="76"/>
  <c r="I118" i="76"/>
  <c r="F118" i="76"/>
  <c r="C118" i="76" s="1"/>
  <c r="O117" i="76"/>
  <c r="L117" i="76"/>
  <c r="I117" i="76"/>
  <c r="I116" i="76" s="1"/>
  <c r="F117" i="76"/>
  <c r="N116" i="76"/>
  <c r="M116" i="76"/>
  <c r="L116" i="76"/>
  <c r="K116" i="76"/>
  <c r="J116" i="76"/>
  <c r="H116" i="76"/>
  <c r="G116" i="76"/>
  <c r="E116" i="76"/>
  <c r="D116" i="76"/>
  <c r="O115" i="76"/>
  <c r="L115" i="76"/>
  <c r="I115" i="76"/>
  <c r="F115" i="76"/>
  <c r="O114" i="76"/>
  <c r="L114" i="76"/>
  <c r="I114" i="76"/>
  <c r="C114" i="76" s="1"/>
  <c r="F114" i="76"/>
  <c r="O113" i="76"/>
  <c r="L113" i="76"/>
  <c r="L112" i="76" s="1"/>
  <c r="I113" i="76"/>
  <c r="F113" i="76"/>
  <c r="F112" i="76" s="1"/>
  <c r="N112" i="76"/>
  <c r="M112" i="76"/>
  <c r="K112" i="76"/>
  <c r="J112" i="76"/>
  <c r="I112" i="76"/>
  <c r="H112" i="76"/>
  <c r="G112" i="76"/>
  <c r="E112" i="76"/>
  <c r="D112" i="76"/>
  <c r="O111" i="76"/>
  <c r="L111" i="76"/>
  <c r="I111" i="76"/>
  <c r="F111" i="76"/>
  <c r="O110" i="76"/>
  <c r="L110" i="76"/>
  <c r="I110" i="76"/>
  <c r="F110" i="76"/>
  <c r="O109" i="76"/>
  <c r="L109" i="76"/>
  <c r="I109" i="76"/>
  <c r="F109" i="76"/>
  <c r="O108" i="76"/>
  <c r="L108" i="76"/>
  <c r="I108" i="76"/>
  <c r="F108" i="76"/>
  <c r="O107" i="76"/>
  <c r="L107" i="76"/>
  <c r="I107" i="76"/>
  <c r="F107" i="76"/>
  <c r="O106" i="76"/>
  <c r="L106" i="76"/>
  <c r="I106" i="76"/>
  <c r="F106" i="76"/>
  <c r="O105" i="76"/>
  <c r="L105" i="76"/>
  <c r="I105" i="76"/>
  <c r="F105" i="76"/>
  <c r="C105" i="76" s="1"/>
  <c r="O104" i="76"/>
  <c r="L104" i="76"/>
  <c r="I104" i="76"/>
  <c r="I103" i="76" s="1"/>
  <c r="F104" i="76"/>
  <c r="N103" i="76"/>
  <c r="M103" i="76"/>
  <c r="K103" i="76"/>
  <c r="J103" i="76"/>
  <c r="H103" i="76"/>
  <c r="G103" i="76"/>
  <c r="E103" i="76"/>
  <c r="E83" i="76" s="1"/>
  <c r="D103" i="76"/>
  <c r="O102" i="76"/>
  <c r="L102" i="76"/>
  <c r="I102" i="76"/>
  <c r="F102" i="76"/>
  <c r="O101" i="76"/>
  <c r="L101" i="76"/>
  <c r="I101" i="76"/>
  <c r="C101" i="76" s="1"/>
  <c r="F101" i="76"/>
  <c r="O100" i="76"/>
  <c r="L100" i="76"/>
  <c r="I100" i="76"/>
  <c r="F100" i="76"/>
  <c r="O99" i="76"/>
  <c r="L99" i="76"/>
  <c r="I99" i="76"/>
  <c r="F99" i="76"/>
  <c r="O98" i="76"/>
  <c r="L98" i="76"/>
  <c r="I98" i="76"/>
  <c r="F98" i="76"/>
  <c r="O97" i="76"/>
  <c r="L97" i="76"/>
  <c r="I97" i="76"/>
  <c r="F97" i="76"/>
  <c r="O96" i="76"/>
  <c r="L96" i="76"/>
  <c r="I96" i="76"/>
  <c r="I95" i="76" s="1"/>
  <c r="F96" i="76"/>
  <c r="N95" i="76"/>
  <c r="M95" i="76"/>
  <c r="K95" i="76"/>
  <c r="J95" i="76"/>
  <c r="H95" i="76"/>
  <c r="G95" i="76"/>
  <c r="E95" i="76"/>
  <c r="D95" i="76"/>
  <c r="O94" i="76"/>
  <c r="L94" i="76"/>
  <c r="I94" i="76"/>
  <c r="F94" i="76"/>
  <c r="O93" i="76"/>
  <c r="L93" i="76"/>
  <c r="I93" i="76"/>
  <c r="F93" i="76"/>
  <c r="O92" i="76"/>
  <c r="L92" i="76"/>
  <c r="I92" i="76"/>
  <c r="F92" i="76"/>
  <c r="O91" i="76"/>
  <c r="L91" i="76"/>
  <c r="I91" i="76"/>
  <c r="F91" i="76"/>
  <c r="O90" i="76"/>
  <c r="L90" i="76"/>
  <c r="I90" i="76"/>
  <c r="I89" i="76" s="1"/>
  <c r="F90" i="76"/>
  <c r="O89" i="76"/>
  <c r="N89" i="76"/>
  <c r="M89" i="76"/>
  <c r="K89" i="76"/>
  <c r="J89" i="76"/>
  <c r="H89" i="76"/>
  <c r="G89" i="76"/>
  <c r="E89" i="76"/>
  <c r="D89" i="76"/>
  <c r="O88" i="76"/>
  <c r="L88" i="76"/>
  <c r="I88" i="76"/>
  <c r="F88" i="76"/>
  <c r="O87" i="76"/>
  <c r="L87" i="76"/>
  <c r="I87" i="76"/>
  <c r="F87" i="76"/>
  <c r="O86" i="76"/>
  <c r="L86" i="76"/>
  <c r="I86" i="76"/>
  <c r="F86" i="76"/>
  <c r="O85" i="76"/>
  <c r="O84" i="76" s="1"/>
  <c r="L85" i="76"/>
  <c r="I85" i="76"/>
  <c r="F85" i="76"/>
  <c r="F84" i="76" s="1"/>
  <c r="N84" i="76"/>
  <c r="M84" i="76"/>
  <c r="K84" i="76"/>
  <c r="J84" i="76"/>
  <c r="H84" i="76"/>
  <c r="H83" i="76" s="1"/>
  <c r="G84" i="76"/>
  <c r="E84" i="76"/>
  <c r="D84" i="76"/>
  <c r="N83" i="76"/>
  <c r="O82" i="76"/>
  <c r="L82" i="76"/>
  <c r="I82" i="76"/>
  <c r="F82" i="76"/>
  <c r="C82" i="76" s="1"/>
  <c r="O81" i="76"/>
  <c r="L81" i="76"/>
  <c r="I81" i="76"/>
  <c r="I80" i="76" s="1"/>
  <c r="F81" i="76"/>
  <c r="N80" i="76"/>
  <c r="M80" i="76"/>
  <c r="K80" i="76"/>
  <c r="J80" i="76"/>
  <c r="H80" i="76"/>
  <c r="G80" i="76"/>
  <c r="E80" i="76"/>
  <c r="D80" i="76"/>
  <c r="O79" i="76"/>
  <c r="L79" i="76"/>
  <c r="I79" i="76"/>
  <c r="F79" i="76"/>
  <c r="O78" i="76"/>
  <c r="O77" i="76" s="1"/>
  <c r="L78" i="76"/>
  <c r="L77" i="76" s="1"/>
  <c r="I78" i="76"/>
  <c r="I77" i="76" s="1"/>
  <c r="F78" i="76"/>
  <c r="F77" i="76" s="1"/>
  <c r="N77" i="76"/>
  <c r="M77" i="76"/>
  <c r="K77" i="76"/>
  <c r="K76" i="76" s="1"/>
  <c r="J77" i="76"/>
  <c r="H77" i="76"/>
  <c r="H76" i="76" s="1"/>
  <c r="G77" i="76"/>
  <c r="G76" i="76" s="1"/>
  <c r="E77" i="76"/>
  <c r="D77" i="76"/>
  <c r="O74" i="76"/>
  <c r="L74" i="76"/>
  <c r="I74" i="76"/>
  <c r="F74" i="76"/>
  <c r="O73" i="76"/>
  <c r="L73" i="76"/>
  <c r="I73" i="76"/>
  <c r="F73" i="76"/>
  <c r="O72" i="76"/>
  <c r="L72" i="76"/>
  <c r="I72" i="76"/>
  <c r="F72" i="76"/>
  <c r="O71" i="76"/>
  <c r="L71" i="76"/>
  <c r="I71" i="76"/>
  <c r="F71" i="76"/>
  <c r="O70" i="76"/>
  <c r="O69" i="76" s="1"/>
  <c r="L70" i="76"/>
  <c r="I70" i="76"/>
  <c r="F70" i="76"/>
  <c r="N69" i="76"/>
  <c r="M69" i="76"/>
  <c r="K69" i="76"/>
  <c r="K67" i="76" s="1"/>
  <c r="J69" i="76"/>
  <c r="J67" i="76" s="1"/>
  <c r="H69" i="76"/>
  <c r="H67" i="76" s="1"/>
  <c r="G69" i="76"/>
  <c r="G67" i="76" s="1"/>
  <c r="E69" i="76"/>
  <c r="D69" i="76"/>
  <c r="D67" i="76" s="1"/>
  <c r="O68" i="76"/>
  <c r="L68" i="76"/>
  <c r="I68" i="76"/>
  <c r="F68" i="76"/>
  <c r="N67" i="76"/>
  <c r="M67" i="76"/>
  <c r="E67" i="76"/>
  <c r="O66" i="76"/>
  <c r="L66" i="76"/>
  <c r="I66" i="76"/>
  <c r="F66" i="76"/>
  <c r="C66" i="76" s="1"/>
  <c r="O65" i="76"/>
  <c r="L65" i="76"/>
  <c r="I65" i="76"/>
  <c r="F65" i="76"/>
  <c r="O64" i="76"/>
  <c r="L64" i="76"/>
  <c r="I64" i="76"/>
  <c r="F64" i="76"/>
  <c r="O63" i="76"/>
  <c r="L63" i="76"/>
  <c r="I63" i="76"/>
  <c r="F63" i="76"/>
  <c r="O62" i="76"/>
  <c r="L62" i="76"/>
  <c r="I62" i="76"/>
  <c r="F62" i="76"/>
  <c r="O61" i="76"/>
  <c r="L61" i="76"/>
  <c r="I61" i="76"/>
  <c r="F61" i="76"/>
  <c r="O60" i="76"/>
  <c r="L60" i="76"/>
  <c r="I60" i="76"/>
  <c r="F60" i="76"/>
  <c r="O59" i="76"/>
  <c r="L59" i="76"/>
  <c r="I59" i="76"/>
  <c r="I58" i="76" s="1"/>
  <c r="F59" i="76"/>
  <c r="N58" i="76"/>
  <c r="M58" i="76"/>
  <c r="K58" i="76"/>
  <c r="J58" i="76"/>
  <c r="H58" i="76"/>
  <c r="G58" i="76"/>
  <c r="E58" i="76"/>
  <c r="E54" i="76" s="1"/>
  <c r="E53" i="76" s="1"/>
  <c r="D58" i="76"/>
  <c r="O57" i="76"/>
  <c r="L57" i="76"/>
  <c r="I57" i="76"/>
  <c r="F57" i="76"/>
  <c r="O56" i="76"/>
  <c r="O55" i="76" s="1"/>
  <c r="L56" i="76"/>
  <c r="I56" i="76"/>
  <c r="C56" i="76" s="1"/>
  <c r="F56" i="76"/>
  <c r="N55" i="76"/>
  <c r="N54" i="76" s="1"/>
  <c r="N53" i="76" s="1"/>
  <c r="M55" i="76"/>
  <c r="K55" i="76"/>
  <c r="J55" i="76"/>
  <c r="J54" i="76" s="1"/>
  <c r="H55" i="76"/>
  <c r="H54" i="76" s="1"/>
  <c r="G55" i="76"/>
  <c r="F55" i="76"/>
  <c r="E55" i="76"/>
  <c r="D55" i="76"/>
  <c r="D54" i="76" s="1"/>
  <c r="G54" i="76"/>
  <c r="G53" i="76"/>
  <c r="O47" i="76"/>
  <c r="C47" i="76" s="1"/>
  <c r="O46" i="76"/>
  <c r="C46" i="76"/>
  <c r="O45" i="76"/>
  <c r="N45" i="76"/>
  <c r="M45" i="76"/>
  <c r="L44" i="76"/>
  <c r="I44" i="76"/>
  <c r="I43" i="76" s="1"/>
  <c r="F44" i="76"/>
  <c r="K43" i="76"/>
  <c r="J43" i="76"/>
  <c r="H43" i="76"/>
  <c r="G43" i="76"/>
  <c r="F43" i="76"/>
  <c r="E43" i="76"/>
  <c r="D43" i="76"/>
  <c r="F42" i="76"/>
  <c r="F41" i="76" s="1"/>
  <c r="C41" i="76" s="1"/>
  <c r="C42" i="76"/>
  <c r="E41" i="76"/>
  <c r="D41" i="76"/>
  <c r="L40" i="76"/>
  <c r="C40" i="76" s="1"/>
  <c r="L39" i="76"/>
  <c r="C39" i="76"/>
  <c r="L38" i="76"/>
  <c r="C38" i="76" s="1"/>
  <c r="L37" i="76"/>
  <c r="C37" i="76" s="1"/>
  <c r="K36" i="76"/>
  <c r="J36" i="76"/>
  <c r="L35" i="76"/>
  <c r="C35" i="76" s="1"/>
  <c r="L34" i="76"/>
  <c r="C34" i="76" s="1"/>
  <c r="K33" i="76"/>
  <c r="J33" i="76"/>
  <c r="L32" i="76"/>
  <c r="L31" i="76" s="1"/>
  <c r="K31" i="76"/>
  <c r="J31" i="76"/>
  <c r="L30" i="76"/>
  <c r="C30" i="76" s="1"/>
  <c r="L29" i="76"/>
  <c r="C29" i="76" s="1"/>
  <c r="L28" i="76"/>
  <c r="C28" i="76"/>
  <c r="K27" i="76"/>
  <c r="J27" i="76"/>
  <c r="F25" i="76"/>
  <c r="C25" i="76" s="1"/>
  <c r="I24" i="76"/>
  <c r="F24" i="76"/>
  <c r="O23" i="76"/>
  <c r="L23" i="76"/>
  <c r="I23" i="76"/>
  <c r="F23" i="76"/>
  <c r="O22" i="76"/>
  <c r="O21" i="76" s="1"/>
  <c r="L22" i="76"/>
  <c r="L21" i="76" s="1"/>
  <c r="L292" i="76" s="1"/>
  <c r="I22" i="76"/>
  <c r="I21" i="76" s="1"/>
  <c r="F22" i="76"/>
  <c r="N21" i="76"/>
  <c r="N292" i="76" s="1"/>
  <c r="N291" i="76" s="1"/>
  <c r="M21" i="76"/>
  <c r="M20" i="76" s="1"/>
  <c r="K21" i="76"/>
  <c r="J21" i="76"/>
  <c r="J292" i="76" s="1"/>
  <c r="H21" i="76"/>
  <c r="H292" i="76" s="1"/>
  <c r="G21" i="76"/>
  <c r="F21" i="76"/>
  <c r="F292" i="76" s="1"/>
  <c r="E21" i="76"/>
  <c r="D21" i="76"/>
  <c r="D292" i="76" s="1"/>
  <c r="N20" i="76"/>
  <c r="D20" i="76"/>
  <c r="L69" i="76" l="1"/>
  <c r="L67" i="76" s="1"/>
  <c r="E76" i="76"/>
  <c r="C98" i="76"/>
  <c r="I128" i="76"/>
  <c r="L144" i="76"/>
  <c r="K130" i="76"/>
  <c r="C186" i="76"/>
  <c r="G204" i="76"/>
  <c r="G195" i="76" s="1"/>
  <c r="C221" i="76"/>
  <c r="G269" i="76"/>
  <c r="C294" i="76"/>
  <c r="I293" i="76"/>
  <c r="D291" i="76"/>
  <c r="C23" i="76"/>
  <c r="K26" i="76"/>
  <c r="K20" i="76" s="1"/>
  <c r="L33" i="76"/>
  <c r="C33" i="76" s="1"/>
  <c r="H53" i="76"/>
  <c r="L80" i="76"/>
  <c r="L76" i="76" s="1"/>
  <c r="C94" i="76"/>
  <c r="C110" i="76"/>
  <c r="C138" i="76"/>
  <c r="C139" i="76"/>
  <c r="C140" i="76"/>
  <c r="C153" i="76"/>
  <c r="C159" i="76"/>
  <c r="C171" i="76"/>
  <c r="D187" i="76"/>
  <c r="N204" i="76"/>
  <c r="M231" i="76"/>
  <c r="C237" i="76"/>
  <c r="O238" i="76"/>
  <c r="C265" i="76"/>
  <c r="I264" i="76"/>
  <c r="J270" i="76"/>
  <c r="J269" i="76" s="1"/>
  <c r="C278" i="76"/>
  <c r="C282" i="76"/>
  <c r="K54" i="76"/>
  <c r="K53" i="76" s="1"/>
  <c r="G292" i="76"/>
  <c r="J291" i="76"/>
  <c r="C24" i="76"/>
  <c r="C61" i="76"/>
  <c r="C64" i="76"/>
  <c r="C65" i="76"/>
  <c r="C72" i="76"/>
  <c r="D76" i="76"/>
  <c r="C85" i="76"/>
  <c r="C86" i="76"/>
  <c r="M83" i="76"/>
  <c r="J83" i="76"/>
  <c r="C104" i="76"/>
  <c r="C126" i="76"/>
  <c r="C146" i="76"/>
  <c r="C152" i="76"/>
  <c r="C183" i="76"/>
  <c r="C201" i="76"/>
  <c r="J204" i="76"/>
  <c r="C206" i="76"/>
  <c r="C214" i="76"/>
  <c r="C250" i="76"/>
  <c r="C258" i="76"/>
  <c r="M259" i="76"/>
  <c r="C281" i="76"/>
  <c r="C286" i="76"/>
  <c r="C287" i="76"/>
  <c r="G187" i="76"/>
  <c r="C191" i="76"/>
  <c r="O292" i="76"/>
  <c r="O291" i="76" s="1"/>
  <c r="O20" i="76"/>
  <c r="K187" i="76"/>
  <c r="G291" i="76"/>
  <c r="K292" i="76"/>
  <c r="K291" i="76" s="1"/>
  <c r="C22" i="76"/>
  <c r="C44" i="76"/>
  <c r="I55" i="76"/>
  <c r="I54" i="76" s="1"/>
  <c r="L55" i="76"/>
  <c r="M54" i="76"/>
  <c r="M53" i="76" s="1"/>
  <c r="C68" i="76"/>
  <c r="D53" i="76"/>
  <c r="C71" i="76"/>
  <c r="J76" i="76"/>
  <c r="J75" i="76" s="1"/>
  <c r="N76" i="76"/>
  <c r="F80" i="76"/>
  <c r="F76" i="76" s="1"/>
  <c r="C90" i="76"/>
  <c r="C97" i="76"/>
  <c r="C102" i="76"/>
  <c r="F103" i="76"/>
  <c r="C109" i="76"/>
  <c r="C115" i="76"/>
  <c r="O122" i="76"/>
  <c r="C135" i="76"/>
  <c r="C150" i="76"/>
  <c r="C158" i="76"/>
  <c r="C163" i="76"/>
  <c r="O179" i="76"/>
  <c r="O174" i="76" s="1"/>
  <c r="O173" i="76" s="1"/>
  <c r="I184" i="76"/>
  <c r="C190" i="76"/>
  <c r="N195" i="76"/>
  <c r="O198" i="76"/>
  <c r="O196" i="76" s="1"/>
  <c r="C202" i="76"/>
  <c r="D204" i="76"/>
  <c r="D195" i="76" s="1"/>
  <c r="J195" i="76"/>
  <c r="L205" i="76"/>
  <c r="E204" i="76"/>
  <c r="E195" i="76" s="1"/>
  <c r="C217" i="76"/>
  <c r="C242" i="76"/>
  <c r="L246" i="76"/>
  <c r="C257" i="76"/>
  <c r="D259" i="76"/>
  <c r="C261" i="76"/>
  <c r="C271" i="76"/>
  <c r="M269" i="76"/>
  <c r="M292" i="76"/>
  <c r="M291" i="76" s="1"/>
  <c r="L293" i="76"/>
  <c r="C77" i="76"/>
  <c r="N187" i="76"/>
  <c r="L36" i="76"/>
  <c r="C36" i="76" s="1"/>
  <c r="H20" i="76"/>
  <c r="L43" i="76"/>
  <c r="C43" i="76" s="1"/>
  <c r="O58" i="76"/>
  <c r="O54" i="76" s="1"/>
  <c r="C62" i="76"/>
  <c r="I76" i="76"/>
  <c r="C78" i="76"/>
  <c r="K83" i="76"/>
  <c r="C99" i="76"/>
  <c r="C100" i="76"/>
  <c r="C111" i="76"/>
  <c r="C123" i="76"/>
  <c r="C124" i="76"/>
  <c r="H130" i="76"/>
  <c r="H75" i="76" s="1"/>
  <c r="H52" i="76" s="1"/>
  <c r="M130" i="76"/>
  <c r="C142" i="76"/>
  <c r="C141" i="76"/>
  <c r="C147" i="76"/>
  <c r="C148" i="76"/>
  <c r="L160" i="76"/>
  <c r="C170" i="76"/>
  <c r="C177" i="76"/>
  <c r="C178" i="76"/>
  <c r="L187" i="76"/>
  <c r="C200" i="76"/>
  <c r="C209" i="76"/>
  <c r="C219" i="76"/>
  <c r="C220" i="76"/>
  <c r="C229" i="76"/>
  <c r="C232" i="76"/>
  <c r="D231" i="76"/>
  <c r="D230" i="76" s="1"/>
  <c r="H231" i="76"/>
  <c r="H230" i="76" s="1"/>
  <c r="C239" i="76"/>
  <c r="C240" i="76"/>
  <c r="N231" i="76"/>
  <c r="N230" i="76" s="1"/>
  <c r="N194" i="76" s="1"/>
  <c r="I252" i="76"/>
  <c r="I251" i="76" s="1"/>
  <c r="E270" i="76"/>
  <c r="E269" i="76" s="1"/>
  <c r="C274" i="76"/>
  <c r="C280" i="76"/>
  <c r="L27" i="76"/>
  <c r="C27" i="76" s="1"/>
  <c r="C233" i="76"/>
  <c r="L291" i="76"/>
  <c r="J26" i="76"/>
  <c r="J20" i="76" s="1"/>
  <c r="C57" i="76"/>
  <c r="F58" i="76"/>
  <c r="F54" i="76" s="1"/>
  <c r="C60" i="76"/>
  <c r="C74" i="76"/>
  <c r="C79" i="76"/>
  <c r="M76" i="76"/>
  <c r="G83" i="76"/>
  <c r="I84" i="76"/>
  <c r="C93" i="76"/>
  <c r="L103" i="76"/>
  <c r="C117" i="76"/>
  <c r="F122" i="76"/>
  <c r="D130" i="76"/>
  <c r="N130" i="76"/>
  <c r="O131" i="76"/>
  <c r="L131" i="76"/>
  <c r="F136" i="76"/>
  <c r="G130" i="76"/>
  <c r="C143" i="76"/>
  <c r="O151" i="76"/>
  <c r="L151" i="76"/>
  <c r="F160" i="76"/>
  <c r="C160" i="76" s="1"/>
  <c r="M174" i="76"/>
  <c r="M173" i="76" s="1"/>
  <c r="K174" i="76"/>
  <c r="K173" i="76" s="1"/>
  <c r="I179" i="76"/>
  <c r="I174" i="76" s="1"/>
  <c r="I173" i="76" s="1"/>
  <c r="M187" i="76"/>
  <c r="C213" i="76"/>
  <c r="C225" i="76"/>
  <c r="C236" i="76"/>
  <c r="C245" i="76"/>
  <c r="G259" i="76"/>
  <c r="G230" i="76" s="1"/>
  <c r="I260" i="76"/>
  <c r="I259" i="76" s="1"/>
  <c r="C275" i="76"/>
  <c r="C297" i="76"/>
  <c r="J53" i="76"/>
  <c r="C31" i="76"/>
  <c r="C125" i="76"/>
  <c r="F272" i="76"/>
  <c r="C273" i="76"/>
  <c r="F20" i="76"/>
  <c r="C45" i="76"/>
  <c r="I69" i="76"/>
  <c r="I67" i="76" s="1"/>
  <c r="L84" i="76"/>
  <c r="L89" i="76"/>
  <c r="O95" i="76"/>
  <c r="C106" i="76"/>
  <c r="C128" i="76"/>
  <c r="E130" i="76"/>
  <c r="E75" i="76" s="1"/>
  <c r="I130" i="76"/>
  <c r="F151" i="76"/>
  <c r="G20" i="76"/>
  <c r="C63" i="76"/>
  <c r="O67" i="76"/>
  <c r="O53" i="76" s="1"/>
  <c r="F69" i="76"/>
  <c r="K75" i="76"/>
  <c r="C81" i="76"/>
  <c r="O80" i="76"/>
  <c r="C80" i="76" s="1"/>
  <c r="D83" i="76"/>
  <c r="D75" i="76" s="1"/>
  <c r="C87" i="76"/>
  <c r="C88" i="76"/>
  <c r="C91" i="76"/>
  <c r="C92" i="76"/>
  <c r="F89" i="76"/>
  <c r="F95" i="76"/>
  <c r="C96" i="76"/>
  <c r="L95" i="76"/>
  <c r="C107" i="76"/>
  <c r="C108" i="76"/>
  <c r="C113" i="76"/>
  <c r="O112" i="76"/>
  <c r="C112" i="76" s="1"/>
  <c r="O116" i="76"/>
  <c r="L122" i="76"/>
  <c r="C127" i="76"/>
  <c r="F131" i="76"/>
  <c r="C132" i="76"/>
  <c r="C137" i="76"/>
  <c r="O136" i="76"/>
  <c r="C154" i="76"/>
  <c r="F166" i="76"/>
  <c r="C169" i="76"/>
  <c r="C182" i="76"/>
  <c r="F179" i="76"/>
  <c r="F174" i="76" s="1"/>
  <c r="E187" i="76"/>
  <c r="C192" i="76"/>
  <c r="K195" i="76"/>
  <c r="K194" i="76" s="1"/>
  <c r="C249" i="76"/>
  <c r="F246" i="76"/>
  <c r="C254" i="76"/>
  <c r="L252" i="76"/>
  <c r="L251" i="76" s="1"/>
  <c r="C175" i="76"/>
  <c r="C185" i="76"/>
  <c r="F184" i="76"/>
  <c r="C184" i="76" s="1"/>
  <c r="I205" i="76"/>
  <c r="I204" i="76" s="1"/>
  <c r="I195" i="76" s="1"/>
  <c r="C301" i="76"/>
  <c r="C21" i="76"/>
  <c r="L58" i="76"/>
  <c r="C58" i="76" s="1"/>
  <c r="C73" i="76"/>
  <c r="E292" i="76"/>
  <c r="E291" i="76" s="1"/>
  <c r="E20" i="76"/>
  <c r="I292" i="76"/>
  <c r="I20" i="76"/>
  <c r="C32" i="76"/>
  <c r="C59" i="76"/>
  <c r="C70" i="76"/>
  <c r="O103" i="76"/>
  <c r="F116" i="76"/>
  <c r="C116" i="76" s="1"/>
  <c r="C145" i="76"/>
  <c r="O144" i="76"/>
  <c r="C155" i="76"/>
  <c r="C157" i="76"/>
  <c r="I166" i="76"/>
  <c r="I165" i="76" s="1"/>
  <c r="C167" i="76"/>
  <c r="L174" i="76"/>
  <c r="L173" i="76" s="1"/>
  <c r="F187" i="76"/>
  <c r="L196" i="76"/>
  <c r="C207" i="76"/>
  <c r="C208" i="76"/>
  <c r="F205" i="76"/>
  <c r="L216" i="76"/>
  <c r="C222" i="76"/>
  <c r="F276" i="76"/>
  <c r="C277" i="76"/>
  <c r="C285" i="76"/>
  <c r="F284" i="76"/>
  <c r="H291" i="76"/>
  <c r="C172" i="76"/>
  <c r="C176" i="76"/>
  <c r="O188" i="76"/>
  <c r="O187" i="76" s="1"/>
  <c r="C193" i="76"/>
  <c r="M204" i="76"/>
  <c r="M195" i="76" s="1"/>
  <c r="C227" i="76"/>
  <c r="F235" i="76"/>
  <c r="J231" i="76"/>
  <c r="J230" i="76" s="1"/>
  <c r="O235" i="76"/>
  <c r="C262" i="76"/>
  <c r="L260" i="76"/>
  <c r="H270" i="76"/>
  <c r="H269" i="76" s="1"/>
  <c r="C156" i="76"/>
  <c r="C168" i="76"/>
  <c r="C180" i="76"/>
  <c r="C181" i="76"/>
  <c r="O184" i="76"/>
  <c r="C189" i="76"/>
  <c r="C197" i="76"/>
  <c r="O205" i="76"/>
  <c r="C215" i="76"/>
  <c r="O246" i="76"/>
  <c r="O231" i="76" s="1"/>
  <c r="O230" i="76" s="1"/>
  <c r="O259" i="76"/>
  <c r="C266" i="76"/>
  <c r="L264" i="76"/>
  <c r="C288" i="76"/>
  <c r="C203" i="76"/>
  <c r="C211" i="76"/>
  <c r="C212" i="76"/>
  <c r="O216" i="76"/>
  <c r="C223" i="76"/>
  <c r="C224" i="76"/>
  <c r="I238" i="76"/>
  <c r="I231" i="76" s="1"/>
  <c r="F252" i="76"/>
  <c r="F264" i="76"/>
  <c r="I270" i="76"/>
  <c r="I269" i="76" s="1"/>
  <c r="C279" i="76"/>
  <c r="O293" i="76"/>
  <c r="F196" i="76"/>
  <c r="C199" i="76"/>
  <c r="F216" i="76"/>
  <c r="C228" i="76"/>
  <c r="E230" i="76"/>
  <c r="E194" i="76" s="1"/>
  <c r="M230" i="76"/>
  <c r="L238" i="76"/>
  <c r="C243" i="76"/>
  <c r="C244" i="76"/>
  <c r="C247" i="76"/>
  <c r="C248" i="76"/>
  <c r="C255" i="76"/>
  <c r="C256" i="76"/>
  <c r="C263" i="76"/>
  <c r="C267" i="76"/>
  <c r="C268" i="76"/>
  <c r="L270" i="76"/>
  <c r="L269" i="76" s="1"/>
  <c r="O272" i="76"/>
  <c r="O276" i="76"/>
  <c r="C295" i="76"/>
  <c r="C296" i="76"/>
  <c r="F293" i="76"/>
  <c r="M75" i="76" l="1"/>
  <c r="C136" i="76"/>
  <c r="L26" i="76"/>
  <c r="G75" i="76"/>
  <c r="G289" i="76" s="1"/>
  <c r="C216" i="76"/>
  <c r="J194" i="76"/>
  <c r="C276" i="76"/>
  <c r="C103" i="76"/>
  <c r="E52" i="76"/>
  <c r="L130" i="76"/>
  <c r="I83" i="76"/>
  <c r="I75" i="76" s="1"/>
  <c r="I289" i="76" s="1"/>
  <c r="C55" i="76"/>
  <c r="C293" i="76"/>
  <c r="J289" i="76"/>
  <c r="G194" i="76"/>
  <c r="I230" i="76"/>
  <c r="O204" i="76"/>
  <c r="O195" i="76" s="1"/>
  <c r="O194" i="76" s="1"/>
  <c r="C238" i="76"/>
  <c r="C84" i="76"/>
  <c r="C198" i="76"/>
  <c r="L231" i="76"/>
  <c r="D194" i="76"/>
  <c r="K289" i="76"/>
  <c r="H289" i="76"/>
  <c r="M194" i="76"/>
  <c r="M51" i="76" s="1"/>
  <c r="M50" i="76" s="1"/>
  <c r="L204" i="76"/>
  <c r="C292" i="76"/>
  <c r="C246" i="76"/>
  <c r="C122" i="76"/>
  <c r="C95" i="76"/>
  <c r="C151" i="76"/>
  <c r="J52" i="76"/>
  <c r="N75" i="76"/>
  <c r="C187" i="76"/>
  <c r="O270" i="76"/>
  <c r="O269" i="76" s="1"/>
  <c r="C260" i="76"/>
  <c r="H194" i="76"/>
  <c r="H51" i="76" s="1"/>
  <c r="O130" i="76"/>
  <c r="C179" i="76"/>
  <c r="K52" i="76"/>
  <c r="K51" i="76" s="1"/>
  <c r="O83" i="76"/>
  <c r="I53" i="76"/>
  <c r="I52" i="76" s="1"/>
  <c r="M52" i="76"/>
  <c r="D52" i="76"/>
  <c r="D289" i="76"/>
  <c r="E51" i="76"/>
  <c r="M289" i="76"/>
  <c r="K50" i="76"/>
  <c r="K290" i="76"/>
  <c r="C235" i="76"/>
  <c r="F231" i="76"/>
  <c r="F291" i="76"/>
  <c r="C69" i="76"/>
  <c r="F67" i="76"/>
  <c r="C67" i="76" s="1"/>
  <c r="C144" i="76"/>
  <c r="C252" i="76"/>
  <c r="F251" i="76"/>
  <c r="C251" i="76" s="1"/>
  <c r="C188" i="76"/>
  <c r="F165" i="76"/>
  <c r="C165" i="76" s="1"/>
  <c r="C166" i="76"/>
  <c r="O76" i="76"/>
  <c r="E289" i="76"/>
  <c r="I291" i="76"/>
  <c r="L195" i="76"/>
  <c r="F173" i="76"/>
  <c r="C173" i="76" s="1"/>
  <c r="C174" i="76"/>
  <c r="C89" i="76"/>
  <c r="F83" i="76"/>
  <c r="L83" i="76"/>
  <c r="L75" i="76" s="1"/>
  <c r="J51" i="76"/>
  <c r="L54" i="76"/>
  <c r="L53" i="76" s="1"/>
  <c r="C196" i="76"/>
  <c r="C284" i="76"/>
  <c r="F283" i="76"/>
  <c r="C283" i="76" s="1"/>
  <c r="C272" i="76"/>
  <c r="F270" i="76"/>
  <c r="C264" i="76"/>
  <c r="F259" i="76"/>
  <c r="L259" i="76"/>
  <c r="F204" i="76"/>
  <c r="C205" i="76"/>
  <c r="I194" i="76"/>
  <c r="C131" i="76"/>
  <c r="F130" i="76"/>
  <c r="C76" i="76"/>
  <c r="F53" i="76"/>
  <c r="C54" i="76"/>
  <c r="C26" i="76" l="1"/>
  <c r="L20" i="76"/>
  <c r="C20" i="76" s="1"/>
  <c r="D51" i="76"/>
  <c r="D290" i="76" s="1"/>
  <c r="G52" i="76"/>
  <c r="G51" i="76" s="1"/>
  <c r="C130" i="76"/>
  <c r="M290" i="76"/>
  <c r="H50" i="76"/>
  <c r="H290" i="76"/>
  <c r="N52" i="76"/>
  <c r="N51" i="76" s="1"/>
  <c r="N289" i="76"/>
  <c r="L52" i="76"/>
  <c r="C83" i="76"/>
  <c r="O75" i="76"/>
  <c r="O289" i="76" s="1"/>
  <c r="C204" i="76"/>
  <c r="L230" i="76"/>
  <c r="L289" i="76" s="1"/>
  <c r="J50" i="76"/>
  <c r="J290" i="76"/>
  <c r="C259" i="76"/>
  <c r="E290" i="76"/>
  <c r="E50" i="76"/>
  <c r="I51" i="76"/>
  <c r="F75" i="76"/>
  <c r="C75" i="76" s="1"/>
  <c r="C291" i="76"/>
  <c r="O52" i="76"/>
  <c r="O51" i="76" s="1"/>
  <c r="C53" i="76"/>
  <c r="F269" i="76"/>
  <c r="C270" i="76"/>
  <c r="F195" i="76"/>
  <c r="C231" i="76"/>
  <c r="F230" i="76"/>
  <c r="D50" i="76"/>
  <c r="L194" i="76" l="1"/>
  <c r="L51" i="76" s="1"/>
  <c r="C230" i="76"/>
  <c r="N50" i="76"/>
  <c r="N290" i="76"/>
  <c r="G50" i="76"/>
  <c r="G290" i="76"/>
  <c r="F52" i="76"/>
  <c r="I290" i="76"/>
  <c r="I50" i="76"/>
  <c r="O50" i="76"/>
  <c r="O290" i="76"/>
  <c r="L50" i="76"/>
  <c r="L290" i="76"/>
  <c r="C195" i="76"/>
  <c r="F194" i="76"/>
  <c r="C194" i="76" s="1"/>
  <c r="C269" i="76"/>
  <c r="F289" i="76"/>
  <c r="C289" i="76" s="1"/>
  <c r="F51" i="76" l="1"/>
  <c r="C52" i="76"/>
  <c r="F290" i="76" l="1"/>
  <c r="C290" i="76" s="1"/>
  <c r="C51" i="76"/>
  <c r="F50" i="76"/>
  <c r="C50" i="76" s="1"/>
  <c r="O301" i="75" l="1"/>
  <c r="L301" i="75"/>
  <c r="I301" i="75"/>
  <c r="F301" i="75"/>
  <c r="O300" i="75"/>
  <c r="L300" i="75"/>
  <c r="I300" i="75"/>
  <c r="F300" i="75"/>
  <c r="O299" i="75"/>
  <c r="L299" i="75"/>
  <c r="I299" i="75"/>
  <c r="F299" i="75"/>
  <c r="O298" i="75"/>
  <c r="L298" i="75"/>
  <c r="I298" i="75"/>
  <c r="F298" i="75"/>
  <c r="C298" i="75" s="1"/>
  <c r="O297" i="75"/>
  <c r="L297" i="75"/>
  <c r="I297" i="75"/>
  <c r="F297" i="75"/>
  <c r="O296" i="75"/>
  <c r="L296" i="75"/>
  <c r="I296" i="75"/>
  <c r="F296" i="75"/>
  <c r="O295" i="75"/>
  <c r="L295" i="75"/>
  <c r="I295" i="75"/>
  <c r="F295" i="75"/>
  <c r="O294" i="75"/>
  <c r="L294" i="75"/>
  <c r="I294" i="75"/>
  <c r="F294" i="75"/>
  <c r="F293" i="75" s="1"/>
  <c r="N293" i="75"/>
  <c r="M293" i="75"/>
  <c r="K293" i="75"/>
  <c r="J293" i="75"/>
  <c r="H293" i="75"/>
  <c r="G293" i="75"/>
  <c r="E293" i="75"/>
  <c r="D293" i="75"/>
  <c r="O288" i="75"/>
  <c r="L288" i="75"/>
  <c r="I288" i="75"/>
  <c r="F288" i="75"/>
  <c r="O287" i="75"/>
  <c r="O286" i="75" s="1"/>
  <c r="L287" i="75"/>
  <c r="L286" i="75" s="1"/>
  <c r="I287" i="75"/>
  <c r="F287" i="75"/>
  <c r="F286" i="75" s="1"/>
  <c r="N286" i="75"/>
  <c r="M286" i="75"/>
  <c r="K286" i="75"/>
  <c r="J286" i="75"/>
  <c r="H286" i="75"/>
  <c r="G286" i="75"/>
  <c r="E286" i="75"/>
  <c r="D286" i="75"/>
  <c r="O285" i="75"/>
  <c r="L285" i="75"/>
  <c r="L284" i="75" s="1"/>
  <c r="L283" i="75" s="1"/>
  <c r="I285" i="75"/>
  <c r="F285" i="75"/>
  <c r="O284" i="75"/>
  <c r="N284" i="75"/>
  <c r="M284" i="75"/>
  <c r="M283" i="75" s="1"/>
  <c r="K284" i="75"/>
  <c r="J284" i="75"/>
  <c r="J283" i="75" s="1"/>
  <c r="I284" i="75"/>
  <c r="I283" i="75" s="1"/>
  <c r="H284" i="75"/>
  <c r="G284" i="75"/>
  <c r="F284" i="75"/>
  <c r="E284" i="75"/>
  <c r="E283" i="75" s="1"/>
  <c r="D284" i="75"/>
  <c r="O283" i="75"/>
  <c r="N283" i="75"/>
  <c r="K283" i="75"/>
  <c r="H283" i="75"/>
  <c r="G283" i="75"/>
  <c r="D283" i="75"/>
  <c r="O282" i="75"/>
  <c r="O281" i="75" s="1"/>
  <c r="L282" i="75"/>
  <c r="I282" i="75"/>
  <c r="I281" i="75" s="1"/>
  <c r="F282" i="75"/>
  <c r="F281" i="75" s="1"/>
  <c r="N281" i="75"/>
  <c r="M281" i="75"/>
  <c r="L281" i="75"/>
  <c r="K281" i="75"/>
  <c r="J281" i="75"/>
  <c r="H281" i="75"/>
  <c r="G281" i="75"/>
  <c r="E281" i="75"/>
  <c r="D281" i="75"/>
  <c r="O280" i="75"/>
  <c r="L280" i="75"/>
  <c r="I280" i="75"/>
  <c r="F280" i="75"/>
  <c r="O279" i="75"/>
  <c r="L279" i="75"/>
  <c r="I279" i="75"/>
  <c r="F279" i="75"/>
  <c r="O278" i="75"/>
  <c r="L278" i="75"/>
  <c r="I278" i="75"/>
  <c r="F278" i="75"/>
  <c r="O277" i="75"/>
  <c r="L277" i="75"/>
  <c r="I277" i="75"/>
  <c r="I276" i="75" s="1"/>
  <c r="F277" i="75"/>
  <c r="N276" i="75"/>
  <c r="M276" i="75"/>
  <c r="K276" i="75"/>
  <c r="J276" i="75"/>
  <c r="H276" i="75"/>
  <c r="H270" i="75" s="1"/>
  <c r="H269" i="75" s="1"/>
  <c r="G276" i="75"/>
  <c r="F276" i="75"/>
  <c r="E276" i="75"/>
  <c r="D276" i="75"/>
  <c r="O275" i="75"/>
  <c r="L275" i="75"/>
  <c r="I275" i="75"/>
  <c r="F275" i="75"/>
  <c r="O274" i="75"/>
  <c r="L274" i="75"/>
  <c r="I274" i="75"/>
  <c r="F274" i="75"/>
  <c r="O273" i="75"/>
  <c r="L273" i="75"/>
  <c r="I273" i="75"/>
  <c r="I272" i="75" s="1"/>
  <c r="F273" i="75"/>
  <c r="N272" i="75"/>
  <c r="M272" i="75"/>
  <c r="L272" i="75"/>
  <c r="K272" i="75"/>
  <c r="K270" i="75" s="1"/>
  <c r="K269" i="75" s="1"/>
  <c r="J272" i="75"/>
  <c r="H272" i="75"/>
  <c r="G272" i="75"/>
  <c r="E272" i="75"/>
  <c r="D272" i="75"/>
  <c r="O271" i="75"/>
  <c r="L271" i="75"/>
  <c r="I271" i="75"/>
  <c r="F271" i="75"/>
  <c r="C271" i="75" s="1"/>
  <c r="O268" i="75"/>
  <c r="L268" i="75"/>
  <c r="I268" i="75"/>
  <c r="F268" i="75"/>
  <c r="O267" i="75"/>
  <c r="L267" i="75"/>
  <c r="I267" i="75"/>
  <c r="F267" i="75"/>
  <c r="O266" i="75"/>
  <c r="L266" i="75"/>
  <c r="I266" i="75"/>
  <c r="F266" i="75"/>
  <c r="O265" i="75"/>
  <c r="L265" i="75"/>
  <c r="I265" i="75"/>
  <c r="F265" i="75"/>
  <c r="N264" i="75"/>
  <c r="M264" i="75"/>
  <c r="K264" i="75"/>
  <c r="J264" i="75"/>
  <c r="H264" i="75"/>
  <c r="G264" i="75"/>
  <c r="G259" i="75" s="1"/>
  <c r="F264" i="75"/>
  <c r="E264" i="75"/>
  <c r="D264" i="75"/>
  <c r="O263" i="75"/>
  <c r="L263" i="75"/>
  <c r="I263" i="75"/>
  <c r="F263" i="75"/>
  <c r="O262" i="75"/>
  <c r="L262" i="75"/>
  <c r="I262" i="75"/>
  <c r="F262" i="75"/>
  <c r="O261" i="75"/>
  <c r="L261" i="75"/>
  <c r="I261" i="75"/>
  <c r="F261" i="75"/>
  <c r="N260" i="75"/>
  <c r="N259" i="75" s="1"/>
  <c r="M260" i="75"/>
  <c r="K260" i="75"/>
  <c r="J260" i="75"/>
  <c r="J259" i="75" s="1"/>
  <c r="I260" i="75"/>
  <c r="H260" i="75"/>
  <c r="G260" i="75"/>
  <c r="F260" i="75"/>
  <c r="E260" i="75"/>
  <c r="E259" i="75" s="1"/>
  <c r="D260" i="75"/>
  <c r="K259" i="75"/>
  <c r="H259" i="75"/>
  <c r="D259" i="75"/>
  <c r="O258" i="75"/>
  <c r="L258" i="75"/>
  <c r="I258" i="75"/>
  <c r="F258" i="75"/>
  <c r="C258" i="75" s="1"/>
  <c r="O257" i="75"/>
  <c r="L257" i="75"/>
  <c r="I257" i="75"/>
  <c r="F257" i="75"/>
  <c r="O256" i="75"/>
  <c r="L256" i="75"/>
  <c r="I256" i="75"/>
  <c r="F256" i="75"/>
  <c r="O255" i="75"/>
  <c r="L255" i="75"/>
  <c r="I255" i="75"/>
  <c r="F255" i="75"/>
  <c r="C255" i="75" s="1"/>
  <c r="O254" i="75"/>
  <c r="L254" i="75"/>
  <c r="I254" i="75"/>
  <c r="F254" i="75"/>
  <c r="O253" i="75"/>
  <c r="L253" i="75"/>
  <c r="I253" i="75"/>
  <c r="I252" i="75" s="1"/>
  <c r="I251" i="75" s="1"/>
  <c r="F253" i="75"/>
  <c r="N252" i="75"/>
  <c r="M252" i="75"/>
  <c r="M251" i="75" s="1"/>
  <c r="K252" i="75"/>
  <c r="K251" i="75" s="1"/>
  <c r="J252" i="75"/>
  <c r="J251" i="75" s="1"/>
  <c r="H252" i="75"/>
  <c r="G252" i="75"/>
  <c r="G251" i="75" s="1"/>
  <c r="E252" i="75"/>
  <c r="E251" i="75" s="1"/>
  <c r="D252" i="75"/>
  <c r="D251" i="75" s="1"/>
  <c r="N251" i="75"/>
  <c r="H251" i="75"/>
  <c r="O250" i="75"/>
  <c r="L250" i="75"/>
  <c r="I250" i="75"/>
  <c r="F250" i="75"/>
  <c r="O249" i="75"/>
  <c r="L249" i="75"/>
  <c r="I249" i="75"/>
  <c r="F249" i="75"/>
  <c r="O248" i="75"/>
  <c r="L248" i="75"/>
  <c r="I248" i="75"/>
  <c r="F248" i="75"/>
  <c r="O247" i="75"/>
  <c r="L247" i="75"/>
  <c r="I247" i="75"/>
  <c r="F247" i="75"/>
  <c r="O246" i="75"/>
  <c r="N246" i="75"/>
  <c r="M246" i="75"/>
  <c r="K246" i="75"/>
  <c r="J246" i="75"/>
  <c r="H246" i="75"/>
  <c r="G246" i="75"/>
  <c r="E246" i="75"/>
  <c r="D246" i="75"/>
  <c r="O245" i="75"/>
  <c r="L245" i="75"/>
  <c r="I245" i="75"/>
  <c r="F245" i="75"/>
  <c r="O244" i="75"/>
  <c r="L244" i="75"/>
  <c r="I244" i="75"/>
  <c r="F244" i="75"/>
  <c r="O243" i="75"/>
  <c r="L243" i="75"/>
  <c r="I243" i="75"/>
  <c r="F243" i="75"/>
  <c r="O242" i="75"/>
  <c r="L242" i="75"/>
  <c r="L238" i="75" s="1"/>
  <c r="I242" i="75"/>
  <c r="F242" i="75"/>
  <c r="O241" i="75"/>
  <c r="L241" i="75"/>
  <c r="I241" i="75"/>
  <c r="F241" i="75"/>
  <c r="O240" i="75"/>
  <c r="L240" i="75"/>
  <c r="I240" i="75"/>
  <c r="F240" i="75"/>
  <c r="O239" i="75"/>
  <c r="L239" i="75"/>
  <c r="I239" i="75"/>
  <c r="F239" i="75"/>
  <c r="C239" i="75" s="1"/>
  <c r="N238" i="75"/>
  <c r="M238" i="75"/>
  <c r="K238" i="75"/>
  <c r="J238" i="75"/>
  <c r="H238" i="75"/>
  <c r="G238" i="75"/>
  <c r="E238" i="75"/>
  <c r="D238" i="75"/>
  <c r="O237" i="75"/>
  <c r="L237" i="75"/>
  <c r="I237" i="75"/>
  <c r="F237" i="75"/>
  <c r="O236" i="75"/>
  <c r="L236" i="75"/>
  <c r="L235" i="75" s="1"/>
  <c r="I236" i="75"/>
  <c r="I235" i="75" s="1"/>
  <c r="F236" i="75"/>
  <c r="O235" i="75"/>
  <c r="N235" i="75"/>
  <c r="M235" i="75"/>
  <c r="K235" i="75"/>
  <c r="J235" i="75"/>
  <c r="H235" i="75"/>
  <c r="G235" i="75"/>
  <c r="F235" i="75"/>
  <c r="E235" i="75"/>
  <c r="D235" i="75"/>
  <c r="O234" i="75"/>
  <c r="O233" i="75" s="1"/>
  <c r="L234" i="75"/>
  <c r="L233" i="75" s="1"/>
  <c r="I234" i="75"/>
  <c r="F234" i="75"/>
  <c r="F233" i="75" s="1"/>
  <c r="N233" i="75"/>
  <c r="N231" i="75" s="1"/>
  <c r="M233" i="75"/>
  <c r="M231" i="75" s="1"/>
  <c r="K233" i="75"/>
  <c r="J233" i="75"/>
  <c r="I233" i="75"/>
  <c r="H233" i="75"/>
  <c r="G233" i="75"/>
  <c r="E233" i="75"/>
  <c r="E231" i="75" s="1"/>
  <c r="D233" i="75"/>
  <c r="O232" i="75"/>
  <c r="L232" i="75"/>
  <c r="I232" i="75"/>
  <c r="F232" i="75"/>
  <c r="O229" i="75"/>
  <c r="L229" i="75"/>
  <c r="I229" i="75"/>
  <c r="F229" i="75"/>
  <c r="O228" i="75"/>
  <c r="L228" i="75"/>
  <c r="L227" i="75" s="1"/>
  <c r="I228" i="75"/>
  <c r="I227" i="75" s="1"/>
  <c r="F228" i="75"/>
  <c r="O227" i="75"/>
  <c r="N227" i="75"/>
  <c r="M227" i="75"/>
  <c r="K227" i="75"/>
  <c r="J227" i="75"/>
  <c r="H227" i="75"/>
  <c r="G227" i="75"/>
  <c r="F227" i="75"/>
  <c r="E227" i="75"/>
  <c r="D227" i="75"/>
  <c r="O226" i="75"/>
  <c r="L226" i="75"/>
  <c r="I226" i="75"/>
  <c r="F226" i="75"/>
  <c r="O225" i="75"/>
  <c r="L225" i="75"/>
  <c r="I225" i="75"/>
  <c r="F225" i="75"/>
  <c r="O224" i="75"/>
  <c r="L224" i="75"/>
  <c r="I224" i="75"/>
  <c r="F224" i="75"/>
  <c r="O223" i="75"/>
  <c r="C223" i="75" s="1"/>
  <c r="L223" i="75"/>
  <c r="I223" i="75"/>
  <c r="F223" i="75"/>
  <c r="O222" i="75"/>
  <c r="L222" i="75"/>
  <c r="I222" i="75"/>
  <c r="F222" i="75"/>
  <c r="C222" i="75" s="1"/>
  <c r="O221" i="75"/>
  <c r="L221" i="75"/>
  <c r="I221" i="75"/>
  <c r="F221" i="75"/>
  <c r="O220" i="75"/>
  <c r="L220" i="75"/>
  <c r="I220" i="75"/>
  <c r="F220" i="75"/>
  <c r="O219" i="75"/>
  <c r="L219" i="75"/>
  <c r="I219" i="75"/>
  <c r="F219" i="75"/>
  <c r="O218" i="75"/>
  <c r="L218" i="75"/>
  <c r="I218" i="75"/>
  <c r="F218" i="75"/>
  <c r="C218" i="75" s="1"/>
  <c r="O217" i="75"/>
  <c r="L217" i="75"/>
  <c r="I217" i="75"/>
  <c r="I216" i="75" s="1"/>
  <c r="F217" i="75"/>
  <c r="N216" i="75"/>
  <c r="M216" i="75"/>
  <c r="K216" i="75"/>
  <c r="J216" i="75"/>
  <c r="H216" i="75"/>
  <c r="G216" i="75"/>
  <c r="E216" i="75"/>
  <c r="D216" i="75"/>
  <c r="O215" i="75"/>
  <c r="L215" i="75"/>
  <c r="I215" i="75"/>
  <c r="F215" i="75"/>
  <c r="O214" i="75"/>
  <c r="L214" i="75"/>
  <c r="I214" i="75"/>
  <c r="F214" i="75"/>
  <c r="C214" i="75" s="1"/>
  <c r="O213" i="75"/>
  <c r="L213" i="75"/>
  <c r="I213" i="75"/>
  <c r="F213" i="75"/>
  <c r="O212" i="75"/>
  <c r="L212" i="75"/>
  <c r="I212" i="75"/>
  <c r="F212" i="75"/>
  <c r="O211" i="75"/>
  <c r="L211" i="75"/>
  <c r="I211" i="75"/>
  <c r="F211" i="75"/>
  <c r="O210" i="75"/>
  <c r="L210" i="75"/>
  <c r="I210" i="75"/>
  <c r="F210" i="75"/>
  <c r="O209" i="75"/>
  <c r="L209" i="75"/>
  <c r="I209" i="75"/>
  <c r="F209" i="75"/>
  <c r="O208" i="75"/>
  <c r="L208" i="75"/>
  <c r="I208" i="75"/>
  <c r="F208" i="75"/>
  <c r="O207" i="75"/>
  <c r="L207" i="75"/>
  <c r="I207" i="75"/>
  <c r="F207" i="75"/>
  <c r="O206" i="75"/>
  <c r="L206" i="75"/>
  <c r="I206" i="75"/>
  <c r="F206" i="75"/>
  <c r="N205" i="75"/>
  <c r="M205" i="75"/>
  <c r="K205" i="75"/>
  <c r="J205" i="75"/>
  <c r="H205" i="75"/>
  <c r="G205" i="75"/>
  <c r="E205" i="75"/>
  <c r="E204" i="75" s="1"/>
  <c r="D205" i="75"/>
  <c r="O203" i="75"/>
  <c r="L203" i="75"/>
  <c r="I203" i="75"/>
  <c r="F203" i="75"/>
  <c r="C203" i="75" s="1"/>
  <c r="O202" i="75"/>
  <c r="L202" i="75"/>
  <c r="I202" i="75"/>
  <c r="F202" i="75"/>
  <c r="O201" i="75"/>
  <c r="L201" i="75"/>
  <c r="I201" i="75"/>
  <c r="F201" i="75"/>
  <c r="O200" i="75"/>
  <c r="L200" i="75"/>
  <c r="I200" i="75"/>
  <c r="F200" i="75"/>
  <c r="O199" i="75"/>
  <c r="O198" i="75" s="1"/>
  <c r="L199" i="75"/>
  <c r="I199" i="75"/>
  <c r="F199" i="75"/>
  <c r="N198" i="75"/>
  <c r="N196" i="75" s="1"/>
  <c r="M198" i="75"/>
  <c r="K198" i="75"/>
  <c r="K196" i="75" s="1"/>
  <c r="J198" i="75"/>
  <c r="H198" i="75"/>
  <c r="H196" i="75" s="1"/>
  <c r="G198" i="75"/>
  <c r="G196" i="75" s="1"/>
  <c r="F198" i="75"/>
  <c r="E198" i="75"/>
  <c r="D198" i="75"/>
  <c r="D196" i="75" s="1"/>
  <c r="O197" i="75"/>
  <c r="L197" i="75"/>
  <c r="I197" i="75"/>
  <c r="F197" i="75"/>
  <c r="M196" i="75"/>
  <c r="J196" i="75"/>
  <c r="E196" i="75"/>
  <c r="O193" i="75"/>
  <c r="O192" i="75" s="1"/>
  <c r="O191" i="75" s="1"/>
  <c r="L193" i="75"/>
  <c r="I193" i="75"/>
  <c r="I192" i="75" s="1"/>
  <c r="F193" i="75"/>
  <c r="C193" i="75" s="1"/>
  <c r="N192" i="75"/>
  <c r="N191" i="75" s="1"/>
  <c r="M192" i="75"/>
  <c r="L192" i="75"/>
  <c r="L191" i="75" s="1"/>
  <c r="K192" i="75"/>
  <c r="K191" i="75" s="1"/>
  <c r="J192" i="75"/>
  <c r="J191" i="75" s="1"/>
  <c r="H192" i="75"/>
  <c r="G192" i="75"/>
  <c r="G191" i="75" s="1"/>
  <c r="E192" i="75"/>
  <c r="E191" i="75" s="1"/>
  <c r="E187" i="75" s="1"/>
  <c r="D192" i="75"/>
  <c r="D191" i="75" s="1"/>
  <c r="M191" i="75"/>
  <c r="I191" i="75"/>
  <c r="H191" i="75"/>
  <c r="O190" i="75"/>
  <c r="L190" i="75"/>
  <c r="I190" i="75"/>
  <c r="F190" i="75"/>
  <c r="O189" i="75"/>
  <c r="L189" i="75"/>
  <c r="I189" i="75"/>
  <c r="I188" i="75" s="1"/>
  <c r="I187" i="75" s="1"/>
  <c r="F189" i="75"/>
  <c r="O188" i="75"/>
  <c r="O187" i="75" s="1"/>
  <c r="N188" i="75"/>
  <c r="N187" i="75" s="1"/>
  <c r="M188" i="75"/>
  <c r="K188" i="75"/>
  <c r="J188" i="75"/>
  <c r="J187" i="75" s="1"/>
  <c r="H188" i="75"/>
  <c r="G188" i="75"/>
  <c r="F188" i="75"/>
  <c r="E188" i="75"/>
  <c r="D188" i="75"/>
  <c r="M187" i="75"/>
  <c r="O186" i="75"/>
  <c r="L186" i="75"/>
  <c r="I186" i="75"/>
  <c r="F186" i="75"/>
  <c r="O185" i="75"/>
  <c r="L185" i="75"/>
  <c r="I185" i="75"/>
  <c r="I184" i="75" s="1"/>
  <c r="F185" i="75"/>
  <c r="O184" i="75"/>
  <c r="N184" i="75"/>
  <c r="M184" i="75"/>
  <c r="K184" i="75"/>
  <c r="J184" i="75"/>
  <c r="H184" i="75"/>
  <c r="G184" i="75"/>
  <c r="F184" i="75"/>
  <c r="E184" i="75"/>
  <c r="D184" i="75"/>
  <c r="O183" i="75"/>
  <c r="L183" i="75"/>
  <c r="I183" i="75"/>
  <c r="F183" i="75"/>
  <c r="O182" i="75"/>
  <c r="L182" i="75"/>
  <c r="I182" i="75"/>
  <c r="F182" i="75"/>
  <c r="O181" i="75"/>
  <c r="L181" i="75"/>
  <c r="I181" i="75"/>
  <c r="F181" i="75"/>
  <c r="O180" i="75"/>
  <c r="O179" i="75" s="1"/>
  <c r="L180" i="75"/>
  <c r="I180" i="75"/>
  <c r="F180" i="75"/>
  <c r="F179" i="75" s="1"/>
  <c r="N179" i="75"/>
  <c r="M179" i="75"/>
  <c r="K179" i="75"/>
  <c r="J179" i="75"/>
  <c r="H179" i="75"/>
  <c r="G179" i="75"/>
  <c r="E179" i="75"/>
  <c r="D179" i="75"/>
  <c r="O178" i="75"/>
  <c r="L178" i="75"/>
  <c r="I178" i="75"/>
  <c r="F178" i="75"/>
  <c r="O177" i="75"/>
  <c r="L177" i="75"/>
  <c r="I177" i="75"/>
  <c r="F177" i="75"/>
  <c r="O176" i="75"/>
  <c r="O175" i="75" s="1"/>
  <c r="O174" i="75" s="1"/>
  <c r="O173" i="75" s="1"/>
  <c r="L176" i="75"/>
  <c r="I176" i="75"/>
  <c r="F176" i="75"/>
  <c r="F175" i="75" s="1"/>
  <c r="F174" i="75" s="1"/>
  <c r="F173" i="75" s="1"/>
  <c r="N175" i="75"/>
  <c r="M175" i="75"/>
  <c r="K175" i="75"/>
  <c r="K174" i="75" s="1"/>
  <c r="J175" i="75"/>
  <c r="J174" i="75" s="1"/>
  <c r="J173" i="75" s="1"/>
  <c r="H175" i="75"/>
  <c r="G175" i="75"/>
  <c r="G174" i="75" s="1"/>
  <c r="E175" i="75"/>
  <c r="E174" i="75" s="1"/>
  <c r="E173" i="75" s="1"/>
  <c r="D175" i="75"/>
  <c r="D174" i="75" s="1"/>
  <c r="M174" i="75"/>
  <c r="M173" i="75" s="1"/>
  <c r="O172" i="75"/>
  <c r="L172" i="75"/>
  <c r="I172" i="75"/>
  <c r="F172" i="75"/>
  <c r="O171" i="75"/>
  <c r="L171" i="75"/>
  <c r="I171" i="75"/>
  <c r="F171" i="75"/>
  <c r="O170" i="75"/>
  <c r="L170" i="75"/>
  <c r="I170" i="75"/>
  <c r="F170" i="75"/>
  <c r="O169" i="75"/>
  <c r="L169" i="75"/>
  <c r="I169" i="75"/>
  <c r="C169" i="75" s="1"/>
  <c r="F169" i="75"/>
  <c r="O168" i="75"/>
  <c r="L168" i="75"/>
  <c r="I168" i="75"/>
  <c r="F168" i="75"/>
  <c r="O167" i="75"/>
  <c r="L167" i="75"/>
  <c r="I167" i="75"/>
  <c r="F167" i="75"/>
  <c r="N166" i="75"/>
  <c r="N165" i="75" s="1"/>
  <c r="M166" i="75"/>
  <c r="M165" i="75" s="1"/>
  <c r="K166" i="75"/>
  <c r="J166" i="75"/>
  <c r="J165" i="75" s="1"/>
  <c r="H166" i="75"/>
  <c r="H165" i="75" s="1"/>
  <c r="G166" i="75"/>
  <c r="E166" i="75"/>
  <c r="E165" i="75" s="1"/>
  <c r="D166" i="75"/>
  <c r="D165" i="75" s="1"/>
  <c r="K165" i="75"/>
  <c r="G165" i="75"/>
  <c r="O164" i="75"/>
  <c r="L164" i="75"/>
  <c r="I164" i="75"/>
  <c r="F164" i="75"/>
  <c r="O163" i="75"/>
  <c r="L163" i="75"/>
  <c r="I163" i="75"/>
  <c r="F163" i="75"/>
  <c r="O162" i="75"/>
  <c r="L162" i="75"/>
  <c r="I162" i="75"/>
  <c r="F162" i="75"/>
  <c r="O161" i="75"/>
  <c r="L161" i="75"/>
  <c r="I161" i="75"/>
  <c r="I160" i="75" s="1"/>
  <c r="F161" i="75"/>
  <c r="O160" i="75"/>
  <c r="N160" i="75"/>
  <c r="M160" i="75"/>
  <c r="K160" i="75"/>
  <c r="J160" i="75"/>
  <c r="H160" i="75"/>
  <c r="G160" i="75"/>
  <c r="F160" i="75"/>
  <c r="E160" i="75"/>
  <c r="D160" i="75"/>
  <c r="O159" i="75"/>
  <c r="C159" i="75" s="1"/>
  <c r="L159" i="75"/>
  <c r="I159" i="75"/>
  <c r="F159" i="75"/>
  <c r="O158" i="75"/>
  <c r="L158" i="75"/>
  <c r="I158" i="75"/>
  <c r="F158" i="75"/>
  <c r="C158" i="75" s="1"/>
  <c r="O157" i="75"/>
  <c r="L157" i="75"/>
  <c r="I157" i="75"/>
  <c r="F157" i="75"/>
  <c r="O156" i="75"/>
  <c r="L156" i="75"/>
  <c r="I156" i="75"/>
  <c r="F156" i="75"/>
  <c r="C156" i="75" s="1"/>
  <c r="O155" i="75"/>
  <c r="L155" i="75"/>
  <c r="I155" i="75"/>
  <c r="F155" i="75"/>
  <c r="C155" i="75" s="1"/>
  <c r="O154" i="75"/>
  <c r="L154" i="75"/>
  <c r="I154" i="75"/>
  <c r="F154" i="75"/>
  <c r="O153" i="75"/>
  <c r="L153" i="75"/>
  <c r="I153" i="75"/>
  <c r="F153" i="75"/>
  <c r="O152" i="75"/>
  <c r="O151" i="75" s="1"/>
  <c r="L152" i="75"/>
  <c r="I152" i="75"/>
  <c r="I151" i="75" s="1"/>
  <c r="F152" i="75"/>
  <c r="N151" i="75"/>
  <c r="M151" i="75"/>
  <c r="K151" i="75"/>
  <c r="J151" i="75"/>
  <c r="H151" i="75"/>
  <c r="G151" i="75"/>
  <c r="E151" i="75"/>
  <c r="D151" i="75"/>
  <c r="O150" i="75"/>
  <c r="L150" i="75"/>
  <c r="I150" i="75"/>
  <c r="F150" i="75"/>
  <c r="O149" i="75"/>
  <c r="L149" i="75"/>
  <c r="I149" i="75"/>
  <c r="F149" i="75"/>
  <c r="O148" i="75"/>
  <c r="L148" i="75"/>
  <c r="I148" i="75"/>
  <c r="F148" i="75"/>
  <c r="O147" i="75"/>
  <c r="L147" i="75"/>
  <c r="I147" i="75"/>
  <c r="F147" i="75"/>
  <c r="O146" i="75"/>
  <c r="L146" i="75"/>
  <c r="I146" i="75"/>
  <c r="F146" i="75"/>
  <c r="O145" i="75"/>
  <c r="O144" i="75" s="1"/>
  <c r="L145" i="75"/>
  <c r="I145" i="75"/>
  <c r="F145" i="75"/>
  <c r="F144" i="75" s="1"/>
  <c r="N144" i="75"/>
  <c r="M144" i="75"/>
  <c r="K144" i="75"/>
  <c r="J144" i="75"/>
  <c r="H144" i="75"/>
  <c r="G144" i="75"/>
  <c r="E144" i="75"/>
  <c r="D144" i="75"/>
  <c r="O143" i="75"/>
  <c r="L143" i="75"/>
  <c r="I143" i="75"/>
  <c r="F143" i="75"/>
  <c r="O142" i="75"/>
  <c r="L142" i="75"/>
  <c r="I142" i="75"/>
  <c r="F142" i="75"/>
  <c r="O141" i="75"/>
  <c r="N141" i="75"/>
  <c r="M141" i="75"/>
  <c r="K141" i="75"/>
  <c r="J141" i="75"/>
  <c r="H141" i="75"/>
  <c r="G141" i="75"/>
  <c r="F141" i="75"/>
  <c r="E141" i="75"/>
  <c r="D141" i="75"/>
  <c r="O140" i="75"/>
  <c r="L140" i="75"/>
  <c r="I140" i="75"/>
  <c r="F140" i="75"/>
  <c r="O139" i="75"/>
  <c r="L139" i="75"/>
  <c r="I139" i="75"/>
  <c r="F139" i="75"/>
  <c r="O138" i="75"/>
  <c r="L138" i="75"/>
  <c r="I138" i="75"/>
  <c r="F138" i="75"/>
  <c r="O137" i="75"/>
  <c r="O136" i="75" s="1"/>
  <c r="L137" i="75"/>
  <c r="I137" i="75"/>
  <c r="F137" i="75"/>
  <c r="F136" i="75" s="1"/>
  <c r="N136" i="75"/>
  <c r="N130" i="75" s="1"/>
  <c r="M136" i="75"/>
  <c r="K136" i="75"/>
  <c r="J136" i="75"/>
  <c r="H136" i="75"/>
  <c r="G136" i="75"/>
  <c r="E136" i="75"/>
  <c r="D136" i="75"/>
  <c r="O135" i="75"/>
  <c r="L135" i="75"/>
  <c r="I135" i="75"/>
  <c r="F135" i="75"/>
  <c r="O134" i="75"/>
  <c r="L134" i="75"/>
  <c r="I134" i="75"/>
  <c r="F134" i="75"/>
  <c r="O133" i="75"/>
  <c r="O131" i="75" s="1"/>
  <c r="L133" i="75"/>
  <c r="I133" i="75"/>
  <c r="F133" i="75"/>
  <c r="C133" i="75"/>
  <c r="O132" i="75"/>
  <c r="L132" i="75"/>
  <c r="I132" i="75"/>
  <c r="F132" i="75"/>
  <c r="N131" i="75"/>
  <c r="M131" i="75"/>
  <c r="K131" i="75"/>
  <c r="J131" i="75"/>
  <c r="J130" i="75" s="1"/>
  <c r="H131" i="75"/>
  <c r="G131" i="75"/>
  <c r="E131" i="75"/>
  <c r="D131" i="75"/>
  <c r="O129" i="75"/>
  <c r="O128" i="75" s="1"/>
  <c r="L129" i="75"/>
  <c r="L128" i="75" s="1"/>
  <c r="I129" i="75"/>
  <c r="I128" i="75" s="1"/>
  <c r="F129" i="75"/>
  <c r="F128" i="75" s="1"/>
  <c r="N128" i="75"/>
  <c r="M128" i="75"/>
  <c r="K128" i="75"/>
  <c r="J128" i="75"/>
  <c r="H128" i="75"/>
  <c r="G128" i="75"/>
  <c r="E128" i="75"/>
  <c r="D128" i="75"/>
  <c r="O127" i="75"/>
  <c r="L127" i="75"/>
  <c r="I127" i="75"/>
  <c r="F127" i="75"/>
  <c r="O126" i="75"/>
  <c r="L126" i="75"/>
  <c r="I126" i="75"/>
  <c r="F126" i="75"/>
  <c r="O125" i="75"/>
  <c r="L125" i="75"/>
  <c r="I125" i="75"/>
  <c r="C125" i="75" s="1"/>
  <c r="F125" i="75"/>
  <c r="O124" i="75"/>
  <c r="L124" i="75"/>
  <c r="I124" i="75"/>
  <c r="F124" i="75"/>
  <c r="O123" i="75"/>
  <c r="L123" i="75"/>
  <c r="I123" i="75"/>
  <c r="F123" i="75"/>
  <c r="F122" i="75" s="1"/>
  <c r="N122" i="75"/>
  <c r="M122" i="75"/>
  <c r="K122" i="75"/>
  <c r="J122" i="75"/>
  <c r="H122" i="75"/>
  <c r="G122" i="75"/>
  <c r="E122" i="75"/>
  <c r="D122" i="75"/>
  <c r="O121" i="75"/>
  <c r="L121" i="75"/>
  <c r="I121" i="75"/>
  <c r="F121" i="75"/>
  <c r="O120" i="75"/>
  <c r="L120" i="75"/>
  <c r="I120" i="75"/>
  <c r="F120" i="75"/>
  <c r="O119" i="75"/>
  <c r="L119" i="75"/>
  <c r="I119" i="75"/>
  <c r="F119" i="75"/>
  <c r="O118" i="75"/>
  <c r="L118" i="75"/>
  <c r="I118" i="75"/>
  <c r="F118" i="75"/>
  <c r="O117" i="75"/>
  <c r="L117" i="75"/>
  <c r="I117" i="75"/>
  <c r="F117" i="75"/>
  <c r="F116" i="75" s="1"/>
  <c r="N116" i="75"/>
  <c r="M116" i="75"/>
  <c r="L116" i="75"/>
  <c r="K116" i="75"/>
  <c r="J116" i="75"/>
  <c r="H116" i="75"/>
  <c r="G116" i="75"/>
  <c r="E116" i="75"/>
  <c r="D116" i="75"/>
  <c r="O115" i="75"/>
  <c r="L115" i="75"/>
  <c r="I115" i="75"/>
  <c r="F115" i="75"/>
  <c r="O114" i="75"/>
  <c r="L114" i="75"/>
  <c r="C114" i="75" s="1"/>
  <c r="I114" i="75"/>
  <c r="F114" i="75"/>
  <c r="O113" i="75"/>
  <c r="O112" i="75" s="1"/>
  <c r="L113" i="75"/>
  <c r="I113" i="75"/>
  <c r="F113" i="75"/>
  <c r="F112" i="75" s="1"/>
  <c r="N112" i="75"/>
  <c r="M112" i="75"/>
  <c r="K112" i="75"/>
  <c r="J112" i="75"/>
  <c r="H112" i="75"/>
  <c r="G112" i="75"/>
  <c r="E112" i="75"/>
  <c r="D112" i="75"/>
  <c r="O111" i="75"/>
  <c r="L111" i="75"/>
  <c r="I111" i="75"/>
  <c r="F111" i="75"/>
  <c r="O110" i="75"/>
  <c r="L110" i="75"/>
  <c r="I110" i="75"/>
  <c r="F110" i="75"/>
  <c r="O109" i="75"/>
  <c r="L109" i="75"/>
  <c r="I109" i="75"/>
  <c r="F109" i="75"/>
  <c r="O108" i="75"/>
  <c r="L108" i="75"/>
  <c r="I108" i="75"/>
  <c r="F108" i="75"/>
  <c r="O107" i="75"/>
  <c r="L107" i="75"/>
  <c r="I107" i="75"/>
  <c r="F107" i="75"/>
  <c r="O106" i="75"/>
  <c r="L106" i="75"/>
  <c r="I106" i="75"/>
  <c r="F106" i="75"/>
  <c r="O105" i="75"/>
  <c r="L105" i="75"/>
  <c r="I105" i="75"/>
  <c r="F105" i="75"/>
  <c r="O104" i="75"/>
  <c r="L104" i="75"/>
  <c r="I104" i="75"/>
  <c r="F104" i="75"/>
  <c r="N103" i="75"/>
  <c r="M103" i="75"/>
  <c r="K103" i="75"/>
  <c r="J103" i="75"/>
  <c r="H103" i="75"/>
  <c r="G103" i="75"/>
  <c r="E103" i="75"/>
  <c r="D103" i="75"/>
  <c r="O102" i="75"/>
  <c r="L102" i="75"/>
  <c r="I102" i="75"/>
  <c r="F102" i="75"/>
  <c r="O101" i="75"/>
  <c r="L101" i="75"/>
  <c r="I101" i="75"/>
  <c r="F101" i="75"/>
  <c r="O100" i="75"/>
  <c r="L100" i="75"/>
  <c r="I100" i="75"/>
  <c r="F100" i="75"/>
  <c r="O99" i="75"/>
  <c r="L99" i="75"/>
  <c r="I99" i="75"/>
  <c r="F99" i="75"/>
  <c r="O98" i="75"/>
  <c r="L98" i="75"/>
  <c r="I98" i="75"/>
  <c r="F98" i="75"/>
  <c r="O97" i="75"/>
  <c r="L97" i="75"/>
  <c r="I97" i="75"/>
  <c r="F97" i="75"/>
  <c r="O96" i="75"/>
  <c r="L96" i="75"/>
  <c r="I96" i="75"/>
  <c r="F96" i="75"/>
  <c r="N95" i="75"/>
  <c r="M95" i="75"/>
  <c r="K95" i="75"/>
  <c r="J95" i="75"/>
  <c r="I95" i="75"/>
  <c r="H95" i="75"/>
  <c r="G95" i="75"/>
  <c r="E95" i="75"/>
  <c r="D95" i="75"/>
  <c r="O94" i="75"/>
  <c r="L94" i="75"/>
  <c r="I94" i="75"/>
  <c r="F94" i="75"/>
  <c r="O93" i="75"/>
  <c r="L93" i="75"/>
  <c r="I93" i="75"/>
  <c r="F93" i="75"/>
  <c r="O92" i="75"/>
  <c r="L92" i="75"/>
  <c r="I92" i="75"/>
  <c r="F92" i="75"/>
  <c r="O91" i="75"/>
  <c r="L91" i="75"/>
  <c r="I91" i="75"/>
  <c r="F91" i="75"/>
  <c r="O90" i="75"/>
  <c r="L90" i="75"/>
  <c r="I90" i="75"/>
  <c r="F90" i="75"/>
  <c r="O89" i="75"/>
  <c r="N89" i="75"/>
  <c r="M89" i="75"/>
  <c r="K89" i="75"/>
  <c r="J89" i="75"/>
  <c r="H89" i="75"/>
  <c r="G89" i="75"/>
  <c r="E89" i="75"/>
  <c r="D89" i="75"/>
  <c r="O88" i="75"/>
  <c r="L88" i="75"/>
  <c r="I88" i="75"/>
  <c r="F88" i="75"/>
  <c r="O87" i="75"/>
  <c r="L87" i="75"/>
  <c r="I87" i="75"/>
  <c r="F87" i="75"/>
  <c r="O86" i="75"/>
  <c r="L86" i="75"/>
  <c r="I86" i="75"/>
  <c r="F86" i="75"/>
  <c r="O85" i="75"/>
  <c r="O84" i="75" s="1"/>
  <c r="L85" i="75"/>
  <c r="L84" i="75" s="1"/>
  <c r="I85" i="75"/>
  <c r="F85" i="75"/>
  <c r="F84" i="75" s="1"/>
  <c r="N84" i="75"/>
  <c r="M84" i="75"/>
  <c r="K84" i="75"/>
  <c r="J84" i="75"/>
  <c r="H84" i="75"/>
  <c r="G84" i="75"/>
  <c r="E84" i="75"/>
  <c r="D84" i="75"/>
  <c r="O82" i="75"/>
  <c r="L82" i="75"/>
  <c r="I82" i="75"/>
  <c r="F82" i="75"/>
  <c r="O81" i="75"/>
  <c r="O80" i="75" s="1"/>
  <c r="L81" i="75"/>
  <c r="I81" i="75"/>
  <c r="I80" i="75" s="1"/>
  <c r="F81" i="75"/>
  <c r="F80" i="75" s="1"/>
  <c r="N80" i="75"/>
  <c r="M80" i="75"/>
  <c r="K80" i="75"/>
  <c r="J80" i="75"/>
  <c r="H80" i="75"/>
  <c r="G80" i="75"/>
  <c r="E80" i="75"/>
  <c r="D80" i="75"/>
  <c r="O79" i="75"/>
  <c r="L79" i="75"/>
  <c r="I79" i="75"/>
  <c r="F79" i="75"/>
  <c r="O78" i="75"/>
  <c r="O77" i="75" s="1"/>
  <c r="O76" i="75" s="1"/>
  <c r="L78" i="75"/>
  <c r="I78" i="75"/>
  <c r="F78" i="75"/>
  <c r="F77" i="75" s="1"/>
  <c r="N77" i="75"/>
  <c r="M77" i="75"/>
  <c r="K77" i="75"/>
  <c r="K76" i="75" s="1"/>
  <c r="J77" i="75"/>
  <c r="J76" i="75" s="1"/>
  <c r="H77" i="75"/>
  <c r="G77" i="75"/>
  <c r="G76" i="75" s="1"/>
  <c r="E77" i="75"/>
  <c r="E76" i="75" s="1"/>
  <c r="D77" i="75"/>
  <c r="N76" i="75"/>
  <c r="O74" i="75"/>
  <c r="L74" i="75"/>
  <c r="I74" i="75"/>
  <c r="F74" i="75"/>
  <c r="O73" i="75"/>
  <c r="O69" i="75" s="1"/>
  <c r="O67" i="75" s="1"/>
  <c r="L73" i="75"/>
  <c r="I73" i="75"/>
  <c r="F73" i="75"/>
  <c r="C73" i="75"/>
  <c r="O72" i="75"/>
  <c r="L72" i="75"/>
  <c r="I72" i="75"/>
  <c r="F72" i="75"/>
  <c r="O71" i="75"/>
  <c r="L71" i="75"/>
  <c r="I71" i="75"/>
  <c r="F71" i="75"/>
  <c r="O70" i="75"/>
  <c r="L70" i="75"/>
  <c r="I70" i="75"/>
  <c r="F70" i="75"/>
  <c r="N69" i="75"/>
  <c r="M69" i="75"/>
  <c r="K69" i="75"/>
  <c r="K67" i="75" s="1"/>
  <c r="J69" i="75"/>
  <c r="J67" i="75" s="1"/>
  <c r="H69" i="75"/>
  <c r="H67" i="75" s="1"/>
  <c r="G69" i="75"/>
  <c r="G67" i="75" s="1"/>
  <c r="E69" i="75"/>
  <c r="E67" i="75" s="1"/>
  <c r="D69" i="75"/>
  <c r="D67" i="75" s="1"/>
  <c r="O68" i="75"/>
  <c r="L68" i="75"/>
  <c r="I68" i="75"/>
  <c r="F68" i="75"/>
  <c r="N67" i="75"/>
  <c r="M67" i="75"/>
  <c r="O66" i="75"/>
  <c r="L66" i="75"/>
  <c r="I66" i="75"/>
  <c r="F66" i="75"/>
  <c r="O65" i="75"/>
  <c r="L65" i="75"/>
  <c r="I65" i="75"/>
  <c r="F65" i="75"/>
  <c r="O64" i="75"/>
  <c r="L64" i="75"/>
  <c r="I64" i="75"/>
  <c r="F64" i="75"/>
  <c r="O63" i="75"/>
  <c r="L63" i="75"/>
  <c r="I63" i="75"/>
  <c r="F63" i="75"/>
  <c r="O62" i="75"/>
  <c r="L62" i="75"/>
  <c r="I62" i="75"/>
  <c r="F62" i="75"/>
  <c r="O61" i="75"/>
  <c r="L61" i="75"/>
  <c r="I61" i="75"/>
  <c r="F61" i="75"/>
  <c r="O60" i="75"/>
  <c r="L60" i="75"/>
  <c r="I60" i="75"/>
  <c r="F60" i="75"/>
  <c r="O59" i="75"/>
  <c r="L59" i="75"/>
  <c r="I59" i="75"/>
  <c r="F59" i="75"/>
  <c r="N58" i="75"/>
  <c r="M58" i="75"/>
  <c r="K58" i="75"/>
  <c r="J58" i="75"/>
  <c r="H58" i="75"/>
  <c r="G58" i="75"/>
  <c r="E58" i="75"/>
  <c r="D58" i="75"/>
  <c r="O57" i="75"/>
  <c r="L57" i="75"/>
  <c r="I57" i="75"/>
  <c r="F57" i="75"/>
  <c r="O56" i="75"/>
  <c r="L56" i="75"/>
  <c r="I56" i="75"/>
  <c r="I55" i="75" s="1"/>
  <c r="F56" i="75"/>
  <c r="N55" i="75"/>
  <c r="N54" i="75" s="1"/>
  <c r="N53" i="75" s="1"/>
  <c r="M55" i="75"/>
  <c r="M54" i="75" s="1"/>
  <c r="M53" i="75" s="1"/>
  <c r="L55" i="75"/>
  <c r="K55" i="75"/>
  <c r="K54" i="75" s="1"/>
  <c r="J55" i="75"/>
  <c r="H55" i="75"/>
  <c r="G55" i="75"/>
  <c r="E55" i="75"/>
  <c r="E54" i="75" s="1"/>
  <c r="D55" i="75"/>
  <c r="G54" i="75"/>
  <c r="G53" i="75" s="1"/>
  <c r="D54" i="75"/>
  <c r="O47" i="75"/>
  <c r="C47" i="75" s="1"/>
  <c r="O46" i="75"/>
  <c r="C46" i="75" s="1"/>
  <c r="N45" i="75"/>
  <c r="M45" i="75"/>
  <c r="M20" i="75" s="1"/>
  <c r="L44" i="75"/>
  <c r="I44" i="75"/>
  <c r="F44" i="75"/>
  <c r="C44" i="75" s="1"/>
  <c r="L43" i="75"/>
  <c r="K43" i="75"/>
  <c r="J43" i="75"/>
  <c r="I43" i="75"/>
  <c r="H43" i="75"/>
  <c r="H20" i="75" s="1"/>
  <c r="G43" i="75"/>
  <c r="E43" i="75"/>
  <c r="D43" i="75"/>
  <c r="F42" i="75"/>
  <c r="C42" i="75" s="1"/>
  <c r="F41" i="75"/>
  <c r="C41" i="75" s="1"/>
  <c r="E41" i="75"/>
  <c r="D41" i="75"/>
  <c r="L40" i="75"/>
  <c r="C40" i="75" s="1"/>
  <c r="L39" i="75"/>
  <c r="C39" i="75" s="1"/>
  <c r="L38" i="75"/>
  <c r="C38" i="75" s="1"/>
  <c r="L37" i="75"/>
  <c r="C37" i="75" s="1"/>
  <c r="K36" i="75"/>
  <c r="J36" i="75"/>
  <c r="L35" i="75"/>
  <c r="C35" i="75" s="1"/>
  <c r="L34" i="75"/>
  <c r="C34" i="75" s="1"/>
  <c r="K33" i="75"/>
  <c r="J33" i="75"/>
  <c r="L32" i="75"/>
  <c r="K31" i="75"/>
  <c r="J31" i="75"/>
  <c r="L30" i="75"/>
  <c r="C30" i="75"/>
  <c r="L29" i="75"/>
  <c r="C29" i="75" s="1"/>
  <c r="L28" i="75"/>
  <c r="C28" i="75" s="1"/>
  <c r="K27" i="75"/>
  <c r="J27" i="75"/>
  <c r="F25" i="75"/>
  <c r="C25" i="75" s="1"/>
  <c r="I24" i="75"/>
  <c r="F24" i="75"/>
  <c r="O23" i="75"/>
  <c r="L23" i="75"/>
  <c r="I23" i="75"/>
  <c r="F23" i="75"/>
  <c r="O22" i="75"/>
  <c r="L22" i="75"/>
  <c r="L21" i="75" s="1"/>
  <c r="I22" i="75"/>
  <c r="F22" i="75"/>
  <c r="O21" i="75"/>
  <c r="O292" i="75" s="1"/>
  <c r="N21" i="75"/>
  <c r="M21" i="75"/>
  <c r="M292" i="75" s="1"/>
  <c r="M291" i="75" s="1"/>
  <c r="K21" i="75"/>
  <c r="K292" i="75" s="1"/>
  <c r="J21" i="75"/>
  <c r="H21" i="75"/>
  <c r="H292" i="75" s="1"/>
  <c r="H291" i="75" s="1"/>
  <c r="G21" i="75"/>
  <c r="G292" i="75" s="1"/>
  <c r="G291" i="75" s="1"/>
  <c r="F21" i="75"/>
  <c r="E21" i="75"/>
  <c r="E292" i="75" s="1"/>
  <c r="E291" i="75" s="1"/>
  <c r="D21" i="75"/>
  <c r="D292" i="75" s="1"/>
  <c r="D20" i="75"/>
  <c r="C242" i="75" l="1"/>
  <c r="C275" i="75"/>
  <c r="D270" i="75"/>
  <c r="D269" i="75" s="1"/>
  <c r="C287" i="75"/>
  <c r="O58" i="75"/>
  <c r="L276" i="75"/>
  <c r="C57" i="75"/>
  <c r="J54" i="75"/>
  <c r="J53" i="75" s="1"/>
  <c r="K53" i="75"/>
  <c r="C109" i="75"/>
  <c r="L122" i="75"/>
  <c r="I166" i="75"/>
  <c r="I165" i="75" s="1"/>
  <c r="C172" i="75"/>
  <c r="M204" i="75"/>
  <c r="F43" i="75"/>
  <c r="F20" i="75" s="1"/>
  <c r="M76" i="75"/>
  <c r="C86" i="75"/>
  <c r="G83" i="75"/>
  <c r="M83" i="75"/>
  <c r="I89" i="75"/>
  <c r="C97" i="75"/>
  <c r="C101" i="75"/>
  <c r="C105" i="75"/>
  <c r="C107" i="75"/>
  <c r="C108" i="75"/>
  <c r="C121" i="75"/>
  <c r="O122" i="75"/>
  <c r="C149" i="75"/>
  <c r="C150" i="75"/>
  <c r="C168" i="75"/>
  <c r="F196" i="75"/>
  <c r="C202" i="75"/>
  <c r="H204" i="75"/>
  <c r="G231" i="75"/>
  <c r="L270" i="75"/>
  <c r="L269" i="75" s="1"/>
  <c r="G270" i="75"/>
  <c r="G269" i="75" s="1"/>
  <c r="I270" i="75"/>
  <c r="I269" i="75" s="1"/>
  <c r="C279" i="75"/>
  <c r="N174" i="75"/>
  <c r="N173" i="75" s="1"/>
  <c r="H195" i="75"/>
  <c r="C60" i="75"/>
  <c r="C65" i="75"/>
  <c r="C93" i="75"/>
  <c r="D291" i="75"/>
  <c r="K26" i="75"/>
  <c r="K20" i="75" s="1"/>
  <c r="H54" i="75"/>
  <c r="C66" i="75"/>
  <c r="H76" i="75"/>
  <c r="C119" i="75"/>
  <c r="C120" i="75"/>
  <c r="C137" i="75"/>
  <c r="C138" i="75"/>
  <c r="K130" i="75"/>
  <c r="C143" i="75"/>
  <c r="C145" i="75"/>
  <c r="G173" i="75"/>
  <c r="K187" i="75"/>
  <c r="D204" i="75"/>
  <c r="D195" i="75" s="1"/>
  <c r="C206" i="75"/>
  <c r="C211" i="75"/>
  <c r="C212" i="75"/>
  <c r="C213" i="75"/>
  <c r="C226" i="75"/>
  <c r="C228" i="75"/>
  <c r="C229" i="75"/>
  <c r="C266" i="75"/>
  <c r="C268" i="75"/>
  <c r="M270" i="75"/>
  <c r="M269" i="75" s="1"/>
  <c r="C299" i="75"/>
  <c r="C122" i="75"/>
  <c r="C61" i="75"/>
  <c r="C176" i="75"/>
  <c r="M195" i="75"/>
  <c r="I205" i="75"/>
  <c r="I204" i="75" s="1"/>
  <c r="K204" i="75"/>
  <c r="K195" i="75" s="1"/>
  <c r="O260" i="75"/>
  <c r="G20" i="75"/>
  <c r="L292" i="75"/>
  <c r="L291" i="75" s="1"/>
  <c r="L27" i="75"/>
  <c r="C27" i="75" s="1"/>
  <c r="L33" i="75"/>
  <c r="C33" i="75" s="1"/>
  <c r="C64" i="75"/>
  <c r="I69" i="75"/>
  <c r="I67" i="75" s="1"/>
  <c r="C79" i="75"/>
  <c r="D76" i="75"/>
  <c r="C82" i="75"/>
  <c r="C85" i="75"/>
  <c r="E83" i="75"/>
  <c r="O95" i="75"/>
  <c r="C102" i="75"/>
  <c r="I103" i="75"/>
  <c r="C111" i="75"/>
  <c r="C113" i="75"/>
  <c r="I116" i="75"/>
  <c r="N83" i="75"/>
  <c r="N75" i="75" s="1"/>
  <c r="N52" i="75" s="1"/>
  <c r="C126" i="75"/>
  <c r="C129" i="75"/>
  <c r="D130" i="75"/>
  <c r="G130" i="75"/>
  <c r="G75" i="75" s="1"/>
  <c r="G52" i="75" s="1"/>
  <c r="I141" i="75"/>
  <c r="C148" i="75"/>
  <c r="C157" i="75"/>
  <c r="C170" i="75"/>
  <c r="C171" i="75"/>
  <c r="K173" i="75"/>
  <c r="C180" i="75"/>
  <c r="H187" i="75"/>
  <c r="D187" i="75"/>
  <c r="C224" i="75"/>
  <c r="C225" i="75"/>
  <c r="G204" i="75"/>
  <c r="G195" i="75" s="1"/>
  <c r="J231" i="75"/>
  <c r="J230" i="75" s="1"/>
  <c r="C256" i="75"/>
  <c r="C257" i="75"/>
  <c r="C261" i="75"/>
  <c r="C278" i="75"/>
  <c r="I293" i="75"/>
  <c r="C300" i="75"/>
  <c r="G230" i="75"/>
  <c r="O45" i="75"/>
  <c r="C45" i="75" s="1"/>
  <c r="H53" i="75"/>
  <c r="I77" i="75"/>
  <c r="I76" i="75" s="1"/>
  <c r="C81" i="75"/>
  <c r="C88" i="75"/>
  <c r="C94" i="75"/>
  <c r="C100" i="75"/>
  <c r="C118" i="75"/>
  <c r="J83" i="75"/>
  <c r="C124" i="75"/>
  <c r="M130" i="75"/>
  <c r="C135" i="75"/>
  <c r="C139" i="75"/>
  <c r="C140" i="75"/>
  <c r="I144" i="75"/>
  <c r="C153" i="75"/>
  <c r="L151" i="75"/>
  <c r="I175" i="75"/>
  <c r="C185" i="75"/>
  <c r="N204" i="75"/>
  <c r="N195" i="75" s="1"/>
  <c r="E230" i="75"/>
  <c r="K231" i="75"/>
  <c r="K230" i="75" s="1"/>
  <c r="C236" i="75"/>
  <c r="C237" i="75"/>
  <c r="C250" i="75"/>
  <c r="C265" i="75"/>
  <c r="O264" i="75"/>
  <c r="N270" i="75"/>
  <c r="N269" i="75" s="1"/>
  <c r="O272" i="75"/>
  <c r="C295" i="75"/>
  <c r="L293" i="75"/>
  <c r="K291" i="75"/>
  <c r="C24" i="75"/>
  <c r="J26" i="75"/>
  <c r="E20" i="75"/>
  <c r="O55" i="75"/>
  <c r="O54" i="75" s="1"/>
  <c r="O53" i="75" s="1"/>
  <c r="C62" i="75"/>
  <c r="D53" i="75"/>
  <c r="C74" i="75"/>
  <c r="K83" i="75"/>
  <c r="K75" i="75" s="1"/>
  <c r="K52" i="75" s="1"/>
  <c r="C99" i="75"/>
  <c r="C110" i="75"/>
  <c r="I112" i="75"/>
  <c r="C117" i="75"/>
  <c r="O116" i="75"/>
  <c r="C116" i="75" s="1"/>
  <c r="I122" i="75"/>
  <c r="C127" i="75"/>
  <c r="I136" i="75"/>
  <c r="C146" i="75"/>
  <c r="C154" i="75"/>
  <c r="C163" i="75"/>
  <c r="C164" i="75"/>
  <c r="O166" i="75"/>
  <c r="O165" i="75" s="1"/>
  <c r="L166" i="75"/>
  <c r="L165" i="75" s="1"/>
  <c r="H174" i="75"/>
  <c r="H173" i="75" s="1"/>
  <c r="I179" i="75"/>
  <c r="F192" i="75"/>
  <c r="C210" i="75"/>
  <c r="C215" i="75"/>
  <c r="F216" i="75"/>
  <c r="J204" i="75"/>
  <c r="J195" i="75" s="1"/>
  <c r="C217" i="75"/>
  <c r="O216" i="75"/>
  <c r="C234" i="75"/>
  <c r="C243" i="75"/>
  <c r="L252" i="75"/>
  <c r="L251" i="75" s="1"/>
  <c r="M259" i="75"/>
  <c r="C274" i="75"/>
  <c r="I286" i="75"/>
  <c r="C286" i="75" s="1"/>
  <c r="C294" i="75"/>
  <c r="O293" i="75"/>
  <c r="O291" i="75" s="1"/>
  <c r="N292" i="75"/>
  <c r="N291" i="75" s="1"/>
  <c r="N20" i="75"/>
  <c r="F259" i="75"/>
  <c r="C262" i="75"/>
  <c r="C301" i="75"/>
  <c r="J292" i="75"/>
  <c r="J291" i="75" s="1"/>
  <c r="J20" i="75"/>
  <c r="C87" i="75"/>
  <c r="I84" i="75"/>
  <c r="O20" i="75"/>
  <c r="F292" i="75"/>
  <c r="F291" i="75" s="1"/>
  <c r="C23" i="75"/>
  <c r="L36" i="75"/>
  <c r="C36" i="75" s="1"/>
  <c r="E53" i="75"/>
  <c r="F58" i="75"/>
  <c r="I58" i="75"/>
  <c r="I54" i="75" s="1"/>
  <c r="C59" i="75"/>
  <c r="C63" i="75"/>
  <c r="C71" i="75"/>
  <c r="C72" i="75"/>
  <c r="F69" i="75"/>
  <c r="L77" i="75"/>
  <c r="C78" i="75"/>
  <c r="D83" i="75"/>
  <c r="D75" i="75" s="1"/>
  <c r="C91" i="75"/>
  <c r="C92" i="75"/>
  <c r="F89" i="75"/>
  <c r="L103" i="75"/>
  <c r="C106" i="75"/>
  <c r="I131" i="75"/>
  <c r="L131" i="75"/>
  <c r="C134" i="75"/>
  <c r="L136" i="75"/>
  <c r="C189" i="75"/>
  <c r="L188" i="75"/>
  <c r="E195" i="75"/>
  <c r="C200" i="75"/>
  <c r="I198" i="75"/>
  <c r="I196" i="75" s="1"/>
  <c r="C68" i="75"/>
  <c r="C70" i="75"/>
  <c r="L69" i="75"/>
  <c r="L67" i="75" s="1"/>
  <c r="L89" i="75"/>
  <c r="C90" i="75"/>
  <c r="C96" i="75"/>
  <c r="F95" i="75"/>
  <c r="L160" i="75"/>
  <c r="C160" i="75" s="1"/>
  <c r="C161" i="75"/>
  <c r="C181" i="75"/>
  <c r="L179" i="75"/>
  <c r="H83" i="75"/>
  <c r="C152" i="75"/>
  <c r="F151" i="75"/>
  <c r="I21" i="75"/>
  <c r="C22" i="75"/>
  <c r="C32" i="75"/>
  <c r="L31" i="75"/>
  <c r="C56" i="75"/>
  <c r="F55" i="75"/>
  <c r="L58" i="75"/>
  <c r="L54" i="75" s="1"/>
  <c r="L53" i="75" s="1"/>
  <c r="L80" i="75"/>
  <c r="C80" i="75" s="1"/>
  <c r="F76" i="75"/>
  <c r="L95" i="75"/>
  <c r="C98" i="75"/>
  <c r="C104" i="75"/>
  <c r="F103" i="75"/>
  <c r="O103" i="75"/>
  <c r="L112" i="75"/>
  <c r="C112" i="75" s="1"/>
  <c r="C115" i="75"/>
  <c r="J75" i="75"/>
  <c r="J52" i="75" s="1"/>
  <c r="C123" i="75"/>
  <c r="C128" i="75"/>
  <c r="E130" i="75"/>
  <c r="C132" i="75"/>
  <c r="F131" i="75"/>
  <c r="O130" i="75"/>
  <c r="H130" i="75"/>
  <c r="C142" i="75"/>
  <c r="L141" i="75"/>
  <c r="L144" i="75"/>
  <c r="C144" i="75" s="1"/>
  <c r="C147" i="75"/>
  <c r="C177" i="75"/>
  <c r="L175" i="75"/>
  <c r="L174" i="75" s="1"/>
  <c r="C241" i="75"/>
  <c r="F238" i="75"/>
  <c r="C247" i="75"/>
  <c r="L246" i="75"/>
  <c r="L231" i="75" s="1"/>
  <c r="C199" i="75"/>
  <c r="L198" i="75"/>
  <c r="L196" i="75" s="1"/>
  <c r="C284" i="75"/>
  <c r="F283" i="75"/>
  <c r="C283" i="75" s="1"/>
  <c r="C162" i="75"/>
  <c r="F166" i="75"/>
  <c r="C167" i="75"/>
  <c r="D173" i="75"/>
  <c r="C178" i="75"/>
  <c r="C182" i="75"/>
  <c r="C183" i="75"/>
  <c r="L184" i="75"/>
  <c r="C184" i="75" s="1"/>
  <c r="C190" i="75"/>
  <c r="O196" i="75"/>
  <c r="C207" i="75"/>
  <c r="L205" i="75"/>
  <c r="C244" i="75"/>
  <c r="C254" i="75"/>
  <c r="F252" i="75"/>
  <c r="I264" i="75"/>
  <c r="I259" i="75" s="1"/>
  <c r="L264" i="75"/>
  <c r="C267" i="75"/>
  <c r="C277" i="75"/>
  <c r="O276" i="75"/>
  <c r="C276" i="75" s="1"/>
  <c r="C282" i="75"/>
  <c r="C288" i="75"/>
  <c r="C293" i="75"/>
  <c r="G187" i="75"/>
  <c r="C227" i="75"/>
  <c r="C235" i="75"/>
  <c r="C186" i="75"/>
  <c r="O205" i="75"/>
  <c r="O204" i="75" s="1"/>
  <c r="L216" i="75"/>
  <c r="C219" i="75"/>
  <c r="N230" i="75"/>
  <c r="O238" i="75"/>
  <c r="O231" i="75" s="1"/>
  <c r="C248" i="75"/>
  <c r="I246" i="75"/>
  <c r="L260" i="75"/>
  <c r="L259" i="75" s="1"/>
  <c r="C263" i="75"/>
  <c r="C273" i="75"/>
  <c r="F272" i="75"/>
  <c r="C281" i="75"/>
  <c r="C197" i="75"/>
  <c r="F205" i="75"/>
  <c r="H231" i="75"/>
  <c r="H230" i="75" s="1"/>
  <c r="H194" i="75" s="1"/>
  <c r="C233" i="75"/>
  <c r="C240" i="75"/>
  <c r="I238" i="75"/>
  <c r="E270" i="75"/>
  <c r="E269" i="75" s="1"/>
  <c r="C280" i="75"/>
  <c r="C296" i="75"/>
  <c r="C297" i="75"/>
  <c r="C201" i="75"/>
  <c r="C208" i="75"/>
  <c r="C209" i="75"/>
  <c r="C220" i="75"/>
  <c r="C221" i="75"/>
  <c r="C232" i="75"/>
  <c r="D231" i="75"/>
  <c r="D230" i="75" s="1"/>
  <c r="M230" i="75"/>
  <c r="C245" i="75"/>
  <c r="C249" i="75"/>
  <c r="F246" i="75"/>
  <c r="C253" i="75"/>
  <c r="O252" i="75"/>
  <c r="O251" i="75" s="1"/>
  <c r="J270" i="75"/>
  <c r="J269" i="75" s="1"/>
  <c r="J194" i="75" s="1"/>
  <c r="C285" i="75"/>
  <c r="I53" i="75" l="1"/>
  <c r="H75" i="75"/>
  <c r="H52" i="75" s="1"/>
  <c r="H51" i="75" s="1"/>
  <c r="I195" i="75"/>
  <c r="F83" i="75"/>
  <c r="C43" i="75"/>
  <c r="M194" i="75"/>
  <c r="M51" i="75" s="1"/>
  <c r="N194" i="75"/>
  <c r="N51" i="75" s="1"/>
  <c r="D194" i="75"/>
  <c r="I231" i="75"/>
  <c r="C216" i="75"/>
  <c r="C179" i="75"/>
  <c r="C136" i="75"/>
  <c r="M75" i="75"/>
  <c r="M52" i="75" s="1"/>
  <c r="L204" i="75"/>
  <c r="L195" i="75" s="1"/>
  <c r="L194" i="75" s="1"/>
  <c r="O83" i="75"/>
  <c r="O75" i="75" s="1"/>
  <c r="O52" i="75" s="1"/>
  <c r="C151" i="75"/>
  <c r="I174" i="75"/>
  <c r="C174" i="75" s="1"/>
  <c r="E75" i="75"/>
  <c r="K194" i="75"/>
  <c r="K51" i="75" s="1"/>
  <c r="K50" i="75" s="1"/>
  <c r="K289" i="75"/>
  <c r="I173" i="75"/>
  <c r="G194" i="75"/>
  <c r="G51" i="75" s="1"/>
  <c r="G290" i="75" s="1"/>
  <c r="O259" i="75"/>
  <c r="O230" i="75" s="1"/>
  <c r="G289" i="75"/>
  <c r="M289" i="75"/>
  <c r="L83" i="75"/>
  <c r="I83" i="75"/>
  <c r="F191" i="75"/>
  <c r="C192" i="75"/>
  <c r="E289" i="75"/>
  <c r="N289" i="75"/>
  <c r="L230" i="75"/>
  <c r="L173" i="75"/>
  <c r="C141" i="75"/>
  <c r="I130" i="75"/>
  <c r="K290" i="75"/>
  <c r="I230" i="75"/>
  <c r="J51" i="75"/>
  <c r="D52" i="75"/>
  <c r="D51" i="75" s="1"/>
  <c r="D289" i="75"/>
  <c r="O195" i="75"/>
  <c r="I292" i="75"/>
  <c r="I291" i="75" s="1"/>
  <c r="C291" i="75" s="1"/>
  <c r="I20" i="75"/>
  <c r="C21" i="75"/>
  <c r="C69" i="75"/>
  <c r="C205" i="75"/>
  <c r="F204" i="75"/>
  <c r="C196" i="75"/>
  <c r="C166" i="75"/>
  <c r="F165" i="75"/>
  <c r="C165" i="75" s="1"/>
  <c r="C131" i="75"/>
  <c r="F130" i="75"/>
  <c r="C31" i="75"/>
  <c r="L26" i="75"/>
  <c r="E194" i="75"/>
  <c r="C264" i="75"/>
  <c r="C238" i="75"/>
  <c r="F231" i="75"/>
  <c r="C55" i="75"/>
  <c r="F54" i="75"/>
  <c r="C95" i="75"/>
  <c r="F67" i="75"/>
  <c r="C67" i="75" s="1"/>
  <c r="C198" i="75"/>
  <c r="L187" i="75"/>
  <c r="C188" i="75"/>
  <c r="C89" i="75"/>
  <c r="C58" i="75"/>
  <c r="C259" i="75"/>
  <c r="C84" i="75"/>
  <c r="F270" i="75"/>
  <c r="C272" i="75"/>
  <c r="O270" i="75"/>
  <c r="O269" i="75" s="1"/>
  <c r="H289" i="75"/>
  <c r="C252" i="75"/>
  <c r="F251" i="75"/>
  <c r="C251" i="75" s="1"/>
  <c r="J289" i="75"/>
  <c r="L130" i="75"/>
  <c r="C246" i="75"/>
  <c r="C175" i="75"/>
  <c r="C103" i="75"/>
  <c r="L76" i="75"/>
  <c r="C77" i="75"/>
  <c r="E52" i="75"/>
  <c r="C260" i="75"/>
  <c r="N290" i="75" l="1"/>
  <c r="N50" i="75"/>
  <c r="H290" i="75"/>
  <c r="H50" i="75"/>
  <c r="M50" i="75"/>
  <c r="M290" i="75"/>
  <c r="C83" i="75"/>
  <c r="O289" i="75"/>
  <c r="L75" i="75"/>
  <c r="L52" i="75" s="1"/>
  <c r="L51" i="75" s="1"/>
  <c r="L50" i="75" s="1"/>
  <c r="G50" i="75"/>
  <c r="C191" i="75"/>
  <c r="F187" i="75"/>
  <c r="C187" i="75" s="1"/>
  <c r="C292" i="75"/>
  <c r="I75" i="75"/>
  <c r="I52" i="75" s="1"/>
  <c r="I289" i="75"/>
  <c r="C173" i="75"/>
  <c r="L289" i="75"/>
  <c r="F53" i="75"/>
  <c r="C54" i="75"/>
  <c r="F75" i="75"/>
  <c r="E51" i="75"/>
  <c r="F269" i="75"/>
  <c r="C270" i="75"/>
  <c r="C130" i="75"/>
  <c r="I194" i="75"/>
  <c r="C76" i="75"/>
  <c r="D290" i="75"/>
  <c r="D50" i="75"/>
  <c r="C26" i="75"/>
  <c r="L20" i="75"/>
  <c r="C20" i="75" s="1"/>
  <c r="C204" i="75"/>
  <c r="F195" i="75"/>
  <c r="F230" i="75"/>
  <c r="C230" i="75" s="1"/>
  <c r="C231" i="75"/>
  <c r="O194" i="75"/>
  <c r="O51" i="75" s="1"/>
  <c r="J50" i="75"/>
  <c r="J290" i="75"/>
  <c r="I51" i="75" l="1"/>
  <c r="I290" i="75" s="1"/>
  <c r="C75" i="75"/>
  <c r="L290" i="75"/>
  <c r="C269" i="75"/>
  <c r="F289" i="75"/>
  <c r="C289" i="75" s="1"/>
  <c r="F194" i="75"/>
  <c r="C194" i="75" s="1"/>
  <c r="C195" i="75"/>
  <c r="I50" i="75"/>
  <c r="O50" i="75"/>
  <c r="O290" i="75"/>
  <c r="F52" i="75"/>
  <c r="C53" i="75"/>
  <c r="E290" i="75"/>
  <c r="E50" i="75"/>
  <c r="C52" i="75" l="1"/>
  <c r="F51" i="75"/>
  <c r="F290" i="75" l="1"/>
  <c r="C290" i="75" s="1"/>
  <c r="C51" i="75"/>
  <c r="F50" i="75"/>
  <c r="C50" i="75" s="1"/>
  <c r="O301" i="74" l="1"/>
  <c r="L301" i="74"/>
  <c r="I301" i="74"/>
  <c r="F301" i="74"/>
  <c r="O300" i="74"/>
  <c r="L300" i="74"/>
  <c r="I300" i="74"/>
  <c r="F300" i="74"/>
  <c r="O299" i="74"/>
  <c r="L299" i="74"/>
  <c r="I299" i="74"/>
  <c r="F299" i="74"/>
  <c r="C299" i="74" s="1"/>
  <c r="O298" i="74"/>
  <c r="L298" i="74"/>
  <c r="I298" i="74"/>
  <c r="F298" i="74"/>
  <c r="C298" i="74" s="1"/>
  <c r="O297" i="74"/>
  <c r="L297" i="74"/>
  <c r="I297" i="74"/>
  <c r="F297" i="74"/>
  <c r="O296" i="74"/>
  <c r="L296" i="74"/>
  <c r="I296" i="74"/>
  <c r="F296" i="74"/>
  <c r="O295" i="74"/>
  <c r="L295" i="74"/>
  <c r="I295" i="74"/>
  <c r="F295" i="74"/>
  <c r="O294" i="74"/>
  <c r="L294" i="74"/>
  <c r="I294" i="74"/>
  <c r="I293" i="74" s="1"/>
  <c r="F294" i="74"/>
  <c r="N293" i="74"/>
  <c r="M293" i="74"/>
  <c r="K293" i="74"/>
  <c r="J293" i="74"/>
  <c r="H293" i="74"/>
  <c r="G293" i="74"/>
  <c r="E293" i="74"/>
  <c r="D293" i="74"/>
  <c r="O288" i="74"/>
  <c r="L288" i="74"/>
  <c r="I288" i="74"/>
  <c r="F288" i="74"/>
  <c r="O287" i="74"/>
  <c r="L287" i="74"/>
  <c r="L286" i="74" s="1"/>
  <c r="I287" i="74"/>
  <c r="N286" i="74"/>
  <c r="M286" i="74"/>
  <c r="K286" i="74"/>
  <c r="J286" i="74"/>
  <c r="H286" i="74"/>
  <c r="G286" i="74"/>
  <c r="D286" i="74"/>
  <c r="O285" i="74"/>
  <c r="O284" i="74" s="1"/>
  <c r="O283" i="74" s="1"/>
  <c r="L285" i="74"/>
  <c r="L284" i="74" s="1"/>
  <c r="L283" i="74" s="1"/>
  <c r="I285" i="74"/>
  <c r="F285" i="74"/>
  <c r="N284" i="74"/>
  <c r="N283" i="74" s="1"/>
  <c r="M284" i="74"/>
  <c r="M283" i="74" s="1"/>
  <c r="K284" i="74"/>
  <c r="J284" i="74"/>
  <c r="J283" i="74" s="1"/>
  <c r="H284" i="74"/>
  <c r="H283" i="74" s="1"/>
  <c r="G284" i="74"/>
  <c r="G283" i="74" s="1"/>
  <c r="F284" i="74"/>
  <c r="E284" i="74"/>
  <c r="D284" i="74"/>
  <c r="D283" i="74" s="1"/>
  <c r="K283" i="74"/>
  <c r="E283" i="74"/>
  <c r="O282" i="74"/>
  <c r="L282" i="74"/>
  <c r="L281" i="74" s="1"/>
  <c r="I282" i="74"/>
  <c r="F282" i="74"/>
  <c r="O281" i="74"/>
  <c r="N281" i="74"/>
  <c r="M281" i="74"/>
  <c r="K281" i="74"/>
  <c r="J281" i="74"/>
  <c r="I281" i="74"/>
  <c r="H281" i="74"/>
  <c r="G281" i="74"/>
  <c r="E281" i="74"/>
  <c r="D281" i="74"/>
  <c r="O280" i="74"/>
  <c r="L280" i="74"/>
  <c r="I280" i="74"/>
  <c r="F280" i="74"/>
  <c r="O279" i="74"/>
  <c r="L279" i="74"/>
  <c r="I279" i="74"/>
  <c r="F279" i="74"/>
  <c r="C279" i="74" s="1"/>
  <c r="O278" i="74"/>
  <c r="L278" i="74"/>
  <c r="I278" i="74"/>
  <c r="F278" i="74"/>
  <c r="O277" i="74"/>
  <c r="O276" i="74" s="1"/>
  <c r="L277" i="74"/>
  <c r="I277" i="74"/>
  <c r="F277" i="74"/>
  <c r="N276" i="74"/>
  <c r="M276" i="74"/>
  <c r="K276" i="74"/>
  <c r="J276" i="74"/>
  <c r="H276" i="74"/>
  <c r="G276" i="74"/>
  <c r="E276" i="74"/>
  <c r="D276" i="74"/>
  <c r="O275" i="74"/>
  <c r="L275" i="74"/>
  <c r="I275" i="74"/>
  <c r="F275" i="74"/>
  <c r="O274" i="74"/>
  <c r="L274" i="74"/>
  <c r="I274" i="74"/>
  <c r="F274" i="74"/>
  <c r="O273" i="74"/>
  <c r="O272" i="74" s="1"/>
  <c r="L273" i="74"/>
  <c r="L272" i="74" s="1"/>
  <c r="I273" i="74"/>
  <c r="F273" i="74"/>
  <c r="F272" i="74" s="1"/>
  <c r="N272" i="74"/>
  <c r="M272" i="74"/>
  <c r="M270" i="74" s="1"/>
  <c r="M269" i="74" s="1"/>
  <c r="K272" i="74"/>
  <c r="K270" i="74" s="1"/>
  <c r="K269" i="74" s="1"/>
  <c r="J272" i="74"/>
  <c r="H272" i="74"/>
  <c r="G272" i="74"/>
  <c r="E272" i="74"/>
  <c r="D272" i="74"/>
  <c r="O271" i="74"/>
  <c r="L271" i="74"/>
  <c r="I271" i="74"/>
  <c r="F271" i="74"/>
  <c r="H270" i="74"/>
  <c r="H269" i="74" s="1"/>
  <c r="O268" i="74"/>
  <c r="L268" i="74"/>
  <c r="I268" i="74"/>
  <c r="F268" i="74"/>
  <c r="O267" i="74"/>
  <c r="L267" i="74"/>
  <c r="I267" i="74"/>
  <c r="F267" i="74"/>
  <c r="C267" i="74" s="1"/>
  <c r="O266" i="74"/>
  <c r="L266" i="74"/>
  <c r="I266" i="74"/>
  <c r="F266" i="74"/>
  <c r="O265" i="74"/>
  <c r="L265" i="74"/>
  <c r="I265" i="74"/>
  <c r="F265" i="74"/>
  <c r="F264" i="74" s="1"/>
  <c r="N264" i="74"/>
  <c r="M264" i="74"/>
  <c r="K264" i="74"/>
  <c r="J264" i="74"/>
  <c r="H264" i="74"/>
  <c r="G264" i="74"/>
  <c r="E264" i="74"/>
  <c r="D264" i="74"/>
  <c r="O263" i="74"/>
  <c r="L263" i="74"/>
  <c r="I263" i="74"/>
  <c r="F263" i="74"/>
  <c r="O262" i="74"/>
  <c r="L262" i="74"/>
  <c r="I262" i="74"/>
  <c r="F262" i="74"/>
  <c r="O261" i="74"/>
  <c r="L261" i="74"/>
  <c r="L260" i="74" s="1"/>
  <c r="I261" i="74"/>
  <c r="F261" i="74"/>
  <c r="N260" i="74"/>
  <c r="N259" i="74" s="1"/>
  <c r="M260" i="74"/>
  <c r="M259" i="74" s="1"/>
  <c r="K260" i="74"/>
  <c r="J260" i="74"/>
  <c r="H260" i="74"/>
  <c r="H259" i="74" s="1"/>
  <c r="G260" i="74"/>
  <c r="F260" i="74"/>
  <c r="E260" i="74"/>
  <c r="D260" i="74"/>
  <c r="D259" i="74" s="1"/>
  <c r="K259" i="74"/>
  <c r="E259" i="74"/>
  <c r="O258" i="74"/>
  <c r="L258" i="74"/>
  <c r="I258" i="74"/>
  <c r="F258" i="74"/>
  <c r="O257" i="74"/>
  <c r="L257" i="74"/>
  <c r="I257" i="74"/>
  <c r="F257" i="74"/>
  <c r="O256" i="74"/>
  <c r="L256" i="74"/>
  <c r="I256" i="74"/>
  <c r="F256" i="74"/>
  <c r="O255" i="74"/>
  <c r="L255" i="74"/>
  <c r="I255" i="74"/>
  <c r="F255" i="74"/>
  <c r="O254" i="74"/>
  <c r="L254" i="74"/>
  <c r="I254" i="74"/>
  <c r="F254" i="74"/>
  <c r="O253" i="74"/>
  <c r="L253" i="74"/>
  <c r="I253" i="74"/>
  <c r="F253" i="74"/>
  <c r="N252" i="74"/>
  <c r="N251" i="74" s="1"/>
  <c r="M252" i="74"/>
  <c r="K252" i="74"/>
  <c r="J252" i="74"/>
  <c r="J251" i="74" s="1"/>
  <c r="H252" i="74"/>
  <c r="H251" i="74" s="1"/>
  <c r="G252" i="74"/>
  <c r="G251" i="74" s="1"/>
  <c r="F252" i="74"/>
  <c r="E252" i="74"/>
  <c r="E251" i="74" s="1"/>
  <c r="D252" i="74"/>
  <c r="M251" i="74"/>
  <c r="K251" i="74"/>
  <c r="D251" i="74"/>
  <c r="O250" i="74"/>
  <c r="L250" i="74"/>
  <c r="I250" i="74"/>
  <c r="F250" i="74"/>
  <c r="O249" i="74"/>
  <c r="L249" i="74"/>
  <c r="I249" i="74"/>
  <c r="F249" i="74"/>
  <c r="O248" i="74"/>
  <c r="L248" i="74"/>
  <c r="I248" i="74"/>
  <c r="F248" i="74"/>
  <c r="O247" i="74"/>
  <c r="O246" i="74" s="1"/>
  <c r="L247" i="74"/>
  <c r="I247" i="74"/>
  <c r="F247" i="74"/>
  <c r="N246" i="74"/>
  <c r="M246" i="74"/>
  <c r="K246" i="74"/>
  <c r="J246" i="74"/>
  <c r="H246" i="74"/>
  <c r="G246" i="74"/>
  <c r="E246" i="74"/>
  <c r="D246" i="74"/>
  <c r="O245" i="74"/>
  <c r="L245" i="74"/>
  <c r="I245" i="74"/>
  <c r="F245" i="74"/>
  <c r="O244" i="74"/>
  <c r="L244" i="74"/>
  <c r="I244" i="74"/>
  <c r="F244" i="74"/>
  <c r="O243" i="74"/>
  <c r="L243" i="74"/>
  <c r="I243" i="74"/>
  <c r="F243" i="74"/>
  <c r="O242" i="74"/>
  <c r="L242" i="74"/>
  <c r="I242" i="74"/>
  <c r="F242" i="74"/>
  <c r="O241" i="74"/>
  <c r="L241" i="74"/>
  <c r="I241" i="74"/>
  <c r="F241" i="74"/>
  <c r="O240" i="74"/>
  <c r="L240" i="74"/>
  <c r="I240" i="74"/>
  <c r="F240" i="74"/>
  <c r="O239" i="74"/>
  <c r="L239" i="74"/>
  <c r="L238" i="74" s="1"/>
  <c r="I239" i="74"/>
  <c r="F239" i="74"/>
  <c r="N238" i="74"/>
  <c r="M238" i="74"/>
  <c r="K238" i="74"/>
  <c r="J238" i="74"/>
  <c r="H238" i="74"/>
  <c r="G238" i="74"/>
  <c r="E238" i="74"/>
  <c r="D238" i="74"/>
  <c r="O237" i="74"/>
  <c r="L237" i="74"/>
  <c r="I237" i="74"/>
  <c r="F237" i="74"/>
  <c r="O236" i="74"/>
  <c r="O235" i="74" s="1"/>
  <c r="L236" i="74"/>
  <c r="I236" i="74"/>
  <c r="F236" i="74"/>
  <c r="F235" i="74" s="1"/>
  <c r="N235" i="74"/>
  <c r="M235" i="74"/>
  <c r="K235" i="74"/>
  <c r="J235" i="74"/>
  <c r="H235" i="74"/>
  <c r="G235" i="74"/>
  <c r="E235" i="74"/>
  <c r="D235" i="74"/>
  <c r="O234" i="74"/>
  <c r="L234" i="74"/>
  <c r="L233" i="74" s="1"/>
  <c r="I234" i="74"/>
  <c r="I233" i="74" s="1"/>
  <c r="F234" i="74"/>
  <c r="O233" i="74"/>
  <c r="N233" i="74"/>
  <c r="M233" i="74"/>
  <c r="M231" i="74" s="1"/>
  <c r="K233" i="74"/>
  <c r="K231" i="74" s="1"/>
  <c r="K230" i="74" s="1"/>
  <c r="J233" i="74"/>
  <c r="H233" i="74"/>
  <c r="G233" i="74"/>
  <c r="E233" i="74"/>
  <c r="D233" i="74"/>
  <c r="O232" i="74"/>
  <c r="L232" i="74"/>
  <c r="I232" i="74"/>
  <c r="F232" i="74"/>
  <c r="O229" i="74"/>
  <c r="L229" i="74"/>
  <c r="I229" i="74"/>
  <c r="F229" i="74"/>
  <c r="O228" i="74"/>
  <c r="L228" i="74"/>
  <c r="I228" i="74"/>
  <c r="I227" i="74" s="1"/>
  <c r="F228" i="74"/>
  <c r="O227" i="74"/>
  <c r="N227" i="74"/>
  <c r="N204" i="74" s="1"/>
  <c r="M227" i="74"/>
  <c r="K227" i="74"/>
  <c r="J227" i="74"/>
  <c r="H227" i="74"/>
  <c r="G227" i="74"/>
  <c r="F227" i="74"/>
  <c r="E227" i="74"/>
  <c r="D227" i="74"/>
  <c r="O226" i="74"/>
  <c r="L226" i="74"/>
  <c r="I226" i="74"/>
  <c r="F226" i="74"/>
  <c r="C226" i="74" s="1"/>
  <c r="O225" i="74"/>
  <c r="L225" i="74"/>
  <c r="I225" i="74"/>
  <c r="F225" i="74"/>
  <c r="O224" i="74"/>
  <c r="L224" i="74"/>
  <c r="I224" i="74"/>
  <c r="F224" i="74"/>
  <c r="O223" i="74"/>
  <c r="L223" i="74"/>
  <c r="I223" i="74"/>
  <c r="F223" i="74"/>
  <c r="C223" i="74" s="1"/>
  <c r="O222" i="74"/>
  <c r="L222" i="74"/>
  <c r="I222" i="74"/>
  <c r="F222" i="74"/>
  <c r="O221" i="74"/>
  <c r="L221" i="74"/>
  <c r="I221" i="74"/>
  <c r="F221" i="74"/>
  <c r="O220" i="74"/>
  <c r="L220" i="74"/>
  <c r="I220" i="74"/>
  <c r="F220" i="74"/>
  <c r="O219" i="74"/>
  <c r="L219" i="74"/>
  <c r="I219" i="74"/>
  <c r="F219" i="74"/>
  <c r="O218" i="74"/>
  <c r="L218" i="74"/>
  <c r="I218" i="74"/>
  <c r="F218" i="74"/>
  <c r="O217" i="74"/>
  <c r="L217" i="74"/>
  <c r="I217" i="74"/>
  <c r="F217" i="74"/>
  <c r="F216" i="74" s="1"/>
  <c r="N216" i="74"/>
  <c r="M216" i="74"/>
  <c r="K216" i="74"/>
  <c r="J216" i="74"/>
  <c r="H216" i="74"/>
  <c r="G216" i="74"/>
  <c r="E216" i="74"/>
  <c r="D216" i="74"/>
  <c r="O215" i="74"/>
  <c r="L215" i="74"/>
  <c r="I215" i="74"/>
  <c r="F215" i="74"/>
  <c r="C215" i="74" s="1"/>
  <c r="O214" i="74"/>
  <c r="L214" i="74"/>
  <c r="I214" i="74"/>
  <c r="F214" i="74"/>
  <c r="O213" i="74"/>
  <c r="L213" i="74"/>
  <c r="I213" i="74"/>
  <c r="F213" i="74"/>
  <c r="O212" i="74"/>
  <c r="L212" i="74"/>
  <c r="I212" i="74"/>
  <c r="F212" i="74"/>
  <c r="O211" i="74"/>
  <c r="L211" i="74"/>
  <c r="I211" i="74"/>
  <c r="F211" i="74"/>
  <c r="O210" i="74"/>
  <c r="L210" i="74"/>
  <c r="I210" i="74"/>
  <c r="F210" i="74"/>
  <c r="O209" i="74"/>
  <c r="L209" i="74"/>
  <c r="I209" i="74"/>
  <c r="C209" i="74" s="1"/>
  <c r="F209" i="74"/>
  <c r="O208" i="74"/>
  <c r="L208" i="74"/>
  <c r="I208" i="74"/>
  <c r="F208" i="74"/>
  <c r="O207" i="74"/>
  <c r="L207" i="74"/>
  <c r="I207" i="74"/>
  <c r="C207" i="74" s="1"/>
  <c r="F207" i="74"/>
  <c r="O206" i="74"/>
  <c r="L206" i="74"/>
  <c r="I206" i="74"/>
  <c r="F206" i="74"/>
  <c r="N205" i="74"/>
  <c r="M205" i="74"/>
  <c r="M204" i="74" s="1"/>
  <c r="K205" i="74"/>
  <c r="J205" i="74"/>
  <c r="H205" i="74"/>
  <c r="G205" i="74"/>
  <c r="E205" i="74"/>
  <c r="E204" i="74" s="1"/>
  <c r="D205" i="74"/>
  <c r="O203" i="74"/>
  <c r="L203" i="74"/>
  <c r="I203" i="74"/>
  <c r="F203" i="74"/>
  <c r="O202" i="74"/>
  <c r="L202" i="74"/>
  <c r="I202" i="74"/>
  <c r="F202" i="74"/>
  <c r="O201" i="74"/>
  <c r="L201" i="74"/>
  <c r="I201" i="74"/>
  <c r="F201" i="74"/>
  <c r="O200" i="74"/>
  <c r="L200" i="74"/>
  <c r="I200" i="74"/>
  <c r="F200" i="74"/>
  <c r="O199" i="74"/>
  <c r="O198" i="74" s="1"/>
  <c r="L199" i="74"/>
  <c r="L198" i="74" s="1"/>
  <c r="I199" i="74"/>
  <c r="I198" i="74" s="1"/>
  <c r="F199" i="74"/>
  <c r="C199" i="74" s="1"/>
  <c r="N198" i="74"/>
  <c r="N196" i="74" s="1"/>
  <c r="M198" i="74"/>
  <c r="K198" i="74"/>
  <c r="K196" i="74" s="1"/>
  <c r="J198" i="74"/>
  <c r="H198" i="74"/>
  <c r="H196" i="74" s="1"/>
  <c r="G198" i="74"/>
  <c r="F198" i="74"/>
  <c r="E198" i="74"/>
  <c r="E196" i="74" s="1"/>
  <c r="D198" i="74"/>
  <c r="D196" i="74" s="1"/>
  <c r="O197" i="74"/>
  <c r="L197" i="74"/>
  <c r="I197" i="74"/>
  <c r="F197" i="74"/>
  <c r="M196" i="74"/>
  <c r="J196" i="74"/>
  <c r="G196" i="74"/>
  <c r="O193" i="74"/>
  <c r="O192" i="74" s="1"/>
  <c r="O191" i="74" s="1"/>
  <c r="L193" i="74"/>
  <c r="L192" i="74" s="1"/>
  <c r="L191" i="74" s="1"/>
  <c r="I193" i="74"/>
  <c r="F193" i="74"/>
  <c r="N192" i="74"/>
  <c r="N191" i="74" s="1"/>
  <c r="M192" i="74"/>
  <c r="M191" i="74" s="1"/>
  <c r="K192" i="74"/>
  <c r="K191" i="74" s="1"/>
  <c r="J192" i="74"/>
  <c r="J191" i="74" s="1"/>
  <c r="H192" i="74"/>
  <c r="H191" i="74" s="1"/>
  <c r="G192" i="74"/>
  <c r="G191" i="74" s="1"/>
  <c r="F192" i="74"/>
  <c r="E192" i="74"/>
  <c r="E191" i="74" s="1"/>
  <c r="D192" i="74"/>
  <c r="D191" i="74" s="1"/>
  <c r="F191" i="74"/>
  <c r="O190" i="74"/>
  <c r="L190" i="74"/>
  <c r="I190" i="74"/>
  <c r="F190" i="74"/>
  <c r="O189" i="74"/>
  <c r="O188" i="74" s="1"/>
  <c r="L189" i="74"/>
  <c r="L188" i="74" s="1"/>
  <c r="I189" i="74"/>
  <c r="I188" i="74" s="1"/>
  <c r="F189" i="74"/>
  <c r="N188" i="74"/>
  <c r="M188" i="74"/>
  <c r="K188" i="74"/>
  <c r="J188" i="74"/>
  <c r="H188" i="74"/>
  <c r="G188" i="74"/>
  <c r="E188" i="74"/>
  <c r="D188" i="74"/>
  <c r="O186" i="74"/>
  <c r="L186" i="74"/>
  <c r="I186" i="74"/>
  <c r="F186" i="74"/>
  <c r="O185" i="74"/>
  <c r="L185" i="74"/>
  <c r="L184" i="74" s="1"/>
  <c r="I185" i="74"/>
  <c r="F185" i="74"/>
  <c r="N184" i="74"/>
  <c r="M184" i="74"/>
  <c r="K184" i="74"/>
  <c r="J184" i="74"/>
  <c r="I184" i="74"/>
  <c r="H184" i="74"/>
  <c r="G184" i="74"/>
  <c r="E184" i="74"/>
  <c r="D184" i="74"/>
  <c r="O183" i="74"/>
  <c r="L183" i="74"/>
  <c r="I183" i="74"/>
  <c r="F183" i="74"/>
  <c r="O182" i="74"/>
  <c r="L182" i="74"/>
  <c r="I182" i="74"/>
  <c r="F182" i="74"/>
  <c r="C182" i="74" s="1"/>
  <c r="O181" i="74"/>
  <c r="L181" i="74"/>
  <c r="I181" i="74"/>
  <c r="F181" i="74"/>
  <c r="O180" i="74"/>
  <c r="L180" i="74"/>
  <c r="I180" i="74"/>
  <c r="I179" i="74" s="1"/>
  <c r="F180" i="74"/>
  <c r="F179" i="74" s="1"/>
  <c r="N179" i="74"/>
  <c r="M179" i="74"/>
  <c r="K179" i="74"/>
  <c r="J179" i="74"/>
  <c r="H179" i="74"/>
  <c r="G179" i="74"/>
  <c r="E179" i="74"/>
  <c r="D179" i="74"/>
  <c r="O178" i="74"/>
  <c r="L178" i="74"/>
  <c r="I178" i="74"/>
  <c r="F178" i="74"/>
  <c r="O177" i="74"/>
  <c r="L177" i="74"/>
  <c r="I177" i="74"/>
  <c r="F177" i="74"/>
  <c r="O176" i="74"/>
  <c r="L176" i="74"/>
  <c r="I176" i="74"/>
  <c r="I175" i="74" s="1"/>
  <c r="F176" i="74"/>
  <c r="N175" i="74"/>
  <c r="N174" i="74" s="1"/>
  <c r="M175" i="74"/>
  <c r="K175" i="74"/>
  <c r="K174" i="74" s="1"/>
  <c r="K173" i="74" s="1"/>
  <c r="J175" i="74"/>
  <c r="H175" i="74"/>
  <c r="H174" i="74" s="1"/>
  <c r="H173" i="74" s="1"/>
  <c r="G175" i="74"/>
  <c r="E175" i="74"/>
  <c r="E174" i="74" s="1"/>
  <c r="E173" i="74" s="1"/>
  <c r="D175" i="74"/>
  <c r="G174" i="74"/>
  <c r="G173" i="74" s="1"/>
  <c r="D174" i="74"/>
  <c r="D173" i="74" s="1"/>
  <c r="O172" i="74"/>
  <c r="L172" i="74"/>
  <c r="I172" i="74"/>
  <c r="F172" i="74"/>
  <c r="O171" i="74"/>
  <c r="L171" i="74"/>
  <c r="I171" i="74"/>
  <c r="F171" i="74"/>
  <c r="O170" i="74"/>
  <c r="L170" i="74"/>
  <c r="I170" i="74"/>
  <c r="F170" i="74"/>
  <c r="O169" i="74"/>
  <c r="L169" i="74"/>
  <c r="I169" i="74"/>
  <c r="F169" i="74"/>
  <c r="O168" i="74"/>
  <c r="L168" i="74"/>
  <c r="I168" i="74"/>
  <c r="F168" i="74"/>
  <c r="O167" i="74"/>
  <c r="L167" i="74"/>
  <c r="L166" i="74" s="1"/>
  <c r="L165" i="74" s="1"/>
  <c r="I167" i="74"/>
  <c r="F167" i="74"/>
  <c r="N166" i="74"/>
  <c r="N165" i="74" s="1"/>
  <c r="M166" i="74"/>
  <c r="K166" i="74"/>
  <c r="K165" i="74" s="1"/>
  <c r="J166" i="74"/>
  <c r="J165" i="74" s="1"/>
  <c r="H166" i="74"/>
  <c r="H165" i="74" s="1"/>
  <c r="G166" i="74"/>
  <c r="G165" i="74" s="1"/>
  <c r="E166" i="74"/>
  <c r="D166" i="74"/>
  <c r="D165" i="74" s="1"/>
  <c r="M165" i="74"/>
  <c r="E165" i="74"/>
  <c r="O164" i="74"/>
  <c r="L164" i="74"/>
  <c r="I164" i="74"/>
  <c r="F164" i="74"/>
  <c r="O163" i="74"/>
  <c r="L163" i="74"/>
  <c r="I163" i="74"/>
  <c r="F163" i="74"/>
  <c r="O162" i="74"/>
  <c r="L162" i="74"/>
  <c r="I162" i="74"/>
  <c r="F162" i="74"/>
  <c r="C162" i="74"/>
  <c r="O161" i="74"/>
  <c r="L161" i="74"/>
  <c r="I161" i="74"/>
  <c r="F161" i="74"/>
  <c r="N160" i="74"/>
  <c r="M160" i="74"/>
  <c r="K160" i="74"/>
  <c r="J160" i="74"/>
  <c r="I160" i="74"/>
  <c r="H160" i="74"/>
  <c r="G160" i="74"/>
  <c r="E160" i="74"/>
  <c r="D160" i="74"/>
  <c r="O159" i="74"/>
  <c r="L159" i="74"/>
  <c r="I159" i="74"/>
  <c r="F159" i="74"/>
  <c r="O158" i="74"/>
  <c r="L158" i="74"/>
  <c r="I158" i="74"/>
  <c r="F158" i="74"/>
  <c r="O157" i="74"/>
  <c r="L157" i="74"/>
  <c r="I157" i="74"/>
  <c r="F157" i="74"/>
  <c r="O156" i="74"/>
  <c r="L156" i="74"/>
  <c r="I156" i="74"/>
  <c r="F156" i="74"/>
  <c r="O155" i="74"/>
  <c r="L155" i="74"/>
  <c r="I155" i="74"/>
  <c r="F155" i="74"/>
  <c r="O154" i="74"/>
  <c r="L154" i="74"/>
  <c r="I154" i="74"/>
  <c r="F154" i="74"/>
  <c r="C154" i="74" s="1"/>
  <c r="O153" i="74"/>
  <c r="L153" i="74"/>
  <c r="I153" i="74"/>
  <c r="F153" i="74"/>
  <c r="O152" i="74"/>
  <c r="L152" i="74"/>
  <c r="I152" i="74"/>
  <c r="F152" i="74"/>
  <c r="N151" i="74"/>
  <c r="M151" i="74"/>
  <c r="K151" i="74"/>
  <c r="J151" i="74"/>
  <c r="H151" i="74"/>
  <c r="G151" i="74"/>
  <c r="E151" i="74"/>
  <c r="D151" i="74"/>
  <c r="O150" i="74"/>
  <c r="L150" i="74"/>
  <c r="I150" i="74"/>
  <c r="F150" i="74"/>
  <c r="O149" i="74"/>
  <c r="L149" i="74"/>
  <c r="I149" i="74"/>
  <c r="F149" i="74"/>
  <c r="O148" i="74"/>
  <c r="L148" i="74"/>
  <c r="I148" i="74"/>
  <c r="F148" i="74"/>
  <c r="O147" i="74"/>
  <c r="L147" i="74"/>
  <c r="I147" i="74"/>
  <c r="F147" i="74"/>
  <c r="O146" i="74"/>
  <c r="L146" i="74"/>
  <c r="I146" i="74"/>
  <c r="F146" i="74"/>
  <c r="O145" i="74"/>
  <c r="L145" i="74"/>
  <c r="I145" i="74"/>
  <c r="F145" i="74"/>
  <c r="N144" i="74"/>
  <c r="M144" i="74"/>
  <c r="K144" i="74"/>
  <c r="J144" i="74"/>
  <c r="H144" i="74"/>
  <c r="G144" i="74"/>
  <c r="E144" i="74"/>
  <c r="D144" i="74"/>
  <c r="O143" i="74"/>
  <c r="L143" i="74"/>
  <c r="L141" i="74" s="1"/>
  <c r="I143" i="74"/>
  <c r="F143" i="74"/>
  <c r="O142" i="74"/>
  <c r="O141" i="74" s="1"/>
  <c r="L142" i="74"/>
  <c r="I142" i="74"/>
  <c r="F142" i="74"/>
  <c r="F141" i="74" s="1"/>
  <c r="N141" i="74"/>
  <c r="M141" i="74"/>
  <c r="K141" i="74"/>
  <c r="J141" i="74"/>
  <c r="H141" i="74"/>
  <c r="G141" i="74"/>
  <c r="E141" i="74"/>
  <c r="D141" i="74"/>
  <c r="O140" i="74"/>
  <c r="L140" i="74"/>
  <c r="I140" i="74"/>
  <c r="F140" i="74"/>
  <c r="O139" i="74"/>
  <c r="L139" i="74"/>
  <c r="I139" i="74"/>
  <c r="F139" i="74"/>
  <c r="O138" i="74"/>
  <c r="L138" i="74"/>
  <c r="I138" i="74"/>
  <c r="F138" i="74"/>
  <c r="C138" i="74" s="1"/>
  <c r="O137" i="74"/>
  <c r="L137" i="74"/>
  <c r="I137" i="74"/>
  <c r="I136" i="74" s="1"/>
  <c r="F137" i="74"/>
  <c r="N136" i="74"/>
  <c r="M136" i="74"/>
  <c r="K136" i="74"/>
  <c r="J136" i="74"/>
  <c r="H136" i="74"/>
  <c r="G136" i="74"/>
  <c r="E136" i="74"/>
  <c r="D136" i="74"/>
  <c r="O135" i="74"/>
  <c r="L135" i="74"/>
  <c r="I135" i="74"/>
  <c r="F135" i="74"/>
  <c r="O134" i="74"/>
  <c r="O131" i="74" s="1"/>
  <c r="L134" i="74"/>
  <c r="I134" i="74"/>
  <c r="F134" i="74"/>
  <c r="O133" i="74"/>
  <c r="L133" i="74"/>
  <c r="I133" i="74"/>
  <c r="F133" i="74"/>
  <c r="O132" i="74"/>
  <c r="L132" i="74"/>
  <c r="I132" i="74"/>
  <c r="F132" i="74"/>
  <c r="N131" i="74"/>
  <c r="M131" i="74"/>
  <c r="K131" i="74"/>
  <c r="J131" i="74"/>
  <c r="H131" i="74"/>
  <c r="G131" i="74"/>
  <c r="E131" i="74"/>
  <c r="D131" i="74"/>
  <c r="G130" i="74"/>
  <c r="O129" i="74"/>
  <c r="L129" i="74"/>
  <c r="I129" i="74"/>
  <c r="F129" i="74"/>
  <c r="O128" i="74"/>
  <c r="N128" i="74"/>
  <c r="M128" i="74"/>
  <c r="L128" i="74"/>
  <c r="K128" i="74"/>
  <c r="J128" i="74"/>
  <c r="I128" i="74"/>
  <c r="H128" i="74"/>
  <c r="G128" i="74"/>
  <c r="E128" i="74"/>
  <c r="D128" i="74"/>
  <c r="O127" i="74"/>
  <c r="L127" i="74"/>
  <c r="I127" i="74"/>
  <c r="F127" i="74"/>
  <c r="O126" i="74"/>
  <c r="O122" i="74" s="1"/>
  <c r="L126" i="74"/>
  <c r="I126" i="74"/>
  <c r="F126" i="74"/>
  <c r="C126" i="74"/>
  <c r="O125" i="74"/>
  <c r="L125" i="74"/>
  <c r="I125" i="74"/>
  <c r="F125" i="74"/>
  <c r="O124" i="74"/>
  <c r="L124" i="74"/>
  <c r="I124" i="74"/>
  <c r="F124" i="74"/>
  <c r="O123" i="74"/>
  <c r="L123" i="74"/>
  <c r="L122" i="74" s="1"/>
  <c r="I123" i="74"/>
  <c r="F123" i="74"/>
  <c r="C123" i="74" s="1"/>
  <c r="N122" i="74"/>
  <c r="M122" i="74"/>
  <c r="K122" i="74"/>
  <c r="J122" i="74"/>
  <c r="H122" i="74"/>
  <c r="G122" i="74"/>
  <c r="E122" i="74"/>
  <c r="D122" i="74"/>
  <c r="O121" i="74"/>
  <c r="L121" i="74"/>
  <c r="I121" i="74"/>
  <c r="F121" i="74"/>
  <c r="C121" i="74" s="1"/>
  <c r="O120" i="74"/>
  <c r="L120" i="74"/>
  <c r="I120" i="74"/>
  <c r="F120" i="74"/>
  <c r="O119" i="74"/>
  <c r="L119" i="74"/>
  <c r="I119" i="74"/>
  <c r="F119" i="74"/>
  <c r="O118" i="74"/>
  <c r="L118" i="74"/>
  <c r="I118" i="74"/>
  <c r="F118" i="74"/>
  <c r="O117" i="74"/>
  <c r="L117" i="74"/>
  <c r="I117" i="74"/>
  <c r="I116" i="74" s="1"/>
  <c r="F117" i="74"/>
  <c r="N116" i="74"/>
  <c r="M116" i="74"/>
  <c r="K116" i="74"/>
  <c r="J116" i="74"/>
  <c r="H116" i="74"/>
  <c r="G116" i="74"/>
  <c r="E116" i="74"/>
  <c r="D116" i="74"/>
  <c r="O115" i="74"/>
  <c r="L115" i="74"/>
  <c r="I115" i="74"/>
  <c r="F115" i="74"/>
  <c r="O114" i="74"/>
  <c r="L114" i="74"/>
  <c r="I114" i="74"/>
  <c r="F114" i="74"/>
  <c r="O113" i="74"/>
  <c r="L113" i="74"/>
  <c r="L112" i="74" s="1"/>
  <c r="I113" i="74"/>
  <c r="F113" i="74"/>
  <c r="N112" i="74"/>
  <c r="M112" i="74"/>
  <c r="K112" i="74"/>
  <c r="J112" i="74"/>
  <c r="H112" i="74"/>
  <c r="G112" i="74"/>
  <c r="E112" i="74"/>
  <c r="D112" i="74"/>
  <c r="O111" i="74"/>
  <c r="L111" i="74"/>
  <c r="I111" i="74"/>
  <c r="F111" i="74"/>
  <c r="O110" i="74"/>
  <c r="L110" i="74"/>
  <c r="I110" i="74"/>
  <c r="F110" i="74"/>
  <c r="C110" i="74" s="1"/>
  <c r="O109" i="74"/>
  <c r="L109" i="74"/>
  <c r="I109" i="74"/>
  <c r="F109" i="74"/>
  <c r="O108" i="74"/>
  <c r="L108" i="74"/>
  <c r="I108" i="74"/>
  <c r="F108" i="74"/>
  <c r="O107" i="74"/>
  <c r="L107" i="74"/>
  <c r="I107" i="74"/>
  <c r="F107" i="74"/>
  <c r="O106" i="74"/>
  <c r="L106" i="74"/>
  <c r="I106" i="74"/>
  <c r="F106" i="74"/>
  <c r="O105" i="74"/>
  <c r="L105" i="74"/>
  <c r="I105" i="74"/>
  <c r="F105" i="74"/>
  <c r="O104" i="74"/>
  <c r="L104" i="74"/>
  <c r="I104" i="74"/>
  <c r="F104" i="74"/>
  <c r="N103" i="74"/>
  <c r="M103" i="74"/>
  <c r="K103" i="74"/>
  <c r="J103" i="74"/>
  <c r="H103" i="74"/>
  <c r="G103" i="74"/>
  <c r="F103" i="74"/>
  <c r="E103" i="74"/>
  <c r="D103" i="74"/>
  <c r="O102" i="74"/>
  <c r="L102" i="74"/>
  <c r="I102" i="74"/>
  <c r="F102" i="74"/>
  <c r="O101" i="74"/>
  <c r="L101" i="74"/>
  <c r="I101" i="74"/>
  <c r="F101" i="74"/>
  <c r="O100" i="74"/>
  <c r="L100" i="74"/>
  <c r="I100" i="74"/>
  <c r="F100" i="74"/>
  <c r="O99" i="74"/>
  <c r="L99" i="74"/>
  <c r="I99" i="74"/>
  <c r="F99" i="74"/>
  <c r="O98" i="74"/>
  <c r="L98" i="74"/>
  <c r="I98" i="74"/>
  <c r="F98" i="74"/>
  <c r="O97" i="74"/>
  <c r="L97" i="74"/>
  <c r="I97" i="74"/>
  <c r="F97" i="74"/>
  <c r="O96" i="74"/>
  <c r="L96" i="74"/>
  <c r="I96" i="74"/>
  <c r="F96" i="74"/>
  <c r="N95" i="74"/>
  <c r="M95" i="74"/>
  <c r="K95" i="74"/>
  <c r="J95" i="74"/>
  <c r="H95" i="74"/>
  <c r="G95" i="74"/>
  <c r="E95" i="74"/>
  <c r="D95" i="74"/>
  <c r="O94" i="74"/>
  <c r="L94" i="74"/>
  <c r="I94" i="74"/>
  <c r="F94" i="74"/>
  <c r="O93" i="74"/>
  <c r="L93" i="74"/>
  <c r="I93" i="74"/>
  <c r="F93" i="74"/>
  <c r="O92" i="74"/>
  <c r="L92" i="74"/>
  <c r="I92" i="74"/>
  <c r="F92" i="74"/>
  <c r="O91" i="74"/>
  <c r="L91" i="74"/>
  <c r="I91" i="74"/>
  <c r="F91" i="74"/>
  <c r="O90" i="74"/>
  <c r="O89" i="74" s="1"/>
  <c r="L90" i="74"/>
  <c r="I90" i="74"/>
  <c r="F90" i="74"/>
  <c r="N89" i="74"/>
  <c r="M89" i="74"/>
  <c r="K89" i="74"/>
  <c r="J89" i="74"/>
  <c r="H89" i="74"/>
  <c r="G89" i="74"/>
  <c r="E89" i="74"/>
  <c r="D89" i="74"/>
  <c r="O88" i="74"/>
  <c r="L88" i="74"/>
  <c r="I88" i="74"/>
  <c r="F88" i="74"/>
  <c r="O87" i="74"/>
  <c r="L87" i="74"/>
  <c r="I87" i="74"/>
  <c r="F87" i="74"/>
  <c r="O86" i="74"/>
  <c r="L86" i="74"/>
  <c r="I86" i="74"/>
  <c r="F86" i="74"/>
  <c r="O85" i="74"/>
  <c r="L85" i="74"/>
  <c r="I85" i="74"/>
  <c r="F85" i="74"/>
  <c r="N84" i="74"/>
  <c r="M84" i="74"/>
  <c r="K84" i="74"/>
  <c r="K83" i="74" s="1"/>
  <c r="J84" i="74"/>
  <c r="H84" i="74"/>
  <c r="G84" i="74"/>
  <c r="E84" i="74"/>
  <c r="D84" i="74"/>
  <c r="O82" i="74"/>
  <c r="L82" i="74"/>
  <c r="I82" i="74"/>
  <c r="F82" i="74"/>
  <c r="O81" i="74"/>
  <c r="L81" i="74"/>
  <c r="I81" i="74"/>
  <c r="I80" i="74" s="1"/>
  <c r="F81" i="74"/>
  <c r="N80" i="74"/>
  <c r="M80" i="74"/>
  <c r="K80" i="74"/>
  <c r="J80" i="74"/>
  <c r="H80" i="74"/>
  <c r="G80" i="74"/>
  <c r="E80" i="74"/>
  <c r="D80" i="74"/>
  <c r="O79" i="74"/>
  <c r="L79" i="74"/>
  <c r="I79" i="74"/>
  <c r="F79" i="74"/>
  <c r="O78" i="74"/>
  <c r="L78" i="74"/>
  <c r="L77" i="74" s="1"/>
  <c r="I78" i="74"/>
  <c r="I77" i="74" s="1"/>
  <c r="I76" i="74" s="1"/>
  <c r="F78" i="74"/>
  <c r="N77" i="74"/>
  <c r="N76" i="74" s="1"/>
  <c r="M77" i="74"/>
  <c r="M76" i="74" s="1"/>
  <c r="K77" i="74"/>
  <c r="K76" i="74" s="1"/>
  <c r="J77" i="74"/>
  <c r="J76" i="74" s="1"/>
  <c r="H77" i="74"/>
  <c r="H76" i="74" s="1"/>
  <c r="G77" i="74"/>
  <c r="E77" i="74"/>
  <c r="E76" i="74" s="1"/>
  <c r="D77" i="74"/>
  <c r="G76" i="74"/>
  <c r="D76" i="74"/>
  <c r="O74" i="74"/>
  <c r="L74" i="74"/>
  <c r="I74" i="74"/>
  <c r="F74" i="74"/>
  <c r="O73" i="74"/>
  <c r="L73" i="74"/>
  <c r="I73" i="74"/>
  <c r="F73" i="74"/>
  <c r="O72" i="74"/>
  <c r="L72" i="74"/>
  <c r="I72" i="74"/>
  <c r="F72" i="74"/>
  <c r="O71" i="74"/>
  <c r="L71" i="74"/>
  <c r="I71" i="74"/>
  <c r="F71" i="74"/>
  <c r="O70" i="74"/>
  <c r="L70" i="74"/>
  <c r="I70" i="74"/>
  <c r="F70" i="74"/>
  <c r="N69" i="74"/>
  <c r="N67" i="74" s="1"/>
  <c r="M69" i="74"/>
  <c r="M67" i="74" s="1"/>
  <c r="K69" i="74"/>
  <c r="K67" i="74" s="1"/>
  <c r="J69" i="74"/>
  <c r="J67" i="74" s="1"/>
  <c r="H69" i="74"/>
  <c r="H67" i="74" s="1"/>
  <c r="G69" i="74"/>
  <c r="E69" i="74"/>
  <c r="E67" i="74" s="1"/>
  <c r="D69" i="74"/>
  <c r="O68" i="74"/>
  <c r="L68" i="74"/>
  <c r="I68" i="74"/>
  <c r="C68" i="74" s="1"/>
  <c r="F68" i="74"/>
  <c r="G67" i="74"/>
  <c r="D67" i="74"/>
  <c r="O66" i="74"/>
  <c r="L66" i="74"/>
  <c r="I66" i="74"/>
  <c r="F66" i="74"/>
  <c r="O65" i="74"/>
  <c r="L65" i="74"/>
  <c r="I65" i="74"/>
  <c r="F65" i="74"/>
  <c r="O64" i="74"/>
  <c r="L64" i="74"/>
  <c r="I64" i="74"/>
  <c r="F64" i="74"/>
  <c r="O63" i="74"/>
  <c r="L63" i="74"/>
  <c r="I63" i="74"/>
  <c r="F63" i="74"/>
  <c r="O62" i="74"/>
  <c r="L62" i="74"/>
  <c r="I62" i="74"/>
  <c r="F62" i="74"/>
  <c r="C62" i="74" s="1"/>
  <c r="O61" i="74"/>
  <c r="L61" i="74"/>
  <c r="I61" i="74"/>
  <c r="F61" i="74"/>
  <c r="O60" i="74"/>
  <c r="L60" i="74"/>
  <c r="I60" i="74"/>
  <c r="F60" i="74"/>
  <c r="C60" i="74" s="1"/>
  <c r="O59" i="74"/>
  <c r="L59" i="74"/>
  <c r="I59" i="74"/>
  <c r="I58" i="74" s="1"/>
  <c r="F59" i="74"/>
  <c r="N58" i="74"/>
  <c r="M58" i="74"/>
  <c r="K58" i="74"/>
  <c r="J58" i="74"/>
  <c r="H58" i="74"/>
  <c r="G58" i="74"/>
  <c r="E58" i="74"/>
  <c r="D58" i="74"/>
  <c r="O57" i="74"/>
  <c r="L57" i="74"/>
  <c r="I57" i="74"/>
  <c r="F57" i="74"/>
  <c r="O56" i="74"/>
  <c r="O55" i="74" s="1"/>
  <c r="L56" i="74"/>
  <c r="L55" i="74" s="1"/>
  <c r="I56" i="74"/>
  <c r="F56" i="74"/>
  <c r="F55" i="74" s="1"/>
  <c r="N55" i="74"/>
  <c r="N54" i="74" s="1"/>
  <c r="M55" i="74"/>
  <c r="K55" i="74"/>
  <c r="J55" i="74"/>
  <c r="J54" i="74" s="1"/>
  <c r="J53" i="74" s="1"/>
  <c r="H55" i="74"/>
  <c r="H54" i="74" s="1"/>
  <c r="G55" i="74"/>
  <c r="E55" i="74"/>
  <c r="D55" i="74"/>
  <c r="D54" i="74" s="1"/>
  <c r="D53" i="74" s="1"/>
  <c r="E54" i="74"/>
  <c r="O47" i="74"/>
  <c r="C47" i="74" s="1"/>
  <c r="O46" i="74"/>
  <c r="N45" i="74"/>
  <c r="M45" i="74"/>
  <c r="L44" i="74"/>
  <c r="I44" i="74"/>
  <c r="I43" i="74" s="1"/>
  <c r="F44" i="74"/>
  <c r="F43" i="74" s="1"/>
  <c r="L43" i="74"/>
  <c r="K43" i="74"/>
  <c r="J43" i="74"/>
  <c r="H43" i="74"/>
  <c r="G43" i="74"/>
  <c r="E43" i="74"/>
  <c r="D43" i="74"/>
  <c r="F42" i="74"/>
  <c r="E41" i="74"/>
  <c r="D41" i="74"/>
  <c r="L40" i="74"/>
  <c r="C40" i="74" s="1"/>
  <c r="L39" i="74"/>
  <c r="C39" i="74" s="1"/>
  <c r="L38" i="74"/>
  <c r="C38" i="74" s="1"/>
  <c r="L37" i="74"/>
  <c r="K36" i="74"/>
  <c r="J36" i="74"/>
  <c r="L35" i="74"/>
  <c r="C35" i="74"/>
  <c r="L34" i="74"/>
  <c r="K33" i="74"/>
  <c r="J33" i="74"/>
  <c r="L32" i="74"/>
  <c r="K31" i="74"/>
  <c r="J31" i="74"/>
  <c r="L30" i="74"/>
  <c r="C30" i="74" s="1"/>
  <c r="L29" i="74"/>
  <c r="C29" i="74" s="1"/>
  <c r="L28" i="74"/>
  <c r="K27" i="74"/>
  <c r="J27" i="74"/>
  <c r="K26" i="74"/>
  <c r="F25" i="74"/>
  <c r="C25" i="74" s="1"/>
  <c r="I24" i="74"/>
  <c r="F24" i="74"/>
  <c r="O23" i="74"/>
  <c r="L23" i="74"/>
  <c r="I23" i="74"/>
  <c r="F23" i="74"/>
  <c r="O22" i="74"/>
  <c r="O21" i="74" s="1"/>
  <c r="L22" i="74"/>
  <c r="L21" i="74" s="1"/>
  <c r="L292" i="74" s="1"/>
  <c r="I22" i="74"/>
  <c r="F22" i="74"/>
  <c r="F21" i="74" s="1"/>
  <c r="N21" i="74"/>
  <c r="M21" i="74"/>
  <c r="K21" i="74"/>
  <c r="K292" i="74" s="1"/>
  <c r="K291" i="74" s="1"/>
  <c r="J21" i="74"/>
  <c r="J292" i="74" s="1"/>
  <c r="J291" i="74" s="1"/>
  <c r="H21" i="74"/>
  <c r="G21" i="74"/>
  <c r="G292" i="74" s="1"/>
  <c r="G291" i="74" s="1"/>
  <c r="E21" i="74"/>
  <c r="E20" i="74" s="1"/>
  <c r="D21" i="74"/>
  <c r="D292" i="74" s="1"/>
  <c r="N20" i="74"/>
  <c r="D204" i="74" l="1"/>
  <c r="C22" i="74"/>
  <c r="C23" i="74"/>
  <c r="C82" i="74"/>
  <c r="C98" i="74"/>
  <c r="C114" i="74"/>
  <c r="H130" i="74"/>
  <c r="K130" i="74"/>
  <c r="C170" i="74"/>
  <c r="D187" i="74"/>
  <c r="J187" i="74"/>
  <c r="N187" i="74"/>
  <c r="C203" i="74"/>
  <c r="C219" i="74"/>
  <c r="C221" i="74"/>
  <c r="C239" i="74"/>
  <c r="C247" i="74"/>
  <c r="C266" i="74"/>
  <c r="C275" i="74"/>
  <c r="E270" i="74"/>
  <c r="E269" i="74" s="1"/>
  <c r="C296" i="74"/>
  <c r="N53" i="74"/>
  <c r="K75" i="74"/>
  <c r="C86" i="74"/>
  <c r="C94" i="74"/>
  <c r="J83" i="74"/>
  <c r="C102" i="74"/>
  <c r="C134" i="74"/>
  <c r="C150" i="74"/>
  <c r="C152" i="74"/>
  <c r="C153" i="74"/>
  <c r="L160" i="74"/>
  <c r="N173" i="74"/>
  <c r="C186" i="74"/>
  <c r="C190" i="74"/>
  <c r="K187" i="74"/>
  <c r="H204" i="74"/>
  <c r="C243" i="74"/>
  <c r="C255" i="74"/>
  <c r="C256" i="74"/>
  <c r="C258" i="74"/>
  <c r="C263" i="74"/>
  <c r="G270" i="74"/>
  <c r="G269" i="74" s="1"/>
  <c r="L276" i="74"/>
  <c r="L293" i="74"/>
  <c r="L291" i="74" s="1"/>
  <c r="D291" i="74"/>
  <c r="H292" i="74"/>
  <c r="H291" i="74" s="1"/>
  <c r="E53" i="74"/>
  <c r="C72" i="74"/>
  <c r="C90" i="74"/>
  <c r="C106" i="74"/>
  <c r="C107" i="74"/>
  <c r="C109" i="74"/>
  <c r="O112" i="74"/>
  <c r="C146" i="74"/>
  <c r="C147" i="74"/>
  <c r="I144" i="74"/>
  <c r="C158" i="74"/>
  <c r="O166" i="74"/>
  <c r="O165" i="74" s="1"/>
  <c r="J174" i="74"/>
  <c r="J173" i="74" s="1"/>
  <c r="C178" i="74"/>
  <c r="G187" i="74"/>
  <c r="J204" i="74"/>
  <c r="C211" i="74"/>
  <c r="C214" i="74"/>
  <c r="C229" i="74"/>
  <c r="J231" i="74"/>
  <c r="C240" i="74"/>
  <c r="G259" i="74"/>
  <c r="C271" i="74"/>
  <c r="D270" i="74"/>
  <c r="D269" i="74" s="1"/>
  <c r="O69" i="74"/>
  <c r="J26" i="74"/>
  <c r="J20" i="74" s="1"/>
  <c r="C32" i="74"/>
  <c r="L31" i="74"/>
  <c r="C31" i="74" s="1"/>
  <c r="M20" i="74"/>
  <c r="M292" i="74"/>
  <c r="M291" i="74" s="1"/>
  <c r="C43" i="74"/>
  <c r="N292" i="74"/>
  <c r="N291" i="74" s="1"/>
  <c r="K54" i="74"/>
  <c r="K53" i="74" s="1"/>
  <c r="C56" i="74"/>
  <c r="M54" i="74"/>
  <c r="M53" i="74" s="1"/>
  <c r="C61" i="74"/>
  <c r="C70" i="74"/>
  <c r="C71" i="74"/>
  <c r="L80" i="74"/>
  <c r="L76" i="74" s="1"/>
  <c r="O84" i="74"/>
  <c r="H83" i="74"/>
  <c r="H75" i="74" s="1"/>
  <c r="L89" i="74"/>
  <c r="C101" i="74"/>
  <c r="C108" i="74"/>
  <c r="I112" i="74"/>
  <c r="C120" i="74"/>
  <c r="C127" i="74"/>
  <c r="L131" i="74"/>
  <c r="D130" i="74"/>
  <c r="C142" i="74"/>
  <c r="L144" i="74"/>
  <c r="C157" i="74"/>
  <c r="C176" i="74"/>
  <c r="L179" i="74"/>
  <c r="C183" i="74"/>
  <c r="O184" i="74"/>
  <c r="M187" i="74"/>
  <c r="N195" i="74"/>
  <c r="O196" i="74"/>
  <c r="L196" i="74"/>
  <c r="C200" i="74"/>
  <c r="I205" i="74"/>
  <c r="C220" i="74"/>
  <c r="C225" i="74"/>
  <c r="N231" i="74"/>
  <c r="G231" i="74"/>
  <c r="G230" i="74" s="1"/>
  <c r="C244" i="74"/>
  <c r="C257" i="74"/>
  <c r="J259" i="74"/>
  <c r="C268" i="74"/>
  <c r="F276" i="74"/>
  <c r="F270" i="74" s="1"/>
  <c r="C278" i="74"/>
  <c r="M195" i="74"/>
  <c r="M230" i="74"/>
  <c r="G54" i="74"/>
  <c r="G53" i="74" s="1"/>
  <c r="L58" i="74"/>
  <c r="L54" i="74" s="1"/>
  <c r="O77" i="74"/>
  <c r="C87" i="74"/>
  <c r="D83" i="74"/>
  <c r="D75" i="74" s="1"/>
  <c r="D52" i="74" s="1"/>
  <c r="C100" i="74"/>
  <c r="G83" i="74"/>
  <c r="G75" i="74" s="1"/>
  <c r="J130" i="74"/>
  <c r="C132" i="74"/>
  <c r="M130" i="74"/>
  <c r="C139" i="74"/>
  <c r="C168" i="74"/>
  <c r="O179" i="74"/>
  <c r="E187" i="74"/>
  <c r="O187" i="74"/>
  <c r="C193" i="74"/>
  <c r="D195" i="74"/>
  <c r="H195" i="74"/>
  <c r="C201" i="74"/>
  <c r="E195" i="74"/>
  <c r="C218" i="74"/>
  <c r="C224" i="74"/>
  <c r="E231" i="74"/>
  <c r="E230" i="74" s="1"/>
  <c r="L252" i="74"/>
  <c r="L251" i="74" s="1"/>
  <c r="C262" i="74"/>
  <c r="C274" i="74"/>
  <c r="C294" i="74"/>
  <c r="L270" i="74"/>
  <c r="L269" i="74" s="1"/>
  <c r="C24" i="74"/>
  <c r="H53" i="74"/>
  <c r="C59" i="74"/>
  <c r="C63" i="74"/>
  <c r="J75" i="74"/>
  <c r="J52" i="74" s="1"/>
  <c r="C78" i="74"/>
  <c r="C79" i="74"/>
  <c r="O80" i="74"/>
  <c r="L84" i="74"/>
  <c r="C88" i="74"/>
  <c r="N83" i="74"/>
  <c r="L95" i="74"/>
  <c r="C105" i="74"/>
  <c r="C115" i="74"/>
  <c r="O116" i="74"/>
  <c r="I131" i="74"/>
  <c r="O136" i="74"/>
  <c r="L136" i="74"/>
  <c r="C149" i="74"/>
  <c r="O151" i="74"/>
  <c r="C159" i="74"/>
  <c r="O160" i="74"/>
  <c r="I166" i="74"/>
  <c r="I165" i="74" s="1"/>
  <c r="M174" i="74"/>
  <c r="L175" i="74"/>
  <c r="L174" i="74" s="1"/>
  <c r="L173" i="74" s="1"/>
  <c r="C181" i="74"/>
  <c r="C208" i="74"/>
  <c r="C210" i="74"/>
  <c r="C222" i="74"/>
  <c r="G204" i="74"/>
  <c r="G195" i="74" s="1"/>
  <c r="K204" i="74"/>
  <c r="K195" i="74" s="1"/>
  <c r="H231" i="74"/>
  <c r="H230" i="74" s="1"/>
  <c r="C245" i="74"/>
  <c r="C254" i="74"/>
  <c r="L264" i="74"/>
  <c r="L259" i="74" s="1"/>
  <c r="O286" i="74"/>
  <c r="O292" i="74" s="1"/>
  <c r="C295" i="74"/>
  <c r="C97" i="74"/>
  <c r="F95" i="74"/>
  <c r="I103" i="74"/>
  <c r="C104" i="74"/>
  <c r="C117" i="74"/>
  <c r="F116" i="74"/>
  <c r="C118" i="74"/>
  <c r="C301" i="74"/>
  <c r="I21" i="74"/>
  <c r="C57" i="74"/>
  <c r="I55" i="74"/>
  <c r="C64" i="74"/>
  <c r="F77" i="74"/>
  <c r="C81" i="74"/>
  <c r="F80" i="74"/>
  <c r="C202" i="74"/>
  <c r="F196" i="74"/>
  <c r="G20" i="74"/>
  <c r="K20" i="74"/>
  <c r="C44" i="74"/>
  <c r="O58" i="74"/>
  <c r="O54" i="74" s="1"/>
  <c r="C66" i="74"/>
  <c r="F69" i="74"/>
  <c r="I69" i="74"/>
  <c r="I67" i="74" s="1"/>
  <c r="C74" i="74"/>
  <c r="C124" i="74"/>
  <c r="I122" i="74"/>
  <c r="C248" i="74"/>
  <c r="L246" i="74"/>
  <c r="C37" i="74"/>
  <c r="L36" i="74"/>
  <c r="C36" i="74" s="1"/>
  <c r="C42" i="74"/>
  <c r="F41" i="74"/>
  <c r="C41" i="74" s="1"/>
  <c r="F67" i="74"/>
  <c r="D20" i="74"/>
  <c r="H20" i="74"/>
  <c r="C28" i="74"/>
  <c r="L27" i="74"/>
  <c r="C34" i="74"/>
  <c r="L33" i="74"/>
  <c r="C33" i="74" s="1"/>
  <c r="C46" i="74"/>
  <c r="O45" i="74"/>
  <c r="F58" i="74"/>
  <c r="F54" i="74" s="1"/>
  <c r="C65" i="74"/>
  <c r="O67" i="74"/>
  <c r="L69" i="74"/>
  <c r="L67" i="74" s="1"/>
  <c r="C73" i="74"/>
  <c r="C133" i="74"/>
  <c r="F131" i="74"/>
  <c r="C177" i="74"/>
  <c r="F175" i="74"/>
  <c r="M83" i="74"/>
  <c r="M75" i="74" s="1"/>
  <c r="M52" i="74" s="1"/>
  <c r="M51" i="74" s="1"/>
  <c r="I95" i="74"/>
  <c r="C96" i="74"/>
  <c r="C99" i="74"/>
  <c r="C111" i="74"/>
  <c r="C119" i="74"/>
  <c r="O144" i="74"/>
  <c r="C161" i="74"/>
  <c r="F160" i="74"/>
  <c r="C160" i="74" s="1"/>
  <c r="C169" i="74"/>
  <c r="F166" i="74"/>
  <c r="I174" i="74"/>
  <c r="I173" i="74" s="1"/>
  <c r="C185" i="74"/>
  <c r="F184" i="74"/>
  <c r="C184" i="74" s="1"/>
  <c r="C189" i="74"/>
  <c r="F188" i="74"/>
  <c r="C241" i="74"/>
  <c r="I238" i="74"/>
  <c r="F259" i="74"/>
  <c r="I84" i="74"/>
  <c r="C91" i="74"/>
  <c r="C93" i="74"/>
  <c r="F89" i="74"/>
  <c r="L103" i="74"/>
  <c r="C113" i="74"/>
  <c r="F112" i="74"/>
  <c r="C112" i="74" s="1"/>
  <c r="L116" i="74"/>
  <c r="C135" i="74"/>
  <c r="E130" i="74"/>
  <c r="C137" i="74"/>
  <c r="F136" i="74"/>
  <c r="C143" i="74"/>
  <c r="C145" i="74"/>
  <c r="F144" i="74"/>
  <c r="F151" i="74"/>
  <c r="I151" i="74"/>
  <c r="C156" i="74"/>
  <c r="C164" i="74"/>
  <c r="C172" i="74"/>
  <c r="M173" i="74"/>
  <c r="C180" i="74"/>
  <c r="H187" i="74"/>
  <c r="L187" i="74"/>
  <c r="C191" i="74"/>
  <c r="I192" i="74"/>
  <c r="I191" i="74" s="1"/>
  <c r="I187" i="74" s="1"/>
  <c r="F251" i="74"/>
  <c r="I252" i="74"/>
  <c r="I251" i="74" s="1"/>
  <c r="C253" i="74"/>
  <c r="F283" i="74"/>
  <c r="E83" i="74"/>
  <c r="C85" i="74"/>
  <c r="F84" i="74"/>
  <c r="C92" i="74"/>
  <c r="I89" i="74"/>
  <c r="O95" i="74"/>
  <c r="O103" i="74"/>
  <c r="C125" i="74"/>
  <c r="F122" i="74"/>
  <c r="C122" i="74" s="1"/>
  <c r="C129" i="74"/>
  <c r="F128" i="74"/>
  <c r="C128" i="74" s="1"/>
  <c r="N130" i="74"/>
  <c r="N75" i="74" s="1"/>
  <c r="N52" i="74" s="1"/>
  <c r="C140" i="74"/>
  <c r="C148" i="74"/>
  <c r="L151" i="74"/>
  <c r="C155" i="74"/>
  <c r="C163" i="74"/>
  <c r="C171" i="74"/>
  <c r="O175" i="74"/>
  <c r="C179" i="74"/>
  <c r="C192" i="74"/>
  <c r="I216" i="74"/>
  <c r="C217" i="74"/>
  <c r="C282" i="74"/>
  <c r="F281" i="74"/>
  <c r="C281" i="74" s="1"/>
  <c r="I141" i="74"/>
  <c r="C141" i="74" s="1"/>
  <c r="C167" i="74"/>
  <c r="J195" i="74"/>
  <c r="M194" i="74"/>
  <c r="C212" i="74"/>
  <c r="C213" i="74"/>
  <c r="L216" i="74"/>
  <c r="N230" i="74"/>
  <c r="N194" i="74" s="1"/>
  <c r="D231" i="74"/>
  <c r="D230" i="74" s="1"/>
  <c r="I260" i="74"/>
  <c r="C261" i="74"/>
  <c r="O264" i="74"/>
  <c r="J270" i="74"/>
  <c r="J269" i="74" s="1"/>
  <c r="N270" i="74"/>
  <c r="N269" i="74" s="1"/>
  <c r="I284" i="74"/>
  <c r="I283" i="74" s="1"/>
  <c r="C285" i="74"/>
  <c r="C288" i="74"/>
  <c r="I286" i="74"/>
  <c r="C300" i="74"/>
  <c r="I196" i="74"/>
  <c r="C197" i="74"/>
  <c r="L205" i="74"/>
  <c r="C237" i="74"/>
  <c r="I235" i="74"/>
  <c r="O238" i="74"/>
  <c r="O231" i="74" s="1"/>
  <c r="C250" i="74"/>
  <c r="F246" i="74"/>
  <c r="C246" i="74" s="1"/>
  <c r="O252" i="74"/>
  <c r="O251" i="74" s="1"/>
  <c r="I276" i="74"/>
  <c r="C277" i="74"/>
  <c r="C280" i="74"/>
  <c r="O293" i="74"/>
  <c r="C198" i="74"/>
  <c r="C206" i="74"/>
  <c r="F205" i="74"/>
  <c r="O205" i="74"/>
  <c r="O216" i="74"/>
  <c r="C228" i="74"/>
  <c r="L227" i="74"/>
  <c r="C227" i="74" s="1"/>
  <c r="C232" i="74"/>
  <c r="C234" i="74"/>
  <c r="F233" i="74"/>
  <c r="C236" i="74"/>
  <c r="L235" i="74"/>
  <c r="C242" i="74"/>
  <c r="F238" i="74"/>
  <c r="C238" i="74" s="1"/>
  <c r="C249" i="74"/>
  <c r="I246" i="74"/>
  <c r="O260" i="74"/>
  <c r="C264" i="74"/>
  <c r="I264" i="74"/>
  <c r="C265" i="74"/>
  <c r="O270" i="74"/>
  <c r="O269" i="74" s="1"/>
  <c r="I272" i="74"/>
  <c r="I270" i="74" s="1"/>
  <c r="I269" i="74" s="1"/>
  <c r="C273" i="74"/>
  <c r="C297" i="74"/>
  <c r="F293" i="74"/>
  <c r="C284" i="74" l="1"/>
  <c r="O174" i="74"/>
  <c r="O173" i="74" s="1"/>
  <c r="L130" i="74"/>
  <c r="C144" i="74"/>
  <c r="G194" i="74"/>
  <c r="J230" i="74"/>
  <c r="J289" i="74" s="1"/>
  <c r="H52" i="74"/>
  <c r="D194" i="74"/>
  <c r="C235" i="74"/>
  <c r="L83" i="74"/>
  <c r="C80" i="74"/>
  <c r="K52" i="74"/>
  <c r="K194" i="74"/>
  <c r="K289" i="74"/>
  <c r="G52" i="74"/>
  <c r="G51" i="74" s="1"/>
  <c r="G289" i="74"/>
  <c r="C252" i="74"/>
  <c r="M289" i="74"/>
  <c r="L75" i="74"/>
  <c r="I83" i="74"/>
  <c r="O291" i="74"/>
  <c r="O76" i="74"/>
  <c r="L231" i="74"/>
  <c r="L230" i="74" s="1"/>
  <c r="O204" i="74"/>
  <c r="O195" i="74" s="1"/>
  <c r="C276" i="74"/>
  <c r="O83" i="74"/>
  <c r="H289" i="74"/>
  <c r="C136" i="74"/>
  <c r="O130" i="74"/>
  <c r="O53" i="74"/>
  <c r="H194" i="74"/>
  <c r="H51" i="74" s="1"/>
  <c r="K51" i="74"/>
  <c r="C260" i="74"/>
  <c r="D51" i="74"/>
  <c r="D290" i="74" s="1"/>
  <c r="C216" i="74"/>
  <c r="E75" i="74"/>
  <c r="E52" i="74" s="1"/>
  <c r="L53" i="74"/>
  <c r="C103" i="74"/>
  <c r="E194" i="74"/>
  <c r="M50" i="74"/>
  <c r="M290" i="74"/>
  <c r="G290" i="74"/>
  <c r="G50" i="74"/>
  <c r="F53" i="74"/>
  <c r="D50" i="74"/>
  <c r="N51" i="74"/>
  <c r="C84" i="74"/>
  <c r="F83" i="74"/>
  <c r="C83" i="74" s="1"/>
  <c r="C45" i="74"/>
  <c r="L204" i="74"/>
  <c r="L195" i="74" s="1"/>
  <c r="L194" i="74" s="1"/>
  <c r="I231" i="74"/>
  <c r="C283" i="74"/>
  <c r="C251" i="74"/>
  <c r="C151" i="74"/>
  <c r="C89" i="74"/>
  <c r="C188" i="74"/>
  <c r="F187" i="74"/>
  <c r="C187" i="74" s="1"/>
  <c r="I54" i="74"/>
  <c r="I53" i="74" s="1"/>
  <c r="C55" i="74"/>
  <c r="C116" i="74"/>
  <c r="C95" i="74"/>
  <c r="F231" i="74"/>
  <c r="C233" i="74"/>
  <c r="C205" i="74"/>
  <c r="F204" i="74"/>
  <c r="F195" i="74" s="1"/>
  <c r="I130" i="74"/>
  <c r="I75" i="74" s="1"/>
  <c r="F174" i="74"/>
  <c r="C175" i="74"/>
  <c r="C27" i="74"/>
  <c r="L26" i="74"/>
  <c r="I292" i="74"/>
  <c r="I291" i="74" s="1"/>
  <c r="C21" i="74"/>
  <c r="I20" i="74"/>
  <c r="N289" i="74"/>
  <c r="O259" i="74"/>
  <c r="O230" i="74" s="1"/>
  <c r="C272" i="74"/>
  <c r="C293" i="74"/>
  <c r="C270" i="74"/>
  <c r="F269" i="74"/>
  <c r="C269" i="74" s="1"/>
  <c r="I204" i="74"/>
  <c r="I195" i="74" s="1"/>
  <c r="I259" i="74"/>
  <c r="J194" i="74"/>
  <c r="J51" i="74" s="1"/>
  <c r="F165" i="74"/>
  <c r="C165" i="74" s="1"/>
  <c r="C166" i="74"/>
  <c r="C67" i="74"/>
  <c r="C69" i="74"/>
  <c r="C196" i="74"/>
  <c r="F20" i="74"/>
  <c r="F130" i="74"/>
  <c r="C131" i="74"/>
  <c r="C58" i="74"/>
  <c r="D289" i="74"/>
  <c r="F76" i="74"/>
  <c r="C77" i="74"/>
  <c r="O20" i="74"/>
  <c r="C259" i="74" l="1"/>
  <c r="H290" i="74"/>
  <c r="H50" i="74"/>
  <c r="O75" i="74"/>
  <c r="O52" i="74" s="1"/>
  <c r="O51" i="74" s="1"/>
  <c r="C130" i="74"/>
  <c r="L52" i="74"/>
  <c r="L51" i="74" s="1"/>
  <c r="E51" i="74"/>
  <c r="K50" i="74"/>
  <c r="K290" i="74"/>
  <c r="J50" i="74"/>
  <c r="J290" i="74"/>
  <c r="F75" i="74"/>
  <c r="C76" i="74"/>
  <c r="C195" i="74"/>
  <c r="C204" i="74"/>
  <c r="I52" i="74"/>
  <c r="L289" i="74"/>
  <c r="F173" i="74"/>
  <c r="C173" i="74" s="1"/>
  <c r="C174" i="74"/>
  <c r="C26" i="74"/>
  <c r="L20" i="74"/>
  <c r="C20" i="74" s="1"/>
  <c r="C53" i="74"/>
  <c r="F230" i="74"/>
  <c r="C231" i="74"/>
  <c r="I230" i="74"/>
  <c r="I289" i="74" s="1"/>
  <c r="N50" i="74"/>
  <c r="N290" i="74"/>
  <c r="C54" i="74"/>
  <c r="O194" i="74"/>
  <c r="C230" i="74" l="1"/>
  <c r="O289" i="74"/>
  <c r="F52" i="74"/>
  <c r="F51" i="74" s="1"/>
  <c r="C75" i="74"/>
  <c r="L50" i="74"/>
  <c r="L290" i="74"/>
  <c r="E290" i="74"/>
  <c r="E287" i="74"/>
  <c r="F194" i="74"/>
  <c r="I194" i="74"/>
  <c r="O50" i="74"/>
  <c r="O290" i="74"/>
  <c r="I51" i="74"/>
  <c r="C52" i="74" l="1"/>
  <c r="F287" i="74"/>
  <c r="E286" i="74"/>
  <c r="F290" i="74"/>
  <c r="C51" i="74"/>
  <c r="I290" i="74"/>
  <c r="I50" i="74"/>
  <c r="C194" i="74"/>
  <c r="E289" i="74" l="1"/>
  <c r="E292" i="74"/>
  <c r="E291" i="74" s="1"/>
  <c r="E50" i="74"/>
  <c r="F286" i="74"/>
  <c r="C287" i="74"/>
  <c r="C290" i="74"/>
  <c r="F289" i="74" l="1"/>
  <c r="C289" i="74" s="1"/>
  <c r="F50" i="74"/>
  <c r="C50" i="74" s="1"/>
  <c r="F292" i="74"/>
  <c r="C286" i="74"/>
  <c r="C292" i="74" l="1"/>
  <c r="F291" i="74"/>
  <c r="C291" i="74" s="1"/>
  <c r="F60" i="72" l="1"/>
  <c r="F59" i="72"/>
  <c r="F58" i="72"/>
  <c r="F57" i="72"/>
  <c r="F56" i="72"/>
  <c r="F55" i="72"/>
  <c r="F54" i="72"/>
  <c r="F53" i="72"/>
  <c r="F52" i="72"/>
  <c r="F51" i="72"/>
  <c r="F50" i="72"/>
  <c r="F49" i="72"/>
  <c r="F48" i="72"/>
  <c r="F47" i="72"/>
  <c r="F46" i="72"/>
  <c r="F45" i="72"/>
  <c r="F44" i="72"/>
  <c r="F43" i="72"/>
  <c r="F42" i="72"/>
  <c r="F41" i="72"/>
  <c r="F40" i="72"/>
  <c r="F39" i="72"/>
  <c r="F38" i="72"/>
  <c r="F37" i="72"/>
  <c r="F36" i="72"/>
  <c r="F35" i="72"/>
  <c r="F34" i="72"/>
  <c r="F33" i="72"/>
  <c r="F32" i="72"/>
  <c r="F31" i="72"/>
  <c r="F30" i="72"/>
  <c r="F29" i="72"/>
  <c r="F28" i="72"/>
  <c r="F27" i="72"/>
  <c r="F26" i="72"/>
  <c r="F25" i="72"/>
  <c r="F24" i="72"/>
  <c r="F23" i="72"/>
  <c r="F22" i="72"/>
  <c r="F21" i="72"/>
  <c r="F20" i="72"/>
  <c r="F19" i="72"/>
  <c r="F18" i="72"/>
  <c r="F17" i="72"/>
  <c r="F16" i="72"/>
  <c r="F15" i="72"/>
  <c r="F14" i="72"/>
  <c r="F13" i="72"/>
  <c r="E12" i="72"/>
  <c r="D12" i="72"/>
  <c r="F12" i="72" l="1"/>
  <c r="O301" i="71"/>
  <c r="L301" i="71"/>
  <c r="I301" i="71"/>
  <c r="F301" i="71"/>
  <c r="O300" i="71"/>
  <c r="L300" i="71"/>
  <c r="I300" i="71"/>
  <c r="F300" i="71"/>
  <c r="O299" i="71"/>
  <c r="L299" i="71"/>
  <c r="I299" i="71"/>
  <c r="F299" i="71"/>
  <c r="O298" i="71"/>
  <c r="L298" i="71"/>
  <c r="I298" i="71"/>
  <c r="F298" i="71"/>
  <c r="O297" i="71"/>
  <c r="L297" i="71"/>
  <c r="I297" i="71"/>
  <c r="F297" i="71"/>
  <c r="O296" i="71"/>
  <c r="L296" i="71"/>
  <c r="I296" i="71"/>
  <c r="F296" i="71"/>
  <c r="O295" i="71"/>
  <c r="L295" i="71"/>
  <c r="I295" i="71"/>
  <c r="F295" i="71"/>
  <c r="O294" i="71"/>
  <c r="L294" i="71"/>
  <c r="I294" i="71"/>
  <c r="F294" i="71"/>
  <c r="N293" i="71"/>
  <c r="M293" i="71"/>
  <c r="K293" i="71"/>
  <c r="J293" i="71"/>
  <c r="H293" i="71"/>
  <c r="G293" i="71"/>
  <c r="E293" i="71"/>
  <c r="D293" i="71"/>
  <c r="O288" i="71"/>
  <c r="L288" i="71"/>
  <c r="I288" i="71"/>
  <c r="F288" i="71"/>
  <c r="O287" i="71"/>
  <c r="O286" i="71" s="1"/>
  <c r="L287" i="71"/>
  <c r="L286" i="71" s="1"/>
  <c r="I287" i="71"/>
  <c r="F287" i="71"/>
  <c r="N286" i="71"/>
  <c r="M286" i="71"/>
  <c r="K286" i="71"/>
  <c r="J286" i="71"/>
  <c r="H286" i="71"/>
  <c r="G286" i="71"/>
  <c r="F286" i="71"/>
  <c r="E286" i="71"/>
  <c r="D286" i="71"/>
  <c r="O285" i="71"/>
  <c r="L285" i="71"/>
  <c r="L284" i="71" s="1"/>
  <c r="L283" i="71" s="1"/>
  <c r="I285" i="71"/>
  <c r="F285" i="71"/>
  <c r="O284" i="71"/>
  <c r="O283" i="71" s="1"/>
  <c r="N284" i="71"/>
  <c r="N283" i="71" s="1"/>
  <c r="M284" i="71"/>
  <c r="M283" i="71" s="1"/>
  <c r="K284" i="71"/>
  <c r="K283" i="71" s="1"/>
  <c r="J284" i="71"/>
  <c r="J283" i="71" s="1"/>
  <c r="I284" i="71"/>
  <c r="I283" i="71" s="1"/>
  <c r="H284" i="71"/>
  <c r="H283" i="71" s="1"/>
  <c r="G284" i="71"/>
  <c r="G283" i="71" s="1"/>
  <c r="E284" i="71"/>
  <c r="E283" i="71" s="1"/>
  <c r="D284" i="71"/>
  <c r="D283" i="71" s="1"/>
  <c r="O282" i="71"/>
  <c r="O281" i="71" s="1"/>
  <c r="L282" i="71"/>
  <c r="L281" i="71" s="1"/>
  <c r="I282" i="71"/>
  <c r="F282" i="71"/>
  <c r="N281" i="71"/>
  <c r="M281" i="71"/>
  <c r="K281" i="71"/>
  <c r="J281" i="71"/>
  <c r="I281" i="71"/>
  <c r="H281" i="71"/>
  <c r="G281" i="71"/>
  <c r="E281" i="71"/>
  <c r="D281" i="71"/>
  <c r="O280" i="71"/>
  <c r="L280" i="71"/>
  <c r="I280" i="71"/>
  <c r="F280" i="71"/>
  <c r="O279" i="71"/>
  <c r="L279" i="71"/>
  <c r="I279" i="71"/>
  <c r="F279" i="71"/>
  <c r="O278" i="71"/>
  <c r="L278" i="71"/>
  <c r="I278" i="71"/>
  <c r="F278" i="71"/>
  <c r="C278" i="71" s="1"/>
  <c r="O277" i="71"/>
  <c r="L277" i="71"/>
  <c r="I277" i="71"/>
  <c r="I276" i="71" s="1"/>
  <c r="F277" i="71"/>
  <c r="N276" i="71"/>
  <c r="M276" i="71"/>
  <c r="K276" i="71"/>
  <c r="J276" i="71"/>
  <c r="H276" i="71"/>
  <c r="G276" i="71"/>
  <c r="E276" i="71"/>
  <c r="D276" i="71"/>
  <c r="O275" i="71"/>
  <c r="L275" i="71"/>
  <c r="I275" i="71"/>
  <c r="F275" i="71"/>
  <c r="O274" i="71"/>
  <c r="L274" i="71"/>
  <c r="I274" i="71"/>
  <c r="F274" i="71"/>
  <c r="C274" i="71" s="1"/>
  <c r="O273" i="71"/>
  <c r="L273" i="71"/>
  <c r="L272" i="71" s="1"/>
  <c r="I273" i="71"/>
  <c r="I272" i="71" s="1"/>
  <c r="F273" i="71"/>
  <c r="N272" i="71"/>
  <c r="N270" i="71" s="1"/>
  <c r="M272" i="71"/>
  <c r="M270" i="71" s="1"/>
  <c r="K272" i="71"/>
  <c r="J272" i="71"/>
  <c r="J270" i="71" s="1"/>
  <c r="J269" i="71" s="1"/>
  <c r="H272" i="71"/>
  <c r="H270" i="71" s="1"/>
  <c r="H269" i="71" s="1"/>
  <c r="G272" i="71"/>
  <c r="E272" i="71"/>
  <c r="D272" i="71"/>
  <c r="O271" i="71"/>
  <c r="L271" i="71"/>
  <c r="I271" i="71"/>
  <c r="F271" i="71"/>
  <c r="O268" i="71"/>
  <c r="L268" i="71"/>
  <c r="I268" i="71"/>
  <c r="F268" i="71"/>
  <c r="O267" i="71"/>
  <c r="L267" i="71"/>
  <c r="I267" i="71"/>
  <c r="F267" i="71"/>
  <c r="O266" i="71"/>
  <c r="L266" i="71"/>
  <c r="I266" i="71"/>
  <c r="C266" i="71" s="1"/>
  <c r="F266" i="71"/>
  <c r="O265" i="71"/>
  <c r="L265" i="71"/>
  <c r="I265" i="71"/>
  <c r="F265" i="71"/>
  <c r="N264" i="71"/>
  <c r="M264" i="71"/>
  <c r="K264" i="71"/>
  <c r="J264" i="71"/>
  <c r="H264" i="71"/>
  <c r="G264" i="71"/>
  <c r="E264" i="71"/>
  <c r="D264" i="71"/>
  <c r="O263" i="71"/>
  <c r="L263" i="71"/>
  <c r="I263" i="71"/>
  <c r="F263" i="71"/>
  <c r="O262" i="71"/>
  <c r="L262" i="71"/>
  <c r="I262" i="71"/>
  <c r="F262" i="71"/>
  <c r="O261" i="71"/>
  <c r="L261" i="71"/>
  <c r="I261" i="71"/>
  <c r="F261" i="71"/>
  <c r="N260" i="71"/>
  <c r="N259" i="71" s="1"/>
  <c r="M260" i="71"/>
  <c r="K260" i="71"/>
  <c r="K259" i="71" s="1"/>
  <c r="J260" i="71"/>
  <c r="H260" i="71"/>
  <c r="G260" i="71"/>
  <c r="G259" i="71" s="1"/>
  <c r="E260" i="71"/>
  <c r="E259" i="71" s="1"/>
  <c r="D260" i="71"/>
  <c r="D259" i="71" s="1"/>
  <c r="O258" i="71"/>
  <c r="L258" i="71"/>
  <c r="I258" i="71"/>
  <c r="F258" i="71"/>
  <c r="O257" i="71"/>
  <c r="L257" i="71"/>
  <c r="I257" i="71"/>
  <c r="F257" i="71"/>
  <c r="O256" i="71"/>
  <c r="L256" i="71"/>
  <c r="I256" i="71"/>
  <c r="F256" i="71"/>
  <c r="O255" i="71"/>
  <c r="L255" i="71"/>
  <c r="I255" i="71"/>
  <c r="F255" i="71"/>
  <c r="O254" i="71"/>
  <c r="L254" i="71"/>
  <c r="I254" i="71"/>
  <c r="F254" i="71"/>
  <c r="O253" i="71"/>
  <c r="L253" i="71"/>
  <c r="I253" i="71"/>
  <c r="F253" i="71"/>
  <c r="N252" i="71"/>
  <c r="M252" i="71"/>
  <c r="M251" i="71" s="1"/>
  <c r="K252" i="71"/>
  <c r="K251" i="71" s="1"/>
  <c r="J252" i="71"/>
  <c r="H252" i="71"/>
  <c r="H251" i="71" s="1"/>
  <c r="G252" i="71"/>
  <c r="G251" i="71" s="1"/>
  <c r="E252" i="71"/>
  <c r="E251" i="71" s="1"/>
  <c r="D252" i="71"/>
  <c r="N251" i="71"/>
  <c r="J251" i="71"/>
  <c r="D251" i="71"/>
  <c r="O250" i="71"/>
  <c r="L250" i="71"/>
  <c r="I250" i="71"/>
  <c r="F250" i="71"/>
  <c r="O249" i="71"/>
  <c r="L249" i="71"/>
  <c r="I249" i="71"/>
  <c r="F249" i="71"/>
  <c r="O248" i="71"/>
  <c r="L248" i="71"/>
  <c r="I248" i="71"/>
  <c r="F248" i="71"/>
  <c r="O247" i="71"/>
  <c r="L247" i="71"/>
  <c r="I247" i="71"/>
  <c r="F247" i="71"/>
  <c r="N246" i="71"/>
  <c r="M246" i="71"/>
  <c r="K246" i="71"/>
  <c r="J246" i="71"/>
  <c r="H246" i="71"/>
  <c r="G246" i="71"/>
  <c r="E246" i="71"/>
  <c r="D246" i="71"/>
  <c r="O245" i="71"/>
  <c r="L245" i="71"/>
  <c r="I245" i="71"/>
  <c r="F245" i="71"/>
  <c r="O244" i="71"/>
  <c r="L244" i="71"/>
  <c r="I244" i="71"/>
  <c r="F244" i="71"/>
  <c r="O243" i="71"/>
  <c r="L243" i="71"/>
  <c r="I243" i="71"/>
  <c r="F243" i="71"/>
  <c r="O242" i="71"/>
  <c r="L242" i="71"/>
  <c r="I242" i="71"/>
  <c r="F242" i="71"/>
  <c r="O241" i="71"/>
  <c r="L241" i="71"/>
  <c r="I241" i="71"/>
  <c r="F241" i="71"/>
  <c r="O240" i="71"/>
  <c r="L240" i="71"/>
  <c r="I240" i="71"/>
  <c r="F240" i="71"/>
  <c r="O239" i="71"/>
  <c r="L239" i="71"/>
  <c r="I239" i="71"/>
  <c r="F239" i="71"/>
  <c r="N238" i="71"/>
  <c r="M238" i="71"/>
  <c r="K238" i="71"/>
  <c r="J238" i="71"/>
  <c r="H238" i="71"/>
  <c r="G238" i="71"/>
  <c r="E238" i="71"/>
  <c r="D238" i="71"/>
  <c r="O237" i="71"/>
  <c r="L237" i="71"/>
  <c r="I237" i="71"/>
  <c r="F237" i="71"/>
  <c r="O236" i="71"/>
  <c r="L236" i="71"/>
  <c r="L235" i="71" s="1"/>
  <c r="I236" i="71"/>
  <c r="I235" i="71" s="1"/>
  <c r="F236" i="71"/>
  <c r="O235" i="71"/>
  <c r="N235" i="71"/>
  <c r="M235" i="71"/>
  <c r="K235" i="71"/>
  <c r="J235" i="71"/>
  <c r="H235" i="71"/>
  <c r="G235" i="71"/>
  <c r="E235" i="71"/>
  <c r="D235" i="71"/>
  <c r="O234" i="71"/>
  <c r="O233" i="71" s="1"/>
  <c r="L234" i="71"/>
  <c r="I234" i="71"/>
  <c r="I233" i="71" s="1"/>
  <c r="F234" i="71"/>
  <c r="N233" i="71"/>
  <c r="M233" i="71"/>
  <c r="L233" i="71"/>
  <c r="K233" i="71"/>
  <c r="J233" i="71"/>
  <c r="H233" i="71"/>
  <c r="G233" i="71"/>
  <c r="E233" i="71"/>
  <c r="D233" i="71"/>
  <c r="O232" i="71"/>
  <c r="L232" i="71"/>
  <c r="I232" i="71"/>
  <c r="F232" i="71"/>
  <c r="O229" i="71"/>
  <c r="L229" i="71"/>
  <c r="I229" i="71"/>
  <c r="F229" i="71"/>
  <c r="O228" i="71"/>
  <c r="O227" i="71" s="1"/>
  <c r="L228" i="71"/>
  <c r="L227" i="71" s="1"/>
  <c r="I228" i="71"/>
  <c r="F228" i="71"/>
  <c r="N227" i="71"/>
  <c r="M227" i="71"/>
  <c r="K227" i="71"/>
  <c r="J227" i="71"/>
  <c r="H227" i="71"/>
  <c r="G227" i="71"/>
  <c r="F227" i="71"/>
  <c r="E227" i="71"/>
  <c r="D227" i="71"/>
  <c r="O226" i="71"/>
  <c r="L226" i="71"/>
  <c r="I226" i="71"/>
  <c r="F226" i="71"/>
  <c r="O225" i="71"/>
  <c r="L225" i="71"/>
  <c r="I225" i="71"/>
  <c r="F225" i="71"/>
  <c r="O224" i="71"/>
  <c r="L224" i="71"/>
  <c r="I224" i="71"/>
  <c r="F224" i="71"/>
  <c r="O223" i="71"/>
  <c r="L223" i="71"/>
  <c r="I223" i="71"/>
  <c r="F223" i="71"/>
  <c r="O222" i="71"/>
  <c r="L222" i="71"/>
  <c r="I222" i="71"/>
  <c r="F222" i="71"/>
  <c r="O221" i="71"/>
  <c r="L221" i="71"/>
  <c r="I221" i="71"/>
  <c r="F221" i="71"/>
  <c r="O220" i="71"/>
  <c r="L220" i="71"/>
  <c r="I220" i="71"/>
  <c r="F220" i="71"/>
  <c r="O219" i="71"/>
  <c r="L219" i="71"/>
  <c r="I219" i="71"/>
  <c r="F219" i="71"/>
  <c r="O218" i="71"/>
  <c r="L218" i="71"/>
  <c r="I218" i="71"/>
  <c r="F218" i="71"/>
  <c r="O217" i="71"/>
  <c r="L217" i="71"/>
  <c r="I217" i="71"/>
  <c r="F217" i="71"/>
  <c r="N216" i="71"/>
  <c r="M216" i="71"/>
  <c r="K216" i="71"/>
  <c r="J216" i="71"/>
  <c r="I216" i="71"/>
  <c r="H216" i="71"/>
  <c r="G216" i="71"/>
  <c r="E216" i="71"/>
  <c r="D216" i="71"/>
  <c r="O215" i="71"/>
  <c r="L215" i="71"/>
  <c r="I215" i="71"/>
  <c r="F215" i="71"/>
  <c r="O214" i="71"/>
  <c r="L214" i="71"/>
  <c r="I214" i="71"/>
  <c r="F214" i="71"/>
  <c r="O213" i="71"/>
  <c r="L213" i="71"/>
  <c r="I213" i="71"/>
  <c r="F213" i="71"/>
  <c r="O212" i="71"/>
  <c r="L212" i="71"/>
  <c r="I212" i="71"/>
  <c r="F212" i="71"/>
  <c r="O211" i="71"/>
  <c r="L211" i="71"/>
  <c r="I211" i="71"/>
  <c r="F211" i="71"/>
  <c r="O210" i="71"/>
  <c r="L210" i="71"/>
  <c r="I210" i="71"/>
  <c r="F210" i="71"/>
  <c r="O209" i="71"/>
  <c r="L209" i="71"/>
  <c r="I209" i="71"/>
  <c r="F209" i="71"/>
  <c r="O208" i="71"/>
  <c r="L208" i="71"/>
  <c r="I208" i="71"/>
  <c r="F208" i="71"/>
  <c r="O207" i="71"/>
  <c r="L207" i="71"/>
  <c r="I207" i="71"/>
  <c r="F207" i="71"/>
  <c r="O206" i="71"/>
  <c r="L206" i="71"/>
  <c r="L205" i="71" s="1"/>
  <c r="I206" i="71"/>
  <c r="F206" i="71"/>
  <c r="N205" i="71"/>
  <c r="M205" i="71"/>
  <c r="K205" i="71"/>
  <c r="K204" i="71" s="1"/>
  <c r="J205" i="71"/>
  <c r="H205" i="71"/>
  <c r="G205" i="71"/>
  <c r="E205" i="71"/>
  <c r="D205" i="71"/>
  <c r="O203" i="71"/>
  <c r="L203" i="71"/>
  <c r="I203" i="71"/>
  <c r="F203" i="71"/>
  <c r="O202" i="71"/>
  <c r="L202" i="71"/>
  <c r="I202" i="71"/>
  <c r="F202" i="71"/>
  <c r="O201" i="71"/>
  <c r="L201" i="71"/>
  <c r="I201" i="71"/>
  <c r="F201" i="71"/>
  <c r="O200" i="71"/>
  <c r="L200" i="71"/>
  <c r="I200" i="71"/>
  <c r="F200" i="71"/>
  <c r="O199" i="71"/>
  <c r="L199" i="71"/>
  <c r="L198" i="71" s="1"/>
  <c r="I199" i="71"/>
  <c r="F199" i="71"/>
  <c r="O198" i="71"/>
  <c r="N198" i="71"/>
  <c r="N196" i="71" s="1"/>
  <c r="M198" i="71"/>
  <c r="K198" i="71"/>
  <c r="K196" i="71" s="1"/>
  <c r="J198" i="71"/>
  <c r="J196" i="71" s="1"/>
  <c r="H198" i="71"/>
  <c r="H196" i="71" s="1"/>
  <c r="G198" i="71"/>
  <c r="G196" i="71" s="1"/>
  <c r="F198" i="71"/>
  <c r="E198" i="71"/>
  <c r="E196" i="71" s="1"/>
  <c r="D198" i="71"/>
  <c r="O197" i="71"/>
  <c r="L197" i="71"/>
  <c r="I197" i="71"/>
  <c r="F197" i="71"/>
  <c r="M196" i="71"/>
  <c r="D196" i="71"/>
  <c r="O193" i="71"/>
  <c r="L193" i="71"/>
  <c r="L192" i="71" s="1"/>
  <c r="L191" i="71" s="1"/>
  <c r="I193" i="71"/>
  <c r="F193" i="71"/>
  <c r="O192" i="71"/>
  <c r="O191" i="71" s="1"/>
  <c r="N192" i="71"/>
  <c r="N191" i="71" s="1"/>
  <c r="M192" i="71"/>
  <c r="M191" i="71" s="1"/>
  <c r="K192" i="71"/>
  <c r="J192" i="71"/>
  <c r="J191" i="71" s="1"/>
  <c r="I192" i="71"/>
  <c r="I191" i="71" s="1"/>
  <c r="H192" i="71"/>
  <c r="G192" i="71"/>
  <c r="G191" i="71" s="1"/>
  <c r="E192" i="71"/>
  <c r="E191" i="71" s="1"/>
  <c r="D192" i="71"/>
  <c r="D191" i="71" s="1"/>
  <c r="K191" i="71"/>
  <c r="H191" i="71"/>
  <c r="O190" i="71"/>
  <c r="L190" i="71"/>
  <c r="I190" i="71"/>
  <c r="F190" i="71"/>
  <c r="O189" i="71"/>
  <c r="L189" i="71"/>
  <c r="L188" i="71" s="1"/>
  <c r="I189" i="71"/>
  <c r="I188" i="71" s="1"/>
  <c r="I187" i="71" s="1"/>
  <c r="F189" i="71"/>
  <c r="N188" i="71"/>
  <c r="M188" i="71"/>
  <c r="K188" i="71"/>
  <c r="J188" i="71"/>
  <c r="H188" i="71"/>
  <c r="G188" i="71"/>
  <c r="E188" i="71"/>
  <c r="E187" i="71" s="1"/>
  <c r="D188" i="71"/>
  <c r="O186" i="71"/>
  <c r="L186" i="71"/>
  <c r="I186" i="71"/>
  <c r="F186" i="71"/>
  <c r="O185" i="71"/>
  <c r="L185" i="71"/>
  <c r="I185" i="71"/>
  <c r="I184" i="71" s="1"/>
  <c r="F185" i="71"/>
  <c r="N184" i="71"/>
  <c r="M184" i="71"/>
  <c r="K184" i="71"/>
  <c r="J184" i="71"/>
  <c r="H184" i="71"/>
  <c r="G184" i="71"/>
  <c r="E184" i="71"/>
  <c r="D184" i="71"/>
  <c r="O183" i="71"/>
  <c r="L183" i="71"/>
  <c r="I183" i="71"/>
  <c r="F183" i="71"/>
  <c r="O182" i="71"/>
  <c r="L182" i="71"/>
  <c r="I182" i="71"/>
  <c r="F182" i="71"/>
  <c r="O181" i="71"/>
  <c r="L181" i="71"/>
  <c r="I181" i="71"/>
  <c r="F181" i="71"/>
  <c r="O180" i="71"/>
  <c r="L180" i="71"/>
  <c r="I180" i="71"/>
  <c r="F180" i="71"/>
  <c r="F179" i="71" s="1"/>
  <c r="N179" i="71"/>
  <c r="M179" i="71"/>
  <c r="K179" i="71"/>
  <c r="J179" i="71"/>
  <c r="H179" i="71"/>
  <c r="G179" i="71"/>
  <c r="E179" i="71"/>
  <c r="D179" i="71"/>
  <c r="O178" i="71"/>
  <c r="L178" i="71"/>
  <c r="I178" i="71"/>
  <c r="F178" i="71"/>
  <c r="O177" i="71"/>
  <c r="L177" i="71"/>
  <c r="I177" i="71"/>
  <c r="F177" i="71"/>
  <c r="O176" i="71"/>
  <c r="L176" i="71"/>
  <c r="I176" i="71"/>
  <c r="F176" i="71"/>
  <c r="F175" i="71" s="1"/>
  <c r="N175" i="71"/>
  <c r="N174" i="71" s="1"/>
  <c r="N173" i="71" s="1"/>
  <c r="M175" i="71"/>
  <c r="M174" i="71" s="1"/>
  <c r="M173" i="71" s="1"/>
  <c r="K175" i="71"/>
  <c r="J175" i="71"/>
  <c r="H175" i="71"/>
  <c r="H174" i="71" s="1"/>
  <c r="H173" i="71" s="1"/>
  <c r="G175" i="71"/>
  <c r="G174" i="71" s="1"/>
  <c r="G173" i="71" s="1"/>
  <c r="E175" i="71"/>
  <c r="E174" i="71" s="1"/>
  <c r="D175" i="71"/>
  <c r="D174" i="71" s="1"/>
  <c r="O172" i="71"/>
  <c r="L172" i="71"/>
  <c r="I172" i="71"/>
  <c r="F172" i="71"/>
  <c r="O171" i="71"/>
  <c r="L171" i="71"/>
  <c r="I171" i="71"/>
  <c r="F171" i="71"/>
  <c r="O170" i="71"/>
  <c r="L170" i="71"/>
  <c r="I170" i="71"/>
  <c r="F170" i="71"/>
  <c r="O169" i="71"/>
  <c r="L169" i="71"/>
  <c r="I169" i="71"/>
  <c r="F169" i="71"/>
  <c r="O168" i="71"/>
  <c r="L168" i="71"/>
  <c r="I168" i="71"/>
  <c r="F168" i="71"/>
  <c r="O167" i="71"/>
  <c r="L167" i="71"/>
  <c r="I167" i="71"/>
  <c r="F167" i="71"/>
  <c r="F166" i="71" s="1"/>
  <c r="F165" i="71" s="1"/>
  <c r="N166" i="71"/>
  <c r="M166" i="71"/>
  <c r="M165" i="71" s="1"/>
  <c r="K166" i="71"/>
  <c r="K165" i="71" s="1"/>
  <c r="J166" i="71"/>
  <c r="J165" i="71" s="1"/>
  <c r="H166" i="71"/>
  <c r="H165" i="71" s="1"/>
  <c r="G166" i="71"/>
  <c r="G165" i="71" s="1"/>
  <c r="E166" i="71"/>
  <c r="E165" i="71" s="1"/>
  <c r="D166" i="71"/>
  <c r="D165" i="71" s="1"/>
  <c r="N165" i="71"/>
  <c r="O164" i="71"/>
  <c r="L164" i="71"/>
  <c r="I164" i="71"/>
  <c r="F164" i="71"/>
  <c r="O163" i="71"/>
  <c r="L163" i="71"/>
  <c r="I163" i="71"/>
  <c r="F163" i="71"/>
  <c r="O162" i="71"/>
  <c r="L162" i="71"/>
  <c r="I162" i="71"/>
  <c r="F162" i="71"/>
  <c r="O161" i="71"/>
  <c r="L161" i="71"/>
  <c r="L160" i="71" s="1"/>
  <c r="I161" i="71"/>
  <c r="F161" i="71"/>
  <c r="N160" i="71"/>
  <c r="M160" i="71"/>
  <c r="K160" i="71"/>
  <c r="J160" i="71"/>
  <c r="H160" i="71"/>
  <c r="G160" i="71"/>
  <c r="E160" i="71"/>
  <c r="D160" i="71"/>
  <c r="O159" i="71"/>
  <c r="L159" i="71"/>
  <c r="I159" i="71"/>
  <c r="F159" i="71"/>
  <c r="O158" i="71"/>
  <c r="L158" i="71"/>
  <c r="I158" i="71"/>
  <c r="F158" i="71"/>
  <c r="C158" i="71" s="1"/>
  <c r="O157" i="71"/>
  <c r="L157" i="71"/>
  <c r="I157" i="71"/>
  <c r="F157" i="71"/>
  <c r="O156" i="71"/>
  <c r="L156" i="71"/>
  <c r="I156" i="71"/>
  <c r="F156" i="71"/>
  <c r="O155" i="71"/>
  <c r="L155" i="71"/>
  <c r="I155" i="71"/>
  <c r="F155" i="71"/>
  <c r="O154" i="71"/>
  <c r="L154" i="71"/>
  <c r="I154" i="71"/>
  <c r="F154" i="71"/>
  <c r="O153" i="71"/>
  <c r="L153" i="71"/>
  <c r="I153" i="71"/>
  <c r="F153" i="71"/>
  <c r="O152" i="71"/>
  <c r="L152" i="71"/>
  <c r="I152" i="71"/>
  <c r="F152" i="71"/>
  <c r="F151" i="71" s="1"/>
  <c r="N151" i="71"/>
  <c r="M151" i="71"/>
  <c r="K151" i="71"/>
  <c r="J151" i="71"/>
  <c r="H151" i="71"/>
  <c r="G151" i="71"/>
  <c r="E151" i="71"/>
  <c r="D151" i="71"/>
  <c r="O150" i="71"/>
  <c r="L150" i="71"/>
  <c r="I150" i="71"/>
  <c r="F150" i="71"/>
  <c r="O149" i="71"/>
  <c r="L149" i="71"/>
  <c r="I149" i="71"/>
  <c r="F149" i="71"/>
  <c r="O148" i="71"/>
  <c r="L148" i="71"/>
  <c r="I148" i="71"/>
  <c r="F148" i="71"/>
  <c r="O147" i="71"/>
  <c r="L147" i="71"/>
  <c r="I147" i="71"/>
  <c r="F147" i="71"/>
  <c r="O146" i="71"/>
  <c r="L146" i="71"/>
  <c r="I146" i="71"/>
  <c r="F146" i="71"/>
  <c r="O145" i="71"/>
  <c r="L145" i="71"/>
  <c r="I145" i="71"/>
  <c r="F145" i="71"/>
  <c r="N144" i="71"/>
  <c r="M144" i="71"/>
  <c r="K144" i="71"/>
  <c r="J144" i="71"/>
  <c r="H144" i="71"/>
  <c r="G144" i="71"/>
  <c r="E144" i="71"/>
  <c r="D144" i="71"/>
  <c r="O143" i="71"/>
  <c r="L143" i="71"/>
  <c r="I143" i="71"/>
  <c r="F143" i="71"/>
  <c r="O142" i="71"/>
  <c r="O141" i="71" s="1"/>
  <c r="L142" i="71"/>
  <c r="I142" i="71"/>
  <c r="I141" i="71" s="1"/>
  <c r="F142" i="71"/>
  <c r="F141" i="71" s="1"/>
  <c r="N141" i="71"/>
  <c r="M141" i="71"/>
  <c r="K141" i="71"/>
  <c r="J141" i="71"/>
  <c r="H141" i="71"/>
  <c r="G141" i="71"/>
  <c r="E141" i="71"/>
  <c r="D141" i="71"/>
  <c r="O140" i="71"/>
  <c r="L140" i="71"/>
  <c r="I140" i="71"/>
  <c r="F140" i="71"/>
  <c r="O139" i="71"/>
  <c r="L139" i="71"/>
  <c r="I139" i="71"/>
  <c r="F139" i="71"/>
  <c r="O138" i="71"/>
  <c r="L138" i="71"/>
  <c r="I138" i="71"/>
  <c r="F138" i="71"/>
  <c r="O137" i="71"/>
  <c r="L137" i="71"/>
  <c r="I137" i="71"/>
  <c r="F137" i="71"/>
  <c r="N136" i="71"/>
  <c r="M136" i="71"/>
  <c r="K136" i="71"/>
  <c r="J136" i="71"/>
  <c r="I136" i="71"/>
  <c r="H136" i="71"/>
  <c r="G136" i="71"/>
  <c r="E136" i="71"/>
  <c r="D136" i="71"/>
  <c r="O135" i="71"/>
  <c r="L135" i="71"/>
  <c r="I135" i="71"/>
  <c r="F135" i="71"/>
  <c r="O134" i="71"/>
  <c r="L134" i="71"/>
  <c r="I134" i="71"/>
  <c r="F134" i="71"/>
  <c r="O133" i="71"/>
  <c r="L133" i="71"/>
  <c r="I133" i="71"/>
  <c r="F133" i="71"/>
  <c r="O132" i="71"/>
  <c r="L132" i="71"/>
  <c r="I132" i="71"/>
  <c r="F132" i="71"/>
  <c r="F131" i="71" s="1"/>
  <c r="N131" i="71"/>
  <c r="M131" i="71"/>
  <c r="K131" i="71"/>
  <c r="K130" i="71" s="1"/>
  <c r="J131" i="71"/>
  <c r="H131" i="71"/>
  <c r="G131" i="71"/>
  <c r="G130" i="71" s="1"/>
  <c r="E131" i="71"/>
  <c r="D131" i="71"/>
  <c r="O129" i="71"/>
  <c r="L129" i="71"/>
  <c r="L128" i="71" s="1"/>
  <c r="I129" i="71"/>
  <c r="I128" i="71" s="1"/>
  <c r="F129" i="71"/>
  <c r="O128" i="71"/>
  <c r="N128" i="71"/>
  <c r="M128" i="71"/>
  <c r="K128" i="71"/>
  <c r="J128" i="71"/>
  <c r="H128" i="71"/>
  <c r="G128" i="71"/>
  <c r="E128" i="71"/>
  <c r="D128" i="71"/>
  <c r="O127" i="71"/>
  <c r="L127" i="71"/>
  <c r="I127" i="71"/>
  <c r="F127" i="71"/>
  <c r="O126" i="71"/>
  <c r="L126" i="71"/>
  <c r="I126" i="71"/>
  <c r="F126" i="71"/>
  <c r="O125" i="71"/>
  <c r="L125" i="71"/>
  <c r="I125" i="71"/>
  <c r="F125" i="71"/>
  <c r="O124" i="71"/>
  <c r="L124" i="71"/>
  <c r="I124" i="71"/>
  <c r="F124" i="71"/>
  <c r="O123" i="71"/>
  <c r="L123" i="71"/>
  <c r="I123" i="71"/>
  <c r="F123" i="71"/>
  <c r="N122" i="71"/>
  <c r="M122" i="71"/>
  <c r="K122" i="71"/>
  <c r="J122" i="71"/>
  <c r="H122" i="71"/>
  <c r="G122" i="71"/>
  <c r="E122" i="71"/>
  <c r="D122" i="71"/>
  <c r="O121" i="71"/>
  <c r="L121" i="71"/>
  <c r="I121" i="71"/>
  <c r="F121" i="71"/>
  <c r="O120" i="71"/>
  <c r="L120" i="71"/>
  <c r="I120" i="71"/>
  <c r="F120" i="71"/>
  <c r="O119" i="71"/>
  <c r="L119" i="71"/>
  <c r="I119" i="71"/>
  <c r="F119" i="71"/>
  <c r="O118" i="71"/>
  <c r="L118" i="71"/>
  <c r="I118" i="71"/>
  <c r="F118" i="71"/>
  <c r="O117" i="71"/>
  <c r="L117" i="71"/>
  <c r="I117" i="71"/>
  <c r="E117" i="71"/>
  <c r="F117" i="71" s="1"/>
  <c r="N116" i="71"/>
  <c r="M116" i="71"/>
  <c r="K116" i="71"/>
  <c r="J116" i="71"/>
  <c r="H116" i="71"/>
  <c r="G116" i="71"/>
  <c r="D116" i="71"/>
  <c r="O115" i="71"/>
  <c r="L115" i="71"/>
  <c r="I115" i="71"/>
  <c r="F115" i="71"/>
  <c r="O114" i="71"/>
  <c r="L114" i="71"/>
  <c r="I114" i="71"/>
  <c r="F114" i="71"/>
  <c r="O113" i="71"/>
  <c r="O112" i="71" s="1"/>
  <c r="L113" i="71"/>
  <c r="L112" i="71" s="1"/>
  <c r="I113" i="71"/>
  <c r="I112" i="71" s="1"/>
  <c r="F113" i="71"/>
  <c r="N112" i="71"/>
  <c r="M112" i="71"/>
  <c r="K112" i="71"/>
  <c r="J112" i="71"/>
  <c r="H112" i="71"/>
  <c r="G112" i="71"/>
  <c r="F112" i="71"/>
  <c r="E112" i="71"/>
  <c r="D112" i="71"/>
  <c r="O111" i="71"/>
  <c r="L111" i="71"/>
  <c r="I111" i="71"/>
  <c r="F111" i="71"/>
  <c r="O110" i="71"/>
  <c r="L110" i="71"/>
  <c r="I110" i="71"/>
  <c r="F110" i="71"/>
  <c r="O109" i="71"/>
  <c r="L109" i="71"/>
  <c r="I109" i="71"/>
  <c r="F109" i="71"/>
  <c r="O108" i="71"/>
  <c r="L108" i="71"/>
  <c r="I108" i="71"/>
  <c r="F108" i="71"/>
  <c r="O107" i="71"/>
  <c r="L107" i="71"/>
  <c r="I107" i="71"/>
  <c r="F107" i="71"/>
  <c r="O106" i="71"/>
  <c r="L106" i="71"/>
  <c r="I106" i="71"/>
  <c r="F106" i="71"/>
  <c r="O105" i="71"/>
  <c r="L105" i="71"/>
  <c r="I105" i="71"/>
  <c r="F105" i="71"/>
  <c r="O104" i="71"/>
  <c r="L104" i="71"/>
  <c r="I104" i="71"/>
  <c r="I103" i="71" s="1"/>
  <c r="F104" i="71"/>
  <c r="N103" i="71"/>
  <c r="M103" i="71"/>
  <c r="K103" i="71"/>
  <c r="J103" i="71"/>
  <c r="H103" i="71"/>
  <c r="G103" i="71"/>
  <c r="E103" i="71"/>
  <c r="D103" i="71"/>
  <c r="O102" i="71"/>
  <c r="L102" i="71"/>
  <c r="I102" i="71"/>
  <c r="F102" i="71"/>
  <c r="O101" i="71"/>
  <c r="L101" i="71"/>
  <c r="I101" i="71"/>
  <c r="F101" i="71"/>
  <c r="O100" i="71"/>
  <c r="L100" i="71"/>
  <c r="I100" i="71"/>
  <c r="F100" i="71"/>
  <c r="O99" i="71"/>
  <c r="L99" i="71"/>
  <c r="I99" i="71"/>
  <c r="F99" i="71"/>
  <c r="O98" i="71"/>
  <c r="L98" i="71"/>
  <c r="I98" i="71"/>
  <c r="F98" i="71"/>
  <c r="O97" i="71"/>
  <c r="L97" i="71"/>
  <c r="I97" i="71"/>
  <c r="F97" i="71"/>
  <c r="O96" i="71"/>
  <c r="L96" i="71"/>
  <c r="I96" i="71"/>
  <c r="F96" i="71"/>
  <c r="N95" i="71"/>
  <c r="M95" i="71"/>
  <c r="K95" i="71"/>
  <c r="J95" i="71"/>
  <c r="H95" i="71"/>
  <c r="G95" i="71"/>
  <c r="E95" i="71"/>
  <c r="D95" i="71"/>
  <c r="O94" i="71"/>
  <c r="L94" i="71"/>
  <c r="I94" i="71"/>
  <c r="F94" i="71"/>
  <c r="O93" i="71"/>
  <c r="L93" i="71"/>
  <c r="I93" i="71"/>
  <c r="F93" i="71"/>
  <c r="O92" i="71"/>
  <c r="L92" i="71"/>
  <c r="I92" i="71"/>
  <c r="F92" i="71"/>
  <c r="O91" i="71"/>
  <c r="L91" i="71"/>
  <c r="I91" i="71"/>
  <c r="F91" i="71"/>
  <c r="O90" i="71"/>
  <c r="L90" i="71"/>
  <c r="I90" i="71"/>
  <c r="F90" i="71"/>
  <c r="N89" i="71"/>
  <c r="M89" i="71"/>
  <c r="K89" i="71"/>
  <c r="J89" i="71"/>
  <c r="H89" i="71"/>
  <c r="G89" i="71"/>
  <c r="E89" i="71"/>
  <c r="D89" i="71"/>
  <c r="O88" i="71"/>
  <c r="L88" i="71"/>
  <c r="I88" i="71"/>
  <c r="F88" i="71"/>
  <c r="O87" i="71"/>
  <c r="L87" i="71"/>
  <c r="I87" i="71"/>
  <c r="F87" i="71"/>
  <c r="O86" i="71"/>
  <c r="L86" i="71"/>
  <c r="I86" i="71"/>
  <c r="F86" i="71"/>
  <c r="O85" i="71"/>
  <c r="L85" i="71"/>
  <c r="L84" i="71" s="1"/>
  <c r="I85" i="71"/>
  <c r="I84" i="71" s="1"/>
  <c r="F85" i="71"/>
  <c r="O84" i="71"/>
  <c r="N84" i="71"/>
  <c r="M84" i="71"/>
  <c r="K84" i="71"/>
  <c r="J84" i="71"/>
  <c r="H84" i="71"/>
  <c r="G84" i="71"/>
  <c r="E84" i="71"/>
  <c r="D84" i="71"/>
  <c r="D83" i="71" s="1"/>
  <c r="O82" i="71"/>
  <c r="L82" i="71"/>
  <c r="I82" i="71"/>
  <c r="F82" i="71"/>
  <c r="O81" i="71"/>
  <c r="O80" i="71" s="1"/>
  <c r="L81" i="71"/>
  <c r="L80" i="71" s="1"/>
  <c r="I81" i="71"/>
  <c r="I80" i="71" s="1"/>
  <c r="F81" i="71"/>
  <c r="N80" i="71"/>
  <c r="M80" i="71"/>
  <c r="K80" i="71"/>
  <c r="J80" i="71"/>
  <c r="H80" i="71"/>
  <c r="G80" i="71"/>
  <c r="F80" i="71"/>
  <c r="E80" i="71"/>
  <c r="D80" i="71"/>
  <c r="O79" i="71"/>
  <c r="L79" i="71"/>
  <c r="I79" i="71"/>
  <c r="F79" i="71"/>
  <c r="O78" i="71"/>
  <c r="O77" i="71" s="1"/>
  <c r="L78" i="71"/>
  <c r="L77" i="71" s="1"/>
  <c r="L76" i="71" s="1"/>
  <c r="I78" i="71"/>
  <c r="I77" i="71" s="1"/>
  <c r="F78" i="71"/>
  <c r="N77" i="71"/>
  <c r="N76" i="71" s="1"/>
  <c r="M77" i="71"/>
  <c r="K77" i="71"/>
  <c r="K76" i="71" s="1"/>
  <c r="J77" i="71"/>
  <c r="H77" i="71"/>
  <c r="H76" i="71" s="1"/>
  <c r="G77" i="71"/>
  <c r="E77" i="71"/>
  <c r="D77" i="71"/>
  <c r="D76" i="71" s="1"/>
  <c r="O74" i="71"/>
  <c r="L74" i="71"/>
  <c r="I74" i="71"/>
  <c r="F74" i="71"/>
  <c r="O73" i="71"/>
  <c r="L73" i="71"/>
  <c r="I73" i="71"/>
  <c r="F73" i="71"/>
  <c r="O72" i="71"/>
  <c r="L72" i="71"/>
  <c r="I72" i="71"/>
  <c r="F72" i="71"/>
  <c r="O71" i="71"/>
  <c r="L71" i="71"/>
  <c r="I71" i="71"/>
  <c r="F71" i="71"/>
  <c r="O70" i="71"/>
  <c r="L70" i="71"/>
  <c r="I70" i="71"/>
  <c r="F70" i="71"/>
  <c r="F69" i="71" s="1"/>
  <c r="N69" i="71"/>
  <c r="N67" i="71" s="1"/>
  <c r="M69" i="71"/>
  <c r="M67" i="71" s="1"/>
  <c r="K69" i="71"/>
  <c r="J69" i="71"/>
  <c r="J67" i="71" s="1"/>
  <c r="H69" i="71"/>
  <c r="H67" i="71" s="1"/>
  <c r="G69" i="71"/>
  <c r="E69" i="71"/>
  <c r="E67" i="71" s="1"/>
  <c r="D69" i="71"/>
  <c r="D67" i="71" s="1"/>
  <c r="O68" i="71"/>
  <c r="L68" i="71"/>
  <c r="I68" i="71"/>
  <c r="F68" i="71"/>
  <c r="K67" i="71"/>
  <c r="G67" i="71"/>
  <c r="O66" i="71"/>
  <c r="L66" i="71"/>
  <c r="I66" i="71"/>
  <c r="F66" i="71"/>
  <c r="O65" i="71"/>
  <c r="L65" i="71"/>
  <c r="I65" i="71"/>
  <c r="F65" i="71"/>
  <c r="O64" i="71"/>
  <c r="L64" i="71"/>
  <c r="I64" i="71"/>
  <c r="F64" i="71"/>
  <c r="O63" i="71"/>
  <c r="L63" i="71"/>
  <c r="I63" i="71"/>
  <c r="F63" i="71"/>
  <c r="O62" i="71"/>
  <c r="L62" i="71"/>
  <c r="I62" i="71"/>
  <c r="F62" i="71"/>
  <c r="O61" i="71"/>
  <c r="L61" i="71"/>
  <c r="I61" i="71"/>
  <c r="F61" i="71"/>
  <c r="O60" i="71"/>
  <c r="L60" i="71"/>
  <c r="I60" i="71"/>
  <c r="F60" i="71"/>
  <c r="O59" i="71"/>
  <c r="L59" i="71"/>
  <c r="I59" i="71"/>
  <c r="F59" i="71"/>
  <c r="N58" i="71"/>
  <c r="M58" i="71"/>
  <c r="K58" i="71"/>
  <c r="J58" i="71"/>
  <c r="H58" i="71"/>
  <c r="G58" i="71"/>
  <c r="E58" i="71"/>
  <c r="D58" i="71"/>
  <c r="O57" i="71"/>
  <c r="L57" i="71"/>
  <c r="I57" i="71"/>
  <c r="F57" i="71"/>
  <c r="O56" i="71"/>
  <c r="O55" i="71" s="1"/>
  <c r="L56" i="71"/>
  <c r="I56" i="71"/>
  <c r="I55" i="71" s="1"/>
  <c r="F56" i="71"/>
  <c r="N55" i="71"/>
  <c r="N54" i="71" s="1"/>
  <c r="M55" i="71"/>
  <c r="M54" i="71" s="1"/>
  <c r="L55" i="71"/>
  <c r="K55" i="71"/>
  <c r="K54" i="71" s="1"/>
  <c r="K53" i="71" s="1"/>
  <c r="J55" i="71"/>
  <c r="H55" i="71"/>
  <c r="H54" i="71" s="1"/>
  <c r="G55" i="71"/>
  <c r="G54" i="71" s="1"/>
  <c r="F55" i="71"/>
  <c r="E55" i="71"/>
  <c r="D55" i="71"/>
  <c r="O47" i="71"/>
  <c r="C47" i="71" s="1"/>
  <c r="O46" i="71"/>
  <c r="C46" i="71" s="1"/>
  <c r="N45" i="71"/>
  <c r="M45" i="71"/>
  <c r="L44" i="71"/>
  <c r="L43" i="71" s="1"/>
  <c r="I44" i="71"/>
  <c r="I43" i="71" s="1"/>
  <c r="F44" i="71"/>
  <c r="F43" i="71" s="1"/>
  <c r="K43" i="71"/>
  <c r="J43" i="71"/>
  <c r="H43" i="71"/>
  <c r="G43" i="71"/>
  <c r="E43" i="71"/>
  <c r="D43" i="71"/>
  <c r="F42" i="71"/>
  <c r="C42" i="71" s="1"/>
  <c r="E41" i="71"/>
  <c r="D41" i="71"/>
  <c r="L40" i="71"/>
  <c r="C40" i="71" s="1"/>
  <c r="L39" i="71"/>
  <c r="C39" i="71" s="1"/>
  <c r="L38" i="71"/>
  <c r="C38" i="71" s="1"/>
  <c r="L37" i="71"/>
  <c r="C37" i="71" s="1"/>
  <c r="K36" i="71"/>
  <c r="J36" i="71"/>
  <c r="L35" i="71"/>
  <c r="C35" i="71" s="1"/>
  <c r="L34" i="71"/>
  <c r="C34" i="71" s="1"/>
  <c r="K33" i="71"/>
  <c r="J33" i="71"/>
  <c r="L32" i="71"/>
  <c r="C32" i="71" s="1"/>
  <c r="K31" i="71"/>
  <c r="J31" i="71"/>
  <c r="L30" i="71"/>
  <c r="C30" i="71" s="1"/>
  <c r="L29" i="71"/>
  <c r="C29" i="71" s="1"/>
  <c r="L28" i="71"/>
  <c r="C28" i="71" s="1"/>
  <c r="K27" i="71"/>
  <c r="K26" i="71" s="1"/>
  <c r="J27" i="71"/>
  <c r="F25" i="71"/>
  <c r="C25" i="71" s="1"/>
  <c r="E24" i="71"/>
  <c r="O23" i="71"/>
  <c r="L23" i="71"/>
  <c r="I23" i="71"/>
  <c r="F23" i="71"/>
  <c r="O22" i="71"/>
  <c r="O21" i="71" s="1"/>
  <c r="L22" i="71"/>
  <c r="I22" i="71"/>
  <c r="I21" i="71" s="1"/>
  <c r="F22" i="71"/>
  <c r="N21" i="71"/>
  <c r="N292" i="71" s="1"/>
  <c r="N291" i="71" s="1"/>
  <c r="M21" i="71"/>
  <c r="M292" i="71" s="1"/>
  <c r="M291" i="71" s="1"/>
  <c r="K21" i="71"/>
  <c r="J21" i="71"/>
  <c r="J292" i="71" s="1"/>
  <c r="J291" i="71" s="1"/>
  <c r="H21" i="71"/>
  <c r="H292" i="71" s="1"/>
  <c r="G21" i="71"/>
  <c r="E21" i="71"/>
  <c r="E292" i="71" s="1"/>
  <c r="E291" i="71" s="1"/>
  <c r="D21" i="71"/>
  <c r="D292" i="71" s="1"/>
  <c r="D291" i="71" s="1"/>
  <c r="C117" i="71" l="1"/>
  <c r="F116" i="71"/>
  <c r="E116" i="71"/>
  <c r="I260" i="71"/>
  <c r="I259" i="71" s="1"/>
  <c r="G53" i="71"/>
  <c r="C126" i="71"/>
  <c r="C170" i="71"/>
  <c r="C212" i="71"/>
  <c r="C218" i="71"/>
  <c r="C222" i="71"/>
  <c r="C226" i="71"/>
  <c r="L21" i="71"/>
  <c r="L292" i="71" s="1"/>
  <c r="M20" i="71"/>
  <c r="D54" i="71"/>
  <c r="M53" i="71"/>
  <c r="C72" i="71"/>
  <c r="E83" i="71"/>
  <c r="K83" i="71"/>
  <c r="C85" i="71"/>
  <c r="C86" i="71"/>
  <c r="C88" i="71"/>
  <c r="C91" i="71"/>
  <c r="C107" i="71"/>
  <c r="H187" i="71"/>
  <c r="G204" i="71"/>
  <c r="O264" i="71"/>
  <c r="C43" i="71"/>
  <c r="C134" i="71"/>
  <c r="C135" i="71"/>
  <c r="J187" i="71"/>
  <c r="C169" i="71"/>
  <c r="O166" i="71"/>
  <c r="O165" i="71" s="1"/>
  <c r="K174" i="71"/>
  <c r="K173" i="71" s="1"/>
  <c r="C186" i="71"/>
  <c r="C202" i="71"/>
  <c r="M231" i="71"/>
  <c r="C60" i="71"/>
  <c r="C64" i="71"/>
  <c r="C113" i="71"/>
  <c r="C146" i="71"/>
  <c r="C154" i="71"/>
  <c r="C157" i="71"/>
  <c r="E231" i="71"/>
  <c r="C262" i="71"/>
  <c r="C22" i="71"/>
  <c r="E54" i="71"/>
  <c r="E53" i="71" s="1"/>
  <c r="J174" i="71"/>
  <c r="J173" i="71" s="1"/>
  <c r="D187" i="71"/>
  <c r="D204" i="71"/>
  <c r="C234" i="71"/>
  <c r="J231" i="71"/>
  <c r="N231" i="71"/>
  <c r="N230" i="71" s="1"/>
  <c r="N269" i="71"/>
  <c r="L31" i="71"/>
  <c r="C31" i="71" s="1"/>
  <c r="L69" i="71"/>
  <c r="L67" i="71" s="1"/>
  <c r="C80" i="71"/>
  <c r="C97" i="71"/>
  <c r="C101" i="71"/>
  <c r="C106" i="71"/>
  <c r="C118" i="71"/>
  <c r="H83" i="71"/>
  <c r="C150" i="71"/>
  <c r="L175" i="71"/>
  <c r="L187" i="71"/>
  <c r="C206" i="71"/>
  <c r="C210" i="71"/>
  <c r="C214" i="71"/>
  <c r="M204" i="71"/>
  <c r="M195" i="71" s="1"/>
  <c r="O260" i="71"/>
  <c r="H259" i="71"/>
  <c r="D270" i="71"/>
  <c r="D269" i="71" s="1"/>
  <c r="O276" i="71"/>
  <c r="C68" i="71"/>
  <c r="M76" i="71"/>
  <c r="C109" i="71"/>
  <c r="O246" i="71"/>
  <c r="J259" i="71"/>
  <c r="O95" i="71"/>
  <c r="I116" i="71"/>
  <c r="C138" i="71"/>
  <c r="C178" i="71"/>
  <c r="O188" i="71"/>
  <c r="O187" i="71" s="1"/>
  <c r="K187" i="71"/>
  <c r="K195" i="71"/>
  <c r="C199" i="71"/>
  <c r="C201" i="71"/>
  <c r="C207" i="71"/>
  <c r="C242" i="71"/>
  <c r="C250" i="71"/>
  <c r="O252" i="71"/>
  <c r="K270" i="71"/>
  <c r="K269" i="71" s="1"/>
  <c r="F21" i="71"/>
  <c r="F292" i="71" s="1"/>
  <c r="J26" i="71"/>
  <c r="J20" i="71" s="1"/>
  <c r="H53" i="71"/>
  <c r="I58" i="71"/>
  <c r="I54" i="71" s="1"/>
  <c r="C93" i="71"/>
  <c r="C115" i="71"/>
  <c r="C142" i="71"/>
  <c r="C162" i="71"/>
  <c r="C164" i="71"/>
  <c r="L166" i="71"/>
  <c r="L165" i="71" s="1"/>
  <c r="C182" i="71"/>
  <c r="C183" i="71"/>
  <c r="C190" i="71"/>
  <c r="G187" i="71"/>
  <c r="L216" i="71"/>
  <c r="L204" i="71" s="1"/>
  <c r="D231" i="71"/>
  <c r="D230" i="71" s="1"/>
  <c r="C254" i="71"/>
  <c r="C258" i="71"/>
  <c r="M269" i="71"/>
  <c r="C275" i="71"/>
  <c r="G270" i="71"/>
  <c r="G269" i="71" s="1"/>
  <c r="C282" i="71"/>
  <c r="C294" i="71"/>
  <c r="C298" i="71"/>
  <c r="F122" i="71"/>
  <c r="D195" i="71"/>
  <c r="J54" i="71"/>
  <c r="J53" i="71" s="1"/>
  <c r="N53" i="71"/>
  <c r="C63" i="71"/>
  <c r="C71" i="71"/>
  <c r="J76" i="71"/>
  <c r="O76" i="71"/>
  <c r="C81" i="71"/>
  <c r="C92" i="71"/>
  <c r="C105" i="71"/>
  <c r="C108" i="71"/>
  <c r="C114" i="71"/>
  <c r="C121" i="71"/>
  <c r="C125" i="71"/>
  <c r="O122" i="71"/>
  <c r="O136" i="71"/>
  <c r="C147" i="71"/>
  <c r="C149" i="71"/>
  <c r="C156" i="71"/>
  <c r="C159" i="71"/>
  <c r="I160" i="71"/>
  <c r="C177" i="71"/>
  <c r="O184" i="71"/>
  <c r="M187" i="71"/>
  <c r="G195" i="71"/>
  <c r="C211" i="71"/>
  <c r="E204" i="71"/>
  <c r="E195" i="71" s="1"/>
  <c r="J204" i="71"/>
  <c r="J195" i="71" s="1"/>
  <c r="N204" i="71"/>
  <c r="N195" i="71" s="1"/>
  <c r="F233" i="71"/>
  <c r="C233" i="71" s="1"/>
  <c r="C236" i="71"/>
  <c r="O238" i="71"/>
  <c r="L246" i="71"/>
  <c r="L252" i="71"/>
  <c r="L251" i="71" s="1"/>
  <c r="C267" i="71"/>
  <c r="O272" i="71"/>
  <c r="C287" i="71"/>
  <c r="C288" i="71"/>
  <c r="O293" i="71"/>
  <c r="L293" i="71"/>
  <c r="C23" i="71"/>
  <c r="E20" i="71"/>
  <c r="C56" i="71"/>
  <c r="C65" i="71"/>
  <c r="C73" i="71"/>
  <c r="E76" i="71"/>
  <c r="C78" i="71"/>
  <c r="C79" i="71"/>
  <c r="G76" i="71"/>
  <c r="N83" i="71"/>
  <c r="L103" i="71"/>
  <c r="C120" i="71"/>
  <c r="C127" i="71"/>
  <c r="D130" i="71"/>
  <c r="D75" i="71" s="1"/>
  <c r="H130" i="71"/>
  <c r="H75" i="71" s="1"/>
  <c r="L131" i="71"/>
  <c r="L141" i="71"/>
  <c r="C141" i="71" s="1"/>
  <c r="L144" i="71"/>
  <c r="O151" i="71"/>
  <c r="L151" i="71"/>
  <c r="O160" i="71"/>
  <c r="C172" i="71"/>
  <c r="L179" i="71"/>
  <c r="L174" i="71" s="1"/>
  <c r="N187" i="71"/>
  <c r="L196" i="71"/>
  <c r="C219" i="71"/>
  <c r="C221" i="71"/>
  <c r="C229" i="71"/>
  <c r="K231" i="71"/>
  <c r="K230" i="71" s="1"/>
  <c r="K194" i="71" s="1"/>
  <c r="C243" i="71"/>
  <c r="C245" i="71"/>
  <c r="O251" i="71"/>
  <c r="L260" i="71"/>
  <c r="I264" i="71"/>
  <c r="F281" i="71"/>
  <c r="C281" i="71" s="1"/>
  <c r="I286" i="71"/>
  <c r="C286" i="71" s="1"/>
  <c r="C295" i="71"/>
  <c r="K75" i="71"/>
  <c r="I95" i="71"/>
  <c r="C112" i="71"/>
  <c r="H291" i="71"/>
  <c r="C57" i="71"/>
  <c r="O58" i="71"/>
  <c r="O54" i="71" s="1"/>
  <c r="L58" i="71"/>
  <c r="L54" i="71" s="1"/>
  <c r="L53" i="71" s="1"/>
  <c r="J83" i="71"/>
  <c r="I89" i="71"/>
  <c r="C102" i="71"/>
  <c r="O103" i="71"/>
  <c r="C111" i="71"/>
  <c r="L116" i="71"/>
  <c r="J130" i="71"/>
  <c r="C133" i="71"/>
  <c r="C140" i="71"/>
  <c r="C153" i="71"/>
  <c r="D173" i="71"/>
  <c r="C181" i="71"/>
  <c r="L184" i="71"/>
  <c r="H204" i="71"/>
  <c r="H195" i="71" s="1"/>
  <c r="C213" i="71"/>
  <c r="C220" i="71"/>
  <c r="C225" i="71"/>
  <c r="H231" i="71"/>
  <c r="L238" i="71"/>
  <c r="C244" i="71"/>
  <c r="C255" i="71"/>
  <c r="C257" i="71"/>
  <c r="O259" i="71"/>
  <c r="L264" i="71"/>
  <c r="C271" i="71"/>
  <c r="I270" i="71"/>
  <c r="I269" i="71" s="1"/>
  <c r="I293" i="71"/>
  <c r="C296" i="71"/>
  <c r="C299" i="71"/>
  <c r="O292" i="71"/>
  <c r="F77" i="71"/>
  <c r="C87" i="71"/>
  <c r="F84" i="71"/>
  <c r="K292" i="71"/>
  <c r="K291" i="71" s="1"/>
  <c r="K20" i="71"/>
  <c r="C44" i="71"/>
  <c r="D53" i="71"/>
  <c r="C55" i="71"/>
  <c r="C59" i="71"/>
  <c r="F58" i="71"/>
  <c r="O69" i="71"/>
  <c r="O67" i="71" s="1"/>
  <c r="I76" i="71"/>
  <c r="G83" i="71"/>
  <c r="G75" i="71" s="1"/>
  <c r="M83" i="71"/>
  <c r="O89" i="71"/>
  <c r="I131" i="71"/>
  <c r="C132" i="71"/>
  <c r="H20" i="71"/>
  <c r="G292" i="71"/>
  <c r="G291" i="71" s="1"/>
  <c r="C61" i="71"/>
  <c r="C62" i="71"/>
  <c r="C70" i="71"/>
  <c r="C66" i="71"/>
  <c r="F67" i="71"/>
  <c r="I69" i="71"/>
  <c r="I67" i="71" s="1"/>
  <c r="C74" i="71"/>
  <c r="C82" i="71"/>
  <c r="F95" i="71"/>
  <c r="C96" i="71"/>
  <c r="C124" i="71"/>
  <c r="I122" i="71"/>
  <c r="C148" i="71"/>
  <c r="I144" i="71"/>
  <c r="C161" i="71"/>
  <c r="F160" i="71"/>
  <c r="F174" i="71"/>
  <c r="C185" i="71"/>
  <c r="F184" i="71"/>
  <c r="C209" i="71"/>
  <c r="F205" i="71"/>
  <c r="C237" i="71"/>
  <c r="F235" i="71"/>
  <c r="C256" i="71"/>
  <c r="I252" i="71"/>
  <c r="I251" i="71" s="1"/>
  <c r="C277" i="71"/>
  <c r="F276" i="71"/>
  <c r="C301" i="71"/>
  <c r="N20" i="71"/>
  <c r="L27" i="71"/>
  <c r="L33" i="71"/>
  <c r="C33" i="71" s="1"/>
  <c r="L36" i="71"/>
  <c r="C36" i="71" s="1"/>
  <c r="F41" i="71"/>
  <c r="C41" i="71" s="1"/>
  <c r="O45" i="71"/>
  <c r="O20" i="71" s="1"/>
  <c r="L89" i="71"/>
  <c r="C94" i="71"/>
  <c r="C98" i="71"/>
  <c r="C99" i="71"/>
  <c r="C110" i="71"/>
  <c r="C119" i="71"/>
  <c r="L122" i="71"/>
  <c r="E130" i="71"/>
  <c r="C137" i="71"/>
  <c r="F136" i="71"/>
  <c r="C143" i="71"/>
  <c r="C163" i="71"/>
  <c r="C168" i="71"/>
  <c r="I166" i="71"/>
  <c r="I165" i="71" s="1"/>
  <c r="C171" i="71"/>
  <c r="E173" i="71"/>
  <c r="I175" i="71"/>
  <c r="C176" i="71"/>
  <c r="O179" i="71"/>
  <c r="L95" i="71"/>
  <c r="C100" i="71"/>
  <c r="F103" i="71"/>
  <c r="C104" i="71"/>
  <c r="C129" i="71"/>
  <c r="F128" i="71"/>
  <c r="C128" i="71" s="1"/>
  <c r="N130" i="71"/>
  <c r="N75" i="71" s="1"/>
  <c r="O131" i="71"/>
  <c r="C139" i="71"/>
  <c r="C145" i="71"/>
  <c r="F144" i="71"/>
  <c r="O144" i="71"/>
  <c r="I151" i="71"/>
  <c r="C152" i="71"/>
  <c r="C155" i="71"/>
  <c r="C90" i="71"/>
  <c r="F89" i="71"/>
  <c r="O116" i="71"/>
  <c r="M130" i="71"/>
  <c r="L136" i="71"/>
  <c r="O175" i="71"/>
  <c r="I179" i="71"/>
  <c r="C180" i="71"/>
  <c r="C261" i="71"/>
  <c r="F260" i="71"/>
  <c r="C123" i="71"/>
  <c r="C167" i="71"/>
  <c r="C197" i="71"/>
  <c r="F196" i="71"/>
  <c r="C200" i="71"/>
  <c r="I198" i="71"/>
  <c r="C203" i="71"/>
  <c r="C208" i="71"/>
  <c r="I205" i="71"/>
  <c r="C223" i="71"/>
  <c r="C224" i="71"/>
  <c r="I227" i="71"/>
  <c r="C227" i="71" s="1"/>
  <c r="C228" i="71"/>
  <c r="L231" i="71"/>
  <c r="C247" i="71"/>
  <c r="C249" i="71"/>
  <c r="F246" i="71"/>
  <c r="C263" i="71"/>
  <c r="E270" i="71"/>
  <c r="E269" i="71" s="1"/>
  <c r="C280" i="71"/>
  <c r="C285" i="71"/>
  <c r="F284" i="71"/>
  <c r="C300" i="71"/>
  <c r="C189" i="71"/>
  <c r="F188" i="71"/>
  <c r="C215" i="71"/>
  <c r="J230" i="71"/>
  <c r="J194" i="71" s="1"/>
  <c r="C232" i="71"/>
  <c r="C239" i="71"/>
  <c r="C241" i="71"/>
  <c r="F238" i="71"/>
  <c r="C248" i="71"/>
  <c r="I246" i="71"/>
  <c r="E230" i="71"/>
  <c r="C253" i="71"/>
  <c r="F252" i="71"/>
  <c r="M259" i="71"/>
  <c r="C265" i="71"/>
  <c r="F264" i="71"/>
  <c r="C273" i="71"/>
  <c r="F272" i="71"/>
  <c r="C193" i="71"/>
  <c r="F192" i="71"/>
  <c r="O196" i="71"/>
  <c r="O205" i="71"/>
  <c r="C217" i="71"/>
  <c r="F216" i="71"/>
  <c r="O216" i="71"/>
  <c r="G231" i="71"/>
  <c r="G230" i="71" s="1"/>
  <c r="G194" i="71" s="1"/>
  <c r="C240" i="71"/>
  <c r="I238" i="71"/>
  <c r="C268" i="71"/>
  <c r="L276" i="71"/>
  <c r="L270" i="71" s="1"/>
  <c r="L269" i="71" s="1"/>
  <c r="C279" i="71"/>
  <c r="C297" i="71"/>
  <c r="F293" i="71"/>
  <c r="F291" i="71" s="1"/>
  <c r="M230" i="71" l="1"/>
  <c r="C21" i="71"/>
  <c r="L291" i="71"/>
  <c r="O270" i="71"/>
  <c r="O269" i="71" s="1"/>
  <c r="O231" i="71"/>
  <c r="L130" i="71"/>
  <c r="K52" i="71"/>
  <c r="K51" i="71" s="1"/>
  <c r="G52" i="71"/>
  <c r="I231" i="71"/>
  <c r="I230" i="71" s="1"/>
  <c r="C179" i="71"/>
  <c r="C103" i="71"/>
  <c r="C165" i="71"/>
  <c r="I53" i="71"/>
  <c r="H230" i="71"/>
  <c r="H194" i="71" s="1"/>
  <c r="H52" i="71"/>
  <c r="H51" i="71" s="1"/>
  <c r="H289" i="71"/>
  <c r="C69" i="71"/>
  <c r="O230" i="71"/>
  <c r="O83" i="71"/>
  <c r="D289" i="71"/>
  <c r="E194" i="71"/>
  <c r="O174" i="71"/>
  <c r="O173" i="71" s="1"/>
  <c r="M75" i="71"/>
  <c r="M52" i="71" s="1"/>
  <c r="C58" i="71"/>
  <c r="K289" i="71"/>
  <c r="L195" i="71"/>
  <c r="L83" i="71"/>
  <c r="G51" i="71"/>
  <c r="G50" i="71" s="1"/>
  <c r="C116" i="71"/>
  <c r="C151" i="71"/>
  <c r="K50" i="71"/>
  <c r="K290" i="71"/>
  <c r="O130" i="71"/>
  <c r="C293" i="71"/>
  <c r="C144" i="71"/>
  <c r="E75" i="71"/>
  <c r="E52" i="71" s="1"/>
  <c r="C160" i="71"/>
  <c r="I83" i="71"/>
  <c r="F54" i="71"/>
  <c r="C54" i="71" s="1"/>
  <c r="O291" i="71"/>
  <c r="I292" i="71"/>
  <c r="J75" i="71"/>
  <c r="J289" i="71" s="1"/>
  <c r="C184" i="71"/>
  <c r="O53" i="71"/>
  <c r="N194" i="71"/>
  <c r="D194" i="71"/>
  <c r="L173" i="71"/>
  <c r="C264" i="71"/>
  <c r="C89" i="71"/>
  <c r="C136" i="71"/>
  <c r="N52" i="71"/>
  <c r="D52" i="71"/>
  <c r="L259" i="71"/>
  <c r="L230" i="71" s="1"/>
  <c r="L194" i="71" s="1"/>
  <c r="G24" i="71"/>
  <c r="G290" i="71" s="1"/>
  <c r="M289" i="71"/>
  <c r="M194" i="71"/>
  <c r="C252" i="71"/>
  <c r="F251" i="71"/>
  <c r="C251" i="71" s="1"/>
  <c r="C122" i="71"/>
  <c r="C216" i="71"/>
  <c r="N289" i="71"/>
  <c r="C238" i="71"/>
  <c r="C188" i="71"/>
  <c r="C284" i="71"/>
  <c r="F283" i="71"/>
  <c r="C283" i="71" s="1"/>
  <c r="C260" i="71"/>
  <c r="F259" i="71"/>
  <c r="I174" i="71"/>
  <c r="I173" i="71" s="1"/>
  <c r="C276" i="71"/>
  <c r="C205" i="71"/>
  <c r="F204" i="71"/>
  <c r="C175" i="71"/>
  <c r="I130" i="71"/>
  <c r="I75" i="71" s="1"/>
  <c r="I52" i="71" s="1"/>
  <c r="F83" i="71"/>
  <c r="C84" i="71"/>
  <c r="F270" i="71"/>
  <c r="C272" i="71"/>
  <c r="C166" i="71"/>
  <c r="C45" i="71"/>
  <c r="C27" i="71"/>
  <c r="L26" i="71"/>
  <c r="C235" i="71"/>
  <c r="F231" i="71"/>
  <c r="F173" i="71"/>
  <c r="C173" i="71" s="1"/>
  <c r="C174" i="71"/>
  <c r="F53" i="71"/>
  <c r="C131" i="71"/>
  <c r="L75" i="71"/>
  <c r="O204" i="71"/>
  <c r="O195" i="71" s="1"/>
  <c r="C192" i="71"/>
  <c r="F191" i="71"/>
  <c r="C191" i="71" s="1"/>
  <c r="G289" i="71"/>
  <c r="C246" i="71"/>
  <c r="I204" i="71"/>
  <c r="C198" i="71"/>
  <c r="I196" i="71"/>
  <c r="C95" i="71"/>
  <c r="C67" i="71"/>
  <c r="F130" i="71"/>
  <c r="F76" i="71"/>
  <c r="C77" i="71"/>
  <c r="E289" i="71" l="1"/>
  <c r="C259" i="71"/>
  <c r="F187" i="71"/>
  <c r="C187" i="71" s="1"/>
  <c r="N51" i="71"/>
  <c r="N50" i="71" s="1"/>
  <c r="H290" i="71"/>
  <c r="H50" i="71"/>
  <c r="O75" i="71"/>
  <c r="O289" i="71" s="1"/>
  <c r="C83" i="71"/>
  <c r="M51" i="71"/>
  <c r="M50" i="71" s="1"/>
  <c r="E51" i="71"/>
  <c r="O194" i="71"/>
  <c r="I195" i="71"/>
  <c r="I194" i="71" s="1"/>
  <c r="I51" i="71" s="1"/>
  <c r="I50" i="71" s="1"/>
  <c r="N290" i="71"/>
  <c r="C130" i="71"/>
  <c r="L52" i="71"/>
  <c r="L51" i="71" s="1"/>
  <c r="L50" i="71" s="1"/>
  <c r="D51" i="71"/>
  <c r="J52" i="71"/>
  <c r="J51" i="71" s="1"/>
  <c r="C204" i="71"/>
  <c r="O52" i="71"/>
  <c r="I291" i="71"/>
  <c r="C291" i="71" s="1"/>
  <c r="C292" i="71"/>
  <c r="C26" i="71"/>
  <c r="L20" i="71"/>
  <c r="C53" i="71"/>
  <c r="F230" i="71"/>
  <c r="C230" i="71" s="1"/>
  <c r="C231" i="71"/>
  <c r="L289" i="71"/>
  <c r="F75" i="71"/>
  <c r="C75" i="71" s="1"/>
  <c r="C76" i="71"/>
  <c r="F269" i="71"/>
  <c r="C270" i="71"/>
  <c r="F195" i="71"/>
  <c r="I24" i="71"/>
  <c r="I20" i="71" s="1"/>
  <c r="G20" i="71"/>
  <c r="C196" i="71"/>
  <c r="M290" i="71" l="1"/>
  <c r="I289" i="71"/>
  <c r="E290" i="71"/>
  <c r="E50" i="71"/>
  <c r="D24" i="71"/>
  <c r="D50" i="71"/>
  <c r="I290" i="71"/>
  <c r="J50" i="71"/>
  <c r="J290" i="71"/>
  <c r="O51" i="71"/>
  <c r="F194" i="71"/>
  <c r="C194" i="71" s="1"/>
  <c r="C195" i="71"/>
  <c r="F52" i="71"/>
  <c r="C269" i="71"/>
  <c r="F289" i="71"/>
  <c r="L290" i="71"/>
  <c r="C289" i="71" l="1"/>
  <c r="D290" i="71"/>
  <c r="F24" i="71"/>
  <c r="D20" i="71"/>
  <c r="O290" i="71"/>
  <c r="O50" i="71"/>
  <c r="F51" i="71"/>
  <c r="C52" i="71"/>
  <c r="C24" i="71" l="1"/>
  <c r="F20" i="71"/>
  <c r="C20" i="71" s="1"/>
  <c r="F290" i="71"/>
  <c r="C290" i="71" s="1"/>
  <c r="C51" i="71"/>
  <c r="F50" i="71"/>
  <c r="C50" i="71" s="1"/>
  <c r="E24" i="44" l="1"/>
  <c r="G62" i="70" l="1"/>
  <c r="G61" i="70"/>
  <c r="G60" i="70"/>
  <c r="G59" i="70"/>
  <c r="G58" i="70"/>
  <c r="F57" i="70"/>
  <c r="E57" i="70"/>
  <c r="G52" i="70"/>
  <c r="G51" i="70"/>
  <c r="G50" i="70"/>
  <c r="G49" i="70"/>
  <c r="F48" i="70"/>
  <c r="E48" i="70"/>
  <c r="G43" i="70"/>
  <c r="G42" i="70"/>
  <c r="F40" i="70"/>
  <c r="E40" i="70"/>
  <c r="G35" i="70"/>
  <c r="G34" i="70"/>
  <c r="F34" i="70"/>
  <c r="E34" i="70"/>
  <c r="G29" i="70"/>
  <c r="G28" i="70"/>
  <c r="F28" i="70"/>
  <c r="E28" i="70"/>
  <c r="G23" i="70"/>
  <c r="G22" i="70"/>
  <c r="G21" i="70" s="1"/>
  <c r="F21" i="70"/>
  <c r="E21" i="70"/>
  <c r="G16" i="70"/>
  <c r="G15" i="70"/>
  <c r="G14" i="70"/>
  <c r="G13" i="70"/>
  <c r="G12" i="70"/>
  <c r="F11" i="70"/>
  <c r="E11" i="70"/>
  <c r="G48" i="70" l="1"/>
  <c r="G11" i="70"/>
  <c r="G57" i="70"/>
  <c r="G40" i="70"/>
  <c r="O301" i="69" l="1"/>
  <c r="L301" i="69"/>
  <c r="I301" i="69"/>
  <c r="F301" i="69"/>
  <c r="O300" i="69"/>
  <c r="L300" i="69"/>
  <c r="I300" i="69"/>
  <c r="F300" i="69"/>
  <c r="O299" i="69"/>
  <c r="L299" i="69"/>
  <c r="I299" i="69"/>
  <c r="F299" i="69"/>
  <c r="O298" i="69"/>
  <c r="L298" i="69"/>
  <c r="I298" i="69"/>
  <c r="F298" i="69"/>
  <c r="O297" i="69"/>
  <c r="L297" i="69"/>
  <c r="I297" i="69"/>
  <c r="F297" i="69"/>
  <c r="O296" i="69"/>
  <c r="L296" i="69"/>
  <c r="I296" i="69"/>
  <c r="F296" i="69"/>
  <c r="O295" i="69"/>
  <c r="L295" i="69"/>
  <c r="I295" i="69"/>
  <c r="F295" i="69"/>
  <c r="O294" i="69"/>
  <c r="L294" i="69"/>
  <c r="I294" i="69"/>
  <c r="F294" i="69"/>
  <c r="N293" i="69"/>
  <c r="M293" i="69"/>
  <c r="K293" i="69"/>
  <c r="J293" i="69"/>
  <c r="H293" i="69"/>
  <c r="G293" i="69"/>
  <c r="E293" i="69"/>
  <c r="D293" i="69"/>
  <c r="O288" i="69"/>
  <c r="L288" i="69"/>
  <c r="I288" i="69"/>
  <c r="F288" i="69"/>
  <c r="O287" i="69"/>
  <c r="L287" i="69"/>
  <c r="I287" i="69"/>
  <c r="F287" i="69"/>
  <c r="O286" i="69"/>
  <c r="N286" i="69"/>
  <c r="M286" i="69"/>
  <c r="K286" i="69"/>
  <c r="J286" i="69"/>
  <c r="H286" i="69"/>
  <c r="G286" i="69"/>
  <c r="F286" i="69"/>
  <c r="E286" i="69"/>
  <c r="D286" i="69"/>
  <c r="O285" i="69"/>
  <c r="O284" i="69" s="1"/>
  <c r="O283" i="69" s="1"/>
  <c r="L285" i="69"/>
  <c r="L284" i="69" s="1"/>
  <c r="L283" i="69" s="1"/>
  <c r="I285" i="69"/>
  <c r="F285" i="69"/>
  <c r="N284" i="69"/>
  <c r="M284" i="69"/>
  <c r="M283" i="69" s="1"/>
  <c r="K284" i="69"/>
  <c r="K283" i="69" s="1"/>
  <c r="J284" i="69"/>
  <c r="J283" i="69" s="1"/>
  <c r="I284" i="69"/>
  <c r="I283" i="69" s="1"/>
  <c r="H284" i="69"/>
  <c r="H283" i="69" s="1"/>
  <c r="G284" i="69"/>
  <c r="G283" i="69" s="1"/>
  <c r="E284" i="69"/>
  <c r="E283" i="69" s="1"/>
  <c r="D284" i="69"/>
  <c r="N283" i="69"/>
  <c r="D283" i="69"/>
  <c r="O282" i="69"/>
  <c r="O281" i="69" s="1"/>
  <c r="L282" i="69"/>
  <c r="L281" i="69" s="1"/>
  <c r="I282" i="69"/>
  <c r="F282" i="69"/>
  <c r="C282" i="69" s="1"/>
  <c r="N281" i="69"/>
  <c r="M281" i="69"/>
  <c r="K281" i="69"/>
  <c r="J281" i="69"/>
  <c r="I281" i="69"/>
  <c r="H281" i="69"/>
  <c r="G281" i="69"/>
  <c r="F281" i="69"/>
  <c r="E281" i="69"/>
  <c r="D281" i="69"/>
  <c r="O280" i="69"/>
  <c r="L280" i="69"/>
  <c r="I280" i="69"/>
  <c r="F280" i="69"/>
  <c r="O279" i="69"/>
  <c r="L279" i="69"/>
  <c r="I279" i="69"/>
  <c r="F279" i="69"/>
  <c r="O278" i="69"/>
  <c r="L278" i="69"/>
  <c r="I278" i="69"/>
  <c r="F278" i="69"/>
  <c r="O277" i="69"/>
  <c r="L277" i="69"/>
  <c r="I277" i="69"/>
  <c r="I276" i="69" s="1"/>
  <c r="F277" i="69"/>
  <c r="N276" i="69"/>
  <c r="M276" i="69"/>
  <c r="K276" i="69"/>
  <c r="J276" i="69"/>
  <c r="H276" i="69"/>
  <c r="G276" i="69"/>
  <c r="E276" i="69"/>
  <c r="D276" i="69"/>
  <c r="O275" i="69"/>
  <c r="L275" i="69"/>
  <c r="I275" i="69"/>
  <c r="F275" i="69"/>
  <c r="O274" i="69"/>
  <c r="L274" i="69"/>
  <c r="I274" i="69"/>
  <c r="F274" i="69"/>
  <c r="O273" i="69"/>
  <c r="L273" i="69"/>
  <c r="I273" i="69"/>
  <c r="I272" i="69" s="1"/>
  <c r="F273" i="69"/>
  <c r="N272" i="69"/>
  <c r="N270" i="69" s="1"/>
  <c r="N269" i="69" s="1"/>
  <c r="M272" i="69"/>
  <c r="L272" i="69"/>
  <c r="K272" i="69"/>
  <c r="J272" i="69"/>
  <c r="J270" i="69" s="1"/>
  <c r="J269" i="69" s="1"/>
  <c r="H272" i="69"/>
  <c r="G272" i="69"/>
  <c r="G270" i="69" s="1"/>
  <c r="G269" i="69" s="1"/>
  <c r="E272" i="69"/>
  <c r="D272" i="69"/>
  <c r="O271" i="69"/>
  <c r="L271" i="69"/>
  <c r="I271" i="69"/>
  <c r="F271" i="69"/>
  <c r="O268" i="69"/>
  <c r="L268" i="69"/>
  <c r="I268" i="69"/>
  <c r="F268" i="69"/>
  <c r="O267" i="69"/>
  <c r="L267" i="69"/>
  <c r="I267" i="69"/>
  <c r="F267" i="69"/>
  <c r="O266" i="69"/>
  <c r="O264" i="69" s="1"/>
  <c r="L266" i="69"/>
  <c r="I266" i="69"/>
  <c r="I264" i="69" s="1"/>
  <c r="F266" i="69"/>
  <c r="C266" i="69"/>
  <c r="O265" i="69"/>
  <c r="L265" i="69"/>
  <c r="I265" i="69"/>
  <c r="F265" i="69"/>
  <c r="N264" i="69"/>
  <c r="M264" i="69"/>
  <c r="K264" i="69"/>
  <c r="J264" i="69"/>
  <c r="H264" i="69"/>
  <c r="G264" i="69"/>
  <c r="E264" i="69"/>
  <c r="D264" i="69"/>
  <c r="O263" i="69"/>
  <c r="L263" i="69"/>
  <c r="I263" i="69"/>
  <c r="F263" i="69"/>
  <c r="O262" i="69"/>
  <c r="L262" i="69"/>
  <c r="I262" i="69"/>
  <c r="F262" i="69"/>
  <c r="O261" i="69"/>
  <c r="L261" i="69"/>
  <c r="I261" i="69"/>
  <c r="F261" i="69"/>
  <c r="N260" i="69"/>
  <c r="M260" i="69"/>
  <c r="K260" i="69"/>
  <c r="K259" i="69" s="1"/>
  <c r="J260" i="69"/>
  <c r="H260" i="69"/>
  <c r="H259" i="69" s="1"/>
  <c r="G260" i="69"/>
  <c r="E260" i="69"/>
  <c r="D260" i="69"/>
  <c r="N259" i="69"/>
  <c r="G259" i="69"/>
  <c r="D259" i="69"/>
  <c r="O258" i="69"/>
  <c r="L258" i="69"/>
  <c r="I258" i="69"/>
  <c r="F258" i="69"/>
  <c r="O257" i="69"/>
  <c r="L257" i="69"/>
  <c r="I257" i="69"/>
  <c r="F257" i="69"/>
  <c r="O256" i="69"/>
  <c r="L256" i="69"/>
  <c r="I256" i="69"/>
  <c r="F256" i="69"/>
  <c r="O255" i="69"/>
  <c r="L255" i="69"/>
  <c r="I255" i="69"/>
  <c r="F255" i="69"/>
  <c r="O254" i="69"/>
  <c r="L254" i="69"/>
  <c r="I254" i="69"/>
  <c r="F254" i="69"/>
  <c r="C254" i="69" s="1"/>
  <c r="O253" i="69"/>
  <c r="L253" i="69"/>
  <c r="I253" i="69"/>
  <c r="I252" i="69" s="1"/>
  <c r="I251" i="69" s="1"/>
  <c r="F253" i="69"/>
  <c r="N252" i="69"/>
  <c r="N251" i="69" s="1"/>
  <c r="M252" i="69"/>
  <c r="M251" i="69" s="1"/>
  <c r="K252" i="69"/>
  <c r="K251" i="69" s="1"/>
  <c r="J252" i="69"/>
  <c r="J251" i="69" s="1"/>
  <c r="H252" i="69"/>
  <c r="G252" i="69"/>
  <c r="G251" i="69" s="1"/>
  <c r="E252" i="69"/>
  <c r="E251" i="69" s="1"/>
  <c r="D252" i="69"/>
  <c r="D251" i="69" s="1"/>
  <c r="H251" i="69"/>
  <c r="O250" i="69"/>
  <c r="L250" i="69"/>
  <c r="I250" i="69"/>
  <c r="F250" i="69"/>
  <c r="C250" i="69" s="1"/>
  <c r="O249" i="69"/>
  <c r="L249" i="69"/>
  <c r="I249" i="69"/>
  <c r="F249" i="69"/>
  <c r="O248" i="69"/>
  <c r="L248" i="69"/>
  <c r="I248" i="69"/>
  <c r="F248" i="69"/>
  <c r="O247" i="69"/>
  <c r="L247" i="69"/>
  <c r="I247" i="69"/>
  <c r="F247" i="69"/>
  <c r="N246" i="69"/>
  <c r="M246" i="69"/>
  <c r="K246" i="69"/>
  <c r="J246" i="69"/>
  <c r="H246" i="69"/>
  <c r="G246" i="69"/>
  <c r="E246" i="69"/>
  <c r="D246" i="69"/>
  <c r="O245" i="69"/>
  <c r="L245" i="69"/>
  <c r="I245" i="69"/>
  <c r="F245" i="69"/>
  <c r="O244" i="69"/>
  <c r="L244" i="69"/>
  <c r="I244" i="69"/>
  <c r="F244" i="69"/>
  <c r="O243" i="69"/>
  <c r="L243" i="69"/>
  <c r="I243" i="69"/>
  <c r="F243" i="69"/>
  <c r="O242" i="69"/>
  <c r="L242" i="69"/>
  <c r="I242" i="69"/>
  <c r="F242" i="69"/>
  <c r="C242" i="69" s="1"/>
  <c r="O241" i="69"/>
  <c r="L241" i="69"/>
  <c r="I241" i="69"/>
  <c r="F241" i="69"/>
  <c r="O240" i="69"/>
  <c r="L240" i="69"/>
  <c r="I240" i="69"/>
  <c r="F240" i="69"/>
  <c r="O239" i="69"/>
  <c r="L239" i="69"/>
  <c r="I239" i="69"/>
  <c r="F239" i="69"/>
  <c r="N238" i="69"/>
  <c r="M238" i="69"/>
  <c r="K238" i="69"/>
  <c r="J238" i="69"/>
  <c r="H238" i="69"/>
  <c r="G238" i="69"/>
  <c r="E238" i="69"/>
  <c r="E231" i="69" s="1"/>
  <c r="D238" i="69"/>
  <c r="O237" i="69"/>
  <c r="L237" i="69"/>
  <c r="I237" i="69"/>
  <c r="F237" i="69"/>
  <c r="O236" i="69"/>
  <c r="L236" i="69"/>
  <c r="L235" i="69" s="1"/>
  <c r="I236" i="69"/>
  <c r="I235" i="69" s="1"/>
  <c r="F236" i="69"/>
  <c r="O235" i="69"/>
  <c r="N235" i="69"/>
  <c r="M235" i="69"/>
  <c r="K235" i="69"/>
  <c r="J235" i="69"/>
  <c r="J231" i="69" s="1"/>
  <c r="H235" i="69"/>
  <c r="G235" i="69"/>
  <c r="E235" i="69"/>
  <c r="D235" i="69"/>
  <c r="O234" i="69"/>
  <c r="O233" i="69" s="1"/>
  <c r="L234" i="69"/>
  <c r="I234" i="69"/>
  <c r="F234" i="69"/>
  <c r="F233" i="69" s="1"/>
  <c r="C234" i="69"/>
  <c r="N233" i="69"/>
  <c r="M233" i="69"/>
  <c r="L233" i="69"/>
  <c r="K233" i="69"/>
  <c r="J233" i="69"/>
  <c r="I233" i="69"/>
  <c r="H233" i="69"/>
  <c r="G233" i="69"/>
  <c r="E233" i="69"/>
  <c r="D233" i="69"/>
  <c r="D231" i="69" s="1"/>
  <c r="O232" i="69"/>
  <c r="L232" i="69"/>
  <c r="I232" i="69"/>
  <c r="F232" i="69"/>
  <c r="N231" i="69"/>
  <c r="O229" i="69"/>
  <c r="L229" i="69"/>
  <c r="I229" i="69"/>
  <c r="F229" i="69"/>
  <c r="O228" i="69"/>
  <c r="L228" i="69"/>
  <c r="L227" i="69" s="1"/>
  <c r="I228" i="69"/>
  <c r="I227" i="69" s="1"/>
  <c r="F228" i="69"/>
  <c r="O227" i="69"/>
  <c r="N227" i="69"/>
  <c r="M227" i="69"/>
  <c r="K227" i="69"/>
  <c r="J227" i="69"/>
  <c r="H227" i="69"/>
  <c r="G227" i="69"/>
  <c r="F227" i="69"/>
  <c r="E227" i="69"/>
  <c r="D227" i="69"/>
  <c r="O226" i="69"/>
  <c r="L226" i="69"/>
  <c r="I226" i="69"/>
  <c r="F226" i="69"/>
  <c r="C226" i="69" s="1"/>
  <c r="O225" i="69"/>
  <c r="L225" i="69"/>
  <c r="I225" i="69"/>
  <c r="F225" i="69"/>
  <c r="O224" i="69"/>
  <c r="L224" i="69"/>
  <c r="I224" i="69"/>
  <c r="F224" i="69"/>
  <c r="O223" i="69"/>
  <c r="L223" i="69"/>
  <c r="I223" i="69"/>
  <c r="F223" i="69"/>
  <c r="O222" i="69"/>
  <c r="L222" i="69"/>
  <c r="I222" i="69"/>
  <c r="F222" i="69"/>
  <c r="C222" i="69" s="1"/>
  <c r="O221" i="69"/>
  <c r="L221" i="69"/>
  <c r="I221" i="69"/>
  <c r="F221" i="69"/>
  <c r="O220" i="69"/>
  <c r="L220" i="69"/>
  <c r="I220" i="69"/>
  <c r="F220" i="69"/>
  <c r="O219" i="69"/>
  <c r="L219" i="69"/>
  <c r="I219" i="69"/>
  <c r="F219" i="69"/>
  <c r="O218" i="69"/>
  <c r="L218" i="69"/>
  <c r="I218" i="69"/>
  <c r="F218" i="69"/>
  <c r="O217" i="69"/>
  <c r="L217" i="69"/>
  <c r="I217" i="69"/>
  <c r="I216" i="69" s="1"/>
  <c r="F217" i="69"/>
  <c r="N216" i="69"/>
  <c r="M216" i="69"/>
  <c r="K216" i="69"/>
  <c r="J216" i="69"/>
  <c r="H216" i="69"/>
  <c r="G216" i="69"/>
  <c r="E216" i="69"/>
  <c r="D216" i="69"/>
  <c r="O215" i="69"/>
  <c r="L215" i="69"/>
  <c r="I215" i="69"/>
  <c r="F215" i="69"/>
  <c r="O214" i="69"/>
  <c r="L214" i="69"/>
  <c r="I214" i="69"/>
  <c r="F214" i="69"/>
  <c r="O213" i="69"/>
  <c r="L213" i="69"/>
  <c r="I213" i="69"/>
  <c r="F213" i="69"/>
  <c r="O212" i="69"/>
  <c r="L212" i="69"/>
  <c r="I212" i="69"/>
  <c r="F212" i="69"/>
  <c r="O211" i="69"/>
  <c r="L211" i="69"/>
  <c r="I211" i="69"/>
  <c r="F211" i="69"/>
  <c r="O210" i="69"/>
  <c r="L210" i="69"/>
  <c r="I210" i="69"/>
  <c r="C210" i="69" s="1"/>
  <c r="F210" i="69"/>
  <c r="O209" i="69"/>
  <c r="L209" i="69"/>
  <c r="I209" i="69"/>
  <c r="F209" i="69"/>
  <c r="O208" i="69"/>
  <c r="L208" i="69"/>
  <c r="I208" i="69"/>
  <c r="F208" i="69"/>
  <c r="O207" i="69"/>
  <c r="L207" i="69"/>
  <c r="I207" i="69"/>
  <c r="F207" i="69"/>
  <c r="O206" i="69"/>
  <c r="L206" i="69"/>
  <c r="I206" i="69"/>
  <c r="F206" i="69"/>
  <c r="N205" i="69"/>
  <c r="M205" i="69"/>
  <c r="M204" i="69" s="1"/>
  <c r="K205" i="69"/>
  <c r="J205" i="69"/>
  <c r="H205" i="69"/>
  <c r="H204" i="69" s="1"/>
  <c r="G205" i="69"/>
  <c r="E205" i="69"/>
  <c r="D205" i="69"/>
  <c r="G204" i="69"/>
  <c r="O203" i="69"/>
  <c r="L203" i="69"/>
  <c r="I203" i="69"/>
  <c r="F203" i="69"/>
  <c r="O202" i="69"/>
  <c r="L202" i="69"/>
  <c r="I202" i="69"/>
  <c r="F202" i="69"/>
  <c r="O201" i="69"/>
  <c r="L201" i="69"/>
  <c r="I201" i="69"/>
  <c r="F201" i="69"/>
  <c r="O200" i="69"/>
  <c r="L200" i="69"/>
  <c r="I200" i="69"/>
  <c r="F200" i="69"/>
  <c r="O199" i="69"/>
  <c r="L199" i="69"/>
  <c r="L198" i="69" s="1"/>
  <c r="I199" i="69"/>
  <c r="F199" i="69"/>
  <c r="F198" i="69" s="1"/>
  <c r="O198" i="69"/>
  <c r="N198" i="69"/>
  <c r="M198" i="69"/>
  <c r="K198" i="69"/>
  <c r="K196" i="69" s="1"/>
  <c r="J198" i="69"/>
  <c r="H198" i="69"/>
  <c r="H196" i="69" s="1"/>
  <c r="G198" i="69"/>
  <c r="G196" i="69" s="1"/>
  <c r="E198" i="69"/>
  <c r="E196" i="69" s="1"/>
  <c r="D198" i="69"/>
  <c r="O197" i="69"/>
  <c r="L197" i="69"/>
  <c r="I197" i="69"/>
  <c r="F197" i="69"/>
  <c r="N196" i="69"/>
  <c r="M196" i="69"/>
  <c r="J196" i="69"/>
  <c r="D196" i="69"/>
  <c r="O193" i="69"/>
  <c r="L193" i="69"/>
  <c r="L192" i="69" s="1"/>
  <c r="L191" i="69" s="1"/>
  <c r="I193" i="69"/>
  <c r="F193" i="69"/>
  <c r="O192" i="69"/>
  <c r="O191" i="69" s="1"/>
  <c r="N192" i="69"/>
  <c r="N191" i="69" s="1"/>
  <c r="M192" i="69"/>
  <c r="M191" i="69" s="1"/>
  <c r="K192" i="69"/>
  <c r="K191" i="69" s="1"/>
  <c r="J192" i="69"/>
  <c r="J191" i="69" s="1"/>
  <c r="I192" i="69"/>
  <c r="I191" i="69" s="1"/>
  <c r="H192" i="69"/>
  <c r="G192" i="69"/>
  <c r="E192" i="69"/>
  <c r="E191" i="69" s="1"/>
  <c r="D192" i="69"/>
  <c r="H191" i="69"/>
  <c r="H187" i="69" s="1"/>
  <c r="G191" i="69"/>
  <c r="D191" i="69"/>
  <c r="O190" i="69"/>
  <c r="L190" i="69"/>
  <c r="I190" i="69"/>
  <c r="F190" i="69"/>
  <c r="C190" i="69" s="1"/>
  <c r="O189" i="69"/>
  <c r="L189" i="69"/>
  <c r="I189" i="69"/>
  <c r="I188" i="69" s="1"/>
  <c r="F189" i="69"/>
  <c r="N188" i="69"/>
  <c r="M188" i="69"/>
  <c r="K188" i="69"/>
  <c r="J188" i="69"/>
  <c r="H188" i="69"/>
  <c r="G188" i="69"/>
  <c r="E188" i="69"/>
  <c r="D188" i="69"/>
  <c r="O186" i="69"/>
  <c r="L186" i="69"/>
  <c r="I186" i="69"/>
  <c r="F186" i="69"/>
  <c r="O185" i="69"/>
  <c r="L185" i="69"/>
  <c r="I185" i="69"/>
  <c r="F185" i="69"/>
  <c r="N184" i="69"/>
  <c r="M184" i="69"/>
  <c r="K184" i="69"/>
  <c r="J184" i="69"/>
  <c r="H184" i="69"/>
  <c r="G184" i="69"/>
  <c r="F184" i="69"/>
  <c r="E184" i="69"/>
  <c r="D184" i="69"/>
  <c r="O183" i="69"/>
  <c r="L183" i="69"/>
  <c r="I183" i="69"/>
  <c r="F183" i="69"/>
  <c r="O182" i="69"/>
  <c r="L182" i="69"/>
  <c r="I182" i="69"/>
  <c r="F182" i="69"/>
  <c r="O181" i="69"/>
  <c r="L181" i="69"/>
  <c r="I181" i="69"/>
  <c r="F181" i="69"/>
  <c r="O180" i="69"/>
  <c r="L180" i="69"/>
  <c r="L179" i="69" s="1"/>
  <c r="I180" i="69"/>
  <c r="I179" i="69" s="1"/>
  <c r="F180" i="69"/>
  <c r="N179" i="69"/>
  <c r="M179" i="69"/>
  <c r="K179" i="69"/>
  <c r="J179" i="69"/>
  <c r="H179" i="69"/>
  <c r="G179" i="69"/>
  <c r="E179" i="69"/>
  <c r="D179" i="69"/>
  <c r="O178" i="69"/>
  <c r="L178" i="69"/>
  <c r="I178" i="69"/>
  <c r="F178" i="69"/>
  <c r="O177" i="69"/>
  <c r="L177" i="69"/>
  <c r="I177" i="69"/>
  <c r="F177" i="69"/>
  <c r="O176" i="69"/>
  <c r="O175" i="69" s="1"/>
  <c r="L176" i="69"/>
  <c r="L175" i="69" s="1"/>
  <c r="I176" i="69"/>
  <c r="F176" i="69"/>
  <c r="N175" i="69"/>
  <c r="N174" i="69" s="1"/>
  <c r="N173" i="69" s="1"/>
  <c r="M175" i="69"/>
  <c r="K175" i="69"/>
  <c r="K174" i="69" s="1"/>
  <c r="J175" i="69"/>
  <c r="J174" i="69" s="1"/>
  <c r="J173" i="69" s="1"/>
  <c r="H175" i="69"/>
  <c r="H174" i="69" s="1"/>
  <c r="H173" i="69" s="1"/>
  <c r="G175" i="69"/>
  <c r="E175" i="69"/>
  <c r="D175" i="69"/>
  <c r="D174" i="69" s="1"/>
  <c r="D173" i="69" s="1"/>
  <c r="M174" i="69"/>
  <c r="G174" i="69"/>
  <c r="O172" i="69"/>
  <c r="L172" i="69"/>
  <c r="I172" i="69"/>
  <c r="C172" i="69" s="1"/>
  <c r="F172" i="69"/>
  <c r="O171" i="69"/>
  <c r="L171" i="69"/>
  <c r="I171" i="69"/>
  <c r="F171" i="69"/>
  <c r="O170" i="69"/>
  <c r="L170" i="69"/>
  <c r="I170" i="69"/>
  <c r="F170" i="69"/>
  <c r="O169" i="69"/>
  <c r="L169" i="69"/>
  <c r="I169" i="69"/>
  <c r="F169" i="69"/>
  <c r="O168" i="69"/>
  <c r="L168" i="69"/>
  <c r="I168" i="69"/>
  <c r="F168" i="69"/>
  <c r="O167" i="69"/>
  <c r="O166" i="69" s="1"/>
  <c r="O165" i="69" s="1"/>
  <c r="L167" i="69"/>
  <c r="I167" i="69"/>
  <c r="F167" i="69"/>
  <c r="F166" i="69" s="1"/>
  <c r="F165" i="69" s="1"/>
  <c r="N166" i="69"/>
  <c r="M166" i="69"/>
  <c r="K166" i="69"/>
  <c r="K165" i="69" s="1"/>
  <c r="J166" i="69"/>
  <c r="J165" i="69" s="1"/>
  <c r="H166" i="69"/>
  <c r="G166" i="69"/>
  <c r="G165" i="69" s="1"/>
  <c r="E166" i="69"/>
  <c r="E165" i="69" s="1"/>
  <c r="D166" i="69"/>
  <c r="D165" i="69" s="1"/>
  <c r="N165" i="69"/>
  <c r="M165" i="69"/>
  <c r="H165" i="69"/>
  <c r="O164" i="69"/>
  <c r="L164" i="69"/>
  <c r="I164" i="69"/>
  <c r="C164" i="69" s="1"/>
  <c r="F164" i="69"/>
  <c r="O163" i="69"/>
  <c r="L163" i="69"/>
  <c r="I163" i="69"/>
  <c r="F163" i="69"/>
  <c r="O162" i="69"/>
  <c r="L162" i="69"/>
  <c r="I162" i="69"/>
  <c r="F162" i="69"/>
  <c r="O161" i="69"/>
  <c r="L161" i="69"/>
  <c r="L160" i="69" s="1"/>
  <c r="I161" i="69"/>
  <c r="F161" i="69"/>
  <c r="N160" i="69"/>
  <c r="M160" i="69"/>
  <c r="K160" i="69"/>
  <c r="J160" i="69"/>
  <c r="H160" i="69"/>
  <c r="G160" i="69"/>
  <c r="E160" i="69"/>
  <c r="D160" i="69"/>
  <c r="O159" i="69"/>
  <c r="L159" i="69"/>
  <c r="I159" i="69"/>
  <c r="F159" i="69"/>
  <c r="O158" i="69"/>
  <c r="L158" i="69"/>
  <c r="I158" i="69"/>
  <c r="F158" i="69"/>
  <c r="O157" i="69"/>
  <c r="L157" i="69"/>
  <c r="I157" i="69"/>
  <c r="F157" i="69"/>
  <c r="O156" i="69"/>
  <c r="L156" i="69"/>
  <c r="I156" i="69"/>
  <c r="F156" i="69"/>
  <c r="O155" i="69"/>
  <c r="L155" i="69"/>
  <c r="I155" i="69"/>
  <c r="F155" i="69"/>
  <c r="O154" i="69"/>
  <c r="L154" i="69"/>
  <c r="I154" i="69"/>
  <c r="F154" i="69"/>
  <c r="O153" i="69"/>
  <c r="L153" i="69"/>
  <c r="I153" i="69"/>
  <c r="F153" i="69"/>
  <c r="O152" i="69"/>
  <c r="L152" i="69"/>
  <c r="L151" i="69" s="1"/>
  <c r="I152" i="69"/>
  <c r="I151" i="69" s="1"/>
  <c r="F152" i="69"/>
  <c r="N151" i="69"/>
  <c r="M151" i="69"/>
  <c r="K151" i="69"/>
  <c r="J151" i="69"/>
  <c r="H151" i="69"/>
  <c r="G151" i="69"/>
  <c r="E151" i="69"/>
  <c r="D151" i="69"/>
  <c r="O150" i="69"/>
  <c r="L150" i="69"/>
  <c r="I150" i="69"/>
  <c r="C150" i="69" s="1"/>
  <c r="F150" i="69"/>
  <c r="O149" i="69"/>
  <c r="L149" i="69"/>
  <c r="I149" i="69"/>
  <c r="F149" i="69"/>
  <c r="O148" i="69"/>
  <c r="L148" i="69"/>
  <c r="I148" i="69"/>
  <c r="F148" i="69"/>
  <c r="O147" i="69"/>
  <c r="L147" i="69"/>
  <c r="I147" i="69"/>
  <c r="F147" i="69"/>
  <c r="O146" i="69"/>
  <c r="L146" i="69"/>
  <c r="I146" i="69"/>
  <c r="F146" i="69"/>
  <c r="O145" i="69"/>
  <c r="L145" i="69"/>
  <c r="I145" i="69"/>
  <c r="I144" i="69" s="1"/>
  <c r="F145" i="69"/>
  <c r="N144" i="69"/>
  <c r="M144" i="69"/>
  <c r="K144" i="69"/>
  <c r="J144" i="69"/>
  <c r="H144" i="69"/>
  <c r="G144" i="69"/>
  <c r="E144" i="69"/>
  <c r="D144" i="69"/>
  <c r="O143" i="69"/>
  <c r="L143" i="69"/>
  <c r="I143" i="69"/>
  <c r="F143" i="69"/>
  <c r="O142" i="69"/>
  <c r="O141" i="69" s="1"/>
  <c r="L142" i="69"/>
  <c r="I142" i="69"/>
  <c r="F142" i="69"/>
  <c r="F141" i="69" s="1"/>
  <c r="N141" i="69"/>
  <c r="M141" i="69"/>
  <c r="K141" i="69"/>
  <c r="J141" i="69"/>
  <c r="I141" i="69"/>
  <c r="H141" i="69"/>
  <c r="G141" i="69"/>
  <c r="E141" i="69"/>
  <c r="D141" i="69"/>
  <c r="O140" i="69"/>
  <c r="L140" i="69"/>
  <c r="I140" i="69"/>
  <c r="F140" i="69"/>
  <c r="O139" i="69"/>
  <c r="L139" i="69"/>
  <c r="I139" i="69"/>
  <c r="F139" i="69"/>
  <c r="O138" i="69"/>
  <c r="L138" i="69"/>
  <c r="I138" i="69"/>
  <c r="F138" i="69"/>
  <c r="O137" i="69"/>
  <c r="L137" i="69"/>
  <c r="I137" i="69"/>
  <c r="F137" i="69"/>
  <c r="O136" i="69"/>
  <c r="N136" i="69"/>
  <c r="M136" i="69"/>
  <c r="K136" i="69"/>
  <c r="J136" i="69"/>
  <c r="I136" i="69"/>
  <c r="H136" i="69"/>
  <c r="G136" i="69"/>
  <c r="F136" i="69"/>
  <c r="E136" i="69"/>
  <c r="D136" i="69"/>
  <c r="O135" i="69"/>
  <c r="L135" i="69"/>
  <c r="I135" i="69"/>
  <c r="F135" i="69"/>
  <c r="O134" i="69"/>
  <c r="L134" i="69"/>
  <c r="I134" i="69"/>
  <c r="F134" i="69"/>
  <c r="O133" i="69"/>
  <c r="L133" i="69"/>
  <c r="I133" i="69"/>
  <c r="F133" i="69"/>
  <c r="O132" i="69"/>
  <c r="L132" i="69"/>
  <c r="L131" i="69" s="1"/>
  <c r="I132" i="69"/>
  <c r="F132" i="69"/>
  <c r="N131" i="69"/>
  <c r="M131" i="69"/>
  <c r="K131" i="69"/>
  <c r="J131" i="69"/>
  <c r="H131" i="69"/>
  <c r="G131" i="69"/>
  <c r="E131" i="69"/>
  <c r="D131" i="69"/>
  <c r="H130" i="69"/>
  <c r="O129" i="69"/>
  <c r="L129" i="69"/>
  <c r="L128" i="69" s="1"/>
  <c r="I129" i="69"/>
  <c r="I128" i="69" s="1"/>
  <c r="F129" i="69"/>
  <c r="O128" i="69"/>
  <c r="N128" i="69"/>
  <c r="M128" i="69"/>
  <c r="K128" i="69"/>
  <c r="J128" i="69"/>
  <c r="H128" i="69"/>
  <c r="G128" i="69"/>
  <c r="F128" i="69"/>
  <c r="E128" i="69"/>
  <c r="D128" i="69"/>
  <c r="O127" i="69"/>
  <c r="L127" i="69"/>
  <c r="I127" i="69"/>
  <c r="F127" i="69"/>
  <c r="O126" i="69"/>
  <c r="L126" i="69"/>
  <c r="I126" i="69"/>
  <c r="F126" i="69"/>
  <c r="O125" i="69"/>
  <c r="L125" i="69"/>
  <c r="I125" i="69"/>
  <c r="F125" i="69"/>
  <c r="O124" i="69"/>
  <c r="L124" i="69"/>
  <c r="I124" i="69"/>
  <c r="F124" i="69"/>
  <c r="O123" i="69"/>
  <c r="L123" i="69"/>
  <c r="L122" i="69" s="1"/>
  <c r="I123" i="69"/>
  <c r="F123" i="69"/>
  <c r="F122" i="69" s="1"/>
  <c r="N122" i="69"/>
  <c r="M122" i="69"/>
  <c r="K122" i="69"/>
  <c r="J122" i="69"/>
  <c r="H122" i="69"/>
  <c r="G122" i="69"/>
  <c r="E122" i="69"/>
  <c r="D122" i="69"/>
  <c r="O121" i="69"/>
  <c r="L121" i="69"/>
  <c r="I121" i="69"/>
  <c r="F121" i="69"/>
  <c r="O120" i="69"/>
  <c r="L120" i="69"/>
  <c r="I120" i="69"/>
  <c r="F120" i="69"/>
  <c r="O119" i="69"/>
  <c r="L119" i="69"/>
  <c r="I119" i="69"/>
  <c r="F119" i="69"/>
  <c r="O118" i="69"/>
  <c r="L118" i="69"/>
  <c r="I118" i="69"/>
  <c r="F118" i="69"/>
  <c r="O117" i="69"/>
  <c r="L117" i="69"/>
  <c r="I117" i="69"/>
  <c r="F117" i="69"/>
  <c r="O116" i="69"/>
  <c r="N116" i="69"/>
  <c r="M116" i="69"/>
  <c r="K116" i="69"/>
  <c r="J116" i="69"/>
  <c r="H116" i="69"/>
  <c r="G116" i="69"/>
  <c r="F116" i="69"/>
  <c r="E116" i="69"/>
  <c r="D116" i="69"/>
  <c r="O115" i="69"/>
  <c r="L115" i="69"/>
  <c r="I115" i="69"/>
  <c r="F115" i="69"/>
  <c r="O114" i="69"/>
  <c r="L114" i="69"/>
  <c r="I114" i="69"/>
  <c r="F114" i="69"/>
  <c r="O113" i="69"/>
  <c r="L113" i="69"/>
  <c r="L112" i="69" s="1"/>
  <c r="I113" i="69"/>
  <c r="F113" i="69"/>
  <c r="N112" i="69"/>
  <c r="M112" i="69"/>
  <c r="K112" i="69"/>
  <c r="J112" i="69"/>
  <c r="H112" i="69"/>
  <c r="G112" i="69"/>
  <c r="E112" i="69"/>
  <c r="D112" i="69"/>
  <c r="O111" i="69"/>
  <c r="L111" i="69"/>
  <c r="I111" i="69"/>
  <c r="F111" i="69"/>
  <c r="O110" i="69"/>
  <c r="L110" i="69"/>
  <c r="I110" i="69"/>
  <c r="F110" i="69"/>
  <c r="O109" i="69"/>
  <c r="L109" i="69"/>
  <c r="I109" i="69"/>
  <c r="F109" i="69"/>
  <c r="O108" i="69"/>
  <c r="L108" i="69"/>
  <c r="I108" i="69"/>
  <c r="F108" i="69"/>
  <c r="O107" i="69"/>
  <c r="C107" i="69" s="1"/>
  <c r="L107" i="69"/>
  <c r="I107" i="69"/>
  <c r="F107" i="69"/>
  <c r="O106" i="69"/>
  <c r="L106" i="69"/>
  <c r="I106" i="69"/>
  <c r="F106" i="69"/>
  <c r="C106" i="69" s="1"/>
  <c r="O105" i="69"/>
  <c r="L105" i="69"/>
  <c r="I105" i="69"/>
  <c r="F105" i="69"/>
  <c r="O104" i="69"/>
  <c r="L104" i="69"/>
  <c r="I104" i="69"/>
  <c r="F104" i="69"/>
  <c r="F103" i="69" s="1"/>
  <c r="N103" i="69"/>
  <c r="M103" i="69"/>
  <c r="K103" i="69"/>
  <c r="J103" i="69"/>
  <c r="H103" i="69"/>
  <c r="G103" i="69"/>
  <c r="E103" i="69"/>
  <c r="D103" i="69"/>
  <c r="O102" i="69"/>
  <c r="L102" i="69"/>
  <c r="I102" i="69"/>
  <c r="F102" i="69"/>
  <c r="O101" i="69"/>
  <c r="L101" i="69"/>
  <c r="I101" i="69"/>
  <c r="F101" i="69"/>
  <c r="O100" i="69"/>
  <c r="L100" i="69"/>
  <c r="I100" i="69"/>
  <c r="F100" i="69"/>
  <c r="O99" i="69"/>
  <c r="L99" i="69"/>
  <c r="I99" i="69"/>
  <c r="F99" i="69"/>
  <c r="O98" i="69"/>
  <c r="L98" i="69"/>
  <c r="I98" i="69"/>
  <c r="F98" i="69"/>
  <c r="O97" i="69"/>
  <c r="L97" i="69"/>
  <c r="I97" i="69"/>
  <c r="F97" i="69"/>
  <c r="O96" i="69"/>
  <c r="L96" i="69"/>
  <c r="I96" i="69"/>
  <c r="F96" i="69"/>
  <c r="O95" i="69"/>
  <c r="N95" i="69"/>
  <c r="M95" i="69"/>
  <c r="K95" i="69"/>
  <c r="J95" i="69"/>
  <c r="H95" i="69"/>
  <c r="G95" i="69"/>
  <c r="F95" i="69"/>
  <c r="E95" i="69"/>
  <c r="D95" i="69"/>
  <c r="O94" i="69"/>
  <c r="L94" i="69"/>
  <c r="I94" i="69"/>
  <c r="F94" i="69"/>
  <c r="O93" i="69"/>
  <c r="L93" i="69"/>
  <c r="I93" i="69"/>
  <c r="F93" i="69"/>
  <c r="O92" i="69"/>
  <c r="L92" i="69"/>
  <c r="I92" i="69"/>
  <c r="F92" i="69"/>
  <c r="O91" i="69"/>
  <c r="L91" i="69"/>
  <c r="I91" i="69"/>
  <c r="F91" i="69"/>
  <c r="O90" i="69"/>
  <c r="L90" i="69"/>
  <c r="I90" i="69"/>
  <c r="F90" i="69"/>
  <c r="N89" i="69"/>
  <c r="M89" i="69"/>
  <c r="K89" i="69"/>
  <c r="J89" i="69"/>
  <c r="H89" i="69"/>
  <c r="H83" i="69" s="1"/>
  <c r="H75" i="69" s="1"/>
  <c r="G89" i="69"/>
  <c r="E89" i="69"/>
  <c r="D89" i="69"/>
  <c r="D83" i="69" s="1"/>
  <c r="O88" i="69"/>
  <c r="L88" i="69"/>
  <c r="I88" i="69"/>
  <c r="F88" i="69"/>
  <c r="O87" i="69"/>
  <c r="L87" i="69"/>
  <c r="I87" i="69"/>
  <c r="F87" i="69"/>
  <c r="C87" i="69"/>
  <c r="O86" i="69"/>
  <c r="L86" i="69"/>
  <c r="I86" i="69"/>
  <c r="F86" i="69"/>
  <c r="C86" i="69" s="1"/>
  <c r="O85" i="69"/>
  <c r="L85" i="69"/>
  <c r="L84" i="69" s="1"/>
  <c r="I85" i="69"/>
  <c r="I84" i="69" s="1"/>
  <c r="F85" i="69"/>
  <c r="F84" i="69" s="1"/>
  <c r="N84" i="69"/>
  <c r="M84" i="69"/>
  <c r="K84" i="69"/>
  <c r="J84" i="69"/>
  <c r="H84" i="69"/>
  <c r="G84" i="69"/>
  <c r="E84" i="69"/>
  <c r="D84" i="69"/>
  <c r="O82" i="69"/>
  <c r="L82" i="69"/>
  <c r="I82" i="69"/>
  <c r="F82" i="69"/>
  <c r="O81" i="69"/>
  <c r="L81" i="69"/>
  <c r="L80" i="69" s="1"/>
  <c r="I81" i="69"/>
  <c r="F81" i="69"/>
  <c r="N80" i="69"/>
  <c r="M80" i="69"/>
  <c r="K80" i="69"/>
  <c r="J80" i="69"/>
  <c r="H80" i="69"/>
  <c r="G80" i="69"/>
  <c r="E80" i="69"/>
  <c r="D80" i="69"/>
  <c r="O79" i="69"/>
  <c r="L79" i="69"/>
  <c r="I79" i="69"/>
  <c r="F79" i="69"/>
  <c r="O78" i="69"/>
  <c r="O77" i="69" s="1"/>
  <c r="L78" i="69"/>
  <c r="I78" i="69"/>
  <c r="F78" i="69"/>
  <c r="N77" i="69"/>
  <c r="N76" i="69" s="1"/>
  <c r="M77" i="69"/>
  <c r="M76" i="69" s="1"/>
  <c r="K77" i="69"/>
  <c r="J77" i="69"/>
  <c r="J76" i="69" s="1"/>
  <c r="H77" i="69"/>
  <c r="H76" i="69" s="1"/>
  <c r="G77" i="69"/>
  <c r="G76" i="69" s="1"/>
  <c r="E77" i="69"/>
  <c r="D77" i="69"/>
  <c r="D76" i="69" s="1"/>
  <c r="E76" i="69"/>
  <c r="O74" i="69"/>
  <c r="L74" i="69"/>
  <c r="I74" i="69"/>
  <c r="F74" i="69"/>
  <c r="O73" i="69"/>
  <c r="L73" i="69"/>
  <c r="I73" i="69"/>
  <c r="F73" i="69"/>
  <c r="O72" i="69"/>
  <c r="L72" i="69"/>
  <c r="I72" i="69"/>
  <c r="F72" i="69"/>
  <c r="O71" i="69"/>
  <c r="L71" i="69"/>
  <c r="I71" i="69"/>
  <c r="F71" i="69"/>
  <c r="O70" i="69"/>
  <c r="L70" i="69"/>
  <c r="L69" i="69" s="1"/>
  <c r="I70" i="69"/>
  <c r="F70" i="69"/>
  <c r="N69" i="69"/>
  <c r="M69" i="69"/>
  <c r="M67" i="69" s="1"/>
  <c r="K69" i="69"/>
  <c r="J69" i="69"/>
  <c r="J67" i="69" s="1"/>
  <c r="H69" i="69"/>
  <c r="H67" i="69" s="1"/>
  <c r="G69" i="69"/>
  <c r="E69" i="69"/>
  <c r="E67" i="69" s="1"/>
  <c r="D69" i="69"/>
  <c r="O68" i="69"/>
  <c r="L68" i="69"/>
  <c r="I68" i="69"/>
  <c r="F68" i="69"/>
  <c r="N67" i="69"/>
  <c r="K67" i="69"/>
  <c r="G67" i="69"/>
  <c r="D67" i="69"/>
  <c r="O66" i="69"/>
  <c r="L66" i="69"/>
  <c r="I66" i="69"/>
  <c r="F66" i="69"/>
  <c r="O65" i="69"/>
  <c r="L65" i="69"/>
  <c r="I65" i="69"/>
  <c r="F65" i="69"/>
  <c r="O64" i="69"/>
  <c r="L64" i="69"/>
  <c r="I64" i="69"/>
  <c r="F64" i="69"/>
  <c r="O63" i="69"/>
  <c r="L63" i="69"/>
  <c r="I63" i="69"/>
  <c r="F63" i="69"/>
  <c r="O62" i="69"/>
  <c r="O58" i="69" s="1"/>
  <c r="L62" i="69"/>
  <c r="I62" i="69"/>
  <c r="F62" i="69"/>
  <c r="C62" i="69"/>
  <c r="O61" i="69"/>
  <c r="L61" i="69"/>
  <c r="I61" i="69"/>
  <c r="F61" i="69"/>
  <c r="C61" i="69" s="1"/>
  <c r="O60" i="69"/>
  <c r="L60" i="69"/>
  <c r="I60" i="69"/>
  <c r="F60" i="69"/>
  <c r="O59" i="69"/>
  <c r="L59" i="69"/>
  <c r="I59" i="69"/>
  <c r="I58" i="69" s="1"/>
  <c r="F59" i="69"/>
  <c r="N58" i="69"/>
  <c r="M58" i="69"/>
  <c r="K58" i="69"/>
  <c r="J58" i="69"/>
  <c r="H58" i="69"/>
  <c r="G58" i="69"/>
  <c r="E58" i="69"/>
  <c r="D58" i="69"/>
  <c r="O57" i="69"/>
  <c r="L57" i="69"/>
  <c r="I57" i="69"/>
  <c r="F57" i="69"/>
  <c r="O56" i="69"/>
  <c r="O55" i="69" s="1"/>
  <c r="L56" i="69"/>
  <c r="I56" i="69"/>
  <c r="I55" i="69" s="1"/>
  <c r="I54" i="69" s="1"/>
  <c r="F56" i="69"/>
  <c r="N55" i="69"/>
  <c r="N54" i="69" s="1"/>
  <c r="M55" i="69"/>
  <c r="L55" i="69"/>
  <c r="K55" i="69"/>
  <c r="K54" i="69" s="1"/>
  <c r="K53" i="69" s="1"/>
  <c r="J55" i="69"/>
  <c r="H55" i="69"/>
  <c r="H54" i="69" s="1"/>
  <c r="G55" i="69"/>
  <c r="G54" i="69" s="1"/>
  <c r="G53" i="69" s="1"/>
  <c r="F55" i="69"/>
  <c r="E55" i="69"/>
  <c r="D55" i="69"/>
  <c r="E54" i="69"/>
  <c r="O47" i="69"/>
  <c r="C47" i="69" s="1"/>
  <c r="O46" i="69"/>
  <c r="O45" i="69" s="1"/>
  <c r="C45" i="69" s="1"/>
  <c r="N45" i="69"/>
  <c r="M45" i="69"/>
  <c r="L44" i="69"/>
  <c r="I44" i="69"/>
  <c r="F44" i="69"/>
  <c r="C44" i="69"/>
  <c r="L43" i="69"/>
  <c r="K43" i="69"/>
  <c r="J43" i="69"/>
  <c r="I43" i="69"/>
  <c r="H43" i="69"/>
  <c r="G43" i="69"/>
  <c r="F43" i="69"/>
  <c r="E43" i="69"/>
  <c r="D43" i="69"/>
  <c r="F42" i="69"/>
  <c r="F41" i="69" s="1"/>
  <c r="C42" i="69"/>
  <c r="E41" i="69"/>
  <c r="D41" i="69"/>
  <c r="C41" i="69"/>
  <c r="L40" i="69"/>
  <c r="C40" i="69"/>
  <c r="L39" i="69"/>
  <c r="C39" i="69"/>
  <c r="L38" i="69"/>
  <c r="C38" i="69"/>
  <c r="L37" i="69"/>
  <c r="C37" i="69"/>
  <c r="K36" i="69"/>
  <c r="J36" i="69"/>
  <c r="L35" i="69"/>
  <c r="C35" i="69" s="1"/>
  <c r="L34" i="69"/>
  <c r="L33" i="69" s="1"/>
  <c r="C33" i="69" s="1"/>
  <c r="K33" i="69"/>
  <c r="J33" i="69"/>
  <c r="L32" i="69"/>
  <c r="L31" i="69" s="1"/>
  <c r="C31" i="69" s="1"/>
  <c r="K31" i="69"/>
  <c r="J31" i="69"/>
  <c r="L30" i="69"/>
  <c r="C30" i="69" s="1"/>
  <c r="L29" i="69"/>
  <c r="C29" i="69"/>
  <c r="L28" i="69"/>
  <c r="L27" i="69" s="1"/>
  <c r="K27" i="69"/>
  <c r="J27" i="69"/>
  <c r="K26" i="69"/>
  <c r="F25" i="69"/>
  <c r="C25" i="69" s="1"/>
  <c r="E24" i="69"/>
  <c r="O23" i="69"/>
  <c r="L23" i="69"/>
  <c r="I23" i="69"/>
  <c r="F23" i="69"/>
  <c r="O22" i="69"/>
  <c r="L22" i="69"/>
  <c r="L21" i="69" s="1"/>
  <c r="I22" i="69"/>
  <c r="I21" i="69" s="1"/>
  <c r="F22" i="69"/>
  <c r="O21" i="69"/>
  <c r="O292" i="69" s="1"/>
  <c r="N21" i="69"/>
  <c r="M21" i="69"/>
  <c r="K21" i="69"/>
  <c r="K292" i="69" s="1"/>
  <c r="K291" i="69" s="1"/>
  <c r="J21" i="69"/>
  <c r="H21" i="69"/>
  <c r="H292" i="69" s="1"/>
  <c r="G21" i="69"/>
  <c r="F21" i="69"/>
  <c r="E21" i="69"/>
  <c r="E292" i="69" s="1"/>
  <c r="E291" i="69" s="1"/>
  <c r="D21" i="69"/>
  <c r="D292" i="69" s="1"/>
  <c r="D291" i="69" s="1"/>
  <c r="M20" i="69"/>
  <c r="O84" i="69" l="1"/>
  <c r="C72" i="69"/>
  <c r="C74" i="69"/>
  <c r="C94" i="69"/>
  <c r="C32" i="69"/>
  <c r="D54" i="69"/>
  <c r="C79" i="69"/>
  <c r="C115" i="69"/>
  <c r="C118" i="69"/>
  <c r="C178" i="69"/>
  <c r="C183" i="69"/>
  <c r="G187" i="69"/>
  <c r="D204" i="69"/>
  <c r="C206" i="69"/>
  <c r="M231" i="69"/>
  <c r="I270" i="69"/>
  <c r="I269" i="69" s="1"/>
  <c r="C278" i="69"/>
  <c r="C294" i="69"/>
  <c r="H20" i="69"/>
  <c r="L67" i="69"/>
  <c r="C90" i="69"/>
  <c r="C91" i="69"/>
  <c r="C102" i="69"/>
  <c r="C135" i="69"/>
  <c r="C167" i="69"/>
  <c r="K173" i="69"/>
  <c r="C176" i="69"/>
  <c r="E174" i="69"/>
  <c r="E173" i="69" s="1"/>
  <c r="C186" i="69"/>
  <c r="O188" i="69"/>
  <c r="E204" i="69"/>
  <c r="K204" i="69"/>
  <c r="C214" i="69"/>
  <c r="C218" i="69"/>
  <c r="C221" i="69"/>
  <c r="O238" i="69"/>
  <c r="O260" i="69"/>
  <c r="H270" i="69"/>
  <c r="M270" i="69"/>
  <c r="M269" i="69" s="1"/>
  <c r="K270" i="69"/>
  <c r="K269" i="69" s="1"/>
  <c r="M292" i="69"/>
  <c r="M291" i="69" s="1"/>
  <c r="C298" i="69"/>
  <c r="C127" i="69"/>
  <c r="D187" i="69"/>
  <c r="J259" i="69"/>
  <c r="O103" i="69"/>
  <c r="C110" i="69"/>
  <c r="O131" i="69"/>
  <c r="C148" i="69"/>
  <c r="O179" i="69"/>
  <c r="K187" i="69"/>
  <c r="C202" i="69"/>
  <c r="C258" i="69"/>
  <c r="C262" i="69"/>
  <c r="E270" i="69"/>
  <c r="E269" i="69" s="1"/>
  <c r="C274" i="69"/>
  <c r="D270" i="69"/>
  <c r="H53" i="69"/>
  <c r="H52" i="69" s="1"/>
  <c r="N230" i="69"/>
  <c r="E20" i="69"/>
  <c r="J26" i="69"/>
  <c r="C43" i="69"/>
  <c r="J54" i="69"/>
  <c r="J53" i="69" s="1"/>
  <c r="N53" i="69"/>
  <c r="C60" i="69"/>
  <c r="C78" i="69"/>
  <c r="K76" i="69"/>
  <c r="I80" i="69"/>
  <c r="K83" i="69"/>
  <c r="C101" i="69"/>
  <c r="C109" i="69"/>
  <c r="C117" i="69"/>
  <c r="I122" i="69"/>
  <c r="C124" i="69"/>
  <c r="C128" i="69"/>
  <c r="C129" i="69"/>
  <c r="C138" i="69"/>
  <c r="C147" i="69"/>
  <c r="O144" i="69"/>
  <c r="M130" i="69"/>
  <c r="C163" i="69"/>
  <c r="C171" i="69"/>
  <c r="L174" i="69"/>
  <c r="C185" i="69"/>
  <c r="O184" i="69"/>
  <c r="L188" i="69"/>
  <c r="O196" i="69"/>
  <c r="I205" i="69"/>
  <c r="I204" i="69" s="1"/>
  <c r="C212" i="69"/>
  <c r="C213" i="69"/>
  <c r="C225" i="69"/>
  <c r="C229" i="69"/>
  <c r="D230" i="69"/>
  <c r="H231" i="69"/>
  <c r="H230" i="69" s="1"/>
  <c r="C245" i="69"/>
  <c r="O246" i="69"/>
  <c r="O231" i="69" s="1"/>
  <c r="O252" i="69"/>
  <c r="O251" i="69" s="1"/>
  <c r="I260" i="69"/>
  <c r="L260" i="69"/>
  <c r="C271" i="69"/>
  <c r="O276" i="69"/>
  <c r="O293" i="69"/>
  <c r="O291" i="69" s="1"/>
  <c r="I160" i="69"/>
  <c r="I286" i="69"/>
  <c r="L293" i="69"/>
  <c r="O20" i="69"/>
  <c r="G292" i="69"/>
  <c r="G291" i="69" s="1"/>
  <c r="I292" i="69"/>
  <c r="C56" i="69"/>
  <c r="M54" i="69"/>
  <c r="M53" i="69" s="1"/>
  <c r="C66" i="69"/>
  <c r="E53" i="69"/>
  <c r="C71" i="69"/>
  <c r="L77" i="69"/>
  <c r="E83" i="69"/>
  <c r="N83" i="69"/>
  <c r="C93" i="69"/>
  <c r="C98" i="69"/>
  <c r="C100" i="69"/>
  <c r="C104" i="69"/>
  <c r="C111" i="69"/>
  <c r="C114" i="69"/>
  <c r="I116" i="69"/>
  <c r="C126" i="69"/>
  <c r="D130" i="69"/>
  <c r="C134" i="69"/>
  <c r="G130" i="69"/>
  <c r="C137" i="69"/>
  <c r="C143" i="69"/>
  <c r="C146" i="69"/>
  <c r="C149" i="69"/>
  <c r="O151" i="69"/>
  <c r="O130" i="69" s="1"/>
  <c r="C158" i="69"/>
  <c r="O160" i="69"/>
  <c r="C170" i="69"/>
  <c r="I184" i="69"/>
  <c r="N187" i="69"/>
  <c r="K195" i="69"/>
  <c r="C201" i="69"/>
  <c r="H195" i="69"/>
  <c r="C215" i="69"/>
  <c r="L216" i="69"/>
  <c r="C257" i="69"/>
  <c r="E259" i="69"/>
  <c r="O259" i="69"/>
  <c r="C275" i="69"/>
  <c r="C279" i="69"/>
  <c r="D269" i="69"/>
  <c r="H269" i="69"/>
  <c r="H289" i="69" s="1"/>
  <c r="D75" i="69"/>
  <c r="G83" i="69"/>
  <c r="C28" i="69"/>
  <c r="L36" i="69"/>
  <c r="C36" i="69" s="1"/>
  <c r="C46" i="69"/>
  <c r="C63" i="69"/>
  <c r="I69" i="69"/>
  <c r="C73" i="69"/>
  <c r="O80" i="69"/>
  <c r="O76" i="69" s="1"/>
  <c r="J83" i="69"/>
  <c r="C88" i="69"/>
  <c r="C96" i="69"/>
  <c r="C108" i="69"/>
  <c r="I112" i="69"/>
  <c r="C140" i="69"/>
  <c r="C142" i="69"/>
  <c r="L144" i="69"/>
  <c r="C155" i="69"/>
  <c r="C157" i="69"/>
  <c r="C168" i="69"/>
  <c r="I175" i="69"/>
  <c r="I174" i="69" s="1"/>
  <c r="I173" i="69" s="1"/>
  <c r="C182" i="69"/>
  <c r="M173" i="69"/>
  <c r="L184" i="69"/>
  <c r="E187" i="69"/>
  <c r="C189" i="69"/>
  <c r="O187" i="69"/>
  <c r="G195" i="69"/>
  <c r="C203" i="69"/>
  <c r="D195" i="69"/>
  <c r="C211" i="69"/>
  <c r="O216" i="69"/>
  <c r="C223" i="69"/>
  <c r="J204" i="69"/>
  <c r="J195" i="69" s="1"/>
  <c r="N204" i="69"/>
  <c r="N195" i="69" s="1"/>
  <c r="N194" i="69" s="1"/>
  <c r="C256" i="69"/>
  <c r="C263" i="69"/>
  <c r="L264" i="69"/>
  <c r="O272" i="69"/>
  <c r="L276" i="69"/>
  <c r="L270" i="69" s="1"/>
  <c r="L269" i="69" s="1"/>
  <c r="C280" i="69"/>
  <c r="C288" i="69"/>
  <c r="I293" i="69"/>
  <c r="C299" i="69"/>
  <c r="C300" i="69"/>
  <c r="O54" i="69"/>
  <c r="C55" i="69"/>
  <c r="J292" i="69"/>
  <c r="J291" i="69" s="1"/>
  <c r="J20" i="69"/>
  <c r="N292" i="69"/>
  <c r="N291" i="69" s="1"/>
  <c r="N20" i="69"/>
  <c r="I131" i="69"/>
  <c r="I130" i="69" s="1"/>
  <c r="C132" i="69"/>
  <c r="C156" i="69"/>
  <c r="C161" i="69"/>
  <c r="F160" i="69"/>
  <c r="C160" i="69" s="1"/>
  <c r="C162" i="69"/>
  <c r="L58" i="69"/>
  <c r="C84" i="69"/>
  <c r="L95" i="69"/>
  <c r="L103" i="69"/>
  <c r="F151" i="69"/>
  <c r="C151" i="69" s="1"/>
  <c r="O174" i="69"/>
  <c r="H194" i="69"/>
  <c r="K20" i="69"/>
  <c r="C22" i="69"/>
  <c r="C65" i="69"/>
  <c r="F69" i="69"/>
  <c r="I77" i="69"/>
  <c r="L76" i="69"/>
  <c r="C81" i="69"/>
  <c r="F80" i="69"/>
  <c r="C82" i="69"/>
  <c r="F89" i="69"/>
  <c r="O89" i="69"/>
  <c r="C97" i="69"/>
  <c r="C119" i="69"/>
  <c r="C120" i="69"/>
  <c r="O122" i="69"/>
  <c r="C122" i="69" s="1"/>
  <c r="J130" i="69"/>
  <c r="J75" i="69" s="1"/>
  <c r="C139" i="69"/>
  <c r="L141" i="69"/>
  <c r="C141" i="69"/>
  <c r="F144" i="69"/>
  <c r="C152" i="69"/>
  <c r="C159" i="69"/>
  <c r="L166" i="69"/>
  <c r="L165" i="69" s="1"/>
  <c r="G173" i="69"/>
  <c r="C177" i="69"/>
  <c r="F175" i="69"/>
  <c r="F179" i="69"/>
  <c r="C179" i="69" s="1"/>
  <c r="I187" i="69"/>
  <c r="L187" i="69"/>
  <c r="C200" i="69"/>
  <c r="I198" i="69"/>
  <c r="C249" i="69"/>
  <c r="F246" i="69"/>
  <c r="L54" i="69"/>
  <c r="L53" i="69" s="1"/>
  <c r="C301" i="69"/>
  <c r="F292" i="69"/>
  <c r="C27" i="69"/>
  <c r="D53" i="69"/>
  <c r="I67" i="69"/>
  <c r="I53" i="69" s="1"/>
  <c r="C68" i="69"/>
  <c r="C92" i="69"/>
  <c r="I89" i="69"/>
  <c r="N130" i="69"/>
  <c r="C207" i="69"/>
  <c r="L205" i="69"/>
  <c r="L204" i="69" s="1"/>
  <c r="C21" i="69"/>
  <c r="H291" i="69"/>
  <c r="C23" i="69"/>
  <c r="C34" i="69"/>
  <c r="F58" i="69"/>
  <c r="C58" i="69" s="1"/>
  <c r="C59" i="69"/>
  <c r="C64" i="69"/>
  <c r="C70" i="69"/>
  <c r="F77" i="69"/>
  <c r="M83" i="69"/>
  <c r="M75" i="69" s="1"/>
  <c r="M52" i="69" s="1"/>
  <c r="L89" i="69"/>
  <c r="C99" i="69"/>
  <c r="I103" i="69"/>
  <c r="C103" i="69" s="1"/>
  <c r="C113" i="69"/>
  <c r="F112" i="69"/>
  <c r="O112" i="69"/>
  <c r="L116" i="69"/>
  <c r="C121" i="69"/>
  <c r="C123" i="69"/>
  <c r="F131" i="69"/>
  <c r="K130" i="69"/>
  <c r="C133" i="69"/>
  <c r="E130" i="69"/>
  <c r="E75" i="69" s="1"/>
  <c r="E52" i="69" s="1"/>
  <c r="L136" i="69"/>
  <c r="C136" i="69" s="1"/>
  <c r="C145" i="69"/>
  <c r="C154" i="69"/>
  <c r="I166" i="69"/>
  <c r="C169" i="69"/>
  <c r="C180" i="69"/>
  <c r="F188" i="69"/>
  <c r="J187" i="69"/>
  <c r="C236" i="69"/>
  <c r="C237" i="69"/>
  <c r="F235" i="69"/>
  <c r="L238" i="69"/>
  <c r="C57" i="69"/>
  <c r="O69" i="69"/>
  <c r="O67" i="69" s="1"/>
  <c r="C85" i="69"/>
  <c r="I95" i="69"/>
  <c r="C105" i="69"/>
  <c r="C125" i="69"/>
  <c r="C153" i="69"/>
  <c r="C181" i="69"/>
  <c r="M187" i="69"/>
  <c r="C197" i="69"/>
  <c r="F196" i="69"/>
  <c r="C261" i="69"/>
  <c r="F260" i="69"/>
  <c r="C224" i="69"/>
  <c r="C228" i="69"/>
  <c r="L252" i="69"/>
  <c r="L251" i="69" s="1"/>
  <c r="C255" i="69"/>
  <c r="C277" i="69"/>
  <c r="F276" i="69"/>
  <c r="C285" i="69"/>
  <c r="F284" i="69"/>
  <c r="O205" i="69"/>
  <c r="C217" i="69"/>
  <c r="F216" i="69"/>
  <c r="J230" i="69"/>
  <c r="C232" i="69"/>
  <c r="K231" i="69"/>
  <c r="K230" i="69" s="1"/>
  <c r="C239" i="69"/>
  <c r="C241" i="69"/>
  <c r="F238" i="69"/>
  <c r="C248" i="69"/>
  <c r="I246" i="69"/>
  <c r="E230" i="69"/>
  <c r="C253" i="69"/>
  <c r="F252" i="69"/>
  <c r="M259" i="69"/>
  <c r="M230" i="69" s="1"/>
  <c r="C265" i="69"/>
  <c r="F264" i="69"/>
  <c r="C264" i="69" s="1"/>
  <c r="C273" i="69"/>
  <c r="F272" i="69"/>
  <c r="C287" i="69"/>
  <c r="L286" i="69"/>
  <c r="C193" i="69"/>
  <c r="F192" i="69"/>
  <c r="E195" i="69"/>
  <c r="M195" i="69"/>
  <c r="L196" i="69"/>
  <c r="C208" i="69"/>
  <c r="C209" i="69"/>
  <c r="F205" i="69"/>
  <c r="C219" i="69"/>
  <c r="C220" i="69"/>
  <c r="C227" i="69"/>
  <c r="C233" i="69"/>
  <c r="G231" i="69"/>
  <c r="G230" i="69" s="1"/>
  <c r="G194" i="69" s="1"/>
  <c r="C240" i="69"/>
  <c r="I238" i="69"/>
  <c r="C243" i="69"/>
  <c r="C244" i="69"/>
  <c r="C247" i="69"/>
  <c r="L246" i="69"/>
  <c r="L231" i="69" s="1"/>
  <c r="I259" i="69"/>
  <c r="L259" i="69"/>
  <c r="C267" i="69"/>
  <c r="C268" i="69"/>
  <c r="C281" i="69"/>
  <c r="C295" i="69"/>
  <c r="C296" i="69"/>
  <c r="C297" i="69"/>
  <c r="F293" i="69"/>
  <c r="C293" i="69" s="1"/>
  <c r="C199" i="69"/>
  <c r="M289" i="69" l="1"/>
  <c r="O83" i="69"/>
  <c r="O75" i="69" s="1"/>
  <c r="D289" i="69"/>
  <c r="C184" i="69"/>
  <c r="J194" i="69"/>
  <c r="N75" i="69"/>
  <c r="N52" i="69" s="1"/>
  <c r="N51" i="69" s="1"/>
  <c r="N50" i="69" s="1"/>
  <c r="I291" i="69"/>
  <c r="D194" i="69"/>
  <c r="H51" i="69"/>
  <c r="O230" i="69"/>
  <c r="N289" i="69"/>
  <c r="C216" i="69"/>
  <c r="L230" i="69"/>
  <c r="I231" i="69"/>
  <c r="I230" i="69" s="1"/>
  <c r="E194" i="69"/>
  <c r="K194" i="69"/>
  <c r="K75" i="69"/>
  <c r="K52" i="69" s="1"/>
  <c r="C116" i="69"/>
  <c r="I76" i="69"/>
  <c r="O270" i="69"/>
  <c r="O269" i="69" s="1"/>
  <c r="L173" i="69"/>
  <c r="E51" i="69"/>
  <c r="E50" i="69" s="1"/>
  <c r="O173" i="69"/>
  <c r="O204" i="69"/>
  <c r="O195" i="69" s="1"/>
  <c r="C276" i="69"/>
  <c r="C95" i="69"/>
  <c r="I83" i="69"/>
  <c r="D52" i="69"/>
  <c r="D51" i="69" s="1"/>
  <c r="D24" i="69" s="1"/>
  <c r="D290" i="69" s="1"/>
  <c r="C144" i="69"/>
  <c r="C80" i="69"/>
  <c r="L26" i="69"/>
  <c r="G75" i="69"/>
  <c r="G52" i="69" s="1"/>
  <c r="G51" i="69" s="1"/>
  <c r="J52" i="69"/>
  <c r="J51" i="69" s="1"/>
  <c r="J289" i="69"/>
  <c r="C198" i="69"/>
  <c r="I196" i="69"/>
  <c r="I195" i="69" s="1"/>
  <c r="C26" i="69"/>
  <c r="C192" i="69"/>
  <c r="F191" i="69"/>
  <c r="C191" i="69" s="1"/>
  <c r="C238" i="69"/>
  <c r="C260" i="69"/>
  <c r="F259" i="69"/>
  <c r="C259" i="69" s="1"/>
  <c r="F130" i="69"/>
  <c r="C131" i="69"/>
  <c r="F54" i="69"/>
  <c r="C246" i="69"/>
  <c r="F174" i="69"/>
  <c r="C175" i="69"/>
  <c r="E289" i="69"/>
  <c r="L195" i="69"/>
  <c r="L194" i="69" s="1"/>
  <c r="F270" i="69"/>
  <c r="C272" i="69"/>
  <c r="G289" i="69"/>
  <c r="C235" i="69"/>
  <c r="F231" i="69"/>
  <c r="C188" i="69"/>
  <c r="I165" i="69"/>
  <c r="C165" i="69" s="1"/>
  <c r="C166" i="69"/>
  <c r="C112" i="69"/>
  <c r="L83" i="69"/>
  <c r="N290" i="69"/>
  <c r="L20" i="69"/>
  <c r="C252" i="69"/>
  <c r="F251" i="69"/>
  <c r="C251" i="69" s="1"/>
  <c r="C77" i="69"/>
  <c r="F76" i="69"/>
  <c r="C69" i="69"/>
  <c r="F67" i="69"/>
  <c r="C67" i="69" s="1"/>
  <c r="F195" i="69"/>
  <c r="C89" i="69"/>
  <c r="H290" i="69"/>
  <c r="H50" i="69"/>
  <c r="L130" i="69"/>
  <c r="C205" i="69"/>
  <c r="F204" i="69"/>
  <c r="M194" i="69"/>
  <c r="M51" i="69" s="1"/>
  <c r="C286" i="69"/>
  <c r="C284" i="69"/>
  <c r="F283" i="69"/>
  <c r="C283" i="69" s="1"/>
  <c r="D50" i="69"/>
  <c r="F291" i="69"/>
  <c r="F83" i="69"/>
  <c r="C83" i="69" s="1"/>
  <c r="O53" i="69"/>
  <c r="O52" i="69" s="1"/>
  <c r="L292" i="69"/>
  <c r="L291" i="69" s="1"/>
  <c r="O194" i="69" l="1"/>
  <c r="O51" i="69" s="1"/>
  <c r="C204" i="69"/>
  <c r="E290" i="69"/>
  <c r="K51" i="69"/>
  <c r="G50" i="69"/>
  <c r="G24" i="69"/>
  <c r="C291" i="69"/>
  <c r="K289" i="69"/>
  <c r="L75" i="69"/>
  <c r="L52" i="69" s="1"/>
  <c r="L51" i="69" s="1"/>
  <c r="L50" i="69" s="1"/>
  <c r="I194" i="69"/>
  <c r="C130" i="69"/>
  <c r="F173" i="69"/>
  <c r="C173" i="69" s="1"/>
  <c r="C174" i="69"/>
  <c r="F75" i="69"/>
  <c r="C76" i="69"/>
  <c r="F187" i="69"/>
  <c r="C187" i="69" s="1"/>
  <c r="J50" i="69"/>
  <c r="J290" i="69"/>
  <c r="M50" i="69"/>
  <c r="M290" i="69"/>
  <c r="C196" i="69"/>
  <c r="I75" i="69"/>
  <c r="I52" i="69" s="1"/>
  <c r="I51" i="69" s="1"/>
  <c r="F53" i="69"/>
  <c r="C54" i="69"/>
  <c r="I24" i="69"/>
  <c r="I20" i="69" s="1"/>
  <c r="G20" i="69"/>
  <c r="O289" i="69"/>
  <c r="C195" i="69"/>
  <c r="I289" i="69"/>
  <c r="F24" i="69"/>
  <c r="D20" i="69"/>
  <c r="C292" i="69"/>
  <c r="F230" i="69"/>
  <c r="C230" i="69" s="1"/>
  <c r="C231" i="69"/>
  <c r="F269" i="69"/>
  <c r="C270" i="69"/>
  <c r="G290" i="69"/>
  <c r="O50" i="69" l="1"/>
  <c r="O290" i="69"/>
  <c r="L290" i="69"/>
  <c r="K50" i="69"/>
  <c r="K290" i="69"/>
  <c r="L289" i="69"/>
  <c r="C53" i="69"/>
  <c r="F52" i="69"/>
  <c r="F194" i="69"/>
  <c r="C194" i="69" s="1"/>
  <c r="C269" i="69"/>
  <c r="F289" i="69"/>
  <c r="C24" i="69"/>
  <c r="F20" i="69"/>
  <c r="C20" i="69" s="1"/>
  <c r="I290" i="69"/>
  <c r="I50" i="69"/>
  <c r="C75" i="69"/>
  <c r="C289" i="69" l="1"/>
  <c r="C52" i="69"/>
  <c r="F51" i="69"/>
  <c r="F290" i="69" l="1"/>
  <c r="C290" i="69" s="1"/>
  <c r="F50" i="69"/>
  <c r="C50" i="69" s="1"/>
  <c r="C51" i="69"/>
  <c r="O301" i="68" l="1"/>
  <c r="L301" i="68"/>
  <c r="I301" i="68"/>
  <c r="F301" i="68"/>
  <c r="O300" i="68"/>
  <c r="L300" i="68"/>
  <c r="I300" i="68"/>
  <c r="F300" i="68"/>
  <c r="O299" i="68"/>
  <c r="L299" i="68"/>
  <c r="I299" i="68"/>
  <c r="F299" i="68"/>
  <c r="O298" i="68"/>
  <c r="L298" i="68"/>
  <c r="I298" i="68"/>
  <c r="F298" i="68"/>
  <c r="C298" i="68" s="1"/>
  <c r="O297" i="68"/>
  <c r="L297" i="68"/>
  <c r="I297" i="68"/>
  <c r="F297" i="68"/>
  <c r="O296" i="68"/>
  <c r="L296" i="68"/>
  <c r="I296" i="68"/>
  <c r="F296" i="68"/>
  <c r="O295" i="68"/>
  <c r="L295" i="68"/>
  <c r="I295" i="68"/>
  <c r="F295" i="68"/>
  <c r="O294" i="68"/>
  <c r="L294" i="68"/>
  <c r="I294" i="68"/>
  <c r="F294" i="68"/>
  <c r="N293" i="68"/>
  <c r="M293" i="68"/>
  <c r="K293" i="68"/>
  <c r="J293" i="68"/>
  <c r="H293" i="68"/>
  <c r="G293" i="68"/>
  <c r="E293" i="68"/>
  <c r="D293" i="68"/>
  <c r="O288" i="68"/>
  <c r="L288" i="68"/>
  <c r="I288" i="68"/>
  <c r="F288" i="68"/>
  <c r="O287" i="68"/>
  <c r="L287" i="68"/>
  <c r="L286" i="68" s="1"/>
  <c r="I287" i="68"/>
  <c r="F287" i="68"/>
  <c r="F286" i="68" s="1"/>
  <c r="O286" i="68"/>
  <c r="N286" i="68"/>
  <c r="M286" i="68"/>
  <c r="K286" i="68"/>
  <c r="J286" i="68"/>
  <c r="H286" i="68"/>
  <c r="G286" i="68"/>
  <c r="E286" i="68"/>
  <c r="D286" i="68"/>
  <c r="O285" i="68"/>
  <c r="L285" i="68"/>
  <c r="L284" i="68" s="1"/>
  <c r="L283" i="68" s="1"/>
  <c r="I285" i="68"/>
  <c r="F285" i="68"/>
  <c r="O284" i="68"/>
  <c r="O283" i="68" s="1"/>
  <c r="N284" i="68"/>
  <c r="N283" i="68" s="1"/>
  <c r="M284" i="68"/>
  <c r="M283" i="68" s="1"/>
  <c r="K284" i="68"/>
  <c r="K283" i="68" s="1"/>
  <c r="J284" i="68"/>
  <c r="J283" i="68" s="1"/>
  <c r="I284" i="68"/>
  <c r="I283" i="68" s="1"/>
  <c r="H284" i="68"/>
  <c r="G284" i="68"/>
  <c r="G283" i="68" s="1"/>
  <c r="E284" i="68"/>
  <c r="E283" i="68" s="1"/>
  <c r="D284" i="68"/>
  <c r="D283" i="68" s="1"/>
  <c r="H283" i="68"/>
  <c r="O282" i="68"/>
  <c r="O281" i="68" s="1"/>
  <c r="L282" i="68"/>
  <c r="L281" i="68" s="1"/>
  <c r="I282" i="68"/>
  <c r="I281" i="68" s="1"/>
  <c r="F282" i="68"/>
  <c r="N281" i="68"/>
  <c r="M281" i="68"/>
  <c r="K281" i="68"/>
  <c r="J281" i="68"/>
  <c r="H281" i="68"/>
  <c r="G281" i="68"/>
  <c r="E281" i="68"/>
  <c r="D281" i="68"/>
  <c r="O280" i="68"/>
  <c r="L280" i="68"/>
  <c r="I280" i="68"/>
  <c r="F280" i="68"/>
  <c r="O279" i="68"/>
  <c r="L279" i="68"/>
  <c r="I279" i="68"/>
  <c r="F279" i="68"/>
  <c r="O278" i="68"/>
  <c r="O276" i="68" s="1"/>
  <c r="L278" i="68"/>
  <c r="I278" i="68"/>
  <c r="F278" i="68"/>
  <c r="C278" i="68"/>
  <c r="O277" i="68"/>
  <c r="L277" i="68"/>
  <c r="L276" i="68" s="1"/>
  <c r="I277" i="68"/>
  <c r="I276" i="68" s="1"/>
  <c r="F277" i="68"/>
  <c r="N276" i="68"/>
  <c r="M276" i="68"/>
  <c r="K276" i="68"/>
  <c r="J276" i="68"/>
  <c r="H276" i="68"/>
  <c r="G276" i="68"/>
  <c r="E276" i="68"/>
  <c r="D276" i="68"/>
  <c r="O275" i="68"/>
  <c r="L275" i="68"/>
  <c r="I275" i="68"/>
  <c r="F275" i="68"/>
  <c r="O274" i="68"/>
  <c r="L274" i="68"/>
  <c r="I274" i="68"/>
  <c r="F274" i="68"/>
  <c r="O273" i="68"/>
  <c r="L273" i="68"/>
  <c r="L272" i="68" s="1"/>
  <c r="I273" i="68"/>
  <c r="F273" i="68"/>
  <c r="N272" i="68"/>
  <c r="M272" i="68"/>
  <c r="K272" i="68"/>
  <c r="K270" i="68" s="1"/>
  <c r="K269" i="68" s="1"/>
  <c r="J272" i="68"/>
  <c r="H272" i="68"/>
  <c r="H270" i="68" s="1"/>
  <c r="G272" i="68"/>
  <c r="E272" i="68"/>
  <c r="D272" i="68"/>
  <c r="O271" i="68"/>
  <c r="L271" i="68"/>
  <c r="I271" i="68"/>
  <c r="F271" i="68"/>
  <c r="N270" i="68"/>
  <c r="N269" i="68" s="1"/>
  <c r="G270" i="68"/>
  <c r="G269" i="68" s="1"/>
  <c r="D270" i="68"/>
  <c r="O268" i="68"/>
  <c r="L268" i="68"/>
  <c r="I268" i="68"/>
  <c r="F268" i="68"/>
  <c r="O267" i="68"/>
  <c r="L267" i="68"/>
  <c r="I267" i="68"/>
  <c r="F267" i="68"/>
  <c r="O266" i="68"/>
  <c r="O264" i="68" s="1"/>
  <c r="L266" i="68"/>
  <c r="I266" i="68"/>
  <c r="F266" i="68"/>
  <c r="C266" i="68" s="1"/>
  <c r="O265" i="68"/>
  <c r="L265" i="68"/>
  <c r="I265" i="68"/>
  <c r="F265" i="68"/>
  <c r="N264" i="68"/>
  <c r="M264" i="68"/>
  <c r="K264" i="68"/>
  <c r="J264" i="68"/>
  <c r="H264" i="68"/>
  <c r="G264" i="68"/>
  <c r="E264" i="68"/>
  <c r="D264" i="68"/>
  <c r="O263" i="68"/>
  <c r="L263" i="68"/>
  <c r="I263" i="68"/>
  <c r="F263" i="68"/>
  <c r="O262" i="68"/>
  <c r="L262" i="68"/>
  <c r="I262" i="68"/>
  <c r="F262" i="68"/>
  <c r="O261" i="68"/>
  <c r="L261" i="68"/>
  <c r="I261" i="68"/>
  <c r="I260" i="68" s="1"/>
  <c r="F261" i="68"/>
  <c r="N260" i="68"/>
  <c r="N259" i="68" s="1"/>
  <c r="M260" i="68"/>
  <c r="K260" i="68"/>
  <c r="K259" i="68" s="1"/>
  <c r="J260" i="68"/>
  <c r="H260" i="68"/>
  <c r="G260" i="68"/>
  <c r="G259" i="68" s="1"/>
  <c r="E260" i="68"/>
  <c r="E259" i="68" s="1"/>
  <c r="D260" i="68"/>
  <c r="H259" i="68"/>
  <c r="D259" i="68"/>
  <c r="O258" i="68"/>
  <c r="L258" i="68"/>
  <c r="I258" i="68"/>
  <c r="F258" i="68"/>
  <c r="C258" i="68" s="1"/>
  <c r="O257" i="68"/>
  <c r="L257" i="68"/>
  <c r="I257" i="68"/>
  <c r="F257" i="68"/>
  <c r="O256" i="68"/>
  <c r="L256" i="68"/>
  <c r="I256" i="68"/>
  <c r="F256" i="68"/>
  <c r="O255" i="68"/>
  <c r="L255" i="68"/>
  <c r="I255" i="68"/>
  <c r="F255" i="68"/>
  <c r="O254" i="68"/>
  <c r="L254" i="68"/>
  <c r="I254" i="68"/>
  <c r="F254" i="68"/>
  <c r="O253" i="68"/>
  <c r="L253" i="68"/>
  <c r="I253" i="68"/>
  <c r="F253" i="68"/>
  <c r="N252" i="68"/>
  <c r="M252" i="68"/>
  <c r="M251" i="68" s="1"/>
  <c r="K252" i="68"/>
  <c r="J252" i="68"/>
  <c r="J251" i="68" s="1"/>
  <c r="H252" i="68"/>
  <c r="G252" i="68"/>
  <c r="G251" i="68" s="1"/>
  <c r="E252" i="68"/>
  <c r="E251" i="68" s="1"/>
  <c r="D252" i="68"/>
  <c r="D251" i="68" s="1"/>
  <c r="N251" i="68"/>
  <c r="K251" i="68"/>
  <c r="H251" i="68"/>
  <c r="O250" i="68"/>
  <c r="L250" i="68"/>
  <c r="I250" i="68"/>
  <c r="F250" i="68"/>
  <c r="O249" i="68"/>
  <c r="L249" i="68"/>
  <c r="I249" i="68"/>
  <c r="F249" i="68"/>
  <c r="O248" i="68"/>
  <c r="L248" i="68"/>
  <c r="I248" i="68"/>
  <c r="F248" i="68"/>
  <c r="O247" i="68"/>
  <c r="L247" i="68"/>
  <c r="L246" i="68" s="1"/>
  <c r="I247" i="68"/>
  <c r="F247" i="68"/>
  <c r="O246" i="68"/>
  <c r="N246" i="68"/>
  <c r="M246" i="68"/>
  <c r="K246" i="68"/>
  <c r="J246" i="68"/>
  <c r="H246" i="68"/>
  <c r="G246" i="68"/>
  <c r="E246" i="68"/>
  <c r="D246" i="68"/>
  <c r="O245" i="68"/>
  <c r="L245" i="68"/>
  <c r="I245" i="68"/>
  <c r="F245" i="68"/>
  <c r="O244" i="68"/>
  <c r="L244" i="68"/>
  <c r="I244" i="68"/>
  <c r="F244" i="68"/>
  <c r="O243" i="68"/>
  <c r="L243" i="68"/>
  <c r="I243" i="68"/>
  <c r="F243" i="68"/>
  <c r="O242" i="68"/>
  <c r="L242" i="68"/>
  <c r="I242" i="68"/>
  <c r="F242" i="68"/>
  <c r="O241" i="68"/>
  <c r="L241" i="68"/>
  <c r="I241" i="68"/>
  <c r="F241" i="68"/>
  <c r="O240" i="68"/>
  <c r="L240" i="68"/>
  <c r="I240" i="68"/>
  <c r="F240" i="68"/>
  <c r="O239" i="68"/>
  <c r="O238" i="68" s="1"/>
  <c r="L239" i="68"/>
  <c r="I239" i="68"/>
  <c r="F239" i="68"/>
  <c r="N238" i="68"/>
  <c r="M238" i="68"/>
  <c r="M231" i="68" s="1"/>
  <c r="K238" i="68"/>
  <c r="J238" i="68"/>
  <c r="H238" i="68"/>
  <c r="G238" i="68"/>
  <c r="E238" i="68"/>
  <c r="D238" i="68"/>
  <c r="O237" i="68"/>
  <c r="L237" i="68"/>
  <c r="I237" i="68"/>
  <c r="F237" i="68"/>
  <c r="O236" i="68"/>
  <c r="L236" i="68"/>
  <c r="L235" i="68" s="1"/>
  <c r="I236" i="68"/>
  <c r="F236" i="68"/>
  <c r="O235" i="68"/>
  <c r="N235" i="68"/>
  <c r="M235" i="68"/>
  <c r="K235" i="68"/>
  <c r="J235" i="68"/>
  <c r="H235" i="68"/>
  <c r="G235" i="68"/>
  <c r="E235" i="68"/>
  <c r="D235" i="68"/>
  <c r="O234" i="68"/>
  <c r="O233" i="68" s="1"/>
  <c r="L234" i="68"/>
  <c r="L233" i="68" s="1"/>
  <c r="I234" i="68"/>
  <c r="F234" i="68"/>
  <c r="C234" i="68" s="1"/>
  <c r="N233" i="68"/>
  <c r="M233" i="68"/>
  <c r="K233" i="68"/>
  <c r="J233" i="68"/>
  <c r="J231" i="68" s="1"/>
  <c r="I233" i="68"/>
  <c r="H233" i="68"/>
  <c r="H231" i="68" s="1"/>
  <c r="G233" i="68"/>
  <c r="F233" i="68"/>
  <c r="E233" i="68"/>
  <c r="D233" i="68"/>
  <c r="O232" i="68"/>
  <c r="L232" i="68"/>
  <c r="I232" i="68"/>
  <c r="F232" i="68"/>
  <c r="E231" i="68"/>
  <c r="O229" i="68"/>
  <c r="L229" i="68"/>
  <c r="I229" i="68"/>
  <c r="F229" i="68"/>
  <c r="O228" i="68"/>
  <c r="L228" i="68"/>
  <c r="I228" i="68"/>
  <c r="F228" i="68"/>
  <c r="F227" i="68" s="1"/>
  <c r="O227" i="68"/>
  <c r="N227" i="68"/>
  <c r="M227" i="68"/>
  <c r="L227" i="68"/>
  <c r="K227" i="68"/>
  <c r="J227" i="68"/>
  <c r="H227" i="68"/>
  <c r="G227" i="68"/>
  <c r="E227" i="68"/>
  <c r="D227" i="68"/>
  <c r="O226" i="68"/>
  <c r="L226" i="68"/>
  <c r="I226" i="68"/>
  <c r="F226" i="68"/>
  <c r="O225" i="68"/>
  <c r="L225" i="68"/>
  <c r="I225" i="68"/>
  <c r="F225" i="68"/>
  <c r="O224" i="68"/>
  <c r="L224" i="68"/>
  <c r="I224" i="68"/>
  <c r="F224" i="68"/>
  <c r="O223" i="68"/>
  <c r="L223" i="68"/>
  <c r="I223" i="68"/>
  <c r="F223" i="68"/>
  <c r="O222" i="68"/>
  <c r="L222" i="68"/>
  <c r="I222" i="68"/>
  <c r="F222" i="68"/>
  <c r="C222" i="68"/>
  <c r="O221" i="68"/>
  <c r="L221" i="68"/>
  <c r="I221" i="68"/>
  <c r="F221" i="68"/>
  <c r="C221" i="68" s="1"/>
  <c r="O220" i="68"/>
  <c r="L220" i="68"/>
  <c r="I220" i="68"/>
  <c r="F220" i="68"/>
  <c r="O219" i="68"/>
  <c r="L219" i="68"/>
  <c r="I219" i="68"/>
  <c r="F219" i="68"/>
  <c r="O218" i="68"/>
  <c r="L218" i="68"/>
  <c r="I218" i="68"/>
  <c r="F218" i="68"/>
  <c r="C218" i="68" s="1"/>
  <c r="O217" i="68"/>
  <c r="L217" i="68"/>
  <c r="I217" i="68"/>
  <c r="F217" i="68"/>
  <c r="N216" i="68"/>
  <c r="M216" i="68"/>
  <c r="K216" i="68"/>
  <c r="J216" i="68"/>
  <c r="H216" i="68"/>
  <c r="G216" i="68"/>
  <c r="E216" i="68"/>
  <c r="D216" i="68"/>
  <c r="O215" i="68"/>
  <c r="L215" i="68"/>
  <c r="I215" i="68"/>
  <c r="F215" i="68"/>
  <c r="O214" i="68"/>
  <c r="L214" i="68"/>
  <c r="I214" i="68"/>
  <c r="F214" i="68"/>
  <c r="O213" i="68"/>
  <c r="L213" i="68"/>
  <c r="I213" i="68"/>
  <c r="F213" i="68"/>
  <c r="O212" i="68"/>
  <c r="L212" i="68"/>
  <c r="I212" i="68"/>
  <c r="F212" i="68"/>
  <c r="O211" i="68"/>
  <c r="L211" i="68"/>
  <c r="I211" i="68"/>
  <c r="F211" i="68"/>
  <c r="O210" i="68"/>
  <c r="L210" i="68"/>
  <c r="I210" i="68"/>
  <c r="F210" i="68"/>
  <c r="C210" i="68" s="1"/>
  <c r="O209" i="68"/>
  <c r="L209" i="68"/>
  <c r="I209" i="68"/>
  <c r="F209" i="68"/>
  <c r="O208" i="68"/>
  <c r="L208" i="68"/>
  <c r="I208" i="68"/>
  <c r="F208" i="68"/>
  <c r="O207" i="68"/>
  <c r="L207" i="68"/>
  <c r="I207" i="68"/>
  <c r="F207" i="68"/>
  <c r="O206" i="68"/>
  <c r="L206" i="68"/>
  <c r="I206" i="68"/>
  <c r="F206" i="68"/>
  <c r="C206" i="68" s="1"/>
  <c r="N205" i="68"/>
  <c r="M205" i="68"/>
  <c r="K205" i="68"/>
  <c r="J205" i="68"/>
  <c r="H205" i="68"/>
  <c r="H204" i="68" s="1"/>
  <c r="G205" i="68"/>
  <c r="G204" i="68" s="1"/>
  <c r="E205" i="68"/>
  <c r="D205" i="68"/>
  <c r="O203" i="68"/>
  <c r="L203" i="68"/>
  <c r="I203" i="68"/>
  <c r="F203" i="68"/>
  <c r="O202" i="68"/>
  <c r="L202" i="68"/>
  <c r="C202" i="68" s="1"/>
  <c r="I202" i="68"/>
  <c r="F202" i="68"/>
  <c r="O201" i="68"/>
  <c r="L201" i="68"/>
  <c r="I201" i="68"/>
  <c r="F201" i="68"/>
  <c r="O200" i="68"/>
  <c r="L200" i="68"/>
  <c r="I200" i="68"/>
  <c r="F200" i="68"/>
  <c r="O199" i="68"/>
  <c r="O198" i="68" s="1"/>
  <c r="L199" i="68"/>
  <c r="L198" i="68" s="1"/>
  <c r="I199" i="68"/>
  <c r="F199" i="68"/>
  <c r="N198" i="68"/>
  <c r="M198" i="68"/>
  <c r="K198" i="68"/>
  <c r="K196" i="68" s="1"/>
  <c r="J198" i="68"/>
  <c r="H198" i="68"/>
  <c r="G198" i="68"/>
  <c r="G196" i="68" s="1"/>
  <c r="F198" i="68"/>
  <c r="E198" i="68"/>
  <c r="E196" i="68" s="1"/>
  <c r="D198" i="68"/>
  <c r="O197" i="68"/>
  <c r="L197" i="68"/>
  <c r="I197" i="68"/>
  <c r="F197" i="68"/>
  <c r="N196" i="68"/>
  <c r="M196" i="68"/>
  <c r="J196" i="68"/>
  <c r="H196" i="68"/>
  <c r="D196" i="68"/>
  <c r="O193" i="68"/>
  <c r="O192" i="68" s="1"/>
  <c r="O191" i="68" s="1"/>
  <c r="L193" i="68"/>
  <c r="L192" i="68" s="1"/>
  <c r="L191" i="68" s="1"/>
  <c r="I193" i="68"/>
  <c r="F193" i="68"/>
  <c r="N192" i="68"/>
  <c r="N191" i="68" s="1"/>
  <c r="M192" i="68"/>
  <c r="M191" i="68" s="1"/>
  <c r="K192" i="68"/>
  <c r="J192" i="68"/>
  <c r="J191" i="68" s="1"/>
  <c r="J187" i="68" s="1"/>
  <c r="I192" i="68"/>
  <c r="I191" i="68" s="1"/>
  <c r="H192" i="68"/>
  <c r="G192" i="68"/>
  <c r="E192" i="68"/>
  <c r="E191" i="68" s="1"/>
  <c r="D192" i="68"/>
  <c r="D191" i="68" s="1"/>
  <c r="K191" i="68"/>
  <c r="H191" i="68"/>
  <c r="G191" i="68"/>
  <c r="O190" i="68"/>
  <c r="L190" i="68"/>
  <c r="I190" i="68"/>
  <c r="F190" i="68"/>
  <c r="O189" i="68"/>
  <c r="L189" i="68"/>
  <c r="L188" i="68" s="1"/>
  <c r="I189" i="68"/>
  <c r="F189" i="68"/>
  <c r="N188" i="68"/>
  <c r="M188" i="68"/>
  <c r="M187" i="68" s="1"/>
  <c r="K188" i="68"/>
  <c r="J188" i="68"/>
  <c r="I188" i="68"/>
  <c r="I187" i="68" s="1"/>
  <c r="H188" i="68"/>
  <c r="H187" i="68" s="1"/>
  <c r="G188" i="68"/>
  <c r="E188" i="68"/>
  <c r="D188" i="68"/>
  <c r="K187" i="68"/>
  <c r="G187" i="68"/>
  <c r="O186" i="68"/>
  <c r="L186" i="68"/>
  <c r="I186" i="68"/>
  <c r="F186" i="68"/>
  <c r="O185" i="68"/>
  <c r="L185" i="68"/>
  <c r="I185" i="68"/>
  <c r="I184" i="68" s="1"/>
  <c r="F185" i="68"/>
  <c r="N184" i="68"/>
  <c r="M184" i="68"/>
  <c r="L184" i="68"/>
  <c r="K184" i="68"/>
  <c r="J184" i="68"/>
  <c r="H184" i="68"/>
  <c r="G184" i="68"/>
  <c r="E184" i="68"/>
  <c r="D184" i="68"/>
  <c r="O183" i="68"/>
  <c r="L183" i="68"/>
  <c r="I183" i="68"/>
  <c r="F183" i="68"/>
  <c r="O182" i="68"/>
  <c r="L182" i="68"/>
  <c r="C182" i="68" s="1"/>
  <c r="I182" i="68"/>
  <c r="F182" i="68"/>
  <c r="O181" i="68"/>
  <c r="L181" i="68"/>
  <c r="I181" i="68"/>
  <c r="F181" i="68"/>
  <c r="O180" i="68"/>
  <c r="L180" i="68"/>
  <c r="I180" i="68"/>
  <c r="I179" i="68" s="1"/>
  <c r="F180" i="68"/>
  <c r="F179" i="68" s="1"/>
  <c r="N179" i="68"/>
  <c r="M179" i="68"/>
  <c r="K179" i="68"/>
  <c r="J179" i="68"/>
  <c r="H179" i="68"/>
  <c r="G179" i="68"/>
  <c r="E179" i="68"/>
  <c r="D179" i="68"/>
  <c r="O178" i="68"/>
  <c r="L178" i="68"/>
  <c r="I178" i="68"/>
  <c r="F178" i="68"/>
  <c r="O177" i="68"/>
  <c r="L177" i="68"/>
  <c r="I177" i="68"/>
  <c r="F177" i="68"/>
  <c r="O176" i="68"/>
  <c r="L176" i="68"/>
  <c r="L175" i="68" s="1"/>
  <c r="I176" i="68"/>
  <c r="F176" i="68"/>
  <c r="F175" i="68" s="1"/>
  <c r="N175" i="68"/>
  <c r="M175" i="68"/>
  <c r="M174" i="68" s="1"/>
  <c r="K175" i="68"/>
  <c r="J175" i="68"/>
  <c r="H175" i="68"/>
  <c r="H174" i="68" s="1"/>
  <c r="H173" i="68" s="1"/>
  <c r="G175" i="68"/>
  <c r="G174" i="68" s="1"/>
  <c r="E175" i="68"/>
  <c r="D175" i="68"/>
  <c r="D174" i="68" s="1"/>
  <c r="D173" i="68" s="1"/>
  <c r="K174" i="68"/>
  <c r="K173" i="68" s="1"/>
  <c r="O172" i="68"/>
  <c r="L172" i="68"/>
  <c r="I172" i="68"/>
  <c r="F172" i="68"/>
  <c r="O171" i="68"/>
  <c r="L171" i="68"/>
  <c r="I171" i="68"/>
  <c r="F171" i="68"/>
  <c r="O170" i="68"/>
  <c r="L170" i="68"/>
  <c r="I170" i="68"/>
  <c r="C170" i="68" s="1"/>
  <c r="F170" i="68"/>
  <c r="O169" i="68"/>
  <c r="L169" i="68"/>
  <c r="I169" i="68"/>
  <c r="F169" i="68"/>
  <c r="O168" i="68"/>
  <c r="L168" i="68"/>
  <c r="I168" i="68"/>
  <c r="F168" i="68"/>
  <c r="O167" i="68"/>
  <c r="L167" i="68"/>
  <c r="I167" i="68"/>
  <c r="F167" i="68"/>
  <c r="N166" i="68"/>
  <c r="N165" i="68" s="1"/>
  <c r="M166" i="68"/>
  <c r="M165" i="68" s="1"/>
  <c r="K166" i="68"/>
  <c r="K165" i="68" s="1"/>
  <c r="J166" i="68"/>
  <c r="J165" i="68" s="1"/>
  <c r="H166" i="68"/>
  <c r="G166" i="68"/>
  <c r="G165" i="68" s="1"/>
  <c r="E166" i="68"/>
  <c r="E165" i="68" s="1"/>
  <c r="D166" i="68"/>
  <c r="H165" i="68"/>
  <c r="D165" i="68"/>
  <c r="O164" i="68"/>
  <c r="L164" i="68"/>
  <c r="I164" i="68"/>
  <c r="F164" i="68"/>
  <c r="O163" i="68"/>
  <c r="L163" i="68"/>
  <c r="I163" i="68"/>
  <c r="F163" i="68"/>
  <c r="O162" i="68"/>
  <c r="L162" i="68"/>
  <c r="I162" i="68"/>
  <c r="F162" i="68"/>
  <c r="C162" i="68" s="1"/>
  <c r="O161" i="68"/>
  <c r="L161" i="68"/>
  <c r="I161" i="68"/>
  <c r="I160" i="68" s="1"/>
  <c r="F161" i="68"/>
  <c r="N160" i="68"/>
  <c r="M160" i="68"/>
  <c r="K160" i="68"/>
  <c r="J160" i="68"/>
  <c r="H160" i="68"/>
  <c r="G160" i="68"/>
  <c r="E160" i="68"/>
  <c r="D160" i="68"/>
  <c r="O159" i="68"/>
  <c r="L159" i="68"/>
  <c r="I159" i="68"/>
  <c r="F159" i="68"/>
  <c r="O158" i="68"/>
  <c r="L158" i="68"/>
  <c r="I158" i="68"/>
  <c r="F158" i="68"/>
  <c r="O157" i="68"/>
  <c r="L157" i="68"/>
  <c r="I157" i="68"/>
  <c r="F157" i="68"/>
  <c r="O156" i="68"/>
  <c r="L156" i="68"/>
  <c r="I156" i="68"/>
  <c r="F156" i="68"/>
  <c r="O155" i="68"/>
  <c r="L155" i="68"/>
  <c r="I155" i="68"/>
  <c r="F155" i="68"/>
  <c r="O154" i="68"/>
  <c r="L154" i="68"/>
  <c r="I154" i="68"/>
  <c r="F154" i="68"/>
  <c r="O153" i="68"/>
  <c r="L153" i="68"/>
  <c r="I153" i="68"/>
  <c r="F153" i="68"/>
  <c r="O152" i="68"/>
  <c r="L152" i="68"/>
  <c r="I152" i="68"/>
  <c r="F152" i="68"/>
  <c r="N151" i="68"/>
  <c r="M151" i="68"/>
  <c r="K151" i="68"/>
  <c r="J151" i="68"/>
  <c r="H151" i="68"/>
  <c r="G151" i="68"/>
  <c r="E151" i="68"/>
  <c r="D151" i="68"/>
  <c r="O150" i="68"/>
  <c r="L150" i="68"/>
  <c r="I150" i="68"/>
  <c r="F150" i="68"/>
  <c r="C150" i="68" s="1"/>
  <c r="O149" i="68"/>
  <c r="L149" i="68"/>
  <c r="I149" i="68"/>
  <c r="F149" i="68"/>
  <c r="O148" i="68"/>
  <c r="L148" i="68"/>
  <c r="I148" i="68"/>
  <c r="F148" i="68"/>
  <c r="O147" i="68"/>
  <c r="L147" i="68"/>
  <c r="I147" i="68"/>
  <c r="F147" i="68"/>
  <c r="O146" i="68"/>
  <c r="L146" i="68"/>
  <c r="I146" i="68"/>
  <c r="F146" i="68"/>
  <c r="O145" i="68"/>
  <c r="L145" i="68"/>
  <c r="I145" i="68"/>
  <c r="I144" i="68" s="1"/>
  <c r="F145" i="68"/>
  <c r="N144" i="68"/>
  <c r="M144" i="68"/>
  <c r="K144" i="68"/>
  <c r="K130" i="68" s="1"/>
  <c r="J144" i="68"/>
  <c r="H144" i="68"/>
  <c r="G144" i="68"/>
  <c r="E144" i="68"/>
  <c r="D144" i="68"/>
  <c r="O143" i="68"/>
  <c r="L143" i="68"/>
  <c r="I143" i="68"/>
  <c r="F143" i="68"/>
  <c r="O142" i="68"/>
  <c r="O141" i="68" s="1"/>
  <c r="L142" i="68"/>
  <c r="L141" i="68" s="1"/>
  <c r="I142" i="68"/>
  <c r="I141" i="68" s="1"/>
  <c r="F142" i="68"/>
  <c r="F141" i="68" s="1"/>
  <c r="N141" i="68"/>
  <c r="M141" i="68"/>
  <c r="K141" i="68"/>
  <c r="J141" i="68"/>
  <c r="H141" i="68"/>
  <c r="G141" i="68"/>
  <c r="E141" i="68"/>
  <c r="D141" i="68"/>
  <c r="O140" i="68"/>
  <c r="L140" i="68"/>
  <c r="I140" i="68"/>
  <c r="F140" i="68"/>
  <c r="O139" i="68"/>
  <c r="L139" i="68"/>
  <c r="I139" i="68"/>
  <c r="F139" i="68"/>
  <c r="O138" i="68"/>
  <c r="L138" i="68"/>
  <c r="I138" i="68"/>
  <c r="F138" i="68"/>
  <c r="O137" i="68"/>
  <c r="L137" i="68"/>
  <c r="I137" i="68"/>
  <c r="I136" i="68" s="1"/>
  <c r="F137" i="68"/>
  <c r="N136" i="68"/>
  <c r="M136" i="68"/>
  <c r="K136" i="68"/>
  <c r="J136" i="68"/>
  <c r="H136" i="68"/>
  <c r="G136" i="68"/>
  <c r="E136" i="68"/>
  <c r="D136" i="68"/>
  <c r="O135" i="68"/>
  <c r="L135" i="68"/>
  <c r="I135" i="68"/>
  <c r="F135" i="68"/>
  <c r="O134" i="68"/>
  <c r="L134" i="68"/>
  <c r="C134" i="68" s="1"/>
  <c r="I134" i="68"/>
  <c r="F134" i="68"/>
  <c r="O133" i="68"/>
  <c r="L133" i="68"/>
  <c r="I133" i="68"/>
  <c r="F133" i="68"/>
  <c r="O132" i="68"/>
  <c r="L132" i="68"/>
  <c r="I132" i="68"/>
  <c r="F132" i="68"/>
  <c r="N131" i="68"/>
  <c r="M131" i="68"/>
  <c r="K131" i="68"/>
  <c r="J131" i="68"/>
  <c r="H131" i="68"/>
  <c r="G131" i="68"/>
  <c r="E131" i="68"/>
  <c r="D131" i="68"/>
  <c r="O129" i="68"/>
  <c r="O128" i="68" s="1"/>
  <c r="L129" i="68"/>
  <c r="L128" i="68" s="1"/>
  <c r="I129" i="68"/>
  <c r="F129" i="68"/>
  <c r="N128" i="68"/>
  <c r="M128" i="68"/>
  <c r="K128" i="68"/>
  <c r="J128" i="68"/>
  <c r="I128" i="68"/>
  <c r="H128" i="68"/>
  <c r="G128" i="68"/>
  <c r="E128" i="68"/>
  <c r="D128" i="68"/>
  <c r="O127" i="68"/>
  <c r="L127" i="68"/>
  <c r="I127" i="68"/>
  <c r="F127" i="68"/>
  <c r="O126" i="68"/>
  <c r="L126" i="68"/>
  <c r="I126" i="68"/>
  <c r="F126" i="68"/>
  <c r="C126" i="68" s="1"/>
  <c r="O125" i="68"/>
  <c r="L125" i="68"/>
  <c r="I125" i="68"/>
  <c r="F125" i="68"/>
  <c r="O124" i="68"/>
  <c r="L124" i="68"/>
  <c r="I124" i="68"/>
  <c r="F124" i="68"/>
  <c r="O123" i="68"/>
  <c r="L123" i="68"/>
  <c r="I123" i="68"/>
  <c r="F123" i="68"/>
  <c r="N122" i="68"/>
  <c r="M122" i="68"/>
  <c r="K122" i="68"/>
  <c r="J122" i="68"/>
  <c r="H122" i="68"/>
  <c r="G122" i="68"/>
  <c r="E122" i="68"/>
  <c r="D122" i="68"/>
  <c r="O121" i="68"/>
  <c r="L121" i="68"/>
  <c r="I121" i="68"/>
  <c r="F121" i="68"/>
  <c r="O120" i="68"/>
  <c r="L120" i="68"/>
  <c r="I120" i="68"/>
  <c r="F120" i="68"/>
  <c r="O119" i="68"/>
  <c r="L119" i="68"/>
  <c r="I119" i="68"/>
  <c r="F119" i="68"/>
  <c r="O118" i="68"/>
  <c r="L118" i="68"/>
  <c r="I118" i="68"/>
  <c r="F118" i="68"/>
  <c r="C118" i="68" s="1"/>
  <c r="O117" i="68"/>
  <c r="L117" i="68"/>
  <c r="I117" i="68"/>
  <c r="I116" i="68" s="1"/>
  <c r="F117" i="68"/>
  <c r="N116" i="68"/>
  <c r="M116" i="68"/>
  <c r="K116" i="68"/>
  <c r="J116" i="68"/>
  <c r="H116" i="68"/>
  <c r="G116" i="68"/>
  <c r="E116" i="68"/>
  <c r="D116" i="68"/>
  <c r="O115" i="68"/>
  <c r="L115" i="68"/>
  <c r="I115" i="68"/>
  <c r="F115" i="68"/>
  <c r="O114" i="68"/>
  <c r="L114" i="68"/>
  <c r="I114" i="68"/>
  <c r="F114" i="68"/>
  <c r="C114" i="68" s="1"/>
  <c r="O113" i="68"/>
  <c r="L113" i="68"/>
  <c r="I113" i="68"/>
  <c r="I112" i="68" s="1"/>
  <c r="F113" i="68"/>
  <c r="N112" i="68"/>
  <c r="M112" i="68"/>
  <c r="K112" i="68"/>
  <c r="J112" i="68"/>
  <c r="H112" i="68"/>
  <c r="G112" i="68"/>
  <c r="E112" i="68"/>
  <c r="D112" i="68"/>
  <c r="O111" i="68"/>
  <c r="L111" i="68"/>
  <c r="I111" i="68"/>
  <c r="F111" i="68"/>
  <c r="O110" i="68"/>
  <c r="L110" i="68"/>
  <c r="I110" i="68"/>
  <c r="F110" i="68"/>
  <c r="O109" i="68"/>
  <c r="L109" i="68"/>
  <c r="I109" i="68"/>
  <c r="F109" i="68"/>
  <c r="O108" i="68"/>
  <c r="L108" i="68"/>
  <c r="I108" i="68"/>
  <c r="F108" i="68"/>
  <c r="O107" i="68"/>
  <c r="L107" i="68"/>
  <c r="C107" i="68" s="1"/>
  <c r="I107" i="68"/>
  <c r="F107" i="68"/>
  <c r="O106" i="68"/>
  <c r="L106" i="68"/>
  <c r="C106" i="68" s="1"/>
  <c r="I106" i="68"/>
  <c r="F106" i="68"/>
  <c r="O105" i="68"/>
  <c r="L105" i="68"/>
  <c r="I105" i="68"/>
  <c r="F105" i="68"/>
  <c r="O104" i="68"/>
  <c r="L104" i="68"/>
  <c r="I104" i="68"/>
  <c r="F104" i="68"/>
  <c r="N103" i="68"/>
  <c r="M103" i="68"/>
  <c r="K103" i="68"/>
  <c r="J103" i="68"/>
  <c r="H103" i="68"/>
  <c r="G103" i="68"/>
  <c r="E103" i="68"/>
  <c r="D103" i="68"/>
  <c r="O102" i="68"/>
  <c r="L102" i="68"/>
  <c r="C102" i="68" s="1"/>
  <c r="I102" i="68"/>
  <c r="F102" i="68"/>
  <c r="O101" i="68"/>
  <c r="L101" i="68"/>
  <c r="I101" i="68"/>
  <c r="F101" i="68"/>
  <c r="O100" i="68"/>
  <c r="L100" i="68"/>
  <c r="I100" i="68"/>
  <c r="F100" i="68"/>
  <c r="O99" i="68"/>
  <c r="L99" i="68"/>
  <c r="I99" i="68"/>
  <c r="F99" i="68"/>
  <c r="O98" i="68"/>
  <c r="L98" i="68"/>
  <c r="I98" i="68"/>
  <c r="F98" i="68"/>
  <c r="O97" i="68"/>
  <c r="L97" i="68"/>
  <c r="I97" i="68"/>
  <c r="F97" i="68"/>
  <c r="O96" i="68"/>
  <c r="L96" i="68"/>
  <c r="I96" i="68"/>
  <c r="I95" i="68" s="1"/>
  <c r="F96" i="68"/>
  <c r="N95" i="68"/>
  <c r="M95" i="68"/>
  <c r="K95" i="68"/>
  <c r="J95" i="68"/>
  <c r="H95" i="68"/>
  <c r="G95" i="68"/>
  <c r="F95" i="68"/>
  <c r="E95" i="68"/>
  <c r="D95" i="68"/>
  <c r="O94" i="68"/>
  <c r="L94" i="68"/>
  <c r="I94" i="68"/>
  <c r="F94" i="68"/>
  <c r="C94" i="68" s="1"/>
  <c r="O93" i="68"/>
  <c r="L93" i="68"/>
  <c r="I93" i="68"/>
  <c r="F93" i="68"/>
  <c r="O92" i="68"/>
  <c r="L92" i="68"/>
  <c r="I92" i="68"/>
  <c r="F92" i="68"/>
  <c r="O91" i="68"/>
  <c r="L91" i="68"/>
  <c r="I91" i="68"/>
  <c r="F91" i="68"/>
  <c r="O90" i="68"/>
  <c r="L90" i="68"/>
  <c r="I90" i="68"/>
  <c r="F90" i="68"/>
  <c r="N89" i="68"/>
  <c r="M89" i="68"/>
  <c r="K89" i="68"/>
  <c r="J89" i="68"/>
  <c r="I89" i="68"/>
  <c r="H89" i="68"/>
  <c r="G89" i="68"/>
  <c r="E89" i="68"/>
  <c r="D89" i="68"/>
  <c r="O88" i="68"/>
  <c r="L88" i="68"/>
  <c r="I88" i="68"/>
  <c r="F88" i="68"/>
  <c r="O87" i="68"/>
  <c r="L87" i="68"/>
  <c r="I87" i="68"/>
  <c r="F87" i="68"/>
  <c r="O86" i="68"/>
  <c r="L86" i="68"/>
  <c r="I86" i="68"/>
  <c r="F86" i="68"/>
  <c r="O85" i="68"/>
  <c r="O84" i="68" s="1"/>
  <c r="L85" i="68"/>
  <c r="I85" i="68"/>
  <c r="F85" i="68"/>
  <c r="N84" i="68"/>
  <c r="M84" i="68"/>
  <c r="K84" i="68"/>
  <c r="J84" i="68"/>
  <c r="H84" i="68"/>
  <c r="G84" i="68"/>
  <c r="F84" i="68"/>
  <c r="E84" i="68"/>
  <c r="D84" i="68"/>
  <c r="O82" i="68"/>
  <c r="L82" i="68"/>
  <c r="I82" i="68"/>
  <c r="F82" i="68"/>
  <c r="O81" i="68"/>
  <c r="O80" i="68" s="1"/>
  <c r="L81" i="68"/>
  <c r="L80" i="68" s="1"/>
  <c r="L76" i="68" s="1"/>
  <c r="I81" i="68"/>
  <c r="F81" i="68"/>
  <c r="F80" i="68" s="1"/>
  <c r="N80" i="68"/>
  <c r="M80" i="68"/>
  <c r="K80" i="68"/>
  <c r="J80" i="68"/>
  <c r="H80" i="68"/>
  <c r="G80" i="68"/>
  <c r="E80" i="68"/>
  <c r="D80" i="68"/>
  <c r="O79" i="68"/>
  <c r="L79" i="68"/>
  <c r="I79" i="68"/>
  <c r="F79" i="68"/>
  <c r="O78" i="68"/>
  <c r="L78" i="68"/>
  <c r="L77" i="68" s="1"/>
  <c r="I78" i="68"/>
  <c r="I77" i="68" s="1"/>
  <c r="F78" i="68"/>
  <c r="N77" i="68"/>
  <c r="M77" i="68"/>
  <c r="K77" i="68"/>
  <c r="K76" i="68" s="1"/>
  <c r="J77" i="68"/>
  <c r="J76" i="68" s="1"/>
  <c r="H77" i="68"/>
  <c r="H76" i="68" s="1"/>
  <c r="G77" i="68"/>
  <c r="E77" i="68"/>
  <c r="E76" i="68" s="1"/>
  <c r="D77" i="68"/>
  <c r="N76" i="68"/>
  <c r="O74" i="68"/>
  <c r="L74" i="68"/>
  <c r="I74" i="68"/>
  <c r="F74" i="68"/>
  <c r="O73" i="68"/>
  <c r="L73" i="68"/>
  <c r="I73" i="68"/>
  <c r="F73" i="68"/>
  <c r="O72" i="68"/>
  <c r="L72" i="68"/>
  <c r="I72" i="68"/>
  <c r="F72" i="68"/>
  <c r="O71" i="68"/>
  <c r="L71" i="68"/>
  <c r="I71" i="68"/>
  <c r="C71" i="68" s="1"/>
  <c r="F71" i="68"/>
  <c r="O70" i="68"/>
  <c r="L70" i="68"/>
  <c r="I70" i="68"/>
  <c r="I69" i="68" s="1"/>
  <c r="F70" i="68"/>
  <c r="N69" i="68"/>
  <c r="M69" i="68"/>
  <c r="K69" i="68"/>
  <c r="K67" i="68" s="1"/>
  <c r="J69" i="68"/>
  <c r="H69" i="68"/>
  <c r="H67" i="68" s="1"/>
  <c r="G69" i="68"/>
  <c r="G67" i="68" s="1"/>
  <c r="E69" i="68"/>
  <c r="E67" i="68" s="1"/>
  <c r="D69" i="68"/>
  <c r="D67" i="68" s="1"/>
  <c r="O68" i="68"/>
  <c r="L68" i="68"/>
  <c r="I68" i="68"/>
  <c r="F68" i="68"/>
  <c r="N67" i="68"/>
  <c r="M67" i="68"/>
  <c r="J67" i="68"/>
  <c r="O66" i="68"/>
  <c r="L66" i="68"/>
  <c r="I66" i="68"/>
  <c r="F66" i="68"/>
  <c r="O65" i="68"/>
  <c r="L65" i="68"/>
  <c r="I65" i="68"/>
  <c r="F65" i="68"/>
  <c r="O64" i="68"/>
  <c r="L64" i="68"/>
  <c r="I64" i="68"/>
  <c r="F64" i="68"/>
  <c r="O63" i="68"/>
  <c r="L63" i="68"/>
  <c r="I63" i="68"/>
  <c r="F63" i="68"/>
  <c r="O62" i="68"/>
  <c r="L62" i="68"/>
  <c r="I62" i="68"/>
  <c r="F62" i="68"/>
  <c r="O61" i="68"/>
  <c r="L61" i="68"/>
  <c r="I61" i="68"/>
  <c r="F61" i="68"/>
  <c r="O60" i="68"/>
  <c r="L60" i="68"/>
  <c r="I60" i="68"/>
  <c r="F60" i="68"/>
  <c r="O59" i="68"/>
  <c r="L59" i="68"/>
  <c r="I59" i="68"/>
  <c r="I58" i="68" s="1"/>
  <c r="F59" i="68"/>
  <c r="N58" i="68"/>
  <c r="M58" i="68"/>
  <c r="K58" i="68"/>
  <c r="J58" i="68"/>
  <c r="H58" i="68"/>
  <c r="G58" i="68"/>
  <c r="E58" i="68"/>
  <c r="D58" i="68"/>
  <c r="O57" i="68"/>
  <c r="L57" i="68"/>
  <c r="I57" i="68"/>
  <c r="C57" i="68" s="1"/>
  <c r="F57" i="68"/>
  <c r="O56" i="68"/>
  <c r="L56" i="68"/>
  <c r="L55" i="68" s="1"/>
  <c r="I56" i="68"/>
  <c r="I55" i="68" s="1"/>
  <c r="F56" i="68"/>
  <c r="N55" i="68"/>
  <c r="N54" i="68" s="1"/>
  <c r="N53" i="68" s="1"/>
  <c r="M55" i="68"/>
  <c r="M54" i="68" s="1"/>
  <c r="K55" i="68"/>
  <c r="J55" i="68"/>
  <c r="H55" i="68"/>
  <c r="G55" i="68"/>
  <c r="G54" i="68" s="1"/>
  <c r="F55" i="68"/>
  <c r="E55" i="68"/>
  <c r="D55" i="68"/>
  <c r="J54" i="68"/>
  <c r="J53" i="68" s="1"/>
  <c r="O47" i="68"/>
  <c r="C47" i="68" s="1"/>
  <c r="O46" i="68"/>
  <c r="C46" i="68" s="1"/>
  <c r="N45" i="68"/>
  <c r="N20" i="68" s="1"/>
  <c r="M45" i="68"/>
  <c r="L44" i="68"/>
  <c r="L43" i="68" s="1"/>
  <c r="I44" i="68"/>
  <c r="F44" i="68"/>
  <c r="C44" i="68" s="1"/>
  <c r="K43" i="68"/>
  <c r="J43" i="68"/>
  <c r="I43" i="68"/>
  <c r="H43" i="68"/>
  <c r="H20" i="68" s="1"/>
  <c r="G43" i="68"/>
  <c r="E43" i="68"/>
  <c r="D43" i="68"/>
  <c r="F42" i="68"/>
  <c r="C42" i="68" s="1"/>
  <c r="E41" i="68"/>
  <c r="D41" i="68"/>
  <c r="L40" i="68"/>
  <c r="C40" i="68" s="1"/>
  <c r="L39" i="68"/>
  <c r="C39" i="68" s="1"/>
  <c r="L38" i="68"/>
  <c r="C38" i="68" s="1"/>
  <c r="L37" i="68"/>
  <c r="C37" i="68" s="1"/>
  <c r="K36" i="68"/>
  <c r="J36" i="68"/>
  <c r="L35" i="68"/>
  <c r="C35" i="68" s="1"/>
  <c r="L34" i="68"/>
  <c r="C34" i="68" s="1"/>
  <c r="K33" i="68"/>
  <c r="J33" i="68"/>
  <c r="L32" i="68"/>
  <c r="C32" i="68" s="1"/>
  <c r="K31" i="68"/>
  <c r="J31" i="68"/>
  <c r="L30" i="68"/>
  <c r="C30" i="68" s="1"/>
  <c r="L29" i="68"/>
  <c r="C29" i="68" s="1"/>
  <c r="L28" i="68"/>
  <c r="C28" i="68"/>
  <c r="K27" i="68"/>
  <c r="J27" i="68"/>
  <c r="F25" i="68"/>
  <c r="C25" i="68" s="1"/>
  <c r="E24" i="68"/>
  <c r="O23" i="68"/>
  <c r="L23" i="68"/>
  <c r="I23" i="68"/>
  <c r="F23" i="68"/>
  <c r="O22" i="68"/>
  <c r="O21" i="68" s="1"/>
  <c r="O292" i="68" s="1"/>
  <c r="L22" i="68"/>
  <c r="L21" i="68" s="1"/>
  <c r="L292" i="68" s="1"/>
  <c r="I22" i="68"/>
  <c r="I21" i="68" s="1"/>
  <c r="F22" i="68"/>
  <c r="N21" i="68"/>
  <c r="N292" i="68" s="1"/>
  <c r="N291" i="68" s="1"/>
  <c r="M21" i="68"/>
  <c r="K21" i="68"/>
  <c r="K292" i="68" s="1"/>
  <c r="J21" i="68"/>
  <c r="J292" i="68" s="1"/>
  <c r="J291" i="68" s="1"/>
  <c r="H21" i="68"/>
  <c r="H292" i="68" s="1"/>
  <c r="H291" i="68" s="1"/>
  <c r="G21" i="68"/>
  <c r="E21" i="68"/>
  <c r="D21" i="68"/>
  <c r="D292" i="68" s="1"/>
  <c r="D291" i="68" s="1"/>
  <c r="C79" i="68" l="1"/>
  <c r="D76" i="68"/>
  <c r="C87" i="68"/>
  <c r="L84" i="68"/>
  <c r="G83" i="68"/>
  <c r="K83" i="68"/>
  <c r="K75" i="68" s="1"/>
  <c r="C98" i="68"/>
  <c r="C100" i="68"/>
  <c r="C101" i="68"/>
  <c r="I122" i="68"/>
  <c r="C132" i="68"/>
  <c r="C133" i="68"/>
  <c r="O131" i="68"/>
  <c r="C143" i="68"/>
  <c r="G130" i="68"/>
  <c r="C158" i="68"/>
  <c r="C181" i="68"/>
  <c r="O179" i="68"/>
  <c r="D187" i="68"/>
  <c r="D195" i="68"/>
  <c r="C201" i="68"/>
  <c r="C214" i="68"/>
  <c r="E204" i="68"/>
  <c r="E195" i="68" s="1"/>
  <c r="K204" i="68"/>
  <c r="K195" i="68" s="1"/>
  <c r="C226" i="68"/>
  <c r="C254" i="68"/>
  <c r="C274" i="68"/>
  <c r="K54" i="68"/>
  <c r="K53" i="68" s="1"/>
  <c r="K52" i="68" s="1"/>
  <c r="I67" i="68"/>
  <c r="J270" i="68"/>
  <c r="J269" i="68" s="1"/>
  <c r="L69" i="68"/>
  <c r="L67" i="68" s="1"/>
  <c r="L53" i="68" s="1"/>
  <c r="G292" i="68"/>
  <c r="G291" i="68" s="1"/>
  <c r="L27" i="68"/>
  <c r="E54" i="68"/>
  <c r="O55" i="68"/>
  <c r="C63" i="68"/>
  <c r="D83" i="68"/>
  <c r="H83" i="68"/>
  <c r="N83" i="68"/>
  <c r="C110" i="68"/>
  <c r="C154" i="68"/>
  <c r="C155" i="68"/>
  <c r="L160" i="68"/>
  <c r="C163" i="68"/>
  <c r="C178" i="68"/>
  <c r="C190" i="68"/>
  <c r="G195" i="68"/>
  <c r="G194" i="68" s="1"/>
  <c r="H230" i="68"/>
  <c r="C242" i="68"/>
  <c r="C282" i="68"/>
  <c r="J26" i="68"/>
  <c r="J20" i="68" s="1"/>
  <c r="C61" i="68"/>
  <c r="C62" i="68"/>
  <c r="C73" i="68"/>
  <c r="C74" i="68"/>
  <c r="G76" i="68"/>
  <c r="G75" i="68" s="1"/>
  <c r="G289" i="68" s="1"/>
  <c r="O89" i="68"/>
  <c r="O112" i="68"/>
  <c r="L131" i="68"/>
  <c r="C138" i="68"/>
  <c r="C146" i="68"/>
  <c r="C148" i="68"/>
  <c r="C149" i="68"/>
  <c r="G173" i="68"/>
  <c r="C186" i="68"/>
  <c r="N187" i="68"/>
  <c r="D204" i="68"/>
  <c r="N231" i="68"/>
  <c r="N230" i="68" s="1"/>
  <c r="C250" i="68"/>
  <c r="C262" i="68"/>
  <c r="C263" i="68"/>
  <c r="J259" i="68"/>
  <c r="J230" i="68" s="1"/>
  <c r="J194" i="68" s="1"/>
  <c r="O272" i="68"/>
  <c r="C294" i="68"/>
  <c r="L187" i="68"/>
  <c r="K26" i="68"/>
  <c r="K20" i="68" s="1"/>
  <c r="F41" i="68"/>
  <c r="C41" i="68" s="1"/>
  <c r="C55" i="68"/>
  <c r="E53" i="68"/>
  <c r="M76" i="68"/>
  <c r="J83" i="68"/>
  <c r="C86" i="68"/>
  <c r="M83" i="68"/>
  <c r="C93" i="68"/>
  <c r="C104" i="68"/>
  <c r="C105" i="68"/>
  <c r="O103" i="68"/>
  <c r="C111" i="68"/>
  <c r="O116" i="68"/>
  <c r="I131" i="68"/>
  <c r="C142" i="68"/>
  <c r="C152" i="68"/>
  <c r="O151" i="68"/>
  <c r="C159" i="68"/>
  <c r="C171" i="68"/>
  <c r="C203" i="68"/>
  <c r="M204" i="68"/>
  <c r="I216" i="68"/>
  <c r="C223" i="68"/>
  <c r="C225" i="68"/>
  <c r="C229" i="68"/>
  <c r="O231" i="68"/>
  <c r="C271" i="68"/>
  <c r="I272" i="68"/>
  <c r="I270" i="68" s="1"/>
  <c r="I269" i="68" s="1"/>
  <c r="C279" i="68"/>
  <c r="D269" i="68"/>
  <c r="H269" i="68"/>
  <c r="I293" i="68"/>
  <c r="C296" i="68"/>
  <c r="C299" i="68"/>
  <c r="C91" i="68"/>
  <c r="L36" i="68"/>
  <c r="C36" i="68" s="1"/>
  <c r="F43" i="68"/>
  <c r="C43" i="68" s="1"/>
  <c r="C56" i="68"/>
  <c r="H54" i="68"/>
  <c r="H53" i="68" s="1"/>
  <c r="L58" i="68"/>
  <c r="L54" i="68" s="1"/>
  <c r="C65" i="68"/>
  <c r="O69" i="68"/>
  <c r="O67" i="68" s="1"/>
  <c r="C82" i="68"/>
  <c r="C88" i="68"/>
  <c r="L89" i="68"/>
  <c r="C99" i="68"/>
  <c r="C109" i="68"/>
  <c r="C127" i="68"/>
  <c r="M130" i="68"/>
  <c r="E130" i="68"/>
  <c r="H130" i="68"/>
  <c r="O144" i="68"/>
  <c r="C157" i="68"/>
  <c r="C168" i="68"/>
  <c r="O166" i="68"/>
  <c r="O165" i="68" s="1"/>
  <c r="E174" i="68"/>
  <c r="E173" i="68" s="1"/>
  <c r="J174" i="68"/>
  <c r="J173" i="68" s="1"/>
  <c r="C177" i="68"/>
  <c r="O175" i="68"/>
  <c r="O174" i="68" s="1"/>
  <c r="L196" i="68"/>
  <c r="L195" i="68" s="1"/>
  <c r="I205" i="68"/>
  <c r="C211" i="68"/>
  <c r="C212" i="68"/>
  <c r="C213" i="68"/>
  <c r="L216" i="68"/>
  <c r="C224" i="68"/>
  <c r="C232" i="68"/>
  <c r="D231" i="68"/>
  <c r="D230" i="68" s="1"/>
  <c r="G231" i="68"/>
  <c r="G230" i="68" s="1"/>
  <c r="C245" i="68"/>
  <c r="O252" i="68"/>
  <c r="L260" i="68"/>
  <c r="L259" i="68" s="1"/>
  <c r="I264" i="68"/>
  <c r="E270" i="68"/>
  <c r="E269" i="68" s="1"/>
  <c r="O270" i="68"/>
  <c r="O269" i="68" s="1"/>
  <c r="C280" i="68"/>
  <c r="L293" i="68"/>
  <c r="L291" i="68" s="1"/>
  <c r="K291" i="68"/>
  <c r="C23" i="68"/>
  <c r="G53" i="68"/>
  <c r="M53" i="68"/>
  <c r="D54" i="68"/>
  <c r="D53" i="68" s="1"/>
  <c r="C60" i="68"/>
  <c r="C72" i="68"/>
  <c r="O77" i="68"/>
  <c r="O76" i="68" s="1"/>
  <c r="C97" i="68"/>
  <c r="L103" i="68"/>
  <c r="C108" i="68"/>
  <c r="C120" i="68"/>
  <c r="C121" i="68"/>
  <c r="C124" i="68"/>
  <c r="O122" i="68"/>
  <c r="C135" i="68"/>
  <c r="D130" i="68"/>
  <c r="L151" i="68"/>
  <c r="I166" i="68"/>
  <c r="I165" i="68" s="1"/>
  <c r="I175" i="68"/>
  <c r="I174" i="68" s="1"/>
  <c r="I173" i="68" s="1"/>
  <c r="C183" i="68"/>
  <c r="H195" i="68"/>
  <c r="H194" i="68" s="1"/>
  <c r="L205" i="68"/>
  <c r="L204" i="68" s="1"/>
  <c r="C215" i="68"/>
  <c r="J204" i="68"/>
  <c r="J195" i="68" s="1"/>
  <c r="N204" i="68"/>
  <c r="N195" i="68" s="1"/>
  <c r="N194" i="68" s="1"/>
  <c r="L238" i="68"/>
  <c r="L231" i="68" s="1"/>
  <c r="C244" i="68"/>
  <c r="C247" i="68"/>
  <c r="C257" i="68"/>
  <c r="O260" i="68"/>
  <c r="O259" i="68" s="1"/>
  <c r="F281" i="68"/>
  <c r="C281" i="68" s="1"/>
  <c r="C27" i="68"/>
  <c r="L26" i="68"/>
  <c r="H52" i="68"/>
  <c r="I84" i="68"/>
  <c r="C85" i="68"/>
  <c r="C123" i="68"/>
  <c r="L122" i="68"/>
  <c r="C189" i="68"/>
  <c r="F188" i="68"/>
  <c r="E292" i="68"/>
  <c r="E291" i="68" s="1"/>
  <c r="E20" i="68"/>
  <c r="L31" i="68"/>
  <c r="C31" i="68" s="1"/>
  <c r="I54" i="68"/>
  <c r="I53" i="68" s="1"/>
  <c r="C64" i="68"/>
  <c r="H75" i="68"/>
  <c r="E83" i="68"/>
  <c r="L112" i="68"/>
  <c r="C115" i="68"/>
  <c r="C153" i="68"/>
  <c r="F151" i="68"/>
  <c r="C161" i="68"/>
  <c r="F160" i="68"/>
  <c r="F174" i="68"/>
  <c r="C185" i="68"/>
  <c r="F184" i="68"/>
  <c r="F21" i="68"/>
  <c r="F58" i="68"/>
  <c r="C59" i="68"/>
  <c r="C66" i="68"/>
  <c r="C70" i="68"/>
  <c r="F69" i="68"/>
  <c r="C69" i="68" s="1"/>
  <c r="C90" i="68"/>
  <c r="F89" i="68"/>
  <c r="C137" i="68"/>
  <c r="F136" i="68"/>
  <c r="C141" i="68"/>
  <c r="L144" i="68"/>
  <c r="C147" i="68"/>
  <c r="M292" i="68"/>
  <c r="M291" i="68" s="1"/>
  <c r="M20" i="68"/>
  <c r="L33" i="68"/>
  <c r="C33" i="68" s="1"/>
  <c r="O45" i="68"/>
  <c r="O58" i="68"/>
  <c r="O54" i="68" s="1"/>
  <c r="O53" i="68" s="1"/>
  <c r="C22" i="68"/>
  <c r="C68" i="68"/>
  <c r="D75" i="68"/>
  <c r="D52" i="68" s="1"/>
  <c r="C78" i="68"/>
  <c r="F77" i="68"/>
  <c r="I80" i="68"/>
  <c r="C80" i="68" s="1"/>
  <c r="C81" i="68"/>
  <c r="C169" i="68"/>
  <c r="F166" i="68"/>
  <c r="C256" i="68"/>
  <c r="I252" i="68"/>
  <c r="I251" i="68" s="1"/>
  <c r="C301" i="68"/>
  <c r="C92" i="68"/>
  <c r="L95" i="68"/>
  <c r="C95" i="68" s="1"/>
  <c r="C113" i="68"/>
  <c r="F112" i="68"/>
  <c r="C129" i="68"/>
  <c r="F128" i="68"/>
  <c r="C128" i="68" s="1"/>
  <c r="N130" i="68"/>
  <c r="N75" i="68" s="1"/>
  <c r="C140" i="68"/>
  <c r="C145" i="68"/>
  <c r="F144" i="68"/>
  <c r="I151" i="68"/>
  <c r="I130" i="68" s="1"/>
  <c r="C156" i="68"/>
  <c r="C164" i="68"/>
  <c r="C172" i="68"/>
  <c r="M173" i="68"/>
  <c r="C180" i="68"/>
  <c r="L116" i="68"/>
  <c r="C119" i="68"/>
  <c r="C125" i="68"/>
  <c r="F122" i="68"/>
  <c r="J130" i="68"/>
  <c r="J75" i="68" s="1"/>
  <c r="C167" i="68"/>
  <c r="L166" i="68"/>
  <c r="L165" i="68" s="1"/>
  <c r="N174" i="68"/>
  <c r="N173" i="68" s="1"/>
  <c r="C197" i="68"/>
  <c r="F196" i="68"/>
  <c r="C200" i="68"/>
  <c r="I198" i="68"/>
  <c r="C286" i="68"/>
  <c r="C96" i="68"/>
  <c r="O95" i="68"/>
  <c r="O83" i="68" s="1"/>
  <c r="O75" i="68" s="1"/>
  <c r="F103" i="68"/>
  <c r="I103" i="68"/>
  <c r="C117" i="68"/>
  <c r="F116" i="68"/>
  <c r="F131" i="68"/>
  <c r="O136" i="68"/>
  <c r="O130" i="68" s="1"/>
  <c r="L136" i="68"/>
  <c r="L130" i="68" s="1"/>
  <c r="C139" i="68"/>
  <c r="O160" i="68"/>
  <c r="C176" i="68"/>
  <c r="L179" i="68"/>
  <c r="C179" i="68" s="1"/>
  <c r="O184" i="68"/>
  <c r="E187" i="68"/>
  <c r="O188" i="68"/>
  <c r="O187" i="68" s="1"/>
  <c r="C237" i="68"/>
  <c r="F235" i="68"/>
  <c r="C261" i="68"/>
  <c r="F260" i="68"/>
  <c r="D194" i="68"/>
  <c r="I227" i="68"/>
  <c r="C228" i="68"/>
  <c r="C233" i="68"/>
  <c r="I235" i="68"/>
  <c r="C236" i="68"/>
  <c r="C249" i="68"/>
  <c r="F246" i="68"/>
  <c r="L252" i="68"/>
  <c r="L251" i="68" s="1"/>
  <c r="C255" i="68"/>
  <c r="L264" i="68"/>
  <c r="C267" i="68"/>
  <c r="C273" i="68"/>
  <c r="F272" i="68"/>
  <c r="C288" i="68"/>
  <c r="I286" i="68"/>
  <c r="I292" i="68" s="1"/>
  <c r="I291" i="68" s="1"/>
  <c r="C300" i="68"/>
  <c r="C193" i="68"/>
  <c r="F192" i="68"/>
  <c r="M195" i="68"/>
  <c r="O196" i="68"/>
  <c r="O205" i="68"/>
  <c r="C217" i="68"/>
  <c r="F216" i="68"/>
  <c r="O216" i="68"/>
  <c r="K231" i="68"/>
  <c r="K230" i="68" s="1"/>
  <c r="C239" i="68"/>
  <c r="C241" i="68"/>
  <c r="F238" i="68"/>
  <c r="C248" i="68"/>
  <c r="I246" i="68"/>
  <c r="E230" i="68"/>
  <c r="C253" i="68"/>
  <c r="F252" i="68"/>
  <c r="O251" i="68"/>
  <c r="M259" i="68"/>
  <c r="M230" i="68" s="1"/>
  <c r="C265" i="68"/>
  <c r="F264" i="68"/>
  <c r="L270" i="68"/>
  <c r="L269" i="68" s="1"/>
  <c r="C275" i="68"/>
  <c r="C285" i="68"/>
  <c r="F284" i="68"/>
  <c r="O293" i="68"/>
  <c r="O291" i="68" s="1"/>
  <c r="C199" i="68"/>
  <c r="C207" i="68"/>
  <c r="C208" i="68"/>
  <c r="C209" i="68"/>
  <c r="F205" i="68"/>
  <c r="C219" i="68"/>
  <c r="C220" i="68"/>
  <c r="C227" i="68"/>
  <c r="C240" i="68"/>
  <c r="I238" i="68"/>
  <c r="C243" i="68"/>
  <c r="I259" i="68"/>
  <c r="C268" i="68"/>
  <c r="M270" i="68"/>
  <c r="M269" i="68" s="1"/>
  <c r="C277" i="68"/>
  <c r="F276" i="68"/>
  <c r="C276" i="68" s="1"/>
  <c r="C295" i="68"/>
  <c r="C297" i="68"/>
  <c r="F293" i="68"/>
  <c r="C293" i="68" s="1"/>
  <c r="C287" i="68"/>
  <c r="O230" i="68" l="1"/>
  <c r="I231" i="68"/>
  <c r="C264" i="68"/>
  <c r="K194" i="68"/>
  <c r="K51" i="68" s="1"/>
  <c r="K50" i="68" s="1"/>
  <c r="I204" i="68"/>
  <c r="O173" i="68"/>
  <c r="C122" i="68"/>
  <c r="C89" i="68"/>
  <c r="H289" i="68"/>
  <c r="C58" i="68"/>
  <c r="C238" i="68"/>
  <c r="E194" i="68"/>
  <c r="F54" i="68"/>
  <c r="C54" i="68" s="1"/>
  <c r="C175" i="68"/>
  <c r="E75" i="68"/>
  <c r="E52" i="68" s="1"/>
  <c r="G52" i="68"/>
  <c r="G51" i="68" s="1"/>
  <c r="M75" i="68"/>
  <c r="M289" i="68" s="1"/>
  <c r="C103" i="68"/>
  <c r="L174" i="68"/>
  <c r="L173" i="68" s="1"/>
  <c r="C112" i="68"/>
  <c r="D289" i="68"/>
  <c r="C246" i="68"/>
  <c r="L230" i="68"/>
  <c r="L83" i="68"/>
  <c r="L75" i="68" s="1"/>
  <c r="L52" i="68" s="1"/>
  <c r="I76" i="68"/>
  <c r="C160" i="68"/>
  <c r="I83" i="68"/>
  <c r="H51" i="68"/>
  <c r="H50" i="68" s="1"/>
  <c r="J289" i="68"/>
  <c r="J52" i="68"/>
  <c r="J51" i="68" s="1"/>
  <c r="N52" i="68"/>
  <c r="N51" i="68" s="1"/>
  <c r="N289" i="68"/>
  <c r="L194" i="68"/>
  <c r="F130" i="68"/>
  <c r="C130" i="68" s="1"/>
  <c r="C131" i="68"/>
  <c r="C151" i="68"/>
  <c r="H290" i="68"/>
  <c r="O204" i="68"/>
  <c r="C192" i="68"/>
  <c r="F191" i="68"/>
  <c r="C191" i="68" s="1"/>
  <c r="F270" i="68"/>
  <c r="C272" i="68"/>
  <c r="C116" i="68"/>
  <c r="K289" i="68"/>
  <c r="C144" i="68"/>
  <c r="F292" i="68"/>
  <c r="C21" i="68"/>
  <c r="F173" i="68"/>
  <c r="C173" i="68" s="1"/>
  <c r="C84" i="68"/>
  <c r="C45" i="68"/>
  <c r="O20" i="68"/>
  <c r="C284" i="68"/>
  <c r="F283" i="68"/>
  <c r="C283" i="68" s="1"/>
  <c r="O195" i="68"/>
  <c r="O194" i="68" s="1"/>
  <c r="C260" i="68"/>
  <c r="F259" i="68"/>
  <c r="C259" i="68" s="1"/>
  <c r="F165" i="68"/>
  <c r="C165" i="68" s="1"/>
  <c r="C166" i="68"/>
  <c r="C77" i="68"/>
  <c r="F76" i="68"/>
  <c r="C136" i="68"/>
  <c r="I75" i="68"/>
  <c r="I289" i="68" s="1"/>
  <c r="C184" i="68"/>
  <c r="C188" i="68"/>
  <c r="F83" i="68"/>
  <c r="I230" i="68"/>
  <c r="C235" i="68"/>
  <c r="F231" i="68"/>
  <c r="C205" i="68"/>
  <c r="F204" i="68"/>
  <c r="C204" i="68" s="1"/>
  <c r="C252" i="68"/>
  <c r="F251" i="68"/>
  <c r="C251" i="68" s="1"/>
  <c r="C216" i="68"/>
  <c r="M194" i="68"/>
  <c r="C198" i="68"/>
  <c r="I196" i="68"/>
  <c r="I195" i="68" s="1"/>
  <c r="F67" i="68"/>
  <c r="C67" i="68" s="1"/>
  <c r="O52" i="68"/>
  <c r="C26" i="68"/>
  <c r="L20" i="68"/>
  <c r="D51" i="68"/>
  <c r="I194" i="68" l="1"/>
  <c r="C83" i="68"/>
  <c r="L289" i="68"/>
  <c r="E289" i="68"/>
  <c r="K290" i="68"/>
  <c r="F53" i="68"/>
  <c r="C53" i="68" s="1"/>
  <c r="O51" i="68"/>
  <c r="O50" i="68" s="1"/>
  <c r="C174" i="68"/>
  <c r="F187" i="68"/>
  <c r="C187" i="68" s="1"/>
  <c r="G50" i="68"/>
  <c r="G24" i="68"/>
  <c r="M52" i="68"/>
  <c r="M51" i="68" s="1"/>
  <c r="E51" i="68"/>
  <c r="F75" i="68"/>
  <c r="C75" i="68" s="1"/>
  <c r="C76" i="68"/>
  <c r="F195" i="68"/>
  <c r="I52" i="68"/>
  <c r="I51" i="68" s="1"/>
  <c r="D50" i="68"/>
  <c r="D24" i="68"/>
  <c r="D290" i="68" s="1"/>
  <c r="C196" i="68"/>
  <c r="F269" i="68"/>
  <c r="C270" i="68"/>
  <c r="L51" i="68"/>
  <c r="J50" i="68"/>
  <c r="J290" i="68"/>
  <c r="C292" i="68"/>
  <c r="F291" i="68"/>
  <c r="C291" i="68" s="1"/>
  <c r="F52" i="68"/>
  <c r="F230" i="68"/>
  <c r="C230" i="68" s="1"/>
  <c r="C231" i="68"/>
  <c r="N50" i="68"/>
  <c r="N290" i="68"/>
  <c r="O289" i="68"/>
  <c r="O290" i="68" l="1"/>
  <c r="M290" i="68"/>
  <c r="M50" i="68"/>
  <c r="G290" i="68"/>
  <c r="I24" i="68"/>
  <c r="I20" i="68" s="1"/>
  <c r="G20" i="68"/>
  <c r="E290" i="68"/>
  <c r="E50" i="68"/>
  <c r="C52" i="68"/>
  <c r="C269" i="68"/>
  <c r="F289" i="68"/>
  <c r="C289" i="68" s="1"/>
  <c r="I290" i="68"/>
  <c r="I50" i="68"/>
  <c r="L50" i="68"/>
  <c r="L290" i="68"/>
  <c r="F24" i="68"/>
  <c r="D20" i="68"/>
  <c r="F194" i="68"/>
  <c r="C194" i="68" s="1"/>
  <c r="C195" i="68"/>
  <c r="F51" i="68" l="1"/>
  <c r="F290" i="68"/>
  <c r="C290" i="68" s="1"/>
  <c r="C51" i="68"/>
  <c r="F50" i="68"/>
  <c r="C50" i="68" s="1"/>
  <c r="C24" i="68"/>
  <c r="F20" i="68"/>
  <c r="C20" i="68" s="1"/>
  <c r="O301" i="67" l="1"/>
  <c r="L301" i="67"/>
  <c r="I301" i="67"/>
  <c r="F301" i="67"/>
  <c r="O300" i="67"/>
  <c r="L300" i="67"/>
  <c r="I300" i="67"/>
  <c r="F300" i="67"/>
  <c r="O299" i="67"/>
  <c r="L299" i="67"/>
  <c r="I299" i="67"/>
  <c r="F299" i="67"/>
  <c r="O298" i="67"/>
  <c r="L298" i="67"/>
  <c r="I298" i="67"/>
  <c r="F298" i="67"/>
  <c r="C298" i="67" s="1"/>
  <c r="O297" i="67"/>
  <c r="L297" i="67"/>
  <c r="I297" i="67"/>
  <c r="F297" i="67"/>
  <c r="O296" i="67"/>
  <c r="L296" i="67"/>
  <c r="I296" i="67"/>
  <c r="F296" i="67"/>
  <c r="O295" i="67"/>
  <c r="L295" i="67"/>
  <c r="I295" i="67"/>
  <c r="F295" i="67"/>
  <c r="O294" i="67"/>
  <c r="L294" i="67"/>
  <c r="I294" i="67"/>
  <c r="I293" i="67" s="1"/>
  <c r="F294" i="67"/>
  <c r="N293" i="67"/>
  <c r="M293" i="67"/>
  <c r="K293" i="67"/>
  <c r="J293" i="67"/>
  <c r="H293" i="67"/>
  <c r="G293" i="67"/>
  <c r="E293" i="67"/>
  <c r="D293" i="67"/>
  <c r="O288" i="67"/>
  <c r="L288" i="67"/>
  <c r="I288" i="67"/>
  <c r="F288" i="67"/>
  <c r="O287" i="67"/>
  <c r="L287" i="67"/>
  <c r="I287" i="67"/>
  <c r="F287" i="67"/>
  <c r="O286" i="67"/>
  <c r="N286" i="67"/>
  <c r="M286" i="67"/>
  <c r="K286" i="67"/>
  <c r="J286" i="67"/>
  <c r="H286" i="67"/>
  <c r="G286" i="67"/>
  <c r="F286" i="67"/>
  <c r="E286" i="67"/>
  <c r="D286" i="67"/>
  <c r="O285" i="67"/>
  <c r="O284" i="67" s="1"/>
  <c r="O283" i="67" s="1"/>
  <c r="L285" i="67"/>
  <c r="I285" i="67"/>
  <c r="F285" i="67"/>
  <c r="F284" i="67" s="1"/>
  <c r="N284" i="67"/>
  <c r="M284" i="67"/>
  <c r="M283" i="67" s="1"/>
  <c r="L284" i="67"/>
  <c r="L283" i="67" s="1"/>
  <c r="K284" i="67"/>
  <c r="K283" i="67" s="1"/>
  <c r="J284" i="67"/>
  <c r="J283" i="67" s="1"/>
  <c r="I284" i="67"/>
  <c r="I283" i="67" s="1"/>
  <c r="H284" i="67"/>
  <c r="H283" i="67" s="1"/>
  <c r="G284" i="67"/>
  <c r="G283" i="67" s="1"/>
  <c r="E284" i="67"/>
  <c r="E283" i="67" s="1"/>
  <c r="D284" i="67"/>
  <c r="D283" i="67" s="1"/>
  <c r="N283" i="67"/>
  <c r="O282" i="67"/>
  <c r="O281" i="67" s="1"/>
  <c r="L282" i="67"/>
  <c r="C282" i="67" s="1"/>
  <c r="I282" i="67"/>
  <c r="F282" i="67"/>
  <c r="F281" i="67" s="1"/>
  <c r="N281" i="67"/>
  <c r="M281" i="67"/>
  <c r="K281" i="67"/>
  <c r="J281" i="67"/>
  <c r="I281" i="67"/>
  <c r="H281" i="67"/>
  <c r="G281" i="67"/>
  <c r="E281" i="67"/>
  <c r="D281" i="67"/>
  <c r="O280" i="67"/>
  <c r="L280" i="67"/>
  <c r="I280" i="67"/>
  <c r="F280" i="67"/>
  <c r="O279" i="67"/>
  <c r="L279" i="67"/>
  <c r="I279" i="67"/>
  <c r="F279" i="67"/>
  <c r="O278" i="67"/>
  <c r="L278" i="67"/>
  <c r="I278" i="67"/>
  <c r="F278" i="67"/>
  <c r="O277" i="67"/>
  <c r="L277" i="67"/>
  <c r="I277" i="67"/>
  <c r="I276" i="67" s="1"/>
  <c r="F277" i="67"/>
  <c r="N276" i="67"/>
  <c r="M276" i="67"/>
  <c r="K276" i="67"/>
  <c r="J276" i="67"/>
  <c r="H276" i="67"/>
  <c r="G276" i="67"/>
  <c r="E276" i="67"/>
  <c r="D276" i="67"/>
  <c r="O275" i="67"/>
  <c r="L275" i="67"/>
  <c r="I275" i="67"/>
  <c r="C275" i="67" s="1"/>
  <c r="F275" i="67"/>
  <c r="O274" i="67"/>
  <c r="L274" i="67"/>
  <c r="I274" i="67"/>
  <c r="F274" i="67"/>
  <c r="O273" i="67"/>
  <c r="L273" i="67"/>
  <c r="L272" i="67" s="1"/>
  <c r="I273" i="67"/>
  <c r="I272" i="67" s="1"/>
  <c r="F273" i="67"/>
  <c r="N272" i="67"/>
  <c r="M272" i="67"/>
  <c r="M270" i="67" s="1"/>
  <c r="M269" i="67" s="1"/>
  <c r="K272" i="67"/>
  <c r="J272" i="67"/>
  <c r="H272" i="67"/>
  <c r="G272" i="67"/>
  <c r="E272" i="67"/>
  <c r="D272" i="67"/>
  <c r="O271" i="67"/>
  <c r="L271" i="67"/>
  <c r="I271" i="67"/>
  <c r="F271" i="67"/>
  <c r="H270" i="67"/>
  <c r="H269" i="67" s="1"/>
  <c r="O268" i="67"/>
  <c r="L268" i="67"/>
  <c r="I268" i="67"/>
  <c r="F268" i="67"/>
  <c r="O267" i="67"/>
  <c r="L267" i="67"/>
  <c r="I267" i="67"/>
  <c r="F267" i="67"/>
  <c r="O266" i="67"/>
  <c r="L266" i="67"/>
  <c r="I266" i="67"/>
  <c r="F266" i="67"/>
  <c r="O265" i="67"/>
  <c r="O264" i="67" s="1"/>
  <c r="L265" i="67"/>
  <c r="I265" i="67"/>
  <c r="F265" i="67"/>
  <c r="N264" i="67"/>
  <c r="M264" i="67"/>
  <c r="K264" i="67"/>
  <c r="J264" i="67"/>
  <c r="H264" i="67"/>
  <c r="G264" i="67"/>
  <c r="E264" i="67"/>
  <c r="D264" i="67"/>
  <c r="O263" i="67"/>
  <c r="L263" i="67"/>
  <c r="I263" i="67"/>
  <c r="F263" i="67"/>
  <c r="O262" i="67"/>
  <c r="L262" i="67"/>
  <c r="I262" i="67"/>
  <c r="F262" i="67"/>
  <c r="O261" i="67"/>
  <c r="L261" i="67"/>
  <c r="I261" i="67"/>
  <c r="I260" i="67" s="1"/>
  <c r="F261" i="67"/>
  <c r="N260" i="67"/>
  <c r="M260" i="67"/>
  <c r="M259" i="67" s="1"/>
  <c r="K260" i="67"/>
  <c r="K259" i="67" s="1"/>
  <c r="J260" i="67"/>
  <c r="H260" i="67"/>
  <c r="H259" i="67" s="1"/>
  <c r="G260" i="67"/>
  <c r="G259" i="67" s="1"/>
  <c r="E260" i="67"/>
  <c r="D260" i="67"/>
  <c r="N259" i="67"/>
  <c r="D259" i="67"/>
  <c r="O258" i="67"/>
  <c r="L258" i="67"/>
  <c r="I258" i="67"/>
  <c r="F258" i="67"/>
  <c r="O257" i="67"/>
  <c r="L257" i="67"/>
  <c r="I257" i="67"/>
  <c r="F257" i="67"/>
  <c r="O256" i="67"/>
  <c r="L256" i="67"/>
  <c r="I256" i="67"/>
  <c r="F256" i="67"/>
  <c r="O255" i="67"/>
  <c r="L255" i="67"/>
  <c r="I255" i="67"/>
  <c r="F255" i="67"/>
  <c r="O254" i="67"/>
  <c r="L254" i="67"/>
  <c r="I254" i="67"/>
  <c r="F254" i="67"/>
  <c r="O253" i="67"/>
  <c r="L253" i="67"/>
  <c r="I253" i="67"/>
  <c r="F253" i="67"/>
  <c r="N252" i="67"/>
  <c r="M252" i="67"/>
  <c r="M251" i="67" s="1"/>
  <c r="K252" i="67"/>
  <c r="K251" i="67" s="1"/>
  <c r="J252" i="67"/>
  <c r="J251" i="67" s="1"/>
  <c r="H252" i="67"/>
  <c r="H251" i="67" s="1"/>
  <c r="G252" i="67"/>
  <c r="G251" i="67" s="1"/>
  <c r="E252" i="67"/>
  <c r="E251" i="67" s="1"/>
  <c r="D252" i="67"/>
  <c r="N251" i="67"/>
  <c r="D251" i="67"/>
  <c r="O250" i="67"/>
  <c r="L250" i="67"/>
  <c r="I250" i="67"/>
  <c r="F250" i="67"/>
  <c r="O249" i="67"/>
  <c r="L249" i="67"/>
  <c r="I249" i="67"/>
  <c r="F249" i="67"/>
  <c r="O248" i="67"/>
  <c r="L248" i="67"/>
  <c r="I248" i="67"/>
  <c r="F248" i="67"/>
  <c r="O247" i="67"/>
  <c r="L247" i="67"/>
  <c r="I247" i="67"/>
  <c r="F247" i="67"/>
  <c r="O246" i="67"/>
  <c r="N246" i="67"/>
  <c r="M246" i="67"/>
  <c r="K246" i="67"/>
  <c r="J246" i="67"/>
  <c r="H246" i="67"/>
  <c r="G246" i="67"/>
  <c r="E246" i="67"/>
  <c r="D246" i="67"/>
  <c r="O245" i="67"/>
  <c r="L245" i="67"/>
  <c r="I245" i="67"/>
  <c r="F245" i="67"/>
  <c r="O244" i="67"/>
  <c r="L244" i="67"/>
  <c r="I244" i="67"/>
  <c r="F244" i="67"/>
  <c r="O243" i="67"/>
  <c r="L243" i="67"/>
  <c r="I243" i="67"/>
  <c r="F243" i="67"/>
  <c r="O242" i="67"/>
  <c r="L242" i="67"/>
  <c r="I242" i="67"/>
  <c r="F242" i="67"/>
  <c r="C242" i="67" s="1"/>
  <c r="O241" i="67"/>
  <c r="L241" i="67"/>
  <c r="I241" i="67"/>
  <c r="F241" i="67"/>
  <c r="O240" i="67"/>
  <c r="L240" i="67"/>
  <c r="I240" i="67"/>
  <c r="F240" i="67"/>
  <c r="O239" i="67"/>
  <c r="L239" i="67"/>
  <c r="I239" i="67"/>
  <c r="F239" i="67"/>
  <c r="N238" i="67"/>
  <c r="M238" i="67"/>
  <c r="K238" i="67"/>
  <c r="J238" i="67"/>
  <c r="H238" i="67"/>
  <c r="G238" i="67"/>
  <c r="E238" i="67"/>
  <c r="D238" i="67"/>
  <c r="O237" i="67"/>
  <c r="L237" i="67"/>
  <c r="I237" i="67"/>
  <c r="F237" i="67"/>
  <c r="C237" i="67" s="1"/>
  <c r="O236" i="67"/>
  <c r="L236" i="67"/>
  <c r="L235" i="67" s="1"/>
  <c r="I236" i="67"/>
  <c r="I235" i="67" s="1"/>
  <c r="F236" i="67"/>
  <c r="C236" i="67" s="1"/>
  <c r="O235" i="67"/>
  <c r="N235" i="67"/>
  <c r="M235" i="67"/>
  <c r="K235" i="67"/>
  <c r="K231" i="67" s="1"/>
  <c r="J235" i="67"/>
  <c r="H235" i="67"/>
  <c r="G235" i="67"/>
  <c r="F235" i="67"/>
  <c r="E235" i="67"/>
  <c r="D235" i="67"/>
  <c r="O234" i="67"/>
  <c r="O233" i="67" s="1"/>
  <c r="L234" i="67"/>
  <c r="I234" i="67"/>
  <c r="F234" i="67"/>
  <c r="F233" i="67" s="1"/>
  <c r="N233" i="67"/>
  <c r="N231" i="67" s="1"/>
  <c r="M233" i="67"/>
  <c r="K233" i="67"/>
  <c r="J233" i="67"/>
  <c r="I233" i="67"/>
  <c r="H233" i="67"/>
  <c r="G233" i="67"/>
  <c r="E233" i="67"/>
  <c r="D233" i="67"/>
  <c r="O232" i="67"/>
  <c r="L232" i="67"/>
  <c r="I232" i="67"/>
  <c r="F232" i="67"/>
  <c r="O229" i="67"/>
  <c r="L229" i="67"/>
  <c r="I229" i="67"/>
  <c r="F229" i="67"/>
  <c r="O228" i="67"/>
  <c r="L228" i="67"/>
  <c r="L227" i="67" s="1"/>
  <c r="I228" i="67"/>
  <c r="I227" i="67" s="1"/>
  <c r="F228" i="67"/>
  <c r="O227" i="67"/>
  <c r="N227" i="67"/>
  <c r="M227" i="67"/>
  <c r="K227" i="67"/>
  <c r="J227" i="67"/>
  <c r="H227" i="67"/>
  <c r="G227" i="67"/>
  <c r="F227" i="67"/>
  <c r="E227" i="67"/>
  <c r="D227" i="67"/>
  <c r="O226" i="67"/>
  <c r="L226" i="67"/>
  <c r="I226" i="67"/>
  <c r="D226" i="67"/>
  <c r="O225" i="67"/>
  <c r="L225" i="67"/>
  <c r="I225" i="67"/>
  <c r="F225" i="67"/>
  <c r="O224" i="67"/>
  <c r="L224" i="67"/>
  <c r="I224" i="67"/>
  <c r="F224" i="67"/>
  <c r="O223" i="67"/>
  <c r="L223" i="67"/>
  <c r="I223" i="67"/>
  <c r="F223" i="67"/>
  <c r="O222" i="67"/>
  <c r="L222" i="67"/>
  <c r="I222" i="67"/>
  <c r="F222" i="67"/>
  <c r="O221" i="67"/>
  <c r="L221" i="67"/>
  <c r="I221" i="67"/>
  <c r="F221" i="67"/>
  <c r="O220" i="67"/>
  <c r="L220" i="67"/>
  <c r="I220" i="67"/>
  <c r="F220" i="67"/>
  <c r="O219" i="67"/>
  <c r="L219" i="67"/>
  <c r="I219" i="67"/>
  <c r="F219" i="67"/>
  <c r="O218" i="67"/>
  <c r="L218" i="67"/>
  <c r="I218" i="67"/>
  <c r="F218" i="67"/>
  <c r="O217" i="67"/>
  <c r="L217" i="67"/>
  <c r="I217" i="67"/>
  <c r="F217" i="67"/>
  <c r="O216" i="67"/>
  <c r="N216" i="67"/>
  <c r="M216" i="67"/>
  <c r="K216" i="67"/>
  <c r="J216" i="67"/>
  <c r="H216" i="67"/>
  <c r="G216" i="67"/>
  <c r="E216" i="67"/>
  <c r="D216" i="67"/>
  <c r="O215" i="67"/>
  <c r="L215" i="67"/>
  <c r="I215" i="67"/>
  <c r="F215" i="67"/>
  <c r="O214" i="67"/>
  <c r="L214" i="67"/>
  <c r="I214" i="67"/>
  <c r="F214" i="67"/>
  <c r="O213" i="67"/>
  <c r="L213" i="67"/>
  <c r="I213" i="67"/>
  <c r="F213" i="67"/>
  <c r="O212" i="67"/>
  <c r="L212" i="67"/>
  <c r="I212" i="67"/>
  <c r="F212" i="67"/>
  <c r="O211" i="67"/>
  <c r="L211" i="67"/>
  <c r="I211" i="67"/>
  <c r="F211" i="67"/>
  <c r="O210" i="67"/>
  <c r="L210" i="67"/>
  <c r="I210" i="67"/>
  <c r="F210" i="67"/>
  <c r="O209" i="67"/>
  <c r="L209" i="67"/>
  <c r="I209" i="67"/>
  <c r="F209" i="67"/>
  <c r="O208" i="67"/>
  <c r="L208" i="67"/>
  <c r="I208" i="67"/>
  <c r="F208" i="67"/>
  <c r="O207" i="67"/>
  <c r="L207" i="67"/>
  <c r="C207" i="67" s="1"/>
  <c r="I207" i="67"/>
  <c r="F207" i="67"/>
  <c r="O206" i="67"/>
  <c r="L206" i="67"/>
  <c r="I206" i="67"/>
  <c r="F206" i="67"/>
  <c r="N205" i="67"/>
  <c r="N204" i="67" s="1"/>
  <c r="M205" i="67"/>
  <c r="M204" i="67" s="1"/>
  <c r="K205" i="67"/>
  <c r="J205" i="67"/>
  <c r="H205" i="67"/>
  <c r="G205" i="67"/>
  <c r="G204" i="67" s="1"/>
  <c r="E205" i="67"/>
  <c r="D205" i="67"/>
  <c r="K204" i="67"/>
  <c r="H204" i="67"/>
  <c r="O203" i="67"/>
  <c r="L203" i="67"/>
  <c r="I203" i="67"/>
  <c r="F203" i="67"/>
  <c r="O202" i="67"/>
  <c r="L202" i="67"/>
  <c r="I202" i="67"/>
  <c r="F202" i="67"/>
  <c r="O201" i="67"/>
  <c r="L201" i="67"/>
  <c r="I201" i="67"/>
  <c r="F201" i="67"/>
  <c r="O200" i="67"/>
  <c r="L200" i="67"/>
  <c r="I200" i="67"/>
  <c r="F200" i="67"/>
  <c r="O199" i="67"/>
  <c r="L199" i="67"/>
  <c r="I199" i="67"/>
  <c r="I198" i="67" s="1"/>
  <c r="F199" i="67"/>
  <c r="N198" i="67"/>
  <c r="M198" i="67"/>
  <c r="M196" i="67" s="1"/>
  <c r="L198" i="67"/>
  <c r="K198" i="67"/>
  <c r="J198" i="67"/>
  <c r="J196" i="67" s="1"/>
  <c r="H198" i="67"/>
  <c r="H196" i="67" s="1"/>
  <c r="G198" i="67"/>
  <c r="G196" i="67" s="1"/>
  <c r="E198" i="67"/>
  <c r="E196" i="67" s="1"/>
  <c r="D198" i="67"/>
  <c r="D196" i="67" s="1"/>
  <c r="O197" i="67"/>
  <c r="L197" i="67"/>
  <c r="I197" i="67"/>
  <c r="F197" i="67"/>
  <c r="N196" i="67"/>
  <c r="K196" i="67"/>
  <c r="O193" i="67"/>
  <c r="L193" i="67"/>
  <c r="I193" i="67"/>
  <c r="I192" i="67" s="1"/>
  <c r="F193" i="67"/>
  <c r="O192" i="67"/>
  <c r="O191" i="67" s="1"/>
  <c r="N192" i="67"/>
  <c r="N191" i="67" s="1"/>
  <c r="M192" i="67"/>
  <c r="K192" i="67"/>
  <c r="K191" i="67" s="1"/>
  <c r="J192" i="67"/>
  <c r="J191" i="67" s="1"/>
  <c r="H192" i="67"/>
  <c r="H191" i="67" s="1"/>
  <c r="G192" i="67"/>
  <c r="G191" i="67" s="1"/>
  <c r="F192" i="67"/>
  <c r="F191" i="67" s="1"/>
  <c r="E192" i="67"/>
  <c r="D192" i="67"/>
  <c r="M191" i="67"/>
  <c r="E191" i="67"/>
  <c r="E187" i="67" s="1"/>
  <c r="D191" i="67"/>
  <c r="O190" i="67"/>
  <c r="L190" i="67"/>
  <c r="I190" i="67"/>
  <c r="F190" i="67"/>
  <c r="O189" i="67"/>
  <c r="L189" i="67"/>
  <c r="I189" i="67"/>
  <c r="I188" i="67" s="1"/>
  <c r="F189" i="67"/>
  <c r="O188" i="67"/>
  <c r="N188" i="67"/>
  <c r="M188" i="67"/>
  <c r="K188" i="67"/>
  <c r="J188" i="67"/>
  <c r="H188" i="67"/>
  <c r="G188" i="67"/>
  <c r="F188" i="67"/>
  <c r="E188" i="67"/>
  <c r="D188" i="67"/>
  <c r="O186" i="67"/>
  <c r="L186" i="67"/>
  <c r="I186" i="67"/>
  <c r="F186" i="67"/>
  <c r="O185" i="67"/>
  <c r="O184" i="67" s="1"/>
  <c r="L185" i="67"/>
  <c r="L184" i="67" s="1"/>
  <c r="I185" i="67"/>
  <c r="I184" i="67" s="1"/>
  <c r="F185" i="67"/>
  <c r="N184" i="67"/>
  <c r="M184" i="67"/>
  <c r="K184" i="67"/>
  <c r="J184" i="67"/>
  <c r="H184" i="67"/>
  <c r="G184" i="67"/>
  <c r="F184" i="67"/>
  <c r="E184" i="67"/>
  <c r="D184" i="67"/>
  <c r="O183" i="67"/>
  <c r="L183" i="67"/>
  <c r="I183" i="67"/>
  <c r="F183" i="67"/>
  <c r="O182" i="67"/>
  <c r="L182" i="67"/>
  <c r="I182" i="67"/>
  <c r="F182" i="67"/>
  <c r="O181" i="67"/>
  <c r="L181" i="67"/>
  <c r="I181" i="67"/>
  <c r="F181" i="67"/>
  <c r="O180" i="67"/>
  <c r="O179" i="67" s="1"/>
  <c r="L180" i="67"/>
  <c r="I180" i="67"/>
  <c r="C180" i="67" s="1"/>
  <c r="F180" i="67"/>
  <c r="N179" i="67"/>
  <c r="M179" i="67"/>
  <c r="K179" i="67"/>
  <c r="J179" i="67"/>
  <c r="H179" i="67"/>
  <c r="G179" i="67"/>
  <c r="E179" i="67"/>
  <c r="D179" i="67"/>
  <c r="O178" i="67"/>
  <c r="L178" i="67"/>
  <c r="I178" i="67"/>
  <c r="F178" i="67"/>
  <c r="O177" i="67"/>
  <c r="L177" i="67"/>
  <c r="I177" i="67"/>
  <c r="F177" i="67"/>
  <c r="O176" i="67"/>
  <c r="O175" i="67" s="1"/>
  <c r="L176" i="67"/>
  <c r="I176" i="67"/>
  <c r="F176" i="67"/>
  <c r="F175" i="67" s="1"/>
  <c r="N175" i="67"/>
  <c r="M175" i="67"/>
  <c r="K175" i="67"/>
  <c r="J175" i="67"/>
  <c r="H175" i="67"/>
  <c r="H174" i="67" s="1"/>
  <c r="G175" i="67"/>
  <c r="E175" i="67"/>
  <c r="E174" i="67" s="1"/>
  <c r="E173" i="67" s="1"/>
  <c r="D175" i="67"/>
  <c r="N174" i="67"/>
  <c r="N173" i="67" s="1"/>
  <c r="O172" i="67"/>
  <c r="L172" i="67"/>
  <c r="I172" i="67"/>
  <c r="F172" i="67"/>
  <c r="O171" i="67"/>
  <c r="L171" i="67"/>
  <c r="I171" i="67"/>
  <c r="F171" i="67"/>
  <c r="O170" i="67"/>
  <c r="L170" i="67"/>
  <c r="I170" i="67"/>
  <c r="F170" i="67"/>
  <c r="O169" i="67"/>
  <c r="L169" i="67"/>
  <c r="I169" i="67"/>
  <c r="C169" i="67" s="1"/>
  <c r="F169" i="67"/>
  <c r="O168" i="67"/>
  <c r="L168" i="67"/>
  <c r="I168" i="67"/>
  <c r="F168" i="67"/>
  <c r="O167" i="67"/>
  <c r="L167" i="67"/>
  <c r="I167" i="67"/>
  <c r="F167" i="67"/>
  <c r="N166" i="67"/>
  <c r="N165" i="67" s="1"/>
  <c r="M166" i="67"/>
  <c r="M165" i="67" s="1"/>
  <c r="K166" i="67"/>
  <c r="K165" i="67" s="1"/>
  <c r="J166" i="67"/>
  <c r="J165" i="67" s="1"/>
  <c r="H166" i="67"/>
  <c r="G166" i="67"/>
  <c r="E166" i="67"/>
  <c r="E165" i="67" s="1"/>
  <c r="D166" i="67"/>
  <c r="D165" i="67" s="1"/>
  <c r="H165" i="67"/>
  <c r="G165" i="67"/>
  <c r="O164" i="67"/>
  <c r="L164" i="67"/>
  <c r="I164" i="67"/>
  <c r="F164" i="67"/>
  <c r="O163" i="67"/>
  <c r="L163" i="67"/>
  <c r="I163" i="67"/>
  <c r="F163" i="67"/>
  <c r="O162" i="67"/>
  <c r="L162" i="67"/>
  <c r="I162" i="67"/>
  <c r="F162" i="67"/>
  <c r="O161" i="67"/>
  <c r="L161" i="67"/>
  <c r="I161" i="67"/>
  <c r="F161" i="67"/>
  <c r="O160" i="67"/>
  <c r="N160" i="67"/>
  <c r="M160" i="67"/>
  <c r="K160" i="67"/>
  <c r="J160" i="67"/>
  <c r="H160" i="67"/>
  <c r="G160" i="67"/>
  <c r="F160" i="67"/>
  <c r="E160" i="67"/>
  <c r="D160" i="67"/>
  <c r="O159" i="67"/>
  <c r="L159" i="67"/>
  <c r="I159" i="67"/>
  <c r="F159" i="67"/>
  <c r="O158" i="67"/>
  <c r="L158" i="67"/>
  <c r="I158" i="67"/>
  <c r="F158" i="67"/>
  <c r="O157" i="67"/>
  <c r="L157" i="67"/>
  <c r="I157" i="67"/>
  <c r="F157" i="67"/>
  <c r="O156" i="67"/>
  <c r="L156" i="67"/>
  <c r="C156" i="67" s="1"/>
  <c r="I156" i="67"/>
  <c r="F156" i="67"/>
  <c r="O155" i="67"/>
  <c r="L155" i="67"/>
  <c r="I155" i="67"/>
  <c r="F155" i="67"/>
  <c r="O154" i="67"/>
  <c r="L154" i="67"/>
  <c r="I154" i="67"/>
  <c r="F154" i="67"/>
  <c r="O153" i="67"/>
  <c r="L153" i="67"/>
  <c r="I153" i="67"/>
  <c r="F153" i="67"/>
  <c r="O152" i="67"/>
  <c r="L152" i="67"/>
  <c r="I152" i="67"/>
  <c r="I151" i="67" s="1"/>
  <c r="F152" i="67"/>
  <c r="N151" i="67"/>
  <c r="M151" i="67"/>
  <c r="K151" i="67"/>
  <c r="J151" i="67"/>
  <c r="H151" i="67"/>
  <c r="G151" i="67"/>
  <c r="E151" i="67"/>
  <c r="D151" i="67"/>
  <c r="O150" i="67"/>
  <c r="L150" i="67"/>
  <c r="I150" i="67"/>
  <c r="F150" i="67"/>
  <c r="O149" i="67"/>
  <c r="L149" i="67"/>
  <c r="I149" i="67"/>
  <c r="F149" i="67"/>
  <c r="O148" i="67"/>
  <c r="O144" i="67" s="1"/>
  <c r="L148" i="67"/>
  <c r="I148" i="67"/>
  <c r="F148" i="67"/>
  <c r="C148" i="67"/>
  <c r="O147" i="67"/>
  <c r="L147" i="67"/>
  <c r="I147" i="67"/>
  <c r="F147" i="67"/>
  <c r="O146" i="67"/>
  <c r="L146" i="67"/>
  <c r="I146" i="67"/>
  <c r="F146" i="67"/>
  <c r="O145" i="67"/>
  <c r="L145" i="67"/>
  <c r="I145" i="67"/>
  <c r="F145" i="67"/>
  <c r="N144" i="67"/>
  <c r="M144" i="67"/>
  <c r="K144" i="67"/>
  <c r="J144" i="67"/>
  <c r="H144" i="67"/>
  <c r="G144" i="67"/>
  <c r="E144" i="67"/>
  <c r="D144" i="67"/>
  <c r="O143" i="67"/>
  <c r="L143" i="67"/>
  <c r="I143" i="67"/>
  <c r="F143" i="67"/>
  <c r="O142" i="67"/>
  <c r="L142" i="67"/>
  <c r="L141" i="67" s="1"/>
  <c r="I142" i="67"/>
  <c r="F142" i="67"/>
  <c r="O141" i="67"/>
  <c r="N141" i="67"/>
  <c r="M141" i="67"/>
  <c r="K141" i="67"/>
  <c r="J141" i="67"/>
  <c r="H141" i="67"/>
  <c r="G141" i="67"/>
  <c r="F141" i="67"/>
  <c r="E141" i="67"/>
  <c r="D141" i="67"/>
  <c r="O140" i="67"/>
  <c r="L140" i="67"/>
  <c r="C140" i="67" s="1"/>
  <c r="I140" i="67"/>
  <c r="F140" i="67"/>
  <c r="O139" i="67"/>
  <c r="L139" i="67"/>
  <c r="I139" i="67"/>
  <c r="F139" i="67"/>
  <c r="O138" i="67"/>
  <c r="L138" i="67"/>
  <c r="I138" i="67"/>
  <c r="F138" i="67"/>
  <c r="O137" i="67"/>
  <c r="L137" i="67"/>
  <c r="I137" i="67"/>
  <c r="F137" i="67"/>
  <c r="O136" i="67"/>
  <c r="N136" i="67"/>
  <c r="M136" i="67"/>
  <c r="K136" i="67"/>
  <c r="J136" i="67"/>
  <c r="H136" i="67"/>
  <c r="G136" i="67"/>
  <c r="E136" i="67"/>
  <c r="D136" i="67"/>
  <c r="O135" i="67"/>
  <c r="L135" i="67"/>
  <c r="I135" i="67"/>
  <c r="F135" i="67"/>
  <c r="O134" i="67"/>
  <c r="L134" i="67"/>
  <c r="I134" i="67"/>
  <c r="F134" i="67"/>
  <c r="O133" i="67"/>
  <c r="L133" i="67"/>
  <c r="I133" i="67"/>
  <c r="F133" i="67"/>
  <c r="O132" i="67"/>
  <c r="L132" i="67"/>
  <c r="L131" i="67" s="1"/>
  <c r="I132" i="67"/>
  <c r="F132" i="67"/>
  <c r="N131" i="67"/>
  <c r="M131" i="67"/>
  <c r="K131" i="67"/>
  <c r="J131" i="67"/>
  <c r="H131" i="67"/>
  <c r="G131" i="67"/>
  <c r="E131" i="67"/>
  <c r="D131" i="67"/>
  <c r="D130" i="67" s="1"/>
  <c r="O129" i="67"/>
  <c r="L129" i="67"/>
  <c r="L128" i="67" s="1"/>
  <c r="I129" i="67"/>
  <c r="I128" i="67" s="1"/>
  <c r="F129" i="67"/>
  <c r="O128" i="67"/>
  <c r="N128" i="67"/>
  <c r="M128" i="67"/>
  <c r="K128" i="67"/>
  <c r="J128" i="67"/>
  <c r="H128" i="67"/>
  <c r="G128" i="67"/>
  <c r="F128" i="67"/>
  <c r="E128" i="67"/>
  <c r="D128" i="67"/>
  <c r="O127" i="67"/>
  <c r="L127" i="67"/>
  <c r="I127" i="67"/>
  <c r="F127" i="67"/>
  <c r="O126" i="67"/>
  <c r="L126" i="67"/>
  <c r="I126" i="67"/>
  <c r="F126" i="67"/>
  <c r="O125" i="67"/>
  <c r="L125" i="67"/>
  <c r="I125" i="67"/>
  <c r="F125" i="67"/>
  <c r="O124" i="67"/>
  <c r="L124" i="67"/>
  <c r="I124" i="67"/>
  <c r="F124" i="67"/>
  <c r="O123" i="67"/>
  <c r="L123" i="67"/>
  <c r="I123" i="67"/>
  <c r="F123" i="67"/>
  <c r="F122" i="67" s="1"/>
  <c r="N122" i="67"/>
  <c r="M122" i="67"/>
  <c r="K122" i="67"/>
  <c r="J122" i="67"/>
  <c r="H122" i="67"/>
  <c r="G122" i="67"/>
  <c r="E122" i="67"/>
  <c r="D122" i="67"/>
  <c r="O121" i="67"/>
  <c r="L121" i="67"/>
  <c r="I121" i="67"/>
  <c r="F121" i="67"/>
  <c r="O120" i="67"/>
  <c r="L120" i="67"/>
  <c r="I120" i="67"/>
  <c r="F120" i="67"/>
  <c r="O119" i="67"/>
  <c r="L119" i="67"/>
  <c r="I119" i="67"/>
  <c r="F119" i="67"/>
  <c r="O118" i="67"/>
  <c r="L118" i="67"/>
  <c r="I118" i="67"/>
  <c r="F118" i="67"/>
  <c r="O117" i="67"/>
  <c r="L117" i="67"/>
  <c r="L116" i="67" s="1"/>
  <c r="I117" i="67"/>
  <c r="I116" i="67" s="1"/>
  <c r="F117" i="67"/>
  <c r="N116" i="67"/>
  <c r="M116" i="67"/>
  <c r="K116" i="67"/>
  <c r="J116" i="67"/>
  <c r="H116" i="67"/>
  <c r="G116" i="67"/>
  <c r="E116" i="67"/>
  <c r="D116" i="67"/>
  <c r="O115" i="67"/>
  <c r="L115" i="67"/>
  <c r="I115" i="67"/>
  <c r="F115" i="67"/>
  <c r="O114" i="67"/>
  <c r="L114" i="67"/>
  <c r="I114" i="67"/>
  <c r="F114" i="67"/>
  <c r="O113" i="67"/>
  <c r="L113" i="67"/>
  <c r="L112" i="67" s="1"/>
  <c r="I113" i="67"/>
  <c r="I112" i="67" s="1"/>
  <c r="F113" i="67"/>
  <c r="N112" i="67"/>
  <c r="M112" i="67"/>
  <c r="K112" i="67"/>
  <c r="J112" i="67"/>
  <c r="H112" i="67"/>
  <c r="G112" i="67"/>
  <c r="E112" i="67"/>
  <c r="D112" i="67"/>
  <c r="O111" i="67"/>
  <c r="L111" i="67"/>
  <c r="I111" i="67"/>
  <c r="F111" i="67"/>
  <c r="O110" i="67"/>
  <c r="L110" i="67"/>
  <c r="I110" i="67"/>
  <c r="F110" i="67"/>
  <c r="O109" i="67"/>
  <c r="L109" i="67"/>
  <c r="I109" i="67"/>
  <c r="F109" i="67"/>
  <c r="O108" i="67"/>
  <c r="L108" i="67"/>
  <c r="I108" i="67"/>
  <c r="F108" i="67"/>
  <c r="O107" i="67"/>
  <c r="L107" i="67"/>
  <c r="I107" i="67"/>
  <c r="F107" i="67"/>
  <c r="O106" i="67"/>
  <c r="O103" i="67" s="1"/>
  <c r="L106" i="67"/>
  <c r="I106" i="67"/>
  <c r="F106" i="67"/>
  <c r="C106" i="67"/>
  <c r="O105" i="67"/>
  <c r="L105" i="67"/>
  <c r="I105" i="67"/>
  <c r="F105" i="67"/>
  <c r="C105" i="67" s="1"/>
  <c r="O104" i="67"/>
  <c r="L104" i="67"/>
  <c r="I104" i="67"/>
  <c r="F104" i="67"/>
  <c r="F103" i="67" s="1"/>
  <c r="N103" i="67"/>
  <c r="M103" i="67"/>
  <c r="K103" i="67"/>
  <c r="J103" i="67"/>
  <c r="H103" i="67"/>
  <c r="G103" i="67"/>
  <c r="E103" i="67"/>
  <c r="D103" i="67"/>
  <c r="O102" i="67"/>
  <c r="L102" i="67"/>
  <c r="I102" i="67"/>
  <c r="F102" i="67"/>
  <c r="C102" i="67" s="1"/>
  <c r="O101" i="67"/>
  <c r="L101" i="67"/>
  <c r="I101" i="67"/>
  <c r="F101" i="67"/>
  <c r="O100" i="67"/>
  <c r="L100" i="67"/>
  <c r="I100" i="67"/>
  <c r="F100" i="67"/>
  <c r="O99" i="67"/>
  <c r="L99" i="67"/>
  <c r="I99" i="67"/>
  <c r="F99" i="67"/>
  <c r="O98" i="67"/>
  <c r="L98" i="67"/>
  <c r="I98" i="67"/>
  <c r="F98" i="67"/>
  <c r="C98" i="67" s="1"/>
  <c r="O97" i="67"/>
  <c r="L97" i="67"/>
  <c r="I97" i="67"/>
  <c r="F97" i="67"/>
  <c r="O96" i="67"/>
  <c r="L96" i="67"/>
  <c r="I96" i="67"/>
  <c r="F96" i="67"/>
  <c r="N95" i="67"/>
  <c r="M95" i="67"/>
  <c r="K95" i="67"/>
  <c r="J95" i="67"/>
  <c r="H95" i="67"/>
  <c r="G95" i="67"/>
  <c r="E95" i="67"/>
  <c r="D95" i="67"/>
  <c r="O94" i="67"/>
  <c r="L94" i="67"/>
  <c r="I94" i="67"/>
  <c r="F94" i="67"/>
  <c r="O93" i="67"/>
  <c r="L93" i="67"/>
  <c r="I93" i="67"/>
  <c r="F93" i="67"/>
  <c r="O92" i="67"/>
  <c r="L92" i="67"/>
  <c r="I92" i="67"/>
  <c r="F92" i="67"/>
  <c r="O91" i="67"/>
  <c r="L91" i="67"/>
  <c r="I91" i="67"/>
  <c r="F91" i="67"/>
  <c r="O90" i="67"/>
  <c r="L90" i="67"/>
  <c r="I90" i="67"/>
  <c r="I89" i="67" s="1"/>
  <c r="F90" i="67"/>
  <c r="N89" i="67"/>
  <c r="M89" i="67"/>
  <c r="K89" i="67"/>
  <c r="J89" i="67"/>
  <c r="H89" i="67"/>
  <c r="G89" i="67"/>
  <c r="E89" i="67"/>
  <c r="D89" i="67"/>
  <c r="O88" i="67"/>
  <c r="L88" i="67"/>
  <c r="I88" i="67"/>
  <c r="F88" i="67"/>
  <c r="O87" i="67"/>
  <c r="L87" i="67"/>
  <c r="I87" i="67"/>
  <c r="F87" i="67"/>
  <c r="O86" i="67"/>
  <c r="L86" i="67"/>
  <c r="I86" i="67"/>
  <c r="F86" i="67"/>
  <c r="O85" i="67"/>
  <c r="L85" i="67"/>
  <c r="I85" i="67"/>
  <c r="I84" i="67" s="1"/>
  <c r="F85" i="67"/>
  <c r="N84" i="67"/>
  <c r="M84" i="67"/>
  <c r="K84" i="67"/>
  <c r="J84" i="67"/>
  <c r="H84" i="67"/>
  <c r="G84" i="67"/>
  <c r="F84" i="67"/>
  <c r="E84" i="67"/>
  <c r="D84" i="67"/>
  <c r="O82" i="67"/>
  <c r="L82" i="67"/>
  <c r="I82" i="67"/>
  <c r="F82" i="67"/>
  <c r="O81" i="67"/>
  <c r="L81" i="67"/>
  <c r="I81" i="67"/>
  <c r="I80" i="67" s="1"/>
  <c r="F81" i="67"/>
  <c r="N80" i="67"/>
  <c r="N76" i="67" s="1"/>
  <c r="M80" i="67"/>
  <c r="K80" i="67"/>
  <c r="J80" i="67"/>
  <c r="H80" i="67"/>
  <c r="G80" i="67"/>
  <c r="E80" i="67"/>
  <c r="D80" i="67"/>
  <c r="O79" i="67"/>
  <c r="L79" i="67"/>
  <c r="I79" i="67"/>
  <c r="F79" i="67"/>
  <c r="O78" i="67"/>
  <c r="O77" i="67" s="1"/>
  <c r="L78" i="67"/>
  <c r="I78" i="67"/>
  <c r="I77" i="67" s="1"/>
  <c r="I76" i="67" s="1"/>
  <c r="F78" i="67"/>
  <c r="N77" i="67"/>
  <c r="M77" i="67"/>
  <c r="M76" i="67" s="1"/>
  <c r="K77" i="67"/>
  <c r="K76" i="67" s="1"/>
  <c r="J77" i="67"/>
  <c r="H77" i="67"/>
  <c r="H76" i="67" s="1"/>
  <c r="G77" i="67"/>
  <c r="G76" i="67" s="1"/>
  <c r="E77" i="67"/>
  <c r="D77" i="67"/>
  <c r="E76" i="67"/>
  <c r="O74" i="67"/>
  <c r="L74" i="67"/>
  <c r="I74" i="67"/>
  <c r="F74" i="67"/>
  <c r="O73" i="67"/>
  <c r="L73" i="67"/>
  <c r="I73" i="67"/>
  <c r="F73" i="67"/>
  <c r="O72" i="67"/>
  <c r="L72" i="67"/>
  <c r="I72" i="67"/>
  <c r="F72" i="67"/>
  <c r="O71" i="67"/>
  <c r="L71" i="67"/>
  <c r="I71" i="67"/>
  <c r="F71" i="67"/>
  <c r="O70" i="67"/>
  <c r="L70" i="67"/>
  <c r="I70" i="67"/>
  <c r="F70" i="67"/>
  <c r="N69" i="67"/>
  <c r="M69" i="67"/>
  <c r="M67" i="67" s="1"/>
  <c r="K69" i="67"/>
  <c r="J69" i="67"/>
  <c r="I69" i="67"/>
  <c r="H69" i="67"/>
  <c r="H67" i="67" s="1"/>
  <c r="G69" i="67"/>
  <c r="G67" i="67" s="1"/>
  <c r="E69" i="67"/>
  <c r="E67" i="67" s="1"/>
  <c r="D69" i="67"/>
  <c r="D67" i="67" s="1"/>
  <c r="O68" i="67"/>
  <c r="L68" i="67"/>
  <c r="I68" i="67"/>
  <c r="F68" i="67"/>
  <c r="N67" i="67"/>
  <c r="K67" i="67"/>
  <c r="J67" i="67"/>
  <c r="O66" i="67"/>
  <c r="L66" i="67"/>
  <c r="I66" i="67"/>
  <c r="F66" i="67"/>
  <c r="O65" i="67"/>
  <c r="L65" i="67"/>
  <c r="I65" i="67"/>
  <c r="F65" i="67"/>
  <c r="O64" i="67"/>
  <c r="L64" i="67"/>
  <c r="I64" i="67"/>
  <c r="F64" i="67"/>
  <c r="O63" i="67"/>
  <c r="L63" i="67"/>
  <c r="C63" i="67" s="1"/>
  <c r="I63" i="67"/>
  <c r="F63" i="67"/>
  <c r="O62" i="67"/>
  <c r="L62" i="67"/>
  <c r="I62" i="67"/>
  <c r="F62" i="67"/>
  <c r="O61" i="67"/>
  <c r="L61" i="67"/>
  <c r="I61" i="67"/>
  <c r="F61" i="67"/>
  <c r="O60" i="67"/>
  <c r="L60" i="67"/>
  <c r="I60" i="67"/>
  <c r="F60" i="67"/>
  <c r="O59" i="67"/>
  <c r="L59" i="67"/>
  <c r="C59" i="67" s="1"/>
  <c r="I59" i="67"/>
  <c r="F59" i="67"/>
  <c r="O58" i="67"/>
  <c r="N58" i="67"/>
  <c r="M58" i="67"/>
  <c r="K58" i="67"/>
  <c r="J58" i="67"/>
  <c r="H58" i="67"/>
  <c r="G58" i="67"/>
  <c r="E58" i="67"/>
  <c r="D58" i="67"/>
  <c r="O57" i="67"/>
  <c r="L57" i="67"/>
  <c r="I57" i="67"/>
  <c r="F57" i="67"/>
  <c r="O56" i="67"/>
  <c r="O55" i="67" s="1"/>
  <c r="L56" i="67"/>
  <c r="L55" i="67" s="1"/>
  <c r="I56" i="67"/>
  <c r="F56" i="67"/>
  <c r="F55" i="67" s="1"/>
  <c r="N55" i="67"/>
  <c r="M55" i="67"/>
  <c r="K55" i="67"/>
  <c r="K54" i="67" s="1"/>
  <c r="K53" i="67" s="1"/>
  <c r="J55" i="67"/>
  <c r="J54" i="67" s="1"/>
  <c r="H55" i="67"/>
  <c r="G55" i="67"/>
  <c r="G54" i="67" s="1"/>
  <c r="E55" i="67"/>
  <c r="E54" i="67" s="1"/>
  <c r="E53" i="67" s="1"/>
  <c r="D55" i="67"/>
  <c r="M54" i="67"/>
  <c r="O47" i="67"/>
  <c r="C47" i="67" s="1"/>
  <c r="O46" i="67"/>
  <c r="O45" i="67" s="1"/>
  <c r="C45" i="67" s="1"/>
  <c r="N45" i="67"/>
  <c r="M45" i="67"/>
  <c r="L44" i="67"/>
  <c r="L43" i="67" s="1"/>
  <c r="I44" i="67"/>
  <c r="I43" i="67" s="1"/>
  <c r="F44" i="67"/>
  <c r="K43" i="67"/>
  <c r="J43" i="67"/>
  <c r="H43" i="67"/>
  <c r="G43" i="67"/>
  <c r="F43" i="67"/>
  <c r="E43" i="67"/>
  <c r="D43" i="67"/>
  <c r="F42" i="67"/>
  <c r="E41" i="67"/>
  <c r="D41" i="67"/>
  <c r="L40" i="67"/>
  <c r="C40" i="67" s="1"/>
  <c r="L39" i="67"/>
  <c r="C39" i="67" s="1"/>
  <c r="L38" i="67"/>
  <c r="C38" i="67" s="1"/>
  <c r="L37" i="67"/>
  <c r="K36" i="67"/>
  <c r="J36" i="67"/>
  <c r="L35" i="67"/>
  <c r="C35" i="67" s="1"/>
  <c r="L34" i="67"/>
  <c r="K33" i="67"/>
  <c r="J33" i="67"/>
  <c r="L32" i="67"/>
  <c r="K31" i="67"/>
  <c r="J31" i="67"/>
  <c r="L30" i="67"/>
  <c r="C30" i="67"/>
  <c r="L29" i="67"/>
  <c r="C29" i="67"/>
  <c r="L28" i="67"/>
  <c r="C28" i="67"/>
  <c r="K27" i="67"/>
  <c r="J27" i="67"/>
  <c r="J26" i="67" s="1"/>
  <c r="F25" i="67"/>
  <c r="C25" i="67"/>
  <c r="O23" i="67"/>
  <c r="L23" i="67"/>
  <c r="I23" i="67"/>
  <c r="F23" i="67"/>
  <c r="O22" i="67"/>
  <c r="L22" i="67"/>
  <c r="L21" i="67" s="1"/>
  <c r="I22" i="67"/>
  <c r="I21" i="67" s="1"/>
  <c r="F22" i="67"/>
  <c r="N21" i="67"/>
  <c r="N292" i="67" s="1"/>
  <c r="N291" i="67" s="1"/>
  <c r="M21" i="67"/>
  <c r="K21" i="67"/>
  <c r="K292" i="67" s="1"/>
  <c r="J21" i="67"/>
  <c r="J292" i="67" s="1"/>
  <c r="J291" i="67" s="1"/>
  <c r="H21" i="67"/>
  <c r="G21" i="67"/>
  <c r="G292" i="67" s="1"/>
  <c r="E21" i="67"/>
  <c r="D21" i="67"/>
  <c r="G195" i="67" l="1"/>
  <c r="H54" i="67"/>
  <c r="H53" i="67" s="1"/>
  <c r="O116" i="67"/>
  <c r="K270" i="67"/>
  <c r="K269" i="67" s="1"/>
  <c r="C274" i="67"/>
  <c r="L281" i="67"/>
  <c r="C281" i="67" s="1"/>
  <c r="K26" i="67"/>
  <c r="K20" i="67" s="1"/>
  <c r="D54" i="67"/>
  <c r="D53" i="67" s="1"/>
  <c r="J76" i="67"/>
  <c r="C86" i="67"/>
  <c r="C87" i="67"/>
  <c r="C114" i="67"/>
  <c r="C117" i="67"/>
  <c r="C152" i="67"/>
  <c r="C155" i="67"/>
  <c r="C172" i="67"/>
  <c r="I179" i="67"/>
  <c r="C184" i="67"/>
  <c r="C185" i="67"/>
  <c r="H195" i="67"/>
  <c r="C250" i="67"/>
  <c r="C255" i="67"/>
  <c r="C258" i="67"/>
  <c r="C266" i="67"/>
  <c r="C278" i="67"/>
  <c r="C287" i="67"/>
  <c r="D292" i="67"/>
  <c r="D291" i="67" s="1"/>
  <c r="L33" i="67"/>
  <c r="C33" i="67" s="1"/>
  <c r="C70" i="67"/>
  <c r="C73" i="67"/>
  <c r="E83" i="67"/>
  <c r="N83" i="67"/>
  <c r="G130" i="67"/>
  <c r="C176" i="67"/>
  <c r="J174" i="67"/>
  <c r="J173" i="67" s="1"/>
  <c r="D187" i="67"/>
  <c r="H187" i="67"/>
  <c r="J204" i="67"/>
  <c r="C215" i="67"/>
  <c r="I246" i="67"/>
  <c r="C271" i="67"/>
  <c r="E270" i="67"/>
  <c r="E269" i="67" s="1"/>
  <c r="C82" i="67"/>
  <c r="C94" i="67"/>
  <c r="C97" i="67"/>
  <c r="O95" i="67"/>
  <c r="C110" i="67"/>
  <c r="C111" i="67"/>
  <c r="C126" i="67"/>
  <c r="C127" i="67"/>
  <c r="I166" i="67"/>
  <c r="I165" i="67" s="1"/>
  <c r="G174" i="67"/>
  <c r="G173" i="67" s="1"/>
  <c r="G52" i="67" s="1"/>
  <c r="G51" i="67" s="1"/>
  <c r="E204" i="67"/>
  <c r="C212" i="67"/>
  <c r="C225" i="67"/>
  <c r="G270" i="67"/>
  <c r="G269" i="67" s="1"/>
  <c r="G289" i="67" s="1"/>
  <c r="D270" i="67"/>
  <c r="D269" i="67" s="1"/>
  <c r="C297" i="67"/>
  <c r="C118" i="67"/>
  <c r="C234" i="67"/>
  <c r="L233" i="67"/>
  <c r="O21" i="67"/>
  <c r="C62" i="67"/>
  <c r="J83" i="67"/>
  <c r="F112" i="67"/>
  <c r="C125" i="67"/>
  <c r="O122" i="67"/>
  <c r="C159" i="67"/>
  <c r="C177" i="67"/>
  <c r="C183" i="67"/>
  <c r="C186" i="67"/>
  <c r="C189" i="67"/>
  <c r="C23" i="67"/>
  <c r="C32" i="67"/>
  <c r="L31" i="67"/>
  <c r="C31" i="67" s="1"/>
  <c r="C34" i="67"/>
  <c r="C74" i="67"/>
  <c r="F77" i="67"/>
  <c r="F76" i="67" s="1"/>
  <c r="C78" i="67"/>
  <c r="C81" i="67"/>
  <c r="F80" i="67"/>
  <c r="O80" i="67"/>
  <c r="O76" i="67" s="1"/>
  <c r="C90" i="67"/>
  <c r="C93" i="67"/>
  <c r="C99" i="67"/>
  <c r="C109" i="67"/>
  <c r="C134" i="67"/>
  <c r="C143" i="67"/>
  <c r="C149" i="67"/>
  <c r="M130" i="67"/>
  <c r="C170" i="67"/>
  <c r="C171" i="67"/>
  <c r="I175" i="67"/>
  <c r="I174" i="67" s="1"/>
  <c r="I173" i="67" s="1"/>
  <c r="C206" i="67"/>
  <c r="I231" i="67"/>
  <c r="E231" i="67"/>
  <c r="L238" i="67"/>
  <c r="C239" i="67"/>
  <c r="L276" i="67"/>
  <c r="L270" i="67" s="1"/>
  <c r="L269" i="67" s="1"/>
  <c r="F293" i="67"/>
  <c r="C294" i="67"/>
  <c r="H292" i="67"/>
  <c r="H291" i="67" s="1"/>
  <c r="H20" i="67"/>
  <c r="C57" i="67"/>
  <c r="O54" i="67"/>
  <c r="C85" i="67"/>
  <c r="O84" i="67"/>
  <c r="C121" i="67"/>
  <c r="C154" i="67"/>
  <c r="C161" i="67"/>
  <c r="C182" i="67"/>
  <c r="F41" i="67"/>
  <c r="C41" i="67" s="1"/>
  <c r="C42" i="67"/>
  <c r="C46" i="67"/>
  <c r="C66" i="67"/>
  <c r="E130" i="67"/>
  <c r="K130" i="67"/>
  <c r="H130" i="67"/>
  <c r="H75" i="67" s="1"/>
  <c r="H289" i="67" s="1"/>
  <c r="C200" i="67"/>
  <c r="C203" i="67"/>
  <c r="C219" i="67"/>
  <c r="C224" i="67"/>
  <c r="F216" i="67"/>
  <c r="C262" i="67"/>
  <c r="F260" i="67"/>
  <c r="F259" i="67" s="1"/>
  <c r="O205" i="67"/>
  <c r="O204" i="67" s="1"/>
  <c r="C220" i="67"/>
  <c r="C243" i="67"/>
  <c r="L252" i="67"/>
  <c r="L251" i="67" s="1"/>
  <c r="C265" i="67"/>
  <c r="K291" i="67"/>
  <c r="L36" i="67"/>
  <c r="C36" i="67" s="1"/>
  <c r="C44" i="67"/>
  <c r="G53" i="67"/>
  <c r="C61" i="67"/>
  <c r="C65" i="67"/>
  <c r="M53" i="67"/>
  <c r="D76" i="67"/>
  <c r="D75" i="67" s="1"/>
  <c r="C79" i="67"/>
  <c r="D83" i="67"/>
  <c r="C91" i="67"/>
  <c r="K83" i="67"/>
  <c r="K75" i="67" s="1"/>
  <c r="C101" i="67"/>
  <c r="C115" i="67"/>
  <c r="N130" i="67"/>
  <c r="C135" i="67"/>
  <c r="C153" i="67"/>
  <c r="O174" i="67"/>
  <c r="O173" i="67" s="1"/>
  <c r="M187" i="67"/>
  <c r="K195" i="67"/>
  <c r="F205" i="67"/>
  <c r="C211" i="67"/>
  <c r="C217" i="67"/>
  <c r="C218" i="67"/>
  <c r="C228" i="67"/>
  <c r="C229" i="67"/>
  <c r="G231" i="67"/>
  <c r="G230" i="67" s="1"/>
  <c r="G194" i="67" s="1"/>
  <c r="C240" i="67"/>
  <c r="F264" i="67"/>
  <c r="C288" i="67"/>
  <c r="C295" i="67"/>
  <c r="L293" i="67"/>
  <c r="I270" i="67"/>
  <c r="I269" i="67" s="1"/>
  <c r="C277" i="67"/>
  <c r="O276" i="67"/>
  <c r="C300" i="67"/>
  <c r="G291" i="67"/>
  <c r="L27" i="67"/>
  <c r="C27" i="67" s="1"/>
  <c r="C43" i="67"/>
  <c r="N54" i="67"/>
  <c r="N53" i="67" s="1"/>
  <c r="C71" i="67"/>
  <c r="L80" i="67"/>
  <c r="C80" i="67" s="1"/>
  <c r="O89" i="67"/>
  <c r="G83" i="67"/>
  <c r="G75" i="67" s="1"/>
  <c r="L95" i="67"/>
  <c r="C107" i="67"/>
  <c r="C113" i="67"/>
  <c r="O112" i="67"/>
  <c r="C119" i="67"/>
  <c r="C123" i="67"/>
  <c r="J130" i="67"/>
  <c r="C133" i="67"/>
  <c r="O131" i="67"/>
  <c r="C150" i="67"/>
  <c r="C157" i="67"/>
  <c r="C164" i="67"/>
  <c r="L166" i="67"/>
  <c r="L165" i="67" s="1"/>
  <c r="K174" i="67"/>
  <c r="K173" i="67" s="1"/>
  <c r="C178" i="67"/>
  <c r="C181" i="67"/>
  <c r="C190" i="67"/>
  <c r="C193" i="67"/>
  <c r="I205" i="67"/>
  <c r="C213" i="67"/>
  <c r="C214" i="67"/>
  <c r="C223" i="67"/>
  <c r="M231" i="67"/>
  <c r="M230" i="67" s="1"/>
  <c r="J231" i="67"/>
  <c r="I238" i="67"/>
  <c r="I252" i="67"/>
  <c r="I251" i="67" s="1"/>
  <c r="C256" i="67"/>
  <c r="C257" i="67"/>
  <c r="J259" i="67"/>
  <c r="C261" i="67"/>
  <c r="I264" i="67"/>
  <c r="I259" i="67" s="1"/>
  <c r="I230" i="67" s="1"/>
  <c r="N270" i="67"/>
  <c r="N269" i="67" s="1"/>
  <c r="O272" i="67"/>
  <c r="O270" i="67" s="1"/>
  <c r="O269" i="67" s="1"/>
  <c r="I286" i="67"/>
  <c r="O293" i="67"/>
  <c r="C299" i="67"/>
  <c r="I292" i="67"/>
  <c r="I291" i="67" s="1"/>
  <c r="C128" i="67"/>
  <c r="C137" i="67"/>
  <c r="L136" i="67"/>
  <c r="C145" i="67"/>
  <c r="L144" i="67"/>
  <c r="C301" i="67"/>
  <c r="J20" i="67"/>
  <c r="M20" i="67"/>
  <c r="M292" i="67"/>
  <c r="M291" i="67" s="1"/>
  <c r="J53" i="67"/>
  <c r="L58" i="67"/>
  <c r="L54" i="67" s="1"/>
  <c r="C64" i="67"/>
  <c r="I67" i="67"/>
  <c r="C68" i="67"/>
  <c r="C72" i="67"/>
  <c r="H83" i="67"/>
  <c r="L89" i="67"/>
  <c r="F89" i="67"/>
  <c r="C100" i="67"/>
  <c r="I103" i="67"/>
  <c r="C104" i="67"/>
  <c r="C120" i="67"/>
  <c r="C124" i="67"/>
  <c r="I122" i="67"/>
  <c r="C129" i="67"/>
  <c r="F131" i="67"/>
  <c r="I131" i="67"/>
  <c r="C132" i="67"/>
  <c r="C162" i="67"/>
  <c r="I160" i="67"/>
  <c r="M174" i="67"/>
  <c r="M173" i="67" s="1"/>
  <c r="I191" i="67"/>
  <c r="I187" i="67" s="1"/>
  <c r="F198" i="67"/>
  <c r="C199" i="67"/>
  <c r="C241" i="67"/>
  <c r="F238" i="67"/>
  <c r="C247" i="67"/>
  <c r="L246" i="67"/>
  <c r="O69" i="67"/>
  <c r="O67" i="67" s="1"/>
  <c r="M83" i="67"/>
  <c r="M75" i="67" s="1"/>
  <c r="L84" i="67"/>
  <c r="C84" i="67" s="1"/>
  <c r="F95" i="67"/>
  <c r="L103" i="67"/>
  <c r="F116" i="67"/>
  <c r="C116" i="67" s="1"/>
  <c r="D174" i="67"/>
  <c r="D173" i="67" s="1"/>
  <c r="D52" i="67" s="1"/>
  <c r="E292" i="67"/>
  <c r="E291" i="67" s="1"/>
  <c r="E20" i="67"/>
  <c r="F58" i="67"/>
  <c r="F54" i="67" s="1"/>
  <c r="N20" i="67"/>
  <c r="F21" i="67"/>
  <c r="C22" i="67"/>
  <c r="C37" i="67"/>
  <c r="I55" i="67"/>
  <c r="I54" i="67" s="1"/>
  <c r="I53" i="67" s="1"/>
  <c r="C56" i="67"/>
  <c r="C60" i="67"/>
  <c r="I58" i="67"/>
  <c r="L69" i="67"/>
  <c r="L67" i="67" s="1"/>
  <c r="F69" i="67"/>
  <c r="L77" i="67"/>
  <c r="C77" i="67"/>
  <c r="C88" i="67"/>
  <c r="C92" i="67"/>
  <c r="I95" i="67"/>
  <c r="I83" i="67" s="1"/>
  <c r="C96" i="67"/>
  <c r="C108" i="67"/>
  <c r="L122" i="67"/>
  <c r="C168" i="67"/>
  <c r="F166" i="67"/>
  <c r="K230" i="67"/>
  <c r="J187" i="67"/>
  <c r="N187" i="67"/>
  <c r="C227" i="67"/>
  <c r="C235" i="67"/>
  <c r="C284" i="67"/>
  <c r="F283" i="67"/>
  <c r="C283" i="67" s="1"/>
  <c r="C139" i="67"/>
  <c r="F136" i="67"/>
  <c r="C147" i="67"/>
  <c r="F144" i="67"/>
  <c r="O151" i="67"/>
  <c r="O130" i="67" s="1"/>
  <c r="L160" i="67"/>
  <c r="F187" i="67"/>
  <c r="K187" i="67"/>
  <c r="O187" i="67"/>
  <c r="L192" i="67"/>
  <c r="L191" i="67" s="1"/>
  <c r="C254" i="67"/>
  <c r="F252" i="67"/>
  <c r="L264" i="67"/>
  <c r="C267" i="67"/>
  <c r="C138" i="67"/>
  <c r="I136" i="67"/>
  <c r="I141" i="67"/>
  <c r="C141" i="67" s="1"/>
  <c r="C142" i="67"/>
  <c r="C146" i="67"/>
  <c r="I144" i="67"/>
  <c r="L151" i="67"/>
  <c r="F151" i="67"/>
  <c r="C158" i="67"/>
  <c r="C163" i="67"/>
  <c r="C167" i="67"/>
  <c r="O166" i="67"/>
  <c r="O165" i="67" s="1"/>
  <c r="H173" i="67"/>
  <c r="L175" i="67"/>
  <c r="C175" i="67" s="1"/>
  <c r="L179" i="67"/>
  <c r="F179" i="67"/>
  <c r="G187" i="67"/>
  <c r="L188" i="67"/>
  <c r="C188" i="67" s="1"/>
  <c r="N195" i="67"/>
  <c r="L196" i="67"/>
  <c r="O198" i="67"/>
  <c r="O196" i="67" s="1"/>
  <c r="L205" i="67"/>
  <c r="C208" i="67"/>
  <c r="D204" i="67"/>
  <c r="D195" i="67" s="1"/>
  <c r="F226" i="67"/>
  <c r="C226" i="67" s="1"/>
  <c r="N230" i="67"/>
  <c r="O238" i="67"/>
  <c r="O231" i="67" s="1"/>
  <c r="E259" i="67"/>
  <c r="O260" i="67"/>
  <c r="O259" i="67" s="1"/>
  <c r="L260" i="67"/>
  <c r="C263" i="67"/>
  <c r="C273" i="67"/>
  <c r="F272" i="67"/>
  <c r="F276" i="67"/>
  <c r="C279" i="67"/>
  <c r="J195" i="67"/>
  <c r="M195" i="67"/>
  <c r="C202" i="67"/>
  <c r="I216" i="67"/>
  <c r="H231" i="67"/>
  <c r="H230" i="67" s="1"/>
  <c r="C280" i="67"/>
  <c r="C296" i="67"/>
  <c r="I196" i="67"/>
  <c r="C197" i="67"/>
  <c r="E195" i="67"/>
  <c r="C201" i="67"/>
  <c r="C209" i="67"/>
  <c r="C210" i="67"/>
  <c r="L216" i="67"/>
  <c r="C216" i="67" s="1"/>
  <c r="C221" i="67"/>
  <c r="C222" i="67"/>
  <c r="C232" i="67"/>
  <c r="D231" i="67"/>
  <c r="D230" i="67" s="1"/>
  <c r="C244" i="67"/>
  <c r="C245" i="67"/>
  <c r="C248" i="67"/>
  <c r="C249" i="67"/>
  <c r="F246" i="67"/>
  <c r="C246" i="67" s="1"/>
  <c r="C253" i="67"/>
  <c r="O252" i="67"/>
  <c r="O251" i="67" s="1"/>
  <c r="C268" i="67"/>
  <c r="J270" i="67"/>
  <c r="J269" i="67" s="1"/>
  <c r="C285" i="67"/>
  <c r="L286" i="67"/>
  <c r="L292" i="67" s="1"/>
  <c r="D289" i="67" l="1"/>
  <c r="C276" i="67"/>
  <c r="N75" i="67"/>
  <c r="N289" i="67" s="1"/>
  <c r="H194" i="67"/>
  <c r="L76" i="67"/>
  <c r="C76" i="67" s="1"/>
  <c r="E75" i="67"/>
  <c r="E52" i="67" s="1"/>
  <c r="C191" i="67"/>
  <c r="L130" i="67"/>
  <c r="O53" i="67"/>
  <c r="C293" i="67"/>
  <c r="C112" i="67"/>
  <c r="L231" i="67"/>
  <c r="C233" i="67"/>
  <c r="M194" i="67"/>
  <c r="C264" i="67"/>
  <c r="O195" i="67"/>
  <c r="C95" i="67"/>
  <c r="C192" i="67"/>
  <c r="O83" i="67"/>
  <c r="O75" i="67" s="1"/>
  <c r="J75" i="67"/>
  <c r="J52" i="67" s="1"/>
  <c r="J51" i="67" s="1"/>
  <c r="E230" i="67"/>
  <c r="E289" i="67" s="1"/>
  <c r="C151" i="67"/>
  <c r="K52" i="67"/>
  <c r="C144" i="67"/>
  <c r="L26" i="67"/>
  <c r="L20" i="67" s="1"/>
  <c r="C122" i="67"/>
  <c r="C103" i="67"/>
  <c r="L291" i="67"/>
  <c r="M52" i="67"/>
  <c r="M51" i="67" s="1"/>
  <c r="M290" i="67" s="1"/>
  <c r="I204" i="67"/>
  <c r="I195" i="67" s="1"/>
  <c r="I194" i="67" s="1"/>
  <c r="L259" i="67"/>
  <c r="C259" i="67" s="1"/>
  <c r="O230" i="67"/>
  <c r="N194" i="67"/>
  <c r="K194" i="67"/>
  <c r="J230" i="67"/>
  <c r="O292" i="67"/>
  <c r="O291" i="67" s="1"/>
  <c r="O20" i="67"/>
  <c r="F130" i="67"/>
  <c r="C131" i="67"/>
  <c r="C89" i="67"/>
  <c r="F83" i="67"/>
  <c r="K289" i="67"/>
  <c r="J194" i="67"/>
  <c r="L204" i="67"/>
  <c r="L195" i="67" s="1"/>
  <c r="L187" i="67"/>
  <c r="C187" i="67" s="1"/>
  <c r="C166" i="67"/>
  <c r="F165" i="67"/>
  <c r="C165" i="67" s="1"/>
  <c r="C69" i="67"/>
  <c r="F67" i="67"/>
  <c r="C67" i="67" s="1"/>
  <c r="C58" i="67"/>
  <c r="L83" i="67"/>
  <c r="L75" i="67" s="1"/>
  <c r="F270" i="67"/>
  <c r="C272" i="67"/>
  <c r="G50" i="67"/>
  <c r="G24" i="67"/>
  <c r="M289" i="67"/>
  <c r="L174" i="67"/>
  <c r="L173" i="67" s="1"/>
  <c r="C286" i="67"/>
  <c r="C252" i="67"/>
  <c r="F251" i="67"/>
  <c r="C251" i="67" s="1"/>
  <c r="C136" i="67"/>
  <c r="C54" i="67"/>
  <c r="H52" i="67"/>
  <c r="F204" i="67"/>
  <c r="C260" i="67"/>
  <c r="E194" i="67"/>
  <c r="E51" i="67" s="1"/>
  <c r="D194" i="67"/>
  <c r="D51" i="67" s="1"/>
  <c r="C179" i="67"/>
  <c r="F174" i="67"/>
  <c r="C55" i="67"/>
  <c r="C21" i="67"/>
  <c r="F292" i="67"/>
  <c r="C238" i="67"/>
  <c r="F231" i="67"/>
  <c r="C198" i="67"/>
  <c r="F196" i="67"/>
  <c r="C160" i="67"/>
  <c r="I130" i="67"/>
  <c r="I75" i="67" s="1"/>
  <c r="I52" i="67" s="1"/>
  <c r="L53" i="67"/>
  <c r="C205" i="67"/>
  <c r="N52" i="67" l="1"/>
  <c r="N51" i="67" s="1"/>
  <c r="C26" i="67"/>
  <c r="H51" i="67"/>
  <c r="H50" i="67" s="1"/>
  <c r="M50" i="67"/>
  <c r="J289" i="67"/>
  <c r="K51" i="67"/>
  <c r="K50" i="67" s="1"/>
  <c r="O194" i="67"/>
  <c r="O52" i="67"/>
  <c r="O51" i="67" s="1"/>
  <c r="O289" i="67"/>
  <c r="I51" i="67"/>
  <c r="I50" i="67" s="1"/>
  <c r="L230" i="67"/>
  <c r="L289" i="67" s="1"/>
  <c r="C204" i="67"/>
  <c r="D24" i="67"/>
  <c r="D50" i="67"/>
  <c r="E290" i="67"/>
  <c r="E50" i="67"/>
  <c r="F53" i="67"/>
  <c r="F269" i="67"/>
  <c r="C270" i="67"/>
  <c r="C83" i="67"/>
  <c r="F75" i="67"/>
  <c r="C75" i="67" s="1"/>
  <c r="I289" i="67"/>
  <c r="F230" i="67"/>
  <c r="C231" i="67"/>
  <c r="C174" i="67"/>
  <c r="F173" i="67"/>
  <c r="C173" i="67" s="1"/>
  <c r="G20" i="67"/>
  <c r="I24" i="67"/>
  <c r="I20" i="67" s="1"/>
  <c r="F195" i="67"/>
  <c r="C196" i="67"/>
  <c r="G290" i="67"/>
  <c r="C130" i="67"/>
  <c r="L52" i="67"/>
  <c r="C292" i="67"/>
  <c r="F291" i="67"/>
  <c r="C291" i="67" s="1"/>
  <c r="H290" i="67"/>
  <c r="J50" i="67"/>
  <c r="J290" i="67"/>
  <c r="O50" i="67" l="1"/>
  <c r="O290" i="67"/>
  <c r="C230" i="67"/>
  <c r="L194" i="67"/>
  <c r="L51" i="67" s="1"/>
  <c r="K290" i="67"/>
  <c r="N290" i="67"/>
  <c r="N50" i="67"/>
  <c r="C195" i="67"/>
  <c r="F194" i="67"/>
  <c r="C194" i="67" s="1"/>
  <c r="C53" i="67"/>
  <c r="F52" i="67"/>
  <c r="F24" i="67"/>
  <c r="D20" i="67"/>
  <c r="D290" i="67"/>
  <c r="I290" i="67"/>
  <c r="C269" i="67"/>
  <c r="F289" i="67"/>
  <c r="C289" i="67" s="1"/>
  <c r="L50" i="67" l="1"/>
  <c r="L290" i="67"/>
  <c r="C24" i="67"/>
  <c r="F20" i="67"/>
  <c r="C20" i="67" s="1"/>
  <c r="C52" i="67"/>
  <c r="F51" i="67"/>
  <c r="F290" i="67" l="1"/>
  <c r="C290" i="67" s="1"/>
  <c r="F50" i="67"/>
  <c r="C50" i="67" s="1"/>
  <c r="C51" i="67"/>
  <c r="K90" i="30" l="1"/>
  <c r="K78" i="30"/>
  <c r="K23" i="30"/>
  <c r="O301" i="66" l="1"/>
  <c r="L301" i="66"/>
  <c r="I301" i="66"/>
  <c r="F301" i="66"/>
  <c r="C301" i="66" s="1"/>
  <c r="O300" i="66"/>
  <c r="L300" i="66"/>
  <c r="I300" i="66"/>
  <c r="F300" i="66"/>
  <c r="O299" i="66"/>
  <c r="L299" i="66"/>
  <c r="I299" i="66"/>
  <c r="F299" i="66"/>
  <c r="O298" i="66"/>
  <c r="L298" i="66"/>
  <c r="I298" i="66"/>
  <c r="F298" i="66"/>
  <c r="O297" i="66"/>
  <c r="L297" i="66"/>
  <c r="I297" i="66"/>
  <c r="F297" i="66"/>
  <c r="C297" i="66" s="1"/>
  <c r="O296" i="66"/>
  <c r="L296" i="66"/>
  <c r="I296" i="66"/>
  <c r="F296" i="66"/>
  <c r="O295" i="66"/>
  <c r="L295" i="66"/>
  <c r="I295" i="66"/>
  <c r="F295" i="66"/>
  <c r="O294" i="66"/>
  <c r="L294" i="66"/>
  <c r="L293" i="66" s="1"/>
  <c r="I294" i="66"/>
  <c r="F294" i="66"/>
  <c r="O293" i="66"/>
  <c r="N293" i="66"/>
  <c r="M293" i="66"/>
  <c r="K293" i="66"/>
  <c r="J293" i="66"/>
  <c r="H293" i="66"/>
  <c r="G293" i="66"/>
  <c r="E293" i="66"/>
  <c r="D293" i="66"/>
  <c r="O288" i="66"/>
  <c r="L288" i="66"/>
  <c r="I288" i="66"/>
  <c r="F288" i="66"/>
  <c r="O287" i="66"/>
  <c r="L287" i="66"/>
  <c r="L286" i="66" s="1"/>
  <c r="I287" i="66"/>
  <c r="I286" i="66" s="1"/>
  <c r="F287" i="66"/>
  <c r="O286" i="66"/>
  <c r="N286" i="66"/>
  <c r="M286" i="66"/>
  <c r="K286" i="66"/>
  <c r="J286" i="66"/>
  <c r="H286" i="66"/>
  <c r="G286" i="66"/>
  <c r="E286" i="66"/>
  <c r="D286" i="66"/>
  <c r="O285" i="66"/>
  <c r="O284" i="66" s="1"/>
  <c r="O283" i="66" s="1"/>
  <c r="L285" i="66"/>
  <c r="L284" i="66" s="1"/>
  <c r="I285" i="66"/>
  <c r="F285" i="66"/>
  <c r="N284" i="66"/>
  <c r="N283" i="66" s="1"/>
  <c r="M284" i="66"/>
  <c r="M283" i="66" s="1"/>
  <c r="K284" i="66"/>
  <c r="J284" i="66"/>
  <c r="J283" i="66" s="1"/>
  <c r="I284" i="66"/>
  <c r="I283" i="66" s="1"/>
  <c r="H284" i="66"/>
  <c r="H283" i="66" s="1"/>
  <c r="G284" i="66"/>
  <c r="G283" i="66" s="1"/>
  <c r="F284" i="66"/>
  <c r="E284" i="66"/>
  <c r="E283" i="66" s="1"/>
  <c r="D284" i="66"/>
  <c r="D283" i="66" s="1"/>
  <c r="K283" i="66"/>
  <c r="F283" i="66"/>
  <c r="O282" i="66"/>
  <c r="O281" i="66" s="1"/>
  <c r="L282" i="66"/>
  <c r="L281" i="66" s="1"/>
  <c r="I282" i="66"/>
  <c r="I281" i="66" s="1"/>
  <c r="F282" i="66"/>
  <c r="F281" i="66" s="1"/>
  <c r="N281" i="66"/>
  <c r="M281" i="66"/>
  <c r="K281" i="66"/>
  <c r="J281" i="66"/>
  <c r="H281" i="66"/>
  <c r="G281" i="66"/>
  <c r="E281" i="66"/>
  <c r="D281" i="66"/>
  <c r="O280" i="66"/>
  <c r="L280" i="66"/>
  <c r="I280" i="66"/>
  <c r="F280" i="66"/>
  <c r="O279" i="66"/>
  <c r="L279" i="66"/>
  <c r="I279" i="66"/>
  <c r="F279" i="66"/>
  <c r="O278" i="66"/>
  <c r="L278" i="66"/>
  <c r="I278" i="66"/>
  <c r="F278" i="66"/>
  <c r="O277" i="66"/>
  <c r="O276" i="66" s="1"/>
  <c r="L277" i="66"/>
  <c r="I277" i="66"/>
  <c r="F277" i="66"/>
  <c r="N276" i="66"/>
  <c r="M276" i="66"/>
  <c r="K276" i="66"/>
  <c r="J276" i="66"/>
  <c r="H276" i="66"/>
  <c r="G276" i="66"/>
  <c r="E276" i="66"/>
  <c r="D276" i="66"/>
  <c r="O275" i="66"/>
  <c r="L275" i="66"/>
  <c r="I275" i="66"/>
  <c r="F275" i="66"/>
  <c r="O274" i="66"/>
  <c r="L274" i="66"/>
  <c r="I274" i="66"/>
  <c r="F274" i="66"/>
  <c r="O273" i="66"/>
  <c r="O272" i="66" s="1"/>
  <c r="L273" i="66"/>
  <c r="I273" i="66"/>
  <c r="F273" i="66"/>
  <c r="N272" i="66"/>
  <c r="M272" i="66"/>
  <c r="M270" i="66" s="1"/>
  <c r="M269" i="66" s="1"/>
  <c r="K272" i="66"/>
  <c r="K270" i="66" s="1"/>
  <c r="J272" i="66"/>
  <c r="J270" i="66" s="1"/>
  <c r="J269" i="66" s="1"/>
  <c r="I272" i="66"/>
  <c r="H272" i="66"/>
  <c r="G272" i="66"/>
  <c r="E272" i="66"/>
  <c r="D272" i="66"/>
  <c r="O271" i="66"/>
  <c r="L271" i="66"/>
  <c r="I271" i="66"/>
  <c r="F271" i="66"/>
  <c r="O268" i="66"/>
  <c r="L268" i="66"/>
  <c r="I268" i="66"/>
  <c r="F268" i="66"/>
  <c r="O267" i="66"/>
  <c r="L267" i="66"/>
  <c r="I267" i="66"/>
  <c r="F267" i="66"/>
  <c r="O266" i="66"/>
  <c r="L266" i="66"/>
  <c r="I266" i="66"/>
  <c r="F266" i="66"/>
  <c r="O265" i="66"/>
  <c r="O264" i="66" s="1"/>
  <c r="L265" i="66"/>
  <c r="L264" i="66" s="1"/>
  <c r="I265" i="66"/>
  <c r="F265" i="66"/>
  <c r="N264" i="66"/>
  <c r="M264" i="66"/>
  <c r="K264" i="66"/>
  <c r="J264" i="66"/>
  <c r="H264" i="66"/>
  <c r="G264" i="66"/>
  <c r="E264" i="66"/>
  <c r="D264" i="66"/>
  <c r="O263" i="66"/>
  <c r="L263" i="66"/>
  <c r="I263" i="66"/>
  <c r="F263" i="66"/>
  <c r="O262" i="66"/>
  <c r="L262" i="66"/>
  <c r="I262" i="66"/>
  <c r="F262" i="66"/>
  <c r="O261" i="66"/>
  <c r="O260" i="66" s="1"/>
  <c r="O259" i="66" s="1"/>
  <c r="L261" i="66"/>
  <c r="I261" i="66"/>
  <c r="F261" i="66"/>
  <c r="N260" i="66"/>
  <c r="N259" i="66" s="1"/>
  <c r="M260" i="66"/>
  <c r="K260" i="66"/>
  <c r="K259" i="66" s="1"/>
  <c r="J260" i="66"/>
  <c r="J259" i="66" s="1"/>
  <c r="H260" i="66"/>
  <c r="G260" i="66"/>
  <c r="E260" i="66"/>
  <c r="D260" i="66"/>
  <c r="O258" i="66"/>
  <c r="L258" i="66"/>
  <c r="I258" i="66"/>
  <c r="F258" i="66"/>
  <c r="O257" i="66"/>
  <c r="L257" i="66"/>
  <c r="I257" i="66"/>
  <c r="F257" i="66"/>
  <c r="O256" i="66"/>
  <c r="L256" i="66"/>
  <c r="I256" i="66"/>
  <c r="F256" i="66"/>
  <c r="O255" i="66"/>
  <c r="L255" i="66"/>
  <c r="I255" i="66"/>
  <c r="F255" i="66"/>
  <c r="O254" i="66"/>
  <c r="L254" i="66"/>
  <c r="I254" i="66"/>
  <c r="F254" i="66"/>
  <c r="O253" i="66"/>
  <c r="O252" i="66" s="1"/>
  <c r="L253" i="66"/>
  <c r="I253" i="66"/>
  <c r="F253" i="66"/>
  <c r="N252" i="66"/>
  <c r="M252" i="66"/>
  <c r="K252" i="66"/>
  <c r="J252" i="66"/>
  <c r="H252" i="66"/>
  <c r="H251" i="66" s="1"/>
  <c r="G252" i="66"/>
  <c r="G251" i="66" s="1"/>
  <c r="E252" i="66"/>
  <c r="E251" i="66" s="1"/>
  <c r="D252" i="66"/>
  <c r="D251" i="66" s="1"/>
  <c r="N251" i="66"/>
  <c r="M251" i="66"/>
  <c r="K251" i="66"/>
  <c r="J251" i="66"/>
  <c r="O250" i="66"/>
  <c r="L250" i="66"/>
  <c r="I250" i="66"/>
  <c r="F250" i="66"/>
  <c r="O249" i="66"/>
  <c r="L249" i="66"/>
  <c r="I249" i="66"/>
  <c r="F249" i="66"/>
  <c r="O248" i="66"/>
  <c r="L248" i="66"/>
  <c r="I248" i="66"/>
  <c r="F248" i="66"/>
  <c r="O247" i="66"/>
  <c r="L247" i="66"/>
  <c r="I247" i="66"/>
  <c r="I246" i="66" s="1"/>
  <c r="F247" i="66"/>
  <c r="N246" i="66"/>
  <c r="M246" i="66"/>
  <c r="K246" i="66"/>
  <c r="J246" i="66"/>
  <c r="H246" i="66"/>
  <c r="G246" i="66"/>
  <c r="E246" i="66"/>
  <c r="D246" i="66"/>
  <c r="O245" i="66"/>
  <c r="L245" i="66"/>
  <c r="I245" i="66"/>
  <c r="F245" i="66"/>
  <c r="O244" i="66"/>
  <c r="L244" i="66"/>
  <c r="I244" i="66"/>
  <c r="F244" i="66"/>
  <c r="O243" i="66"/>
  <c r="L243" i="66"/>
  <c r="I243" i="66"/>
  <c r="F243" i="66"/>
  <c r="O242" i="66"/>
  <c r="L242" i="66"/>
  <c r="I242" i="66"/>
  <c r="F242" i="66"/>
  <c r="O241" i="66"/>
  <c r="L241" i="66"/>
  <c r="I241" i="66"/>
  <c r="F241" i="66"/>
  <c r="O240" i="66"/>
  <c r="L240" i="66"/>
  <c r="I240" i="66"/>
  <c r="F240" i="66"/>
  <c r="O239" i="66"/>
  <c r="L239" i="66"/>
  <c r="I239" i="66"/>
  <c r="F239" i="66"/>
  <c r="F238" i="66" s="1"/>
  <c r="N238" i="66"/>
  <c r="M238" i="66"/>
  <c r="K238" i="66"/>
  <c r="J238" i="66"/>
  <c r="H238" i="66"/>
  <c r="G238" i="66"/>
  <c r="E238" i="66"/>
  <c r="D238" i="66"/>
  <c r="O237" i="66"/>
  <c r="L237" i="66"/>
  <c r="I237" i="66"/>
  <c r="F237" i="66"/>
  <c r="O236" i="66"/>
  <c r="L236" i="66"/>
  <c r="L235" i="66" s="1"/>
  <c r="I236" i="66"/>
  <c r="I235" i="66" s="1"/>
  <c r="F236" i="66"/>
  <c r="N235" i="66"/>
  <c r="M235" i="66"/>
  <c r="K235" i="66"/>
  <c r="J235" i="66"/>
  <c r="H235" i="66"/>
  <c r="G235" i="66"/>
  <c r="E235" i="66"/>
  <c r="D235" i="66"/>
  <c r="O234" i="66"/>
  <c r="O233" i="66" s="1"/>
  <c r="L234" i="66"/>
  <c r="I234" i="66"/>
  <c r="I233" i="66" s="1"/>
  <c r="F234" i="66"/>
  <c r="F233" i="66" s="1"/>
  <c r="N233" i="66"/>
  <c r="M233" i="66"/>
  <c r="K233" i="66"/>
  <c r="J233" i="66"/>
  <c r="H233" i="66"/>
  <c r="G233" i="66"/>
  <c r="E233" i="66"/>
  <c r="D233" i="66"/>
  <c r="O232" i="66"/>
  <c r="L232" i="66"/>
  <c r="I232" i="66"/>
  <c r="F232" i="66"/>
  <c r="O229" i="66"/>
  <c r="L229" i="66"/>
  <c r="I229" i="66"/>
  <c r="F229" i="66"/>
  <c r="O228" i="66"/>
  <c r="L228" i="66"/>
  <c r="L227" i="66" s="1"/>
  <c r="I228" i="66"/>
  <c r="I227" i="66" s="1"/>
  <c r="F228" i="66"/>
  <c r="O227" i="66"/>
  <c r="N227" i="66"/>
  <c r="M227" i="66"/>
  <c r="K227" i="66"/>
  <c r="J227" i="66"/>
  <c r="H227" i="66"/>
  <c r="G227" i="66"/>
  <c r="E227" i="66"/>
  <c r="D227" i="66"/>
  <c r="O226" i="66"/>
  <c r="L226" i="66"/>
  <c r="I226" i="66"/>
  <c r="F226" i="66"/>
  <c r="O225" i="66"/>
  <c r="L225" i="66"/>
  <c r="I225" i="66"/>
  <c r="F225" i="66"/>
  <c r="O224" i="66"/>
  <c r="L224" i="66"/>
  <c r="I224" i="66"/>
  <c r="F224" i="66"/>
  <c r="O223" i="66"/>
  <c r="L223" i="66"/>
  <c r="I223" i="66"/>
  <c r="F223" i="66"/>
  <c r="O222" i="66"/>
  <c r="L222" i="66"/>
  <c r="I222" i="66"/>
  <c r="F222" i="66"/>
  <c r="O221" i="66"/>
  <c r="L221" i="66"/>
  <c r="I221" i="66"/>
  <c r="F221" i="66"/>
  <c r="O220" i="66"/>
  <c r="L220" i="66"/>
  <c r="I220" i="66"/>
  <c r="F220" i="66"/>
  <c r="O219" i="66"/>
  <c r="L219" i="66"/>
  <c r="I219" i="66"/>
  <c r="F219" i="66"/>
  <c r="O218" i="66"/>
  <c r="L218" i="66"/>
  <c r="I218" i="66"/>
  <c r="F218" i="66"/>
  <c r="O217" i="66"/>
  <c r="L217" i="66"/>
  <c r="I217" i="66"/>
  <c r="F217" i="66"/>
  <c r="N216" i="66"/>
  <c r="M216" i="66"/>
  <c r="K216" i="66"/>
  <c r="J216" i="66"/>
  <c r="H216" i="66"/>
  <c r="G216" i="66"/>
  <c r="E216" i="66"/>
  <c r="D216" i="66"/>
  <c r="O215" i="66"/>
  <c r="L215" i="66"/>
  <c r="I215" i="66"/>
  <c r="F215" i="66"/>
  <c r="O214" i="66"/>
  <c r="L214" i="66"/>
  <c r="I214" i="66"/>
  <c r="F214" i="66"/>
  <c r="O213" i="66"/>
  <c r="L213" i="66"/>
  <c r="I213" i="66"/>
  <c r="F213" i="66"/>
  <c r="O212" i="66"/>
  <c r="L212" i="66"/>
  <c r="I212" i="66"/>
  <c r="F212" i="66"/>
  <c r="O211" i="66"/>
  <c r="L211" i="66"/>
  <c r="I211" i="66"/>
  <c r="F211" i="66"/>
  <c r="O210" i="66"/>
  <c r="L210" i="66"/>
  <c r="I210" i="66"/>
  <c r="F210" i="66"/>
  <c r="O209" i="66"/>
  <c r="L209" i="66"/>
  <c r="I209" i="66"/>
  <c r="F209" i="66"/>
  <c r="O208" i="66"/>
  <c r="L208" i="66"/>
  <c r="I208" i="66"/>
  <c r="F208" i="66"/>
  <c r="O207" i="66"/>
  <c r="L207" i="66"/>
  <c r="I207" i="66"/>
  <c r="F207" i="66"/>
  <c r="O206" i="66"/>
  <c r="L206" i="66"/>
  <c r="I206" i="66"/>
  <c r="F206" i="66"/>
  <c r="N205" i="66"/>
  <c r="M205" i="66"/>
  <c r="K205" i="66"/>
  <c r="K204" i="66" s="1"/>
  <c r="J205" i="66"/>
  <c r="J204" i="66" s="1"/>
  <c r="H205" i="66"/>
  <c r="G205" i="66"/>
  <c r="G204" i="66" s="1"/>
  <c r="E205" i="66"/>
  <c r="D205" i="66"/>
  <c r="O203" i="66"/>
  <c r="L203" i="66"/>
  <c r="I203" i="66"/>
  <c r="F203" i="66"/>
  <c r="O202" i="66"/>
  <c r="L202" i="66"/>
  <c r="I202" i="66"/>
  <c r="F202" i="66"/>
  <c r="O201" i="66"/>
  <c r="L201" i="66"/>
  <c r="I201" i="66"/>
  <c r="F201" i="66"/>
  <c r="O200" i="66"/>
  <c r="L200" i="66"/>
  <c r="I200" i="66"/>
  <c r="F200" i="66"/>
  <c r="O199" i="66"/>
  <c r="O198" i="66" s="1"/>
  <c r="L199" i="66"/>
  <c r="L198" i="66" s="1"/>
  <c r="I199" i="66"/>
  <c r="I198" i="66" s="1"/>
  <c r="F199" i="66"/>
  <c r="N198" i="66"/>
  <c r="N196" i="66" s="1"/>
  <c r="M198" i="66"/>
  <c r="M196" i="66" s="1"/>
  <c r="K198" i="66"/>
  <c r="K196" i="66" s="1"/>
  <c r="J198" i="66"/>
  <c r="J196" i="66" s="1"/>
  <c r="H198" i="66"/>
  <c r="H196" i="66" s="1"/>
  <c r="G198" i="66"/>
  <c r="G196" i="66" s="1"/>
  <c r="E198" i="66"/>
  <c r="E196" i="66" s="1"/>
  <c r="D198" i="66"/>
  <c r="D196" i="66" s="1"/>
  <c r="O197" i="66"/>
  <c r="L197" i="66"/>
  <c r="I197" i="66"/>
  <c r="F197" i="66"/>
  <c r="O193" i="66"/>
  <c r="O192" i="66" s="1"/>
  <c r="O191" i="66" s="1"/>
  <c r="L193" i="66"/>
  <c r="L192" i="66" s="1"/>
  <c r="L191" i="66" s="1"/>
  <c r="I193" i="66"/>
  <c r="I192" i="66" s="1"/>
  <c r="I191" i="66" s="1"/>
  <c r="F193" i="66"/>
  <c r="N192" i="66"/>
  <c r="M192" i="66"/>
  <c r="M191" i="66" s="1"/>
  <c r="K192" i="66"/>
  <c r="K191" i="66" s="1"/>
  <c r="J192" i="66"/>
  <c r="J191" i="66" s="1"/>
  <c r="H192" i="66"/>
  <c r="H191" i="66" s="1"/>
  <c r="G192" i="66"/>
  <c r="G191" i="66" s="1"/>
  <c r="E192" i="66"/>
  <c r="E191" i="66" s="1"/>
  <c r="D192" i="66"/>
  <c r="D191" i="66" s="1"/>
  <c r="N191" i="66"/>
  <c r="O190" i="66"/>
  <c r="L190" i="66"/>
  <c r="I190" i="66"/>
  <c r="F190" i="66"/>
  <c r="O189" i="66"/>
  <c r="O188" i="66" s="1"/>
  <c r="L189" i="66"/>
  <c r="I189" i="66"/>
  <c r="I188" i="66" s="1"/>
  <c r="F189" i="66"/>
  <c r="N188" i="66"/>
  <c r="M188" i="66"/>
  <c r="K188" i="66"/>
  <c r="J188" i="66"/>
  <c r="H188" i="66"/>
  <c r="G188" i="66"/>
  <c r="E188" i="66"/>
  <c r="D188" i="66"/>
  <c r="O186" i="66"/>
  <c r="L186" i="66"/>
  <c r="I186" i="66"/>
  <c r="F186" i="66"/>
  <c r="O185" i="66"/>
  <c r="L185" i="66"/>
  <c r="L184" i="66" s="1"/>
  <c r="I185" i="66"/>
  <c r="I184" i="66" s="1"/>
  <c r="F185" i="66"/>
  <c r="N184" i="66"/>
  <c r="M184" i="66"/>
  <c r="K184" i="66"/>
  <c r="J184" i="66"/>
  <c r="H184" i="66"/>
  <c r="G184" i="66"/>
  <c r="E184" i="66"/>
  <c r="D184" i="66"/>
  <c r="O183" i="66"/>
  <c r="L183" i="66"/>
  <c r="I183" i="66"/>
  <c r="F183" i="66"/>
  <c r="O182" i="66"/>
  <c r="L182" i="66"/>
  <c r="I182" i="66"/>
  <c r="F182" i="66"/>
  <c r="O181" i="66"/>
  <c r="L181" i="66"/>
  <c r="I181" i="66"/>
  <c r="F181" i="66"/>
  <c r="O180" i="66"/>
  <c r="L180" i="66"/>
  <c r="I180" i="66"/>
  <c r="F180" i="66"/>
  <c r="F179" i="66" s="1"/>
  <c r="N179" i="66"/>
  <c r="M179" i="66"/>
  <c r="K179" i="66"/>
  <c r="J179" i="66"/>
  <c r="H179" i="66"/>
  <c r="G179" i="66"/>
  <c r="E179" i="66"/>
  <c r="D179" i="66"/>
  <c r="O178" i="66"/>
  <c r="L178" i="66"/>
  <c r="I178" i="66"/>
  <c r="F178" i="66"/>
  <c r="O177" i="66"/>
  <c r="L177" i="66"/>
  <c r="I177" i="66"/>
  <c r="F177" i="66"/>
  <c r="O176" i="66"/>
  <c r="L176" i="66"/>
  <c r="L175" i="66" s="1"/>
  <c r="I176" i="66"/>
  <c r="I175" i="66" s="1"/>
  <c r="F176" i="66"/>
  <c r="N175" i="66"/>
  <c r="M175" i="66"/>
  <c r="K175" i="66"/>
  <c r="K174" i="66" s="1"/>
  <c r="J175" i="66"/>
  <c r="H175" i="66"/>
  <c r="G175" i="66"/>
  <c r="E175" i="66"/>
  <c r="E174" i="66" s="1"/>
  <c r="E173" i="66" s="1"/>
  <c r="D175" i="66"/>
  <c r="D174" i="66" s="1"/>
  <c r="O172" i="66"/>
  <c r="L172" i="66"/>
  <c r="I172" i="66"/>
  <c r="F172" i="66"/>
  <c r="O171" i="66"/>
  <c r="L171" i="66"/>
  <c r="I171" i="66"/>
  <c r="F171" i="66"/>
  <c r="O170" i="66"/>
  <c r="L170" i="66"/>
  <c r="I170" i="66"/>
  <c r="F170" i="66"/>
  <c r="O169" i="66"/>
  <c r="L169" i="66"/>
  <c r="I169" i="66"/>
  <c r="F169" i="66"/>
  <c r="O168" i="66"/>
  <c r="L168" i="66"/>
  <c r="I168" i="66"/>
  <c r="F168" i="66"/>
  <c r="O167" i="66"/>
  <c r="L167" i="66"/>
  <c r="I167" i="66"/>
  <c r="I166" i="66" s="1"/>
  <c r="I165" i="66" s="1"/>
  <c r="F167" i="66"/>
  <c r="N166" i="66"/>
  <c r="N165" i="66" s="1"/>
  <c r="M166" i="66"/>
  <c r="M165" i="66" s="1"/>
  <c r="K166" i="66"/>
  <c r="K165" i="66" s="1"/>
  <c r="J166" i="66"/>
  <c r="J165" i="66" s="1"/>
  <c r="H166" i="66"/>
  <c r="H165" i="66" s="1"/>
  <c r="G166" i="66"/>
  <c r="G165" i="66" s="1"/>
  <c r="E166" i="66"/>
  <c r="E165" i="66" s="1"/>
  <c r="D166" i="66"/>
  <c r="D165" i="66" s="1"/>
  <c r="O164" i="66"/>
  <c r="L164" i="66"/>
  <c r="I164" i="66"/>
  <c r="F164" i="66"/>
  <c r="O163" i="66"/>
  <c r="L163" i="66"/>
  <c r="I163" i="66"/>
  <c r="F163" i="66"/>
  <c r="O162" i="66"/>
  <c r="L162" i="66"/>
  <c r="I162" i="66"/>
  <c r="F162" i="66"/>
  <c r="O161" i="66"/>
  <c r="L161" i="66"/>
  <c r="L160" i="66" s="1"/>
  <c r="I161" i="66"/>
  <c r="I160" i="66" s="1"/>
  <c r="F161" i="66"/>
  <c r="N160" i="66"/>
  <c r="M160" i="66"/>
  <c r="K160" i="66"/>
  <c r="J160" i="66"/>
  <c r="H160" i="66"/>
  <c r="G160" i="66"/>
  <c r="E160" i="66"/>
  <c r="D160" i="66"/>
  <c r="O159" i="66"/>
  <c r="L159" i="66"/>
  <c r="I159" i="66"/>
  <c r="F159" i="66"/>
  <c r="O158" i="66"/>
  <c r="L158" i="66"/>
  <c r="I158" i="66"/>
  <c r="F158" i="66"/>
  <c r="O157" i="66"/>
  <c r="L157" i="66"/>
  <c r="I157" i="66"/>
  <c r="F157" i="66"/>
  <c r="O156" i="66"/>
  <c r="L156" i="66"/>
  <c r="I156" i="66"/>
  <c r="F156" i="66"/>
  <c r="O155" i="66"/>
  <c r="L155" i="66"/>
  <c r="I155" i="66"/>
  <c r="F155" i="66"/>
  <c r="O154" i="66"/>
  <c r="L154" i="66"/>
  <c r="I154" i="66"/>
  <c r="F154" i="66"/>
  <c r="O153" i="66"/>
  <c r="L153" i="66"/>
  <c r="I153" i="66"/>
  <c r="F153" i="66"/>
  <c r="O152" i="66"/>
  <c r="L152" i="66"/>
  <c r="I152" i="66"/>
  <c r="F152" i="66"/>
  <c r="N151" i="66"/>
  <c r="M151" i="66"/>
  <c r="K151" i="66"/>
  <c r="J151" i="66"/>
  <c r="H151" i="66"/>
  <c r="G151" i="66"/>
  <c r="E151" i="66"/>
  <c r="D151" i="66"/>
  <c r="O150" i="66"/>
  <c r="L150" i="66"/>
  <c r="I150" i="66"/>
  <c r="F150" i="66"/>
  <c r="O149" i="66"/>
  <c r="L149" i="66"/>
  <c r="I149" i="66"/>
  <c r="F149" i="66"/>
  <c r="O148" i="66"/>
  <c r="L148" i="66"/>
  <c r="I148" i="66"/>
  <c r="F148" i="66"/>
  <c r="O147" i="66"/>
  <c r="L147" i="66"/>
  <c r="I147" i="66"/>
  <c r="F147" i="66"/>
  <c r="O146" i="66"/>
  <c r="L146" i="66"/>
  <c r="I146" i="66"/>
  <c r="F146" i="66"/>
  <c r="O145" i="66"/>
  <c r="L145" i="66"/>
  <c r="I145" i="66"/>
  <c r="F145" i="66"/>
  <c r="N144" i="66"/>
  <c r="M144" i="66"/>
  <c r="K144" i="66"/>
  <c r="J144" i="66"/>
  <c r="H144" i="66"/>
  <c r="G144" i="66"/>
  <c r="E144" i="66"/>
  <c r="D144" i="66"/>
  <c r="O143" i="66"/>
  <c r="L143" i="66"/>
  <c r="I143" i="66"/>
  <c r="F143" i="66"/>
  <c r="O142" i="66"/>
  <c r="O141" i="66" s="1"/>
  <c r="L142" i="66"/>
  <c r="L141" i="66" s="1"/>
  <c r="I142" i="66"/>
  <c r="I141" i="66" s="1"/>
  <c r="F142" i="66"/>
  <c r="F141" i="66" s="1"/>
  <c r="N141" i="66"/>
  <c r="M141" i="66"/>
  <c r="K141" i="66"/>
  <c r="J141" i="66"/>
  <c r="H141" i="66"/>
  <c r="G141" i="66"/>
  <c r="E141" i="66"/>
  <c r="D141" i="66"/>
  <c r="O140" i="66"/>
  <c r="L140" i="66"/>
  <c r="I140" i="66"/>
  <c r="F140" i="66"/>
  <c r="O139" i="66"/>
  <c r="L139" i="66"/>
  <c r="I139" i="66"/>
  <c r="F139" i="66"/>
  <c r="O138" i="66"/>
  <c r="L138" i="66"/>
  <c r="I138" i="66"/>
  <c r="F138" i="66"/>
  <c r="O137" i="66"/>
  <c r="L137" i="66"/>
  <c r="I137" i="66"/>
  <c r="I136" i="66" s="1"/>
  <c r="F137" i="66"/>
  <c r="N136" i="66"/>
  <c r="M136" i="66"/>
  <c r="K136" i="66"/>
  <c r="J136" i="66"/>
  <c r="H136" i="66"/>
  <c r="G136" i="66"/>
  <c r="E136" i="66"/>
  <c r="D136" i="66"/>
  <c r="O135" i="66"/>
  <c r="L135" i="66"/>
  <c r="I135" i="66"/>
  <c r="F135" i="66"/>
  <c r="O134" i="66"/>
  <c r="L134" i="66"/>
  <c r="I134" i="66"/>
  <c r="F134" i="66"/>
  <c r="O133" i="66"/>
  <c r="L133" i="66"/>
  <c r="I133" i="66"/>
  <c r="F133" i="66"/>
  <c r="O132" i="66"/>
  <c r="L132" i="66"/>
  <c r="L131" i="66" s="1"/>
  <c r="I132" i="66"/>
  <c r="I131" i="66" s="1"/>
  <c r="F132" i="66"/>
  <c r="F131" i="66" s="1"/>
  <c r="N131" i="66"/>
  <c r="M131" i="66"/>
  <c r="K131" i="66"/>
  <c r="J131" i="66"/>
  <c r="H131" i="66"/>
  <c r="G131" i="66"/>
  <c r="E131" i="66"/>
  <c r="D131" i="66"/>
  <c r="O129" i="66"/>
  <c r="L129" i="66"/>
  <c r="L128" i="66" s="1"/>
  <c r="I129" i="66"/>
  <c r="I128" i="66" s="1"/>
  <c r="F129" i="66"/>
  <c r="O128" i="66"/>
  <c r="N128" i="66"/>
  <c r="M128" i="66"/>
  <c r="K128" i="66"/>
  <c r="J128" i="66"/>
  <c r="H128" i="66"/>
  <c r="G128" i="66"/>
  <c r="E128" i="66"/>
  <c r="D128" i="66"/>
  <c r="O127" i="66"/>
  <c r="L127" i="66"/>
  <c r="I127" i="66"/>
  <c r="F127" i="66"/>
  <c r="O126" i="66"/>
  <c r="L126" i="66"/>
  <c r="I126" i="66"/>
  <c r="F126" i="66"/>
  <c r="O125" i="66"/>
  <c r="L125" i="66"/>
  <c r="I125" i="66"/>
  <c r="F125" i="66"/>
  <c r="O124" i="66"/>
  <c r="L124" i="66"/>
  <c r="I124" i="66"/>
  <c r="F124" i="66"/>
  <c r="O123" i="66"/>
  <c r="L123" i="66"/>
  <c r="I123" i="66"/>
  <c r="F123" i="66"/>
  <c r="N122" i="66"/>
  <c r="M122" i="66"/>
  <c r="K122" i="66"/>
  <c r="J122" i="66"/>
  <c r="H122" i="66"/>
  <c r="G122" i="66"/>
  <c r="E122" i="66"/>
  <c r="D122" i="66"/>
  <c r="O121" i="66"/>
  <c r="L121" i="66"/>
  <c r="I121" i="66"/>
  <c r="F121" i="66"/>
  <c r="O120" i="66"/>
  <c r="L120" i="66"/>
  <c r="I120" i="66"/>
  <c r="F120" i="66"/>
  <c r="O119" i="66"/>
  <c r="L119" i="66"/>
  <c r="I119" i="66"/>
  <c r="F119" i="66"/>
  <c r="O118" i="66"/>
  <c r="L118" i="66"/>
  <c r="I118" i="66"/>
  <c r="F118" i="66"/>
  <c r="O117" i="66"/>
  <c r="L117" i="66"/>
  <c r="I117" i="66"/>
  <c r="F117" i="66"/>
  <c r="N116" i="66"/>
  <c r="M116" i="66"/>
  <c r="K116" i="66"/>
  <c r="J116" i="66"/>
  <c r="H116" i="66"/>
  <c r="G116" i="66"/>
  <c r="E116" i="66"/>
  <c r="D116" i="66"/>
  <c r="O115" i="66"/>
  <c r="L115" i="66"/>
  <c r="I115" i="66"/>
  <c r="F115" i="66"/>
  <c r="O114" i="66"/>
  <c r="L114" i="66"/>
  <c r="I114" i="66"/>
  <c r="F114" i="66"/>
  <c r="O113" i="66"/>
  <c r="L113" i="66"/>
  <c r="I113" i="66"/>
  <c r="I112" i="66" s="1"/>
  <c r="F113" i="66"/>
  <c r="N112" i="66"/>
  <c r="M112" i="66"/>
  <c r="K112" i="66"/>
  <c r="J112" i="66"/>
  <c r="H112" i="66"/>
  <c r="G112" i="66"/>
  <c r="E112" i="66"/>
  <c r="D112" i="66"/>
  <c r="O111" i="66"/>
  <c r="L111" i="66"/>
  <c r="I111" i="66"/>
  <c r="F111" i="66"/>
  <c r="O110" i="66"/>
  <c r="L110" i="66"/>
  <c r="I110" i="66"/>
  <c r="F110" i="66"/>
  <c r="O109" i="66"/>
  <c r="L109" i="66"/>
  <c r="I109" i="66"/>
  <c r="F109" i="66"/>
  <c r="O108" i="66"/>
  <c r="L108" i="66"/>
  <c r="I108" i="66"/>
  <c r="F108" i="66"/>
  <c r="O107" i="66"/>
  <c r="L107" i="66"/>
  <c r="I107" i="66"/>
  <c r="F107" i="66"/>
  <c r="O106" i="66"/>
  <c r="L106" i="66"/>
  <c r="I106" i="66"/>
  <c r="F106" i="66"/>
  <c r="O105" i="66"/>
  <c r="L105" i="66"/>
  <c r="I105" i="66"/>
  <c r="F105" i="66"/>
  <c r="O104" i="66"/>
  <c r="L104" i="66"/>
  <c r="I104" i="66"/>
  <c r="F104" i="66"/>
  <c r="F103" i="66" s="1"/>
  <c r="N103" i="66"/>
  <c r="M103" i="66"/>
  <c r="K103" i="66"/>
  <c r="J103" i="66"/>
  <c r="H103" i="66"/>
  <c r="G103" i="66"/>
  <c r="E103" i="66"/>
  <c r="D103" i="66"/>
  <c r="O102" i="66"/>
  <c r="L102" i="66"/>
  <c r="I102" i="66"/>
  <c r="F102" i="66"/>
  <c r="O101" i="66"/>
  <c r="L101" i="66"/>
  <c r="I101" i="66"/>
  <c r="F101" i="66"/>
  <c r="O100" i="66"/>
  <c r="L100" i="66"/>
  <c r="I100" i="66"/>
  <c r="F100" i="66"/>
  <c r="O99" i="66"/>
  <c r="L99" i="66"/>
  <c r="I99" i="66"/>
  <c r="F99" i="66"/>
  <c r="O98" i="66"/>
  <c r="L98" i="66"/>
  <c r="I98" i="66"/>
  <c r="F98" i="66"/>
  <c r="O97" i="66"/>
  <c r="L97" i="66"/>
  <c r="I97" i="66"/>
  <c r="F97" i="66"/>
  <c r="O96" i="66"/>
  <c r="L96" i="66"/>
  <c r="I96" i="66"/>
  <c r="F96" i="66"/>
  <c r="F95" i="66" s="1"/>
  <c r="N95" i="66"/>
  <c r="M95" i="66"/>
  <c r="K95" i="66"/>
  <c r="J95" i="66"/>
  <c r="H95" i="66"/>
  <c r="G95" i="66"/>
  <c r="E95" i="66"/>
  <c r="D95" i="66"/>
  <c r="O94" i="66"/>
  <c r="L94" i="66"/>
  <c r="I94" i="66"/>
  <c r="F94" i="66"/>
  <c r="O93" i="66"/>
  <c r="L93" i="66"/>
  <c r="I93" i="66"/>
  <c r="F93" i="66"/>
  <c r="O92" i="66"/>
  <c r="L92" i="66"/>
  <c r="I92" i="66"/>
  <c r="F92" i="66"/>
  <c r="O91" i="66"/>
  <c r="L91" i="66"/>
  <c r="I91" i="66"/>
  <c r="F91" i="66"/>
  <c r="O90" i="66"/>
  <c r="L90" i="66"/>
  <c r="L89" i="66" s="1"/>
  <c r="I90" i="66"/>
  <c r="F90" i="66"/>
  <c r="N89" i="66"/>
  <c r="M89" i="66"/>
  <c r="K89" i="66"/>
  <c r="J89" i="66"/>
  <c r="H89" i="66"/>
  <c r="G89" i="66"/>
  <c r="E89" i="66"/>
  <c r="D89" i="66"/>
  <c r="O88" i="66"/>
  <c r="L88" i="66"/>
  <c r="I88" i="66"/>
  <c r="F88" i="66"/>
  <c r="O87" i="66"/>
  <c r="L87" i="66"/>
  <c r="I87" i="66"/>
  <c r="F87" i="66"/>
  <c r="O86" i="66"/>
  <c r="L86" i="66"/>
  <c r="I86" i="66"/>
  <c r="F86" i="66"/>
  <c r="O85" i="66"/>
  <c r="L85" i="66"/>
  <c r="I85" i="66"/>
  <c r="I84" i="66" s="1"/>
  <c r="F85" i="66"/>
  <c r="N84" i="66"/>
  <c r="M84" i="66"/>
  <c r="K84" i="66"/>
  <c r="J84" i="66"/>
  <c r="H84" i="66"/>
  <c r="G84" i="66"/>
  <c r="E84" i="66"/>
  <c r="D84" i="66"/>
  <c r="O82" i="66"/>
  <c r="L82" i="66"/>
  <c r="I82" i="66"/>
  <c r="F82" i="66"/>
  <c r="O81" i="66"/>
  <c r="O80" i="66" s="1"/>
  <c r="L81" i="66"/>
  <c r="L80" i="66" s="1"/>
  <c r="I81" i="66"/>
  <c r="I80" i="66" s="1"/>
  <c r="F81" i="66"/>
  <c r="N80" i="66"/>
  <c r="M80" i="66"/>
  <c r="K80" i="66"/>
  <c r="J80" i="66"/>
  <c r="H80" i="66"/>
  <c r="G80" i="66"/>
  <c r="E80" i="66"/>
  <c r="D80" i="66"/>
  <c r="O79" i="66"/>
  <c r="L79" i="66"/>
  <c r="I79" i="66"/>
  <c r="F79" i="66"/>
  <c r="O78" i="66"/>
  <c r="O77" i="66" s="1"/>
  <c r="L78" i="66"/>
  <c r="L77" i="66" s="1"/>
  <c r="I78" i="66"/>
  <c r="I77" i="66" s="1"/>
  <c r="F78" i="66"/>
  <c r="F77" i="66" s="1"/>
  <c r="N77" i="66"/>
  <c r="N76" i="66" s="1"/>
  <c r="M77" i="66"/>
  <c r="M76" i="66" s="1"/>
  <c r="K77" i="66"/>
  <c r="J77" i="66"/>
  <c r="H77" i="66"/>
  <c r="G77" i="66"/>
  <c r="E77" i="66"/>
  <c r="D77" i="66"/>
  <c r="O74" i="66"/>
  <c r="L74" i="66"/>
  <c r="I74" i="66"/>
  <c r="F74" i="66"/>
  <c r="O73" i="66"/>
  <c r="L73" i="66"/>
  <c r="I73" i="66"/>
  <c r="F73" i="66"/>
  <c r="O72" i="66"/>
  <c r="L72" i="66"/>
  <c r="I72" i="66"/>
  <c r="F72" i="66"/>
  <c r="O71" i="66"/>
  <c r="L71" i="66"/>
  <c r="I71" i="66"/>
  <c r="F71" i="66"/>
  <c r="O70" i="66"/>
  <c r="O69" i="66" s="1"/>
  <c r="L70" i="66"/>
  <c r="I70" i="66"/>
  <c r="F70" i="66"/>
  <c r="N69" i="66"/>
  <c r="M69" i="66"/>
  <c r="K69" i="66"/>
  <c r="K67" i="66" s="1"/>
  <c r="J69" i="66"/>
  <c r="J67" i="66" s="1"/>
  <c r="H69" i="66"/>
  <c r="H67" i="66" s="1"/>
  <c r="G69" i="66"/>
  <c r="G67" i="66" s="1"/>
  <c r="E69" i="66"/>
  <c r="E67" i="66" s="1"/>
  <c r="D69" i="66"/>
  <c r="D67" i="66" s="1"/>
  <c r="O68" i="66"/>
  <c r="L68" i="66"/>
  <c r="I68" i="66"/>
  <c r="F68" i="66"/>
  <c r="N67" i="66"/>
  <c r="M67" i="66"/>
  <c r="O66" i="66"/>
  <c r="L66" i="66"/>
  <c r="I66" i="66"/>
  <c r="F66" i="66"/>
  <c r="O65" i="66"/>
  <c r="L65" i="66"/>
  <c r="I65" i="66"/>
  <c r="F65" i="66"/>
  <c r="O64" i="66"/>
  <c r="L64" i="66"/>
  <c r="I64" i="66"/>
  <c r="F64" i="66"/>
  <c r="O63" i="66"/>
  <c r="L63" i="66"/>
  <c r="I63" i="66"/>
  <c r="F63" i="66"/>
  <c r="O62" i="66"/>
  <c r="L62" i="66"/>
  <c r="I62" i="66"/>
  <c r="F62" i="66"/>
  <c r="O61" i="66"/>
  <c r="L61" i="66"/>
  <c r="I61" i="66"/>
  <c r="F61" i="66"/>
  <c r="O60" i="66"/>
  <c r="L60" i="66"/>
  <c r="I60" i="66"/>
  <c r="F60" i="66"/>
  <c r="O59" i="66"/>
  <c r="O58" i="66" s="1"/>
  <c r="L59" i="66"/>
  <c r="I59" i="66"/>
  <c r="I58" i="66" s="1"/>
  <c r="F59" i="66"/>
  <c r="N58" i="66"/>
  <c r="M58" i="66"/>
  <c r="K58" i="66"/>
  <c r="J58" i="66"/>
  <c r="H58" i="66"/>
  <c r="G58" i="66"/>
  <c r="E58" i="66"/>
  <c r="D58" i="66"/>
  <c r="O57" i="66"/>
  <c r="L57" i="66"/>
  <c r="I57" i="66"/>
  <c r="F57" i="66"/>
  <c r="O56" i="66"/>
  <c r="O55" i="66" s="1"/>
  <c r="L56" i="66"/>
  <c r="L55" i="66" s="1"/>
  <c r="I56" i="66"/>
  <c r="I55" i="66" s="1"/>
  <c r="F56" i="66"/>
  <c r="F55" i="66" s="1"/>
  <c r="N55" i="66"/>
  <c r="N54" i="66" s="1"/>
  <c r="M55" i="66"/>
  <c r="M54" i="66" s="1"/>
  <c r="K55" i="66"/>
  <c r="K54" i="66" s="1"/>
  <c r="J55" i="66"/>
  <c r="H55" i="66"/>
  <c r="G55" i="66"/>
  <c r="E55" i="66"/>
  <c r="E54" i="66" s="1"/>
  <c r="D55" i="66"/>
  <c r="O47" i="66"/>
  <c r="C47" i="66" s="1"/>
  <c r="O46" i="66"/>
  <c r="N45" i="66"/>
  <c r="M45" i="66"/>
  <c r="L44" i="66"/>
  <c r="L43" i="66" s="1"/>
  <c r="I44" i="66"/>
  <c r="F44" i="66"/>
  <c r="F43" i="66" s="1"/>
  <c r="K43" i="66"/>
  <c r="J43" i="66"/>
  <c r="I43" i="66"/>
  <c r="H43" i="66"/>
  <c r="G43" i="66"/>
  <c r="E43" i="66"/>
  <c r="D43" i="66"/>
  <c r="F42" i="66"/>
  <c r="C42" i="66" s="1"/>
  <c r="E41" i="66"/>
  <c r="D41" i="66"/>
  <c r="L40" i="66"/>
  <c r="C40" i="66" s="1"/>
  <c r="L39" i="66"/>
  <c r="C39" i="66" s="1"/>
  <c r="L38" i="66"/>
  <c r="C38" i="66" s="1"/>
  <c r="L37" i="66"/>
  <c r="C37" i="66" s="1"/>
  <c r="K36" i="66"/>
  <c r="J36" i="66"/>
  <c r="L35" i="66"/>
  <c r="C35" i="66" s="1"/>
  <c r="L34" i="66"/>
  <c r="K33" i="66"/>
  <c r="J33" i="66"/>
  <c r="L32" i="66"/>
  <c r="C32" i="66" s="1"/>
  <c r="K31" i="66"/>
  <c r="J31" i="66"/>
  <c r="L30" i="66"/>
  <c r="C30" i="66" s="1"/>
  <c r="L29" i="66"/>
  <c r="C29" i="66" s="1"/>
  <c r="L28" i="66"/>
  <c r="K27" i="66"/>
  <c r="J27" i="66"/>
  <c r="F25" i="66"/>
  <c r="C25" i="66" s="1"/>
  <c r="I24" i="66"/>
  <c r="F24" i="66"/>
  <c r="O23" i="66"/>
  <c r="L23" i="66"/>
  <c r="I23" i="66"/>
  <c r="F23" i="66"/>
  <c r="O22" i="66"/>
  <c r="O21" i="66" s="1"/>
  <c r="L22" i="66"/>
  <c r="I22" i="66"/>
  <c r="F22" i="66"/>
  <c r="F21" i="66" s="1"/>
  <c r="N21" i="66"/>
  <c r="N292" i="66" s="1"/>
  <c r="M21" i="66"/>
  <c r="M20" i="66" s="1"/>
  <c r="K21" i="66"/>
  <c r="J21" i="66"/>
  <c r="J292" i="66" s="1"/>
  <c r="J291" i="66" s="1"/>
  <c r="H21" i="66"/>
  <c r="H20" i="66" s="1"/>
  <c r="G21" i="66"/>
  <c r="E21" i="66"/>
  <c r="E292" i="66" s="1"/>
  <c r="D21" i="66"/>
  <c r="D292" i="66" s="1"/>
  <c r="D291" i="66" s="1"/>
  <c r="N20" i="66"/>
  <c r="O187" i="66" l="1"/>
  <c r="L272" i="66"/>
  <c r="L276" i="66"/>
  <c r="G292" i="66"/>
  <c r="G187" i="66"/>
  <c r="M53" i="66"/>
  <c r="G54" i="66"/>
  <c r="G53" i="66" s="1"/>
  <c r="G291" i="66"/>
  <c r="N53" i="66"/>
  <c r="K173" i="66"/>
  <c r="F260" i="66"/>
  <c r="G130" i="66"/>
  <c r="E270" i="66"/>
  <c r="E269" i="66" s="1"/>
  <c r="J76" i="66"/>
  <c r="C154" i="66"/>
  <c r="C158" i="66"/>
  <c r="J26" i="66"/>
  <c r="J20" i="66" s="1"/>
  <c r="G76" i="66"/>
  <c r="C110" i="66"/>
  <c r="N83" i="66"/>
  <c r="D173" i="66"/>
  <c r="J174" i="66"/>
  <c r="J173" i="66" s="1"/>
  <c r="C178" i="66"/>
  <c r="D259" i="66"/>
  <c r="O270" i="66"/>
  <c r="O269" i="66" s="1"/>
  <c r="E76" i="66"/>
  <c r="C82" i="66"/>
  <c r="O84" i="66"/>
  <c r="C98" i="66"/>
  <c r="C162" i="66"/>
  <c r="C213" i="66"/>
  <c r="C221" i="66"/>
  <c r="C225" i="66"/>
  <c r="C237" i="66"/>
  <c r="H231" i="66"/>
  <c r="C249" i="66"/>
  <c r="C265" i="66"/>
  <c r="C266" i="66"/>
  <c r="C267" i="66"/>
  <c r="G270" i="66"/>
  <c r="G269" i="66" s="1"/>
  <c r="O67" i="66"/>
  <c r="D76" i="66"/>
  <c r="C86" i="66"/>
  <c r="N187" i="66"/>
  <c r="C203" i="66"/>
  <c r="D231" i="66"/>
  <c r="E291" i="66"/>
  <c r="H54" i="66"/>
  <c r="H53" i="66" s="1"/>
  <c r="O76" i="66"/>
  <c r="C126" i="66"/>
  <c r="K130" i="66"/>
  <c r="O151" i="66"/>
  <c r="H174" i="66"/>
  <c r="H173" i="66" s="1"/>
  <c r="I187" i="66"/>
  <c r="O196" i="66"/>
  <c r="C253" i="66"/>
  <c r="D270" i="66"/>
  <c r="D269" i="66" s="1"/>
  <c r="C56" i="66"/>
  <c r="C57" i="66"/>
  <c r="D54" i="66"/>
  <c r="D53" i="66" s="1"/>
  <c r="D83" i="66"/>
  <c r="C90" i="66"/>
  <c r="J83" i="66"/>
  <c r="C97" i="66"/>
  <c r="O122" i="66"/>
  <c r="C182" i="66"/>
  <c r="M187" i="66"/>
  <c r="C209" i="66"/>
  <c r="C211" i="66"/>
  <c r="C229" i="66"/>
  <c r="C245" i="66"/>
  <c r="C247" i="66"/>
  <c r="C248" i="66"/>
  <c r="M259" i="66"/>
  <c r="C261" i="66"/>
  <c r="G259" i="66"/>
  <c r="N270" i="66"/>
  <c r="N269" i="66" s="1"/>
  <c r="C281" i="66"/>
  <c r="C70" i="66"/>
  <c r="M292" i="66"/>
  <c r="M291" i="66" s="1"/>
  <c r="C23" i="66"/>
  <c r="F41" i="66"/>
  <c r="C41" i="66" s="1"/>
  <c r="C44" i="66"/>
  <c r="C66" i="66"/>
  <c r="C118" i="66"/>
  <c r="C138" i="66"/>
  <c r="C142" i="66"/>
  <c r="C159" i="66"/>
  <c r="C197" i="66"/>
  <c r="J195" i="66"/>
  <c r="G195" i="66"/>
  <c r="C241" i="66"/>
  <c r="C257" i="66"/>
  <c r="C274" i="66"/>
  <c r="C275" i="66"/>
  <c r="C285" i="66"/>
  <c r="D204" i="66"/>
  <c r="D195" i="66" s="1"/>
  <c r="H292" i="66"/>
  <c r="H291" i="66" s="1"/>
  <c r="L69" i="66"/>
  <c r="L67" i="66" s="1"/>
  <c r="K76" i="66"/>
  <c r="F84" i="66"/>
  <c r="C85" i="66"/>
  <c r="C106" i="66"/>
  <c r="C109" i="66"/>
  <c r="C134" i="66"/>
  <c r="C150" i="66"/>
  <c r="C152" i="66"/>
  <c r="C153" i="66"/>
  <c r="F175" i="66"/>
  <c r="C177" i="66"/>
  <c r="O175" i="66"/>
  <c r="G174" i="66"/>
  <c r="G173" i="66" s="1"/>
  <c r="C186" i="66"/>
  <c r="C201" i="66"/>
  <c r="N204" i="66"/>
  <c r="N195" i="66" s="1"/>
  <c r="O235" i="66"/>
  <c r="M231" i="66"/>
  <c r="E259" i="66"/>
  <c r="L216" i="66"/>
  <c r="C217" i="66"/>
  <c r="O166" i="66"/>
  <c r="O165" i="66" s="1"/>
  <c r="M204" i="66"/>
  <c r="M195" i="66" s="1"/>
  <c r="L260" i="66"/>
  <c r="L259" i="66" s="1"/>
  <c r="C146" i="66"/>
  <c r="I144" i="66"/>
  <c r="C193" i="66"/>
  <c r="F192" i="66"/>
  <c r="I89" i="66"/>
  <c r="C102" i="66"/>
  <c r="I116" i="66"/>
  <c r="J187" i="66"/>
  <c r="C189" i="66"/>
  <c r="F188" i="66"/>
  <c r="C273" i="66"/>
  <c r="F272" i="66"/>
  <c r="C272" i="66" s="1"/>
  <c r="C277" i="66"/>
  <c r="C46" i="66"/>
  <c r="O45" i="66"/>
  <c r="C45" i="66" s="1"/>
  <c r="C78" i="66"/>
  <c r="D20" i="66"/>
  <c r="C28" i="66"/>
  <c r="L27" i="66"/>
  <c r="C27" i="66" s="1"/>
  <c r="C34" i="66"/>
  <c r="L33" i="66"/>
  <c r="C33" i="66" s="1"/>
  <c r="C62" i="66"/>
  <c r="C74" i="66"/>
  <c r="M83" i="66"/>
  <c r="K187" i="66"/>
  <c r="H270" i="66"/>
  <c r="H269" i="66" s="1"/>
  <c r="N291" i="66"/>
  <c r="C22" i="66"/>
  <c r="K26" i="66"/>
  <c r="L36" i="66"/>
  <c r="C36" i="66" s="1"/>
  <c r="C59" i="66"/>
  <c r="C60" i="66"/>
  <c r="C61" i="66"/>
  <c r="C72" i="66"/>
  <c r="C73" i="66"/>
  <c r="L76" i="66"/>
  <c r="C79" i="66"/>
  <c r="G83" i="66"/>
  <c r="K83" i="66"/>
  <c r="C99" i="66"/>
  <c r="C101" i="66"/>
  <c r="O112" i="66"/>
  <c r="L116" i="66"/>
  <c r="E130" i="66"/>
  <c r="O136" i="66"/>
  <c r="H130" i="66"/>
  <c r="C157" i="66"/>
  <c r="C168" i="66"/>
  <c r="C183" i="66"/>
  <c r="D187" i="66"/>
  <c r="H187" i="66"/>
  <c r="L196" i="66"/>
  <c r="C210" i="66"/>
  <c r="C215" i="66"/>
  <c r="C222" i="66"/>
  <c r="E204" i="66"/>
  <c r="E195" i="66" s="1"/>
  <c r="L238" i="66"/>
  <c r="I264" i="66"/>
  <c r="C288" i="66"/>
  <c r="O292" i="66"/>
  <c r="O291" i="66" s="1"/>
  <c r="C64" i="66"/>
  <c r="C65" i="66"/>
  <c r="C71" i="66"/>
  <c r="H76" i="66"/>
  <c r="H83" i="66"/>
  <c r="C94" i="66"/>
  <c r="L103" i="66"/>
  <c r="O116" i="66"/>
  <c r="C135" i="66"/>
  <c r="D130" i="66"/>
  <c r="M174" i="66"/>
  <c r="M173" i="66" s="1"/>
  <c r="C181" i="66"/>
  <c r="O179" i="66"/>
  <c r="E187" i="66"/>
  <c r="L188" i="66"/>
  <c r="L187" i="66" s="1"/>
  <c r="C199" i="66"/>
  <c r="O205" i="66"/>
  <c r="C214" i="66"/>
  <c r="C218" i="66"/>
  <c r="C219" i="66"/>
  <c r="G231" i="66"/>
  <c r="K231" i="66"/>
  <c r="K230" i="66" s="1"/>
  <c r="C240" i="66"/>
  <c r="O238" i="66"/>
  <c r="I252" i="66"/>
  <c r="I251" i="66" s="1"/>
  <c r="C258" i="66"/>
  <c r="F276" i="66"/>
  <c r="K292" i="66"/>
  <c r="K291" i="66" s="1"/>
  <c r="C24" i="66"/>
  <c r="E20" i="66"/>
  <c r="C43" i="66"/>
  <c r="E53" i="66"/>
  <c r="J54" i="66"/>
  <c r="J53" i="66" s="1"/>
  <c r="O54" i="66"/>
  <c r="L58" i="66"/>
  <c r="L54" i="66" s="1"/>
  <c r="C63" i="66"/>
  <c r="C68" i="66"/>
  <c r="C81" i="66"/>
  <c r="E83" i="66"/>
  <c r="L84" i="66"/>
  <c r="C91" i="66"/>
  <c r="C92" i="66"/>
  <c r="L95" i="66"/>
  <c r="C105" i="66"/>
  <c r="C111" i="66"/>
  <c r="C119" i="66"/>
  <c r="C121" i="66"/>
  <c r="C127" i="66"/>
  <c r="C133" i="66"/>
  <c r="O131" i="66"/>
  <c r="C131" i="66" s="1"/>
  <c r="C143" i="66"/>
  <c r="C149" i="66"/>
  <c r="C155" i="66"/>
  <c r="C163" i="66"/>
  <c r="C171" i="66"/>
  <c r="I179" i="66"/>
  <c r="I174" i="66" s="1"/>
  <c r="I173" i="66" s="1"/>
  <c r="I196" i="66"/>
  <c r="C202" i="66"/>
  <c r="K195" i="66"/>
  <c r="C212" i="66"/>
  <c r="H204" i="66"/>
  <c r="H195" i="66" s="1"/>
  <c r="I216" i="66"/>
  <c r="C223" i="66"/>
  <c r="C224" i="66"/>
  <c r="E231" i="66"/>
  <c r="E230" i="66" s="1"/>
  <c r="C244" i="66"/>
  <c r="O246" i="66"/>
  <c r="L246" i="66"/>
  <c r="L252" i="66"/>
  <c r="L251" i="66" s="1"/>
  <c r="C278" i="66"/>
  <c r="K269" i="66"/>
  <c r="C282" i="66"/>
  <c r="K53" i="66"/>
  <c r="I54" i="66"/>
  <c r="C77" i="66"/>
  <c r="I76" i="66"/>
  <c r="C93" i="66"/>
  <c r="F89" i="66"/>
  <c r="C114" i="66"/>
  <c r="C141" i="66"/>
  <c r="C169" i="66"/>
  <c r="F166" i="66"/>
  <c r="C185" i="66"/>
  <c r="F184" i="66"/>
  <c r="L21" i="66"/>
  <c r="L31" i="66"/>
  <c r="C55" i="66"/>
  <c r="I69" i="66"/>
  <c r="I67" i="66" s="1"/>
  <c r="F80" i="66"/>
  <c r="C104" i="66"/>
  <c r="O103" i="66"/>
  <c r="C123" i="66"/>
  <c r="C125" i="66"/>
  <c r="F122" i="66"/>
  <c r="C129" i="66"/>
  <c r="F128" i="66"/>
  <c r="C128" i="66" s="1"/>
  <c r="N130" i="66"/>
  <c r="C140" i="66"/>
  <c r="C145" i="66"/>
  <c r="F144" i="66"/>
  <c r="O144" i="66"/>
  <c r="F151" i="66"/>
  <c r="I151" i="66"/>
  <c r="C156" i="66"/>
  <c r="C164" i="66"/>
  <c r="C172" i="66"/>
  <c r="C180" i="66"/>
  <c r="C113" i="66"/>
  <c r="F112" i="66"/>
  <c r="C161" i="66"/>
  <c r="F160" i="66"/>
  <c r="F20" i="66"/>
  <c r="I21" i="66"/>
  <c r="F69" i="66"/>
  <c r="C88" i="66"/>
  <c r="O95" i="66"/>
  <c r="I103" i="66"/>
  <c r="C103" i="66" s="1"/>
  <c r="C107" i="66"/>
  <c r="C108" i="66"/>
  <c r="C117" i="66"/>
  <c r="F116" i="66"/>
  <c r="C124" i="66"/>
  <c r="I122" i="66"/>
  <c r="J130" i="66"/>
  <c r="C132" i="66"/>
  <c r="M130" i="66"/>
  <c r="C148" i="66"/>
  <c r="L151" i="66"/>
  <c r="C167" i="66"/>
  <c r="L166" i="66"/>
  <c r="L165" i="66" s="1"/>
  <c r="N174" i="66"/>
  <c r="N173" i="66" s="1"/>
  <c r="C200" i="66"/>
  <c r="F198" i="66"/>
  <c r="C137" i="66"/>
  <c r="F136" i="66"/>
  <c r="L144" i="66"/>
  <c r="C147" i="66"/>
  <c r="C170" i="66"/>
  <c r="F174" i="66"/>
  <c r="G20" i="66"/>
  <c r="F58" i="66"/>
  <c r="C87" i="66"/>
  <c r="O89" i="66"/>
  <c r="I95" i="66"/>
  <c r="C96" i="66"/>
  <c r="C100" i="66"/>
  <c r="L112" i="66"/>
  <c r="C115" i="66"/>
  <c r="C120" i="66"/>
  <c r="L122" i="66"/>
  <c r="L136" i="66"/>
  <c r="C139" i="66"/>
  <c r="O160" i="66"/>
  <c r="C176" i="66"/>
  <c r="L179" i="66"/>
  <c r="L174" i="66" s="1"/>
  <c r="L173" i="66" s="1"/>
  <c r="O184" i="66"/>
  <c r="C208" i="66"/>
  <c r="F205" i="66"/>
  <c r="C220" i="66"/>
  <c r="F216" i="66"/>
  <c r="C234" i="66"/>
  <c r="L233" i="66"/>
  <c r="C236" i="66"/>
  <c r="F235" i="66"/>
  <c r="C268" i="66"/>
  <c r="F264" i="66"/>
  <c r="C280" i="66"/>
  <c r="C284" i="66"/>
  <c r="L283" i="66"/>
  <c r="C283" i="66" s="1"/>
  <c r="C207" i="66"/>
  <c r="I205" i="66"/>
  <c r="C228" i="66"/>
  <c r="F227" i="66"/>
  <c r="C227" i="66" s="1"/>
  <c r="N231" i="66"/>
  <c r="N230" i="66" s="1"/>
  <c r="L270" i="66"/>
  <c r="L269" i="66" s="1"/>
  <c r="C279" i="66"/>
  <c r="I276" i="66"/>
  <c r="C206" i="66"/>
  <c r="L205" i="66"/>
  <c r="C226" i="66"/>
  <c r="C232" i="66"/>
  <c r="J231" i="66"/>
  <c r="J230" i="66" s="1"/>
  <c r="J194" i="66" s="1"/>
  <c r="C239" i="66"/>
  <c r="F246" i="66"/>
  <c r="C250" i="66"/>
  <c r="O251" i="66"/>
  <c r="C262" i="66"/>
  <c r="C271" i="66"/>
  <c r="F286" i="66"/>
  <c r="F292" i="66" s="1"/>
  <c r="C294" i="66"/>
  <c r="C295" i="66"/>
  <c r="C296" i="66"/>
  <c r="F293" i="66"/>
  <c r="C190" i="66"/>
  <c r="O216" i="66"/>
  <c r="I238" i="66"/>
  <c r="I231" i="66" s="1"/>
  <c r="C242" i="66"/>
  <c r="C243" i="66"/>
  <c r="C254" i="66"/>
  <c r="C255" i="66"/>
  <c r="C256" i="66"/>
  <c r="F252" i="66"/>
  <c r="H259" i="66"/>
  <c r="H230" i="66" s="1"/>
  <c r="C263" i="66"/>
  <c r="I260" i="66"/>
  <c r="C287" i="66"/>
  <c r="I293" i="66"/>
  <c r="C298" i="66"/>
  <c r="C299" i="66"/>
  <c r="C300" i="66"/>
  <c r="O53" i="66" l="1"/>
  <c r="C175" i="66"/>
  <c r="C276" i="66"/>
  <c r="C84" i="66"/>
  <c r="G75" i="66"/>
  <c r="D230" i="66"/>
  <c r="D194" i="66" s="1"/>
  <c r="J75" i="66"/>
  <c r="J52" i="66" s="1"/>
  <c r="J51" i="66" s="1"/>
  <c r="J50" i="66" s="1"/>
  <c r="N75" i="66"/>
  <c r="N52" i="66" s="1"/>
  <c r="E194" i="66"/>
  <c r="L204" i="66"/>
  <c r="L195" i="66" s="1"/>
  <c r="I204" i="66"/>
  <c r="I195" i="66" s="1"/>
  <c r="F270" i="66"/>
  <c r="F269" i="66" s="1"/>
  <c r="C269" i="66" s="1"/>
  <c r="C235" i="66"/>
  <c r="C58" i="66"/>
  <c r="M75" i="66"/>
  <c r="M52" i="66" s="1"/>
  <c r="G230" i="66"/>
  <c r="G194" i="66" s="1"/>
  <c r="O231" i="66"/>
  <c r="O230" i="66" s="1"/>
  <c r="K194" i="66"/>
  <c r="E75" i="66"/>
  <c r="E289" i="66" s="1"/>
  <c r="C238" i="66"/>
  <c r="M230" i="66"/>
  <c r="M194" i="66" s="1"/>
  <c r="N194" i="66"/>
  <c r="F130" i="66"/>
  <c r="L53" i="66"/>
  <c r="I83" i="66"/>
  <c r="D75" i="66"/>
  <c r="D289" i="66" s="1"/>
  <c r="K75" i="66"/>
  <c r="K289" i="66" s="1"/>
  <c r="C188" i="66"/>
  <c r="C116" i="66"/>
  <c r="O174" i="66"/>
  <c r="C174" i="66" s="1"/>
  <c r="G52" i="66"/>
  <c r="O204" i="66"/>
  <c r="O195" i="66" s="1"/>
  <c r="I270" i="66"/>
  <c r="I269" i="66" s="1"/>
  <c r="C246" i="66"/>
  <c r="L83" i="66"/>
  <c r="C95" i="66"/>
  <c r="O20" i="66"/>
  <c r="C160" i="66"/>
  <c r="I130" i="66"/>
  <c r="F54" i="66"/>
  <c r="C54" i="66" s="1"/>
  <c r="H75" i="66"/>
  <c r="H52" i="66" s="1"/>
  <c r="O173" i="66"/>
  <c r="K20" i="66"/>
  <c r="C179" i="66"/>
  <c r="C151" i="66"/>
  <c r="C192" i="66"/>
  <c r="F191" i="66"/>
  <c r="C191" i="66" s="1"/>
  <c r="L130" i="66"/>
  <c r="H194" i="66"/>
  <c r="F291" i="66"/>
  <c r="C260" i="66"/>
  <c r="I259" i="66"/>
  <c r="I230" i="66" s="1"/>
  <c r="C216" i="66"/>
  <c r="O83" i="66"/>
  <c r="F196" i="66"/>
  <c r="C198" i="66"/>
  <c r="I292" i="66"/>
  <c r="I291" i="66" s="1"/>
  <c r="C21" i="66"/>
  <c r="I20" i="66"/>
  <c r="O130" i="66"/>
  <c r="C80" i="66"/>
  <c r="F76" i="66"/>
  <c r="L26" i="66"/>
  <c r="C31" i="66"/>
  <c r="F165" i="66"/>
  <c r="C165" i="66" s="1"/>
  <c r="C166" i="66"/>
  <c r="C89" i="66"/>
  <c r="F83" i="66"/>
  <c r="I53" i="66"/>
  <c r="C122" i="66"/>
  <c r="C293" i="66"/>
  <c r="C286" i="66"/>
  <c r="J289" i="66"/>
  <c r="F173" i="66"/>
  <c r="C136" i="66"/>
  <c r="C144" i="66"/>
  <c r="L292" i="66"/>
  <c r="L291" i="66" s="1"/>
  <c r="C252" i="66"/>
  <c r="F251" i="66"/>
  <c r="C251" i="66" s="1"/>
  <c r="F204" i="66"/>
  <c r="C205" i="66"/>
  <c r="F231" i="66"/>
  <c r="C264" i="66"/>
  <c r="F259" i="66"/>
  <c r="L231" i="66"/>
  <c r="L230" i="66" s="1"/>
  <c r="C233" i="66"/>
  <c r="C69" i="66"/>
  <c r="F67" i="66"/>
  <c r="C67" i="66" s="1"/>
  <c r="C112" i="66"/>
  <c r="C184" i="66"/>
  <c r="E52" i="66" l="1"/>
  <c r="E51" i="66" s="1"/>
  <c r="G51" i="66"/>
  <c r="G290" i="66"/>
  <c r="G50" i="66"/>
  <c r="C270" i="66"/>
  <c r="N289" i="66"/>
  <c r="G289" i="66"/>
  <c r="C130" i="66"/>
  <c r="M289" i="66"/>
  <c r="H289" i="66"/>
  <c r="I75" i="66"/>
  <c r="I52" i="66" s="1"/>
  <c r="O194" i="66"/>
  <c r="M51" i="66"/>
  <c r="M50" i="66" s="1"/>
  <c r="D52" i="66"/>
  <c r="D51" i="66" s="1"/>
  <c r="K52" i="66"/>
  <c r="K51" i="66" s="1"/>
  <c r="N51" i="66"/>
  <c r="H51" i="66"/>
  <c r="H290" i="66" s="1"/>
  <c r="C204" i="66"/>
  <c r="J290" i="66"/>
  <c r="F187" i="66"/>
  <c r="C187" i="66" s="1"/>
  <c r="C173" i="66"/>
  <c r="C83" i="66"/>
  <c r="F53" i="66"/>
  <c r="C53" i="66" s="1"/>
  <c r="L75" i="66"/>
  <c r="L52" i="66" s="1"/>
  <c r="I194" i="66"/>
  <c r="C26" i="66"/>
  <c r="C196" i="66"/>
  <c r="F195" i="66"/>
  <c r="C259" i="66"/>
  <c r="C76" i="66"/>
  <c r="F75" i="66"/>
  <c r="O75" i="66"/>
  <c r="E290" i="66"/>
  <c r="E50" i="66"/>
  <c r="C292" i="66"/>
  <c r="L194" i="66"/>
  <c r="C231" i="66"/>
  <c r="F230" i="66"/>
  <c r="C230" i="66" s="1"/>
  <c r="L20" i="66"/>
  <c r="C20" i="66" s="1"/>
  <c r="C291" i="66"/>
  <c r="I289" i="66" l="1"/>
  <c r="H50" i="66"/>
  <c r="M290" i="66"/>
  <c r="L51" i="66"/>
  <c r="L50" i="66" s="1"/>
  <c r="K50" i="66"/>
  <c r="K290" i="66"/>
  <c r="N50" i="66"/>
  <c r="N290" i="66"/>
  <c r="D290" i="66"/>
  <c r="D50" i="66"/>
  <c r="L289" i="66"/>
  <c r="O52" i="66"/>
  <c r="O51" i="66" s="1"/>
  <c r="O289" i="66"/>
  <c r="C75" i="66"/>
  <c r="C195" i="66"/>
  <c r="F194" i="66"/>
  <c r="C194" i="66" s="1"/>
  <c r="F52" i="66"/>
  <c r="F289" i="66"/>
  <c r="I51" i="66"/>
  <c r="L290" i="66" l="1"/>
  <c r="O50" i="66"/>
  <c r="O290" i="66"/>
  <c r="I290" i="66"/>
  <c r="I50" i="66"/>
  <c r="C289" i="66"/>
  <c r="F51" i="66"/>
  <c r="C52" i="66"/>
  <c r="F290" i="66" l="1"/>
  <c r="C290" i="66" s="1"/>
  <c r="F50" i="66"/>
  <c r="C50" i="66" s="1"/>
  <c r="C51" i="66"/>
  <c r="O301" i="65" l="1"/>
  <c r="L301" i="65"/>
  <c r="I301" i="65"/>
  <c r="F301" i="65"/>
  <c r="O300" i="65"/>
  <c r="L300" i="65"/>
  <c r="I300" i="65"/>
  <c r="F300" i="65"/>
  <c r="C300" i="65" s="1"/>
  <c r="O299" i="65"/>
  <c r="L299" i="65"/>
  <c r="I299" i="65"/>
  <c r="F299" i="65"/>
  <c r="C299" i="65" s="1"/>
  <c r="O298" i="65"/>
  <c r="L298" i="65"/>
  <c r="I298" i="65"/>
  <c r="F298" i="65"/>
  <c r="C298" i="65" s="1"/>
  <c r="O297" i="65"/>
  <c r="L297" i="65"/>
  <c r="I297" i="65"/>
  <c r="F297" i="65"/>
  <c r="O296" i="65"/>
  <c r="L296" i="65"/>
  <c r="I296" i="65"/>
  <c r="F296" i="65"/>
  <c r="O295" i="65"/>
  <c r="L295" i="65"/>
  <c r="I295" i="65"/>
  <c r="F295" i="65"/>
  <c r="O294" i="65"/>
  <c r="O293" i="65" s="1"/>
  <c r="L294" i="65"/>
  <c r="I294" i="65"/>
  <c r="C294" i="65" s="1"/>
  <c r="F294" i="65"/>
  <c r="N293" i="65"/>
  <c r="M293" i="65"/>
  <c r="K293" i="65"/>
  <c r="J293" i="65"/>
  <c r="H293" i="65"/>
  <c r="G293" i="65"/>
  <c r="E293" i="65"/>
  <c r="D293" i="65"/>
  <c r="O288" i="65"/>
  <c r="L288" i="65"/>
  <c r="I288" i="65"/>
  <c r="F288" i="65"/>
  <c r="O287" i="65"/>
  <c r="O286" i="65" s="1"/>
  <c r="L287" i="65"/>
  <c r="I287" i="65"/>
  <c r="F287" i="65"/>
  <c r="C287" i="65"/>
  <c r="N286" i="65"/>
  <c r="M286" i="65"/>
  <c r="L286" i="65"/>
  <c r="K286" i="65"/>
  <c r="J286" i="65"/>
  <c r="H286" i="65"/>
  <c r="G286" i="65"/>
  <c r="F286" i="65"/>
  <c r="E286" i="65"/>
  <c r="D286" i="65"/>
  <c r="O285" i="65"/>
  <c r="L285" i="65"/>
  <c r="L284" i="65" s="1"/>
  <c r="L283" i="65" s="1"/>
  <c r="I285" i="65"/>
  <c r="I284" i="65" s="1"/>
  <c r="I283" i="65" s="1"/>
  <c r="F285" i="65"/>
  <c r="O284" i="65"/>
  <c r="O283" i="65" s="1"/>
  <c r="N284" i="65"/>
  <c r="N283" i="65" s="1"/>
  <c r="M284" i="65"/>
  <c r="K284" i="65"/>
  <c r="K283" i="65" s="1"/>
  <c r="J284" i="65"/>
  <c r="J283" i="65" s="1"/>
  <c r="H284" i="65"/>
  <c r="G284" i="65"/>
  <c r="F284" i="65"/>
  <c r="E284" i="65"/>
  <c r="D284" i="65"/>
  <c r="M283" i="65"/>
  <c r="H283" i="65"/>
  <c r="G283" i="65"/>
  <c r="E283" i="65"/>
  <c r="D283" i="65"/>
  <c r="O282" i="65"/>
  <c r="L282" i="65"/>
  <c r="L281" i="65" s="1"/>
  <c r="I282" i="65"/>
  <c r="F282" i="65"/>
  <c r="O281" i="65"/>
  <c r="N281" i="65"/>
  <c r="M281" i="65"/>
  <c r="K281" i="65"/>
  <c r="J281" i="65"/>
  <c r="I281" i="65"/>
  <c r="H281" i="65"/>
  <c r="G281" i="65"/>
  <c r="E281" i="65"/>
  <c r="D281" i="65"/>
  <c r="O280" i="65"/>
  <c r="L280" i="65"/>
  <c r="I280" i="65"/>
  <c r="F280" i="65"/>
  <c r="O279" i="65"/>
  <c r="L279" i="65"/>
  <c r="I279" i="65"/>
  <c r="F279" i="65"/>
  <c r="C279" i="65" s="1"/>
  <c r="O278" i="65"/>
  <c r="L278" i="65"/>
  <c r="I278" i="65"/>
  <c r="F278" i="65"/>
  <c r="O277" i="65"/>
  <c r="L277" i="65"/>
  <c r="I277" i="65"/>
  <c r="F277" i="65"/>
  <c r="N276" i="65"/>
  <c r="M276" i="65"/>
  <c r="L276" i="65"/>
  <c r="K276" i="65"/>
  <c r="J276" i="65"/>
  <c r="H276" i="65"/>
  <c r="G276" i="65"/>
  <c r="E276" i="65"/>
  <c r="D276" i="65"/>
  <c r="O275" i="65"/>
  <c r="L275" i="65"/>
  <c r="I275" i="65"/>
  <c r="F275" i="65"/>
  <c r="C275" i="65"/>
  <c r="O274" i="65"/>
  <c r="L274" i="65"/>
  <c r="I274" i="65"/>
  <c r="F274" i="65"/>
  <c r="C274" i="65" s="1"/>
  <c r="O273" i="65"/>
  <c r="L273" i="65"/>
  <c r="I273" i="65"/>
  <c r="I272" i="65" s="1"/>
  <c r="F273" i="65"/>
  <c r="F272" i="65" s="1"/>
  <c r="O272" i="65"/>
  <c r="N272" i="65"/>
  <c r="N270" i="65" s="1"/>
  <c r="N269" i="65" s="1"/>
  <c r="M272" i="65"/>
  <c r="M270" i="65" s="1"/>
  <c r="M269" i="65" s="1"/>
  <c r="L272" i="65"/>
  <c r="L270" i="65" s="1"/>
  <c r="K272" i="65"/>
  <c r="J272" i="65"/>
  <c r="J270" i="65" s="1"/>
  <c r="J269" i="65" s="1"/>
  <c r="H272" i="65"/>
  <c r="G272" i="65"/>
  <c r="G270" i="65" s="1"/>
  <c r="G269" i="65" s="1"/>
  <c r="E272" i="65"/>
  <c r="D272" i="65"/>
  <c r="O271" i="65"/>
  <c r="L271" i="65"/>
  <c r="I271" i="65"/>
  <c r="F271" i="65"/>
  <c r="C271" i="65"/>
  <c r="K270" i="65"/>
  <c r="K269" i="65" s="1"/>
  <c r="H270" i="65"/>
  <c r="H269" i="65" s="1"/>
  <c r="E270" i="65"/>
  <c r="D270" i="65"/>
  <c r="O268" i="65"/>
  <c r="L268" i="65"/>
  <c r="L264" i="65" s="1"/>
  <c r="L259" i="65" s="1"/>
  <c r="I268" i="65"/>
  <c r="F268" i="65"/>
  <c r="O267" i="65"/>
  <c r="L267" i="65"/>
  <c r="C267" i="65" s="1"/>
  <c r="I267" i="65"/>
  <c r="F267" i="65"/>
  <c r="O266" i="65"/>
  <c r="L266" i="65"/>
  <c r="I266" i="65"/>
  <c r="F266" i="65"/>
  <c r="O265" i="65"/>
  <c r="L265" i="65"/>
  <c r="I265" i="65"/>
  <c r="F265" i="65"/>
  <c r="N264" i="65"/>
  <c r="M264" i="65"/>
  <c r="K264" i="65"/>
  <c r="J264" i="65"/>
  <c r="H264" i="65"/>
  <c r="H259" i="65" s="1"/>
  <c r="G264" i="65"/>
  <c r="E264" i="65"/>
  <c r="D264" i="65"/>
  <c r="O263" i="65"/>
  <c r="O260" i="65" s="1"/>
  <c r="L263" i="65"/>
  <c r="I263" i="65"/>
  <c r="F263" i="65"/>
  <c r="O262" i="65"/>
  <c r="L262" i="65"/>
  <c r="I262" i="65"/>
  <c r="F262" i="65"/>
  <c r="C262" i="65" s="1"/>
  <c r="O261" i="65"/>
  <c r="L261" i="65"/>
  <c r="I261" i="65"/>
  <c r="F261" i="65"/>
  <c r="N260" i="65"/>
  <c r="M260" i="65"/>
  <c r="L260" i="65"/>
  <c r="K260" i="65"/>
  <c r="J260" i="65"/>
  <c r="H260" i="65"/>
  <c r="G260" i="65"/>
  <c r="G259" i="65" s="1"/>
  <c r="F260" i="65"/>
  <c r="E260" i="65"/>
  <c r="D260" i="65"/>
  <c r="M259" i="65"/>
  <c r="K259" i="65"/>
  <c r="E259" i="65"/>
  <c r="D259" i="65"/>
  <c r="O258" i="65"/>
  <c r="L258" i="65"/>
  <c r="I258" i="65"/>
  <c r="F258" i="65"/>
  <c r="C258" i="65" s="1"/>
  <c r="O257" i="65"/>
  <c r="L257" i="65"/>
  <c r="I257" i="65"/>
  <c r="F257" i="65"/>
  <c r="O256" i="65"/>
  <c r="L256" i="65"/>
  <c r="I256" i="65"/>
  <c r="F256" i="65"/>
  <c r="O255" i="65"/>
  <c r="L255" i="65"/>
  <c r="I255" i="65"/>
  <c r="F255" i="65"/>
  <c r="C255" i="65" s="1"/>
  <c r="O254" i="65"/>
  <c r="L254" i="65"/>
  <c r="I254" i="65"/>
  <c r="F254" i="65"/>
  <c r="O253" i="65"/>
  <c r="L253" i="65"/>
  <c r="I253" i="65"/>
  <c r="F253" i="65"/>
  <c r="N252" i="65"/>
  <c r="N251" i="65" s="1"/>
  <c r="M252" i="65"/>
  <c r="K252" i="65"/>
  <c r="J252" i="65"/>
  <c r="J251" i="65" s="1"/>
  <c r="H252" i="65"/>
  <c r="G252" i="65"/>
  <c r="G251" i="65" s="1"/>
  <c r="F252" i="65"/>
  <c r="E252" i="65"/>
  <c r="D252" i="65"/>
  <c r="M251" i="65"/>
  <c r="K251" i="65"/>
  <c r="H251" i="65"/>
  <c r="E251" i="65"/>
  <c r="D251" i="65"/>
  <c r="O250" i="65"/>
  <c r="L250" i="65"/>
  <c r="I250" i="65"/>
  <c r="F250" i="65"/>
  <c r="O249" i="65"/>
  <c r="L249" i="65"/>
  <c r="I249" i="65"/>
  <c r="F249" i="65"/>
  <c r="O248" i="65"/>
  <c r="L248" i="65"/>
  <c r="I248" i="65"/>
  <c r="F248" i="65"/>
  <c r="O247" i="65"/>
  <c r="O246" i="65" s="1"/>
  <c r="L247" i="65"/>
  <c r="I247" i="65"/>
  <c r="F247" i="65"/>
  <c r="C247" i="65" s="1"/>
  <c r="N246" i="65"/>
  <c r="M246" i="65"/>
  <c r="K246" i="65"/>
  <c r="J246" i="65"/>
  <c r="H246" i="65"/>
  <c r="G246" i="65"/>
  <c r="E246" i="65"/>
  <c r="D246" i="65"/>
  <c r="O245" i="65"/>
  <c r="L245" i="65"/>
  <c r="I245" i="65"/>
  <c r="C245" i="65" s="1"/>
  <c r="F245" i="65"/>
  <c r="O244" i="65"/>
  <c r="L244" i="65"/>
  <c r="I244" i="65"/>
  <c r="F244" i="65"/>
  <c r="O243" i="65"/>
  <c r="L243" i="65"/>
  <c r="I243" i="65"/>
  <c r="F243" i="65"/>
  <c r="C243" i="65" s="1"/>
  <c r="O242" i="65"/>
  <c r="L242" i="65"/>
  <c r="I242" i="65"/>
  <c r="F242" i="65"/>
  <c r="O241" i="65"/>
  <c r="L241" i="65"/>
  <c r="I241" i="65"/>
  <c r="F241" i="65"/>
  <c r="O240" i="65"/>
  <c r="L240" i="65"/>
  <c r="I240" i="65"/>
  <c r="F240" i="65"/>
  <c r="O239" i="65"/>
  <c r="O238" i="65" s="1"/>
  <c r="L239" i="65"/>
  <c r="L238" i="65" s="1"/>
  <c r="I239" i="65"/>
  <c r="F239" i="65"/>
  <c r="N238" i="65"/>
  <c r="M238" i="65"/>
  <c r="K238" i="65"/>
  <c r="J238" i="65"/>
  <c r="J231" i="65" s="1"/>
  <c r="H238" i="65"/>
  <c r="G238" i="65"/>
  <c r="E238" i="65"/>
  <c r="D238" i="65"/>
  <c r="O237" i="65"/>
  <c r="L237" i="65"/>
  <c r="I237" i="65"/>
  <c r="F237" i="65"/>
  <c r="O236" i="65"/>
  <c r="L236" i="65"/>
  <c r="L235" i="65" s="1"/>
  <c r="I236" i="65"/>
  <c r="F236" i="65"/>
  <c r="F235" i="65" s="1"/>
  <c r="O235" i="65"/>
  <c r="N235" i="65"/>
  <c r="M235" i="65"/>
  <c r="K235" i="65"/>
  <c r="K231" i="65" s="1"/>
  <c r="K230" i="65" s="1"/>
  <c r="J235" i="65"/>
  <c r="H235" i="65"/>
  <c r="G235" i="65"/>
  <c r="E235" i="65"/>
  <c r="D235" i="65"/>
  <c r="O234" i="65"/>
  <c r="L234" i="65"/>
  <c r="L233" i="65" s="1"/>
  <c r="I234" i="65"/>
  <c r="I233" i="65" s="1"/>
  <c r="F234" i="65"/>
  <c r="O233" i="65"/>
  <c r="N233" i="65"/>
  <c r="N231" i="65" s="1"/>
  <c r="M233" i="65"/>
  <c r="M231" i="65" s="1"/>
  <c r="M230" i="65" s="1"/>
  <c r="K233" i="65"/>
  <c r="J233" i="65"/>
  <c r="H233" i="65"/>
  <c r="G233" i="65"/>
  <c r="E233" i="65"/>
  <c r="D233" i="65"/>
  <c r="O232" i="65"/>
  <c r="L232" i="65"/>
  <c r="I232" i="65"/>
  <c r="F232" i="65"/>
  <c r="O231" i="65"/>
  <c r="G231" i="65"/>
  <c r="O229" i="65"/>
  <c r="L229" i="65"/>
  <c r="I229" i="65"/>
  <c r="F229" i="65"/>
  <c r="O228" i="65"/>
  <c r="L228" i="65"/>
  <c r="L227" i="65" s="1"/>
  <c r="I228" i="65"/>
  <c r="I227" i="65" s="1"/>
  <c r="F228" i="65"/>
  <c r="C228" i="65" s="1"/>
  <c r="O227" i="65"/>
  <c r="N227" i="65"/>
  <c r="M227" i="65"/>
  <c r="K227" i="65"/>
  <c r="J227" i="65"/>
  <c r="H227" i="65"/>
  <c r="G227" i="65"/>
  <c r="E227" i="65"/>
  <c r="D227" i="65"/>
  <c r="O226" i="65"/>
  <c r="L226" i="65"/>
  <c r="I226" i="65"/>
  <c r="F226" i="65"/>
  <c r="C226" i="65" s="1"/>
  <c r="O225" i="65"/>
  <c r="L225" i="65"/>
  <c r="I225" i="65"/>
  <c r="F225" i="65"/>
  <c r="O224" i="65"/>
  <c r="L224" i="65"/>
  <c r="I224" i="65"/>
  <c r="F224" i="65"/>
  <c r="C224" i="65" s="1"/>
  <c r="O223" i="65"/>
  <c r="L223" i="65"/>
  <c r="I223" i="65"/>
  <c r="F223" i="65"/>
  <c r="C223" i="65" s="1"/>
  <c r="O222" i="65"/>
  <c r="L222" i="65"/>
  <c r="I222" i="65"/>
  <c r="F222" i="65"/>
  <c r="O221" i="65"/>
  <c r="L221" i="65"/>
  <c r="I221" i="65"/>
  <c r="C221" i="65" s="1"/>
  <c r="F221" i="65"/>
  <c r="O220" i="65"/>
  <c r="L220" i="65"/>
  <c r="I220" i="65"/>
  <c r="F220" i="65"/>
  <c r="O219" i="65"/>
  <c r="L219" i="65"/>
  <c r="I219" i="65"/>
  <c r="F219" i="65"/>
  <c r="C219" i="65" s="1"/>
  <c r="O218" i="65"/>
  <c r="L218" i="65"/>
  <c r="I218" i="65"/>
  <c r="F218" i="65"/>
  <c r="O217" i="65"/>
  <c r="L217" i="65"/>
  <c r="I217" i="65"/>
  <c r="F217" i="65"/>
  <c r="N216" i="65"/>
  <c r="N204" i="65" s="1"/>
  <c r="M216" i="65"/>
  <c r="K216" i="65"/>
  <c r="J216" i="65"/>
  <c r="H216" i="65"/>
  <c r="G216" i="65"/>
  <c r="E216" i="65"/>
  <c r="D216" i="65"/>
  <c r="O215" i="65"/>
  <c r="L215" i="65"/>
  <c r="C215" i="65" s="1"/>
  <c r="I215" i="65"/>
  <c r="F215" i="65"/>
  <c r="O214" i="65"/>
  <c r="L214" i="65"/>
  <c r="I214" i="65"/>
  <c r="F214" i="65"/>
  <c r="O213" i="65"/>
  <c r="L213" i="65"/>
  <c r="I213" i="65"/>
  <c r="F213" i="65"/>
  <c r="O212" i="65"/>
  <c r="L212" i="65"/>
  <c r="I212" i="65"/>
  <c r="F212" i="65"/>
  <c r="O211" i="65"/>
  <c r="C211" i="65" s="1"/>
  <c r="L211" i="65"/>
  <c r="I211" i="65"/>
  <c r="F211" i="65"/>
  <c r="O210" i="65"/>
  <c r="L210" i="65"/>
  <c r="I210" i="65"/>
  <c r="F210" i="65"/>
  <c r="C210" i="65" s="1"/>
  <c r="O209" i="65"/>
  <c r="L209" i="65"/>
  <c r="I209" i="65"/>
  <c r="F209" i="65"/>
  <c r="O208" i="65"/>
  <c r="L208" i="65"/>
  <c r="I208" i="65"/>
  <c r="F208" i="65"/>
  <c r="C208" i="65" s="1"/>
  <c r="O207" i="65"/>
  <c r="L207" i="65"/>
  <c r="I207" i="65"/>
  <c r="F207" i="65"/>
  <c r="C207" i="65" s="1"/>
  <c r="O206" i="65"/>
  <c r="L206" i="65"/>
  <c r="I206" i="65"/>
  <c r="F206" i="65"/>
  <c r="N205" i="65"/>
  <c r="M205" i="65"/>
  <c r="K205" i="65"/>
  <c r="J205" i="65"/>
  <c r="H205" i="65"/>
  <c r="G205" i="65"/>
  <c r="E205" i="65"/>
  <c r="E204" i="65" s="1"/>
  <c r="E195" i="65" s="1"/>
  <c r="D205" i="65"/>
  <c r="H204" i="65"/>
  <c r="D204" i="65"/>
  <c r="O203" i="65"/>
  <c r="L203" i="65"/>
  <c r="I203" i="65"/>
  <c r="F203" i="65"/>
  <c r="C203" i="65" s="1"/>
  <c r="O202" i="65"/>
  <c r="L202" i="65"/>
  <c r="I202" i="65"/>
  <c r="F202" i="65"/>
  <c r="O201" i="65"/>
  <c r="L201" i="65"/>
  <c r="I201" i="65"/>
  <c r="C201" i="65" s="1"/>
  <c r="F201" i="65"/>
  <c r="O200" i="65"/>
  <c r="L200" i="65"/>
  <c r="I200" i="65"/>
  <c r="F200" i="65"/>
  <c r="O199" i="65"/>
  <c r="O198" i="65" s="1"/>
  <c r="L199" i="65"/>
  <c r="L198" i="65" s="1"/>
  <c r="L196" i="65" s="1"/>
  <c r="I199" i="65"/>
  <c r="I198" i="65" s="1"/>
  <c r="F199" i="65"/>
  <c r="N198" i="65"/>
  <c r="N196" i="65" s="1"/>
  <c r="M198" i="65"/>
  <c r="M196" i="65" s="1"/>
  <c r="K198" i="65"/>
  <c r="J198" i="65"/>
  <c r="H198" i="65"/>
  <c r="H196" i="65" s="1"/>
  <c r="H195" i="65" s="1"/>
  <c r="G198" i="65"/>
  <c r="F198" i="65"/>
  <c r="E198" i="65"/>
  <c r="D198" i="65"/>
  <c r="D196" i="65" s="1"/>
  <c r="D195" i="65" s="1"/>
  <c r="O197" i="65"/>
  <c r="L197" i="65"/>
  <c r="I197" i="65"/>
  <c r="F197" i="65"/>
  <c r="F196" i="65" s="1"/>
  <c r="K196" i="65"/>
  <c r="J196" i="65"/>
  <c r="G196" i="65"/>
  <c r="E196" i="65"/>
  <c r="O193" i="65"/>
  <c r="L193" i="65"/>
  <c r="I193" i="65"/>
  <c r="I192" i="65" s="1"/>
  <c r="I191" i="65" s="1"/>
  <c r="F193" i="65"/>
  <c r="O192" i="65"/>
  <c r="O191" i="65" s="1"/>
  <c r="N192" i="65"/>
  <c r="N191" i="65" s="1"/>
  <c r="M192" i="65"/>
  <c r="L192" i="65"/>
  <c r="L191" i="65" s="1"/>
  <c r="K192" i="65"/>
  <c r="K191" i="65" s="1"/>
  <c r="J192" i="65"/>
  <c r="J191" i="65" s="1"/>
  <c r="H192" i="65"/>
  <c r="G192" i="65"/>
  <c r="F192" i="65"/>
  <c r="F191" i="65" s="1"/>
  <c r="C191" i="65" s="1"/>
  <c r="E192" i="65"/>
  <c r="D192" i="65"/>
  <c r="M191" i="65"/>
  <c r="H191" i="65"/>
  <c r="G191" i="65"/>
  <c r="E191" i="65"/>
  <c r="D191" i="65"/>
  <c r="D187" i="65" s="1"/>
  <c r="O190" i="65"/>
  <c r="O188" i="65" s="1"/>
  <c r="L190" i="65"/>
  <c r="I190" i="65"/>
  <c r="F190" i="65"/>
  <c r="C190" i="65"/>
  <c r="O189" i="65"/>
  <c r="L189" i="65"/>
  <c r="L188" i="65" s="1"/>
  <c r="I189" i="65"/>
  <c r="I188" i="65" s="1"/>
  <c r="I187" i="65" s="1"/>
  <c r="F189" i="65"/>
  <c r="N188" i="65"/>
  <c r="M188" i="65"/>
  <c r="K188" i="65"/>
  <c r="J188" i="65"/>
  <c r="J187" i="65" s="1"/>
  <c r="H188" i="65"/>
  <c r="G188" i="65"/>
  <c r="E188" i="65"/>
  <c r="E187" i="65" s="1"/>
  <c r="D188" i="65"/>
  <c r="N187" i="65"/>
  <c r="H187" i="65"/>
  <c r="O186" i="65"/>
  <c r="L186" i="65"/>
  <c r="I186" i="65"/>
  <c r="C186" i="65" s="1"/>
  <c r="F186" i="65"/>
  <c r="O185" i="65"/>
  <c r="L185" i="65"/>
  <c r="L184" i="65" s="1"/>
  <c r="I185" i="65"/>
  <c r="F185" i="65"/>
  <c r="N184" i="65"/>
  <c r="M184" i="65"/>
  <c r="K184" i="65"/>
  <c r="J184" i="65"/>
  <c r="H184" i="65"/>
  <c r="G184" i="65"/>
  <c r="E184" i="65"/>
  <c r="D184" i="65"/>
  <c r="O183" i="65"/>
  <c r="L183" i="65"/>
  <c r="I183" i="65"/>
  <c r="F183" i="65"/>
  <c r="O182" i="65"/>
  <c r="L182" i="65"/>
  <c r="I182" i="65"/>
  <c r="F182" i="65"/>
  <c r="C182" i="65"/>
  <c r="O181" i="65"/>
  <c r="L181" i="65"/>
  <c r="I181" i="65"/>
  <c r="F181" i="65"/>
  <c r="C181" i="65" s="1"/>
  <c r="O180" i="65"/>
  <c r="L180" i="65"/>
  <c r="I180" i="65"/>
  <c r="F180" i="65"/>
  <c r="F179" i="65" s="1"/>
  <c r="N179" i="65"/>
  <c r="M179" i="65"/>
  <c r="K179" i="65"/>
  <c r="K174" i="65" s="1"/>
  <c r="K173" i="65" s="1"/>
  <c r="J179" i="65"/>
  <c r="H179" i="65"/>
  <c r="G179" i="65"/>
  <c r="E179" i="65"/>
  <c r="D179" i="65"/>
  <c r="O178" i="65"/>
  <c r="L178" i="65"/>
  <c r="I178" i="65"/>
  <c r="F178" i="65"/>
  <c r="C178" i="65" s="1"/>
  <c r="O177" i="65"/>
  <c r="L177" i="65"/>
  <c r="I177" i="65"/>
  <c r="F177" i="65"/>
  <c r="O176" i="65"/>
  <c r="L176" i="65"/>
  <c r="L175" i="65" s="1"/>
  <c r="I176" i="65"/>
  <c r="F176" i="65"/>
  <c r="N175" i="65"/>
  <c r="N174" i="65" s="1"/>
  <c r="N173" i="65" s="1"/>
  <c r="M175" i="65"/>
  <c r="M174" i="65" s="1"/>
  <c r="M173" i="65" s="1"/>
  <c r="K175" i="65"/>
  <c r="J175" i="65"/>
  <c r="H175" i="65"/>
  <c r="H174" i="65" s="1"/>
  <c r="H173" i="65" s="1"/>
  <c r="G175" i="65"/>
  <c r="F175" i="65"/>
  <c r="E175" i="65"/>
  <c r="D175" i="65"/>
  <c r="D174" i="65" s="1"/>
  <c r="D173" i="65" s="1"/>
  <c r="G174" i="65"/>
  <c r="G173" i="65" s="1"/>
  <c r="E174" i="65"/>
  <c r="O172" i="65"/>
  <c r="L172" i="65"/>
  <c r="I172" i="65"/>
  <c r="F172" i="65"/>
  <c r="O171" i="65"/>
  <c r="L171" i="65"/>
  <c r="I171" i="65"/>
  <c r="F171" i="65"/>
  <c r="O170" i="65"/>
  <c r="L170" i="65"/>
  <c r="C170" i="65" s="1"/>
  <c r="I170" i="65"/>
  <c r="F170" i="65"/>
  <c r="O169" i="65"/>
  <c r="L169" i="65"/>
  <c r="I169" i="65"/>
  <c r="F169" i="65"/>
  <c r="O168" i="65"/>
  <c r="L168" i="65"/>
  <c r="I168" i="65"/>
  <c r="F168" i="65"/>
  <c r="O167" i="65"/>
  <c r="L167" i="65"/>
  <c r="I167" i="65"/>
  <c r="F167" i="65"/>
  <c r="F166" i="65" s="1"/>
  <c r="N166" i="65"/>
  <c r="M166" i="65"/>
  <c r="M165" i="65" s="1"/>
  <c r="K166" i="65"/>
  <c r="K165" i="65" s="1"/>
  <c r="J166" i="65"/>
  <c r="J165" i="65" s="1"/>
  <c r="H166" i="65"/>
  <c r="H165" i="65" s="1"/>
  <c r="G166" i="65"/>
  <c r="G165" i="65" s="1"/>
  <c r="E166" i="65"/>
  <c r="E165" i="65" s="1"/>
  <c r="D166" i="65"/>
  <c r="N165" i="65"/>
  <c r="D165" i="65"/>
  <c r="O164" i="65"/>
  <c r="L164" i="65"/>
  <c r="I164" i="65"/>
  <c r="F164" i="65"/>
  <c r="O163" i="65"/>
  <c r="L163" i="65"/>
  <c r="I163" i="65"/>
  <c r="F163" i="65"/>
  <c r="O162" i="65"/>
  <c r="O160" i="65" s="1"/>
  <c r="L162" i="65"/>
  <c r="I162" i="65"/>
  <c r="F162" i="65"/>
  <c r="C162" i="65" s="1"/>
  <c r="O161" i="65"/>
  <c r="L161" i="65"/>
  <c r="L160" i="65" s="1"/>
  <c r="I161" i="65"/>
  <c r="I160" i="65" s="1"/>
  <c r="F161" i="65"/>
  <c r="N160" i="65"/>
  <c r="M160" i="65"/>
  <c r="K160" i="65"/>
  <c r="J160" i="65"/>
  <c r="H160" i="65"/>
  <c r="G160" i="65"/>
  <c r="G130" i="65" s="1"/>
  <c r="E160" i="65"/>
  <c r="D160" i="65"/>
  <c r="O159" i="65"/>
  <c r="L159" i="65"/>
  <c r="I159" i="65"/>
  <c r="F159" i="65"/>
  <c r="O158" i="65"/>
  <c r="L158" i="65"/>
  <c r="C158" i="65" s="1"/>
  <c r="I158" i="65"/>
  <c r="F158" i="65"/>
  <c r="O157" i="65"/>
  <c r="L157" i="65"/>
  <c r="I157" i="65"/>
  <c r="F157" i="65"/>
  <c r="O156" i="65"/>
  <c r="L156" i="65"/>
  <c r="I156" i="65"/>
  <c r="F156" i="65"/>
  <c r="O155" i="65"/>
  <c r="L155" i="65"/>
  <c r="I155" i="65"/>
  <c r="F155" i="65"/>
  <c r="O154" i="65"/>
  <c r="L154" i="65"/>
  <c r="I154" i="65"/>
  <c r="F154" i="65"/>
  <c r="C154" i="65"/>
  <c r="O153" i="65"/>
  <c r="L153" i="65"/>
  <c r="I153" i="65"/>
  <c r="F153" i="65"/>
  <c r="C153" i="65" s="1"/>
  <c r="O152" i="65"/>
  <c r="L152" i="65"/>
  <c r="I152" i="65"/>
  <c r="F152" i="65"/>
  <c r="F151" i="65" s="1"/>
  <c r="N151" i="65"/>
  <c r="M151" i="65"/>
  <c r="K151" i="65"/>
  <c r="J151" i="65"/>
  <c r="H151" i="65"/>
  <c r="G151" i="65"/>
  <c r="E151" i="65"/>
  <c r="D151" i="65"/>
  <c r="O150" i="65"/>
  <c r="L150" i="65"/>
  <c r="I150" i="65"/>
  <c r="F150" i="65"/>
  <c r="C150" i="65" s="1"/>
  <c r="O149" i="65"/>
  <c r="L149" i="65"/>
  <c r="I149" i="65"/>
  <c r="F149" i="65"/>
  <c r="O148" i="65"/>
  <c r="L148" i="65"/>
  <c r="I148" i="65"/>
  <c r="F148" i="65"/>
  <c r="O147" i="65"/>
  <c r="L147" i="65"/>
  <c r="I147" i="65"/>
  <c r="F147" i="65"/>
  <c r="O146" i="65"/>
  <c r="L146" i="65"/>
  <c r="C146" i="65" s="1"/>
  <c r="I146" i="65"/>
  <c r="F146" i="65"/>
  <c r="O145" i="65"/>
  <c r="L145" i="65"/>
  <c r="I145" i="65"/>
  <c r="F145" i="65"/>
  <c r="N144" i="65"/>
  <c r="M144" i="65"/>
  <c r="K144" i="65"/>
  <c r="J144" i="65"/>
  <c r="H144" i="65"/>
  <c r="G144" i="65"/>
  <c r="E144" i="65"/>
  <c r="D144" i="65"/>
  <c r="O143" i="65"/>
  <c r="L143" i="65"/>
  <c r="I143" i="65"/>
  <c r="F143" i="65"/>
  <c r="O142" i="65"/>
  <c r="O141" i="65" s="1"/>
  <c r="L142" i="65"/>
  <c r="I142" i="65"/>
  <c r="I141" i="65" s="1"/>
  <c r="F142" i="65"/>
  <c r="N141" i="65"/>
  <c r="M141" i="65"/>
  <c r="K141" i="65"/>
  <c r="J141" i="65"/>
  <c r="H141" i="65"/>
  <c r="G141" i="65"/>
  <c r="F141" i="65"/>
  <c r="E141" i="65"/>
  <c r="D141" i="65"/>
  <c r="O140" i="65"/>
  <c r="L140" i="65"/>
  <c r="I140" i="65"/>
  <c r="C140" i="65" s="1"/>
  <c r="F140" i="65"/>
  <c r="O139" i="65"/>
  <c r="L139" i="65"/>
  <c r="I139" i="65"/>
  <c r="F139" i="65"/>
  <c r="O138" i="65"/>
  <c r="L138" i="65"/>
  <c r="I138" i="65"/>
  <c r="C138" i="65" s="1"/>
  <c r="F138" i="65"/>
  <c r="O137" i="65"/>
  <c r="L137" i="65"/>
  <c r="I137" i="65"/>
  <c r="F137" i="65"/>
  <c r="N136" i="65"/>
  <c r="M136" i="65"/>
  <c r="K136" i="65"/>
  <c r="J136" i="65"/>
  <c r="H136" i="65"/>
  <c r="G136" i="65"/>
  <c r="E136" i="65"/>
  <c r="D136" i="65"/>
  <c r="O135" i="65"/>
  <c r="L135" i="65"/>
  <c r="I135" i="65"/>
  <c r="F135" i="65"/>
  <c r="O134" i="65"/>
  <c r="C134" i="65" s="1"/>
  <c r="L134" i="65"/>
  <c r="I134" i="65"/>
  <c r="F134" i="65"/>
  <c r="O133" i="65"/>
  <c r="L133" i="65"/>
  <c r="I133" i="65"/>
  <c r="F133" i="65"/>
  <c r="C133" i="65" s="1"/>
  <c r="O132" i="65"/>
  <c r="L132" i="65"/>
  <c r="I132" i="65"/>
  <c r="F132" i="65"/>
  <c r="F131" i="65" s="1"/>
  <c r="N131" i="65"/>
  <c r="M131" i="65"/>
  <c r="K131" i="65"/>
  <c r="K130" i="65" s="1"/>
  <c r="J131" i="65"/>
  <c r="J130" i="65" s="1"/>
  <c r="H131" i="65"/>
  <c r="G131" i="65"/>
  <c r="E131" i="65"/>
  <c r="D131" i="65"/>
  <c r="O129" i="65"/>
  <c r="L129" i="65"/>
  <c r="L128" i="65" s="1"/>
  <c r="I129" i="65"/>
  <c r="F129" i="65"/>
  <c r="O128" i="65"/>
  <c r="N128" i="65"/>
  <c r="M128" i="65"/>
  <c r="K128" i="65"/>
  <c r="J128" i="65"/>
  <c r="I128" i="65"/>
  <c r="H128" i="65"/>
  <c r="G128" i="65"/>
  <c r="E128" i="65"/>
  <c r="D128" i="65"/>
  <c r="O127" i="65"/>
  <c r="L127" i="65"/>
  <c r="I127" i="65"/>
  <c r="F127" i="65"/>
  <c r="O126" i="65"/>
  <c r="L126" i="65"/>
  <c r="I126" i="65"/>
  <c r="F126" i="65"/>
  <c r="O125" i="65"/>
  <c r="L125" i="65"/>
  <c r="I125" i="65"/>
  <c r="F125" i="65"/>
  <c r="O124" i="65"/>
  <c r="L124" i="65"/>
  <c r="I124" i="65"/>
  <c r="C124" i="65" s="1"/>
  <c r="F124" i="65"/>
  <c r="O123" i="65"/>
  <c r="L123" i="65"/>
  <c r="I123" i="65"/>
  <c r="F123" i="65"/>
  <c r="O122" i="65"/>
  <c r="N122" i="65"/>
  <c r="M122" i="65"/>
  <c r="K122" i="65"/>
  <c r="J122" i="65"/>
  <c r="H122" i="65"/>
  <c r="G122" i="65"/>
  <c r="E122" i="65"/>
  <c r="D122" i="65"/>
  <c r="O121" i="65"/>
  <c r="L121" i="65"/>
  <c r="I121" i="65"/>
  <c r="F121" i="65"/>
  <c r="O120" i="65"/>
  <c r="L120" i="65"/>
  <c r="I120" i="65"/>
  <c r="F120" i="65"/>
  <c r="O119" i="65"/>
  <c r="L119" i="65"/>
  <c r="I119" i="65"/>
  <c r="F119" i="65"/>
  <c r="O118" i="65"/>
  <c r="L118" i="65"/>
  <c r="C118" i="65" s="1"/>
  <c r="I118" i="65"/>
  <c r="F118" i="65"/>
  <c r="O117" i="65"/>
  <c r="L117" i="65"/>
  <c r="I117" i="65"/>
  <c r="F117" i="65"/>
  <c r="N116" i="65"/>
  <c r="M116" i="65"/>
  <c r="K116" i="65"/>
  <c r="J116" i="65"/>
  <c r="H116" i="65"/>
  <c r="G116" i="65"/>
  <c r="E116" i="65"/>
  <c r="D116" i="65"/>
  <c r="O115" i="65"/>
  <c r="L115" i="65"/>
  <c r="I115" i="65"/>
  <c r="F115" i="65"/>
  <c r="O114" i="65"/>
  <c r="O112" i="65" s="1"/>
  <c r="L114" i="65"/>
  <c r="I114" i="65"/>
  <c r="F114" i="65"/>
  <c r="C114" i="65"/>
  <c r="O113" i="65"/>
  <c r="L113" i="65"/>
  <c r="I113" i="65"/>
  <c r="I112" i="65" s="1"/>
  <c r="F113" i="65"/>
  <c r="N112" i="65"/>
  <c r="M112" i="65"/>
  <c r="K112" i="65"/>
  <c r="J112" i="65"/>
  <c r="H112" i="65"/>
  <c r="G112" i="65"/>
  <c r="E112" i="65"/>
  <c r="D112" i="65"/>
  <c r="O111" i="65"/>
  <c r="L111" i="65"/>
  <c r="I111" i="65"/>
  <c r="F111" i="65"/>
  <c r="O110" i="65"/>
  <c r="L110" i="65"/>
  <c r="I110" i="65"/>
  <c r="F110" i="65"/>
  <c r="C110" i="65" s="1"/>
  <c r="O109" i="65"/>
  <c r="L109" i="65"/>
  <c r="I109" i="65"/>
  <c r="F109" i="65"/>
  <c r="O108" i="65"/>
  <c r="L108" i="65"/>
  <c r="C108" i="65" s="1"/>
  <c r="I108" i="65"/>
  <c r="F108" i="65"/>
  <c r="O107" i="65"/>
  <c r="L107" i="65"/>
  <c r="I107" i="65"/>
  <c r="F107" i="65"/>
  <c r="O106" i="65"/>
  <c r="L106" i="65"/>
  <c r="I106" i="65"/>
  <c r="F106" i="65"/>
  <c r="O105" i="65"/>
  <c r="L105" i="65"/>
  <c r="I105" i="65"/>
  <c r="F105" i="65"/>
  <c r="O104" i="65"/>
  <c r="L104" i="65"/>
  <c r="I104" i="65"/>
  <c r="F104" i="65"/>
  <c r="F103" i="65" s="1"/>
  <c r="N103" i="65"/>
  <c r="M103" i="65"/>
  <c r="K103" i="65"/>
  <c r="J103" i="65"/>
  <c r="H103" i="65"/>
  <c r="G103" i="65"/>
  <c r="E103" i="65"/>
  <c r="D103" i="65"/>
  <c r="O102" i="65"/>
  <c r="L102" i="65"/>
  <c r="I102" i="65"/>
  <c r="F102" i="65"/>
  <c r="O101" i="65"/>
  <c r="L101" i="65"/>
  <c r="I101" i="65"/>
  <c r="F101" i="65"/>
  <c r="C101" i="65" s="1"/>
  <c r="O100" i="65"/>
  <c r="L100" i="65"/>
  <c r="I100" i="65"/>
  <c r="F100" i="65"/>
  <c r="O99" i="65"/>
  <c r="L99" i="65"/>
  <c r="I99" i="65"/>
  <c r="F99" i="65"/>
  <c r="O98" i="65"/>
  <c r="L98" i="65"/>
  <c r="I98" i="65"/>
  <c r="F98" i="65"/>
  <c r="O97" i="65"/>
  <c r="L97" i="65"/>
  <c r="I97" i="65"/>
  <c r="F97" i="65"/>
  <c r="O96" i="65"/>
  <c r="L96" i="65"/>
  <c r="I96" i="65"/>
  <c r="F96" i="65"/>
  <c r="C96" i="65" s="1"/>
  <c r="N95" i="65"/>
  <c r="M95" i="65"/>
  <c r="M83" i="65" s="1"/>
  <c r="K95" i="65"/>
  <c r="J95" i="65"/>
  <c r="H95" i="65"/>
  <c r="G95" i="65"/>
  <c r="E95" i="65"/>
  <c r="D95" i="65"/>
  <c r="O94" i="65"/>
  <c r="L94" i="65"/>
  <c r="C94" i="65" s="1"/>
  <c r="I94" i="65"/>
  <c r="F94" i="65"/>
  <c r="O93" i="65"/>
  <c r="L93" i="65"/>
  <c r="I93" i="65"/>
  <c r="F93" i="65"/>
  <c r="O92" i="65"/>
  <c r="L92" i="65"/>
  <c r="I92" i="65"/>
  <c r="F92" i="65"/>
  <c r="O91" i="65"/>
  <c r="L91" i="65"/>
  <c r="I91" i="65"/>
  <c r="F91" i="65"/>
  <c r="O90" i="65"/>
  <c r="L90" i="65"/>
  <c r="I90" i="65"/>
  <c r="I89" i="65" s="1"/>
  <c r="F90" i="65"/>
  <c r="N89" i="65"/>
  <c r="M89" i="65"/>
  <c r="K89" i="65"/>
  <c r="J89" i="65"/>
  <c r="H89" i="65"/>
  <c r="G89" i="65"/>
  <c r="E89" i="65"/>
  <c r="D89" i="65"/>
  <c r="O88" i="65"/>
  <c r="L88" i="65"/>
  <c r="I88" i="65"/>
  <c r="F88" i="65"/>
  <c r="O87" i="65"/>
  <c r="L87" i="65"/>
  <c r="I87" i="65"/>
  <c r="F87" i="65"/>
  <c r="O86" i="65"/>
  <c r="L86" i="65"/>
  <c r="I86" i="65"/>
  <c r="F86" i="65"/>
  <c r="O85" i="65"/>
  <c r="O84" i="65" s="1"/>
  <c r="L85" i="65"/>
  <c r="I85" i="65"/>
  <c r="I84" i="65" s="1"/>
  <c r="F85" i="65"/>
  <c r="C85" i="65"/>
  <c r="N84" i="65"/>
  <c r="M84" i="65"/>
  <c r="L84" i="65"/>
  <c r="K84" i="65"/>
  <c r="J84" i="65"/>
  <c r="H84" i="65"/>
  <c r="G84" i="65"/>
  <c r="E84" i="65"/>
  <c r="D84" i="65"/>
  <c r="O82" i="65"/>
  <c r="L82" i="65"/>
  <c r="I82" i="65"/>
  <c r="F82" i="65"/>
  <c r="O81" i="65"/>
  <c r="O80" i="65" s="1"/>
  <c r="L81" i="65"/>
  <c r="L80" i="65" s="1"/>
  <c r="L76" i="65" s="1"/>
  <c r="I81" i="65"/>
  <c r="I80" i="65" s="1"/>
  <c r="F81" i="65"/>
  <c r="N80" i="65"/>
  <c r="M80" i="65"/>
  <c r="K80" i="65"/>
  <c r="J80" i="65"/>
  <c r="H80" i="65"/>
  <c r="G80" i="65"/>
  <c r="F80" i="65"/>
  <c r="E80" i="65"/>
  <c r="D80" i="65"/>
  <c r="O79" i="65"/>
  <c r="L79" i="65"/>
  <c r="I79" i="65"/>
  <c r="F79" i="65"/>
  <c r="O78" i="65"/>
  <c r="L78" i="65"/>
  <c r="L77" i="65" s="1"/>
  <c r="I78" i="65"/>
  <c r="I77" i="65" s="1"/>
  <c r="F78" i="65"/>
  <c r="O77" i="65"/>
  <c r="N77" i="65"/>
  <c r="M77" i="65"/>
  <c r="M76" i="65" s="1"/>
  <c r="K77" i="65"/>
  <c r="J77" i="65"/>
  <c r="H77" i="65"/>
  <c r="G77" i="65"/>
  <c r="G76" i="65" s="1"/>
  <c r="F77" i="65"/>
  <c r="E77" i="65"/>
  <c r="D77" i="65"/>
  <c r="O74" i="65"/>
  <c r="L74" i="65"/>
  <c r="I74" i="65"/>
  <c r="F74" i="65"/>
  <c r="C74" i="65" s="1"/>
  <c r="O73" i="65"/>
  <c r="L73" i="65"/>
  <c r="I73" i="65"/>
  <c r="F73" i="65"/>
  <c r="C73" i="65" s="1"/>
  <c r="O72" i="65"/>
  <c r="L72" i="65"/>
  <c r="I72" i="65"/>
  <c r="F72" i="65"/>
  <c r="O71" i="65"/>
  <c r="L71" i="65"/>
  <c r="I71" i="65"/>
  <c r="F71" i="65"/>
  <c r="O70" i="65"/>
  <c r="L70" i="65"/>
  <c r="L69" i="65" s="1"/>
  <c r="I70" i="65"/>
  <c r="I69" i="65" s="1"/>
  <c r="F70" i="65"/>
  <c r="N69" i="65"/>
  <c r="N67" i="65" s="1"/>
  <c r="M69" i="65"/>
  <c r="M67" i="65" s="1"/>
  <c r="K69" i="65"/>
  <c r="K67" i="65" s="1"/>
  <c r="J69" i="65"/>
  <c r="J67" i="65" s="1"/>
  <c r="H69" i="65"/>
  <c r="G69" i="65"/>
  <c r="G67" i="65" s="1"/>
  <c r="E69" i="65"/>
  <c r="E67" i="65" s="1"/>
  <c r="D69" i="65"/>
  <c r="O68" i="65"/>
  <c r="L68" i="65"/>
  <c r="I68" i="65"/>
  <c r="I67" i="65" s="1"/>
  <c r="F68" i="65"/>
  <c r="H67" i="65"/>
  <c r="D67" i="65"/>
  <c r="O66" i="65"/>
  <c r="L66" i="65"/>
  <c r="I66" i="65"/>
  <c r="F66" i="65"/>
  <c r="O65" i="65"/>
  <c r="L65" i="65"/>
  <c r="C65" i="65" s="1"/>
  <c r="I65" i="65"/>
  <c r="F65" i="65"/>
  <c r="O64" i="65"/>
  <c r="L64" i="65"/>
  <c r="I64" i="65"/>
  <c r="F64" i="65"/>
  <c r="O63" i="65"/>
  <c r="L63" i="65"/>
  <c r="I63" i="65"/>
  <c r="F63" i="65"/>
  <c r="O62" i="65"/>
  <c r="L62" i="65"/>
  <c r="I62" i="65"/>
  <c r="F62" i="65"/>
  <c r="O61" i="65"/>
  <c r="L61" i="65"/>
  <c r="I61" i="65"/>
  <c r="F61" i="65"/>
  <c r="C61" i="65"/>
  <c r="O60" i="65"/>
  <c r="L60" i="65"/>
  <c r="I60" i="65"/>
  <c r="F60" i="65"/>
  <c r="C60" i="65" s="1"/>
  <c r="O59" i="65"/>
  <c r="L59" i="65"/>
  <c r="I59" i="65"/>
  <c r="I58" i="65" s="1"/>
  <c r="F59" i="65"/>
  <c r="F58" i="65" s="1"/>
  <c r="N58" i="65"/>
  <c r="M58" i="65"/>
  <c r="K58" i="65"/>
  <c r="J58" i="65"/>
  <c r="H58" i="65"/>
  <c r="G58" i="65"/>
  <c r="E58" i="65"/>
  <c r="D58" i="65"/>
  <c r="O57" i="65"/>
  <c r="L57" i="65"/>
  <c r="I57" i="65"/>
  <c r="F57" i="65"/>
  <c r="C57" i="65" s="1"/>
  <c r="O56" i="65"/>
  <c r="O55" i="65" s="1"/>
  <c r="L56" i="65"/>
  <c r="L55" i="65" s="1"/>
  <c r="I56" i="65"/>
  <c r="F56" i="65"/>
  <c r="N55" i="65"/>
  <c r="M55" i="65"/>
  <c r="M54" i="65" s="1"/>
  <c r="K55" i="65"/>
  <c r="J55" i="65"/>
  <c r="J54" i="65" s="1"/>
  <c r="J53" i="65" s="1"/>
  <c r="I55" i="65"/>
  <c r="H55" i="65"/>
  <c r="H54" i="65" s="1"/>
  <c r="G55" i="65"/>
  <c r="G54" i="65" s="1"/>
  <c r="E55" i="65"/>
  <c r="D55" i="65"/>
  <c r="D54" i="65" s="1"/>
  <c r="D53" i="65" s="1"/>
  <c r="N54" i="65"/>
  <c r="N53" i="65" s="1"/>
  <c r="G53" i="65"/>
  <c r="O47" i="65"/>
  <c r="C47" i="65" s="1"/>
  <c r="O46" i="65"/>
  <c r="C46" i="65" s="1"/>
  <c r="N45" i="65"/>
  <c r="M45" i="65"/>
  <c r="M20" i="65" s="1"/>
  <c r="L44" i="65"/>
  <c r="I44" i="65"/>
  <c r="I43" i="65" s="1"/>
  <c r="F44" i="65"/>
  <c r="L43" i="65"/>
  <c r="K43" i="65"/>
  <c r="J43" i="65"/>
  <c r="H43" i="65"/>
  <c r="G43" i="65"/>
  <c r="F43" i="65"/>
  <c r="E43" i="65"/>
  <c r="D43" i="65"/>
  <c r="F42" i="65"/>
  <c r="C42" i="65" s="1"/>
  <c r="E41" i="65"/>
  <c r="D41" i="65"/>
  <c r="L40" i="65"/>
  <c r="C40" i="65" s="1"/>
  <c r="L39" i="65"/>
  <c r="C39" i="65" s="1"/>
  <c r="L38" i="65"/>
  <c r="C38" i="65" s="1"/>
  <c r="L37" i="65"/>
  <c r="C37" i="65" s="1"/>
  <c r="L36" i="65"/>
  <c r="C36" i="65" s="1"/>
  <c r="K36" i="65"/>
  <c r="J36" i="65"/>
  <c r="L35" i="65"/>
  <c r="C35" i="65" s="1"/>
  <c r="L34" i="65"/>
  <c r="C34" i="65" s="1"/>
  <c r="K33" i="65"/>
  <c r="J33" i="65"/>
  <c r="L32" i="65"/>
  <c r="K31" i="65"/>
  <c r="J31" i="65"/>
  <c r="L30" i="65"/>
  <c r="C30" i="65" s="1"/>
  <c r="L29" i="65"/>
  <c r="C29" i="65" s="1"/>
  <c r="L28" i="65"/>
  <c r="C28" i="65" s="1"/>
  <c r="K27" i="65"/>
  <c r="J27" i="65"/>
  <c r="K26" i="65"/>
  <c r="F25" i="65"/>
  <c r="C25" i="65" s="1"/>
  <c r="I24" i="65"/>
  <c r="F24" i="65"/>
  <c r="O23" i="65"/>
  <c r="L23" i="65"/>
  <c r="I23" i="65"/>
  <c r="F23" i="65"/>
  <c r="O22" i="65"/>
  <c r="L22" i="65"/>
  <c r="L21" i="65" s="1"/>
  <c r="L292" i="65" s="1"/>
  <c r="I22" i="65"/>
  <c r="I21" i="65" s="1"/>
  <c r="F22" i="65"/>
  <c r="O21" i="65"/>
  <c r="N21" i="65"/>
  <c r="N292" i="65" s="1"/>
  <c r="N291" i="65" s="1"/>
  <c r="M21" i="65"/>
  <c r="M292" i="65" s="1"/>
  <c r="K21" i="65"/>
  <c r="J21" i="65"/>
  <c r="J292" i="65" s="1"/>
  <c r="J291" i="65" s="1"/>
  <c r="H21" i="65"/>
  <c r="H292" i="65" s="1"/>
  <c r="H291" i="65" s="1"/>
  <c r="G21" i="65"/>
  <c r="F21" i="65"/>
  <c r="E21" i="65"/>
  <c r="E292" i="65" s="1"/>
  <c r="E291" i="65" s="1"/>
  <c r="D21" i="65"/>
  <c r="D292" i="65" s="1"/>
  <c r="D291" i="65" s="1"/>
  <c r="G20" i="65"/>
  <c r="D20" i="65"/>
  <c r="L269" i="65" l="1"/>
  <c r="G204" i="65"/>
  <c r="G195" i="65" s="1"/>
  <c r="H20" i="65"/>
  <c r="F292" i="65"/>
  <c r="C23" i="65"/>
  <c r="E54" i="65"/>
  <c r="C63" i="65"/>
  <c r="C64" i="65"/>
  <c r="L67" i="65"/>
  <c r="N76" i="65"/>
  <c r="C77" i="65"/>
  <c r="C81" i="65"/>
  <c r="G83" i="65"/>
  <c r="C86" i="65"/>
  <c r="C87" i="65"/>
  <c r="C88" i="65"/>
  <c r="C92" i="65"/>
  <c r="O89" i="65"/>
  <c r="L95" i="65"/>
  <c r="C102" i="65"/>
  <c r="C107" i="65"/>
  <c r="O116" i="65"/>
  <c r="C135" i="65"/>
  <c r="I136" i="65"/>
  <c r="C157" i="65"/>
  <c r="C164" i="65"/>
  <c r="C169" i="65"/>
  <c r="O166" i="65"/>
  <c r="O165" i="65" s="1"/>
  <c r="J174" i="65"/>
  <c r="J173" i="65" s="1"/>
  <c r="C183" i="65"/>
  <c r="I184" i="65"/>
  <c r="G187" i="65"/>
  <c r="K187" i="65"/>
  <c r="C193" i="65"/>
  <c r="M204" i="65"/>
  <c r="M195" i="65" s="1"/>
  <c r="M194" i="65" s="1"/>
  <c r="C212" i="65"/>
  <c r="C214" i="65"/>
  <c r="C225" i="65"/>
  <c r="C229" i="65"/>
  <c r="C239" i="65"/>
  <c r="C257" i="65"/>
  <c r="O264" i="65"/>
  <c r="D269" i="65"/>
  <c r="E269" i="65"/>
  <c r="C142" i="65"/>
  <c r="K204" i="65"/>
  <c r="K195" i="65" s="1"/>
  <c r="K194" i="65" s="1"/>
  <c r="G230" i="65"/>
  <c r="I293" i="65"/>
  <c r="M291" i="65"/>
  <c r="J26" i="65"/>
  <c r="E20" i="65"/>
  <c r="K54" i="65"/>
  <c r="K53" i="65" s="1"/>
  <c r="C66" i="65"/>
  <c r="E76" i="65"/>
  <c r="J76" i="65"/>
  <c r="C82" i="65"/>
  <c r="H83" i="65"/>
  <c r="C104" i="65"/>
  <c r="C109" i="65"/>
  <c r="O136" i="65"/>
  <c r="C147" i="65"/>
  <c r="C149" i="65"/>
  <c r="C156" i="65"/>
  <c r="C159" i="65"/>
  <c r="C177" i="65"/>
  <c r="O184" i="65"/>
  <c r="M187" i="65"/>
  <c r="L187" i="65"/>
  <c r="C199" i="65"/>
  <c r="C213" i="65"/>
  <c r="J204" i="65"/>
  <c r="C218" i="65"/>
  <c r="O216" i="65"/>
  <c r="E231" i="65"/>
  <c r="E230" i="65" s="1"/>
  <c r="C240" i="65"/>
  <c r="L246" i="65"/>
  <c r="C285" i="65"/>
  <c r="I286" i="65"/>
  <c r="I292" i="65" s="1"/>
  <c r="L293" i="65"/>
  <c r="O187" i="65"/>
  <c r="C263" i="65"/>
  <c r="L291" i="65"/>
  <c r="L33" i="65"/>
  <c r="C33" i="65" s="1"/>
  <c r="F41" i="65"/>
  <c r="C41" i="65" s="1"/>
  <c r="H53" i="65"/>
  <c r="O58" i="65"/>
  <c r="C71" i="65"/>
  <c r="O69" i="65"/>
  <c r="F76" i="65"/>
  <c r="K76" i="65"/>
  <c r="C78" i="65"/>
  <c r="C79" i="65"/>
  <c r="D76" i="65"/>
  <c r="H76" i="65"/>
  <c r="C80" i="65"/>
  <c r="D83" i="65"/>
  <c r="J83" i="65"/>
  <c r="N83" i="65"/>
  <c r="L89" i="65"/>
  <c r="C97" i="65"/>
  <c r="L103" i="65"/>
  <c r="I116" i="65"/>
  <c r="E83" i="65"/>
  <c r="C127" i="65"/>
  <c r="D130" i="65"/>
  <c r="H130" i="65"/>
  <c r="L131" i="65"/>
  <c r="L141" i="65"/>
  <c r="L144" i="65"/>
  <c r="O151" i="65"/>
  <c r="L151" i="65"/>
  <c r="L166" i="65"/>
  <c r="L165" i="65" s="1"/>
  <c r="C172" i="65"/>
  <c r="L179" i="65"/>
  <c r="L174" i="65" s="1"/>
  <c r="L173" i="65" s="1"/>
  <c r="C200" i="65"/>
  <c r="C202" i="65"/>
  <c r="O205" i="65"/>
  <c r="C220" i="65"/>
  <c r="C222" i="65"/>
  <c r="F227" i="65"/>
  <c r="C227" i="65" s="1"/>
  <c r="H231" i="65"/>
  <c r="H230" i="65" s="1"/>
  <c r="H194" i="65" s="1"/>
  <c r="C244" i="65"/>
  <c r="C254" i="65"/>
  <c r="O252" i="65"/>
  <c r="O251" i="65" s="1"/>
  <c r="F276" i="65"/>
  <c r="C278" i="65"/>
  <c r="O276" i="65"/>
  <c r="C295" i="65"/>
  <c r="C288" i="65"/>
  <c r="G292" i="65"/>
  <c r="G291" i="65" s="1"/>
  <c r="C24" i="65"/>
  <c r="E75" i="65"/>
  <c r="L58" i="65"/>
  <c r="L54" i="65" s="1"/>
  <c r="L53" i="65" s="1"/>
  <c r="C100" i="65"/>
  <c r="F95" i="65"/>
  <c r="C148" i="65"/>
  <c r="I144" i="65"/>
  <c r="C161" i="65"/>
  <c r="F160" i="65"/>
  <c r="C160" i="65" s="1"/>
  <c r="F174" i="65"/>
  <c r="C185" i="65"/>
  <c r="F184" i="65"/>
  <c r="C266" i="65"/>
  <c r="F264" i="65"/>
  <c r="F259" i="65" s="1"/>
  <c r="C301" i="65"/>
  <c r="O292" i="65"/>
  <c r="O291" i="65" s="1"/>
  <c r="C44" i="65"/>
  <c r="I54" i="65"/>
  <c r="I53" i="65" s="1"/>
  <c r="M53" i="65"/>
  <c r="C59" i="65"/>
  <c r="G75" i="65"/>
  <c r="G289" i="65" s="1"/>
  <c r="I76" i="65"/>
  <c r="C98" i="65"/>
  <c r="I95" i="65"/>
  <c r="C113" i="65"/>
  <c r="F112" i="65"/>
  <c r="I122" i="65"/>
  <c r="C126" i="65"/>
  <c r="C68" i="65"/>
  <c r="K292" i="65"/>
  <c r="K291" i="65" s="1"/>
  <c r="K20" i="65"/>
  <c r="E53" i="65"/>
  <c r="C58" i="65"/>
  <c r="C62" i="65"/>
  <c r="C70" i="65"/>
  <c r="C72" i="65"/>
  <c r="F69" i="65"/>
  <c r="C69" i="65" s="1"/>
  <c r="C90" i="65"/>
  <c r="C93" i="65"/>
  <c r="F89" i="65"/>
  <c r="C89" i="65" s="1"/>
  <c r="C117" i="65"/>
  <c r="F116" i="65"/>
  <c r="I131" i="65"/>
  <c r="C132" i="65"/>
  <c r="C141" i="65"/>
  <c r="F165" i="65"/>
  <c r="C32" i="65"/>
  <c r="L31" i="65"/>
  <c r="C31" i="65" s="1"/>
  <c r="C22" i="65"/>
  <c r="L27" i="65"/>
  <c r="C43" i="65"/>
  <c r="O45" i="65"/>
  <c r="O20" i="65" s="1"/>
  <c r="O54" i="65"/>
  <c r="C21" i="65"/>
  <c r="I20" i="65"/>
  <c r="G52" i="65"/>
  <c r="C56" i="65"/>
  <c r="F55" i="65"/>
  <c r="O67" i="65"/>
  <c r="J75" i="65"/>
  <c r="J52" i="65" s="1"/>
  <c r="O76" i="65"/>
  <c r="K83" i="65"/>
  <c r="O95" i="65"/>
  <c r="O83" i="65" s="1"/>
  <c r="I103" i="65"/>
  <c r="C103" i="65" s="1"/>
  <c r="C106" i="65"/>
  <c r="O103" i="65"/>
  <c r="C111" i="65"/>
  <c r="C115" i="65"/>
  <c r="C119" i="65"/>
  <c r="C120" i="65"/>
  <c r="F122" i="65"/>
  <c r="C123" i="65"/>
  <c r="E130" i="65"/>
  <c r="C137" i="65"/>
  <c r="F136" i="65"/>
  <c r="C143" i="65"/>
  <c r="C163" i="65"/>
  <c r="C168" i="65"/>
  <c r="I166" i="65"/>
  <c r="I165" i="65" s="1"/>
  <c r="C171" i="65"/>
  <c r="E173" i="65"/>
  <c r="I175" i="65"/>
  <c r="C176" i="65"/>
  <c r="O179" i="65"/>
  <c r="J195" i="65"/>
  <c r="G194" i="65"/>
  <c r="C241" i="65"/>
  <c r="I238" i="65"/>
  <c r="F20" i="65"/>
  <c r="J20" i="65"/>
  <c r="N20" i="65"/>
  <c r="F84" i="65"/>
  <c r="C91" i="65"/>
  <c r="C105" i="65"/>
  <c r="L112" i="65"/>
  <c r="L116" i="65"/>
  <c r="C121" i="65"/>
  <c r="C125" i="65"/>
  <c r="C129" i="65"/>
  <c r="F128" i="65"/>
  <c r="C128" i="65" s="1"/>
  <c r="N130" i="65"/>
  <c r="N75" i="65" s="1"/>
  <c r="N52" i="65" s="1"/>
  <c r="O131" i="65"/>
  <c r="O130" i="65" s="1"/>
  <c r="C139" i="65"/>
  <c r="C145" i="65"/>
  <c r="F144" i="65"/>
  <c r="C144" i="65" s="1"/>
  <c r="O144" i="65"/>
  <c r="I151" i="65"/>
  <c r="C152" i="65"/>
  <c r="C155" i="65"/>
  <c r="C209" i="65"/>
  <c r="I205" i="65"/>
  <c r="O230" i="65"/>
  <c r="F251" i="65"/>
  <c r="I252" i="65"/>
  <c r="I251" i="65" s="1"/>
  <c r="C253" i="65"/>
  <c r="F270" i="65"/>
  <c r="C272" i="65"/>
  <c r="C282" i="65"/>
  <c r="F281" i="65"/>
  <c r="C281" i="65" s="1"/>
  <c r="C99" i="65"/>
  <c r="L122" i="65"/>
  <c r="L83" i="65" s="1"/>
  <c r="M130" i="65"/>
  <c r="M75" i="65" s="1"/>
  <c r="M289" i="65" s="1"/>
  <c r="L136" i="65"/>
  <c r="L130" i="65" s="1"/>
  <c r="O175" i="65"/>
  <c r="O174" i="65" s="1"/>
  <c r="O173" i="65" s="1"/>
  <c r="C179" i="65"/>
  <c r="I179" i="65"/>
  <c r="C180" i="65"/>
  <c r="C189" i="65"/>
  <c r="F188" i="65"/>
  <c r="O259" i="65"/>
  <c r="C167" i="65"/>
  <c r="C192" i="65"/>
  <c r="I196" i="65"/>
  <c r="C196" i="65" s="1"/>
  <c r="C197" i="65"/>
  <c r="L205" i="65"/>
  <c r="L216" i="65"/>
  <c r="C232" i="65"/>
  <c r="D231" i="65"/>
  <c r="D230" i="65" s="1"/>
  <c r="J259" i="65"/>
  <c r="J230" i="65" s="1"/>
  <c r="N259" i="65"/>
  <c r="N230" i="65" s="1"/>
  <c r="N289" i="65" s="1"/>
  <c r="I264" i="65"/>
  <c r="C265" i="65"/>
  <c r="C268" i="65"/>
  <c r="O270" i="65"/>
  <c r="O269" i="65" s="1"/>
  <c r="C273" i="65"/>
  <c r="I276" i="65"/>
  <c r="C276" i="65" s="1"/>
  <c r="C277" i="65"/>
  <c r="C280" i="65"/>
  <c r="E289" i="65"/>
  <c r="C286" i="65"/>
  <c r="C198" i="65"/>
  <c r="E194" i="65"/>
  <c r="C206" i="65"/>
  <c r="F205" i="65"/>
  <c r="O204" i="65"/>
  <c r="C237" i="65"/>
  <c r="I235" i="65"/>
  <c r="C235" i="65" s="1"/>
  <c r="C248" i="65"/>
  <c r="C250" i="65"/>
  <c r="F246" i="65"/>
  <c r="L252" i="65"/>
  <c r="L251" i="65" s="1"/>
  <c r="C256" i="65"/>
  <c r="C260" i="65"/>
  <c r="I270" i="65"/>
  <c r="I269" i="65" s="1"/>
  <c r="N195" i="65"/>
  <c r="O196" i="65"/>
  <c r="F216" i="65"/>
  <c r="I216" i="65"/>
  <c r="C217" i="65"/>
  <c r="L231" i="65"/>
  <c r="C234" i="65"/>
  <c r="F233" i="65"/>
  <c r="C242" i="65"/>
  <c r="F238" i="65"/>
  <c r="C238" i="65" s="1"/>
  <c r="C249" i="65"/>
  <c r="I246" i="65"/>
  <c r="I260" i="65"/>
  <c r="C261" i="65"/>
  <c r="F283" i="65"/>
  <c r="C283" i="65" s="1"/>
  <c r="C284" i="65"/>
  <c r="C296" i="65"/>
  <c r="C297" i="65"/>
  <c r="F293" i="65"/>
  <c r="C293" i="65" s="1"/>
  <c r="C236" i="65"/>
  <c r="I291" i="65" l="1"/>
  <c r="C292" i="65"/>
  <c r="H75" i="65"/>
  <c r="C184" i="65"/>
  <c r="D75" i="65"/>
  <c r="D52" i="65" s="1"/>
  <c r="L75" i="65"/>
  <c r="O195" i="65"/>
  <c r="J289" i="65"/>
  <c r="C151" i="65"/>
  <c r="K75" i="65"/>
  <c r="K289" i="65" s="1"/>
  <c r="M52" i="65"/>
  <c r="M51" i="65" s="1"/>
  <c r="M50" i="65" s="1"/>
  <c r="D289" i="65"/>
  <c r="C136" i="65"/>
  <c r="C116" i="65"/>
  <c r="C112" i="65"/>
  <c r="K52" i="65"/>
  <c r="K51" i="65" s="1"/>
  <c r="F231" i="65"/>
  <c r="C233" i="65"/>
  <c r="C216" i="65"/>
  <c r="I204" i="65"/>
  <c r="C122" i="65"/>
  <c r="O75" i="65"/>
  <c r="O289" i="65" s="1"/>
  <c r="C76" i="65"/>
  <c r="C165" i="65"/>
  <c r="C131" i="65"/>
  <c r="F173" i="65"/>
  <c r="I259" i="65"/>
  <c r="C259" i="65" s="1"/>
  <c r="L230" i="65"/>
  <c r="C246" i="65"/>
  <c r="L204" i="65"/>
  <c r="L195" i="65" s="1"/>
  <c r="C252" i="65"/>
  <c r="C84" i="65"/>
  <c r="F83" i="65"/>
  <c r="D194" i="65"/>
  <c r="D51" i="65" s="1"/>
  <c r="I174" i="65"/>
  <c r="I173" i="65" s="1"/>
  <c r="C27" i="65"/>
  <c r="L26" i="65"/>
  <c r="F130" i="65"/>
  <c r="E52" i="65"/>
  <c r="E51" i="65" s="1"/>
  <c r="F291" i="65"/>
  <c r="C291" i="65" s="1"/>
  <c r="C95" i="65"/>
  <c r="O194" i="65"/>
  <c r="I231" i="65"/>
  <c r="C270" i="65"/>
  <c r="F269" i="65"/>
  <c r="C251" i="65"/>
  <c r="M290" i="65"/>
  <c r="J194" i="65"/>
  <c r="J51" i="65" s="1"/>
  <c r="G51" i="65"/>
  <c r="O53" i="65"/>
  <c r="F67" i="65"/>
  <c r="C67" i="65" s="1"/>
  <c r="I83" i="65"/>
  <c r="L52" i="65"/>
  <c r="N194" i="65"/>
  <c r="N51" i="65" s="1"/>
  <c r="C205" i="65"/>
  <c r="F204" i="65"/>
  <c r="I195" i="65"/>
  <c r="C188" i="65"/>
  <c r="F187" i="65"/>
  <c r="C187" i="65" s="1"/>
  <c r="C55" i="65"/>
  <c r="F54" i="65"/>
  <c r="C45" i="65"/>
  <c r="C166" i="65"/>
  <c r="I130" i="65"/>
  <c r="I75" i="65" s="1"/>
  <c r="I52" i="65" s="1"/>
  <c r="C264" i="65"/>
  <c r="C175" i="65"/>
  <c r="H52" i="65" l="1"/>
  <c r="H51" i="65" s="1"/>
  <c r="H289" i="65"/>
  <c r="L51" i="65"/>
  <c r="L50" i="65" s="1"/>
  <c r="O52" i="65"/>
  <c r="O51" i="65" s="1"/>
  <c r="L194" i="65"/>
  <c r="C174" i="65"/>
  <c r="N50" i="65"/>
  <c r="N290" i="65"/>
  <c r="C269" i="65"/>
  <c r="L290" i="65"/>
  <c r="C26" i="65"/>
  <c r="L20" i="65"/>
  <c r="C20" i="65" s="1"/>
  <c r="C204" i="65"/>
  <c r="F195" i="65"/>
  <c r="C83" i="65"/>
  <c r="F75" i="65"/>
  <c r="C75" i="65" s="1"/>
  <c r="C173" i="65"/>
  <c r="G290" i="65"/>
  <c r="G50" i="65"/>
  <c r="F230" i="65"/>
  <c r="C230" i="65" s="1"/>
  <c r="C231" i="65"/>
  <c r="I230" i="65"/>
  <c r="I289" i="65" s="1"/>
  <c r="E290" i="65"/>
  <c r="E50" i="65"/>
  <c r="L289" i="65"/>
  <c r="F53" i="65"/>
  <c r="C54" i="65"/>
  <c r="C130" i="65"/>
  <c r="D290" i="65"/>
  <c r="D50" i="65"/>
  <c r="J50" i="65"/>
  <c r="J290" i="65"/>
  <c r="K50" i="65"/>
  <c r="K290" i="65"/>
  <c r="O50" i="65" l="1"/>
  <c r="O290" i="65"/>
  <c r="H290" i="65"/>
  <c r="H50" i="65"/>
  <c r="F52" i="65"/>
  <c r="C53" i="65"/>
  <c r="I194" i="65"/>
  <c r="I51" i="65" s="1"/>
  <c r="F194" i="65"/>
  <c r="C194" i="65" s="1"/>
  <c r="C195" i="65"/>
  <c r="F289" i="65"/>
  <c r="C289" i="65" s="1"/>
  <c r="C52" i="65" l="1"/>
  <c r="F51" i="65"/>
  <c r="I290" i="65"/>
  <c r="I50" i="65"/>
  <c r="F290" i="65" l="1"/>
  <c r="C290" i="65" s="1"/>
  <c r="C51" i="65"/>
  <c r="F50" i="65"/>
  <c r="C50" i="65" s="1"/>
  <c r="O301" i="64" l="1"/>
  <c r="L301" i="64"/>
  <c r="I301" i="64"/>
  <c r="F301" i="64"/>
  <c r="C301" i="64" s="1"/>
  <c r="O300" i="64"/>
  <c r="L300" i="64"/>
  <c r="I300" i="64"/>
  <c r="F300" i="64"/>
  <c r="O299" i="64"/>
  <c r="L299" i="64"/>
  <c r="I299" i="64"/>
  <c r="F299" i="64"/>
  <c r="O298" i="64"/>
  <c r="L298" i="64"/>
  <c r="I298" i="64"/>
  <c r="F298" i="64"/>
  <c r="O297" i="64"/>
  <c r="L297" i="64"/>
  <c r="I297" i="64"/>
  <c r="F297" i="64"/>
  <c r="O296" i="64"/>
  <c r="L296" i="64"/>
  <c r="I296" i="64"/>
  <c r="F296" i="64"/>
  <c r="O295" i="64"/>
  <c r="L295" i="64"/>
  <c r="I295" i="64"/>
  <c r="F295" i="64"/>
  <c r="O294" i="64"/>
  <c r="L294" i="64"/>
  <c r="I294" i="64"/>
  <c r="F294" i="64"/>
  <c r="N293" i="64"/>
  <c r="M293" i="64"/>
  <c r="K293" i="64"/>
  <c r="J293" i="64"/>
  <c r="H293" i="64"/>
  <c r="G293" i="64"/>
  <c r="E293" i="64"/>
  <c r="D293" i="64"/>
  <c r="O288" i="64"/>
  <c r="L288" i="64"/>
  <c r="I288" i="64"/>
  <c r="F288" i="64"/>
  <c r="O287" i="64"/>
  <c r="L287" i="64"/>
  <c r="L286" i="64" s="1"/>
  <c r="I287" i="64"/>
  <c r="I286" i="64" s="1"/>
  <c r="F287" i="64"/>
  <c r="N286" i="64"/>
  <c r="M286" i="64"/>
  <c r="K286" i="64"/>
  <c r="J286" i="64"/>
  <c r="H286" i="64"/>
  <c r="G286" i="64"/>
  <c r="E286" i="64"/>
  <c r="D286" i="64"/>
  <c r="O285" i="64"/>
  <c r="L285" i="64"/>
  <c r="I285" i="64"/>
  <c r="I284" i="64" s="1"/>
  <c r="I283" i="64" s="1"/>
  <c r="F285" i="64"/>
  <c r="F284" i="64" s="1"/>
  <c r="F283" i="64" s="1"/>
  <c r="O284" i="64"/>
  <c r="O283" i="64" s="1"/>
  <c r="N284" i="64"/>
  <c r="N283" i="64" s="1"/>
  <c r="M284" i="64"/>
  <c r="M283" i="64" s="1"/>
  <c r="K284" i="64"/>
  <c r="K283" i="64" s="1"/>
  <c r="J284" i="64"/>
  <c r="J283" i="64" s="1"/>
  <c r="H284" i="64"/>
  <c r="H283" i="64" s="1"/>
  <c r="G284" i="64"/>
  <c r="G283" i="64" s="1"/>
  <c r="E284" i="64"/>
  <c r="E283" i="64" s="1"/>
  <c r="D284" i="64"/>
  <c r="D283" i="64" s="1"/>
  <c r="O282" i="64"/>
  <c r="L282" i="64"/>
  <c r="L281" i="64" s="1"/>
  <c r="I282" i="64"/>
  <c r="I281" i="64" s="1"/>
  <c r="F282" i="64"/>
  <c r="O281" i="64"/>
  <c r="N281" i="64"/>
  <c r="M281" i="64"/>
  <c r="K281" i="64"/>
  <c r="J281" i="64"/>
  <c r="H281" i="64"/>
  <c r="G281" i="64"/>
  <c r="F281" i="64"/>
  <c r="E281" i="64"/>
  <c r="D281" i="64"/>
  <c r="O280" i="64"/>
  <c r="L280" i="64"/>
  <c r="I280" i="64"/>
  <c r="F280" i="64"/>
  <c r="O279" i="64"/>
  <c r="L279" i="64"/>
  <c r="I279" i="64"/>
  <c r="F279" i="64"/>
  <c r="O278" i="64"/>
  <c r="L278" i="64"/>
  <c r="I278" i="64"/>
  <c r="F278" i="64"/>
  <c r="O277" i="64"/>
  <c r="O276" i="64" s="1"/>
  <c r="L277" i="64"/>
  <c r="L276" i="64" s="1"/>
  <c r="I277" i="64"/>
  <c r="F277" i="64"/>
  <c r="N276" i="64"/>
  <c r="M276" i="64"/>
  <c r="K276" i="64"/>
  <c r="J276" i="64"/>
  <c r="H276" i="64"/>
  <c r="G276" i="64"/>
  <c r="E276" i="64"/>
  <c r="D276" i="64"/>
  <c r="O275" i="64"/>
  <c r="L275" i="64"/>
  <c r="I275" i="64"/>
  <c r="F275" i="64"/>
  <c r="O274" i="64"/>
  <c r="L274" i="64"/>
  <c r="I274" i="64"/>
  <c r="F274" i="64"/>
  <c r="O273" i="64"/>
  <c r="O272" i="64" s="1"/>
  <c r="L273" i="64"/>
  <c r="L272" i="64" s="1"/>
  <c r="I273" i="64"/>
  <c r="F273" i="64"/>
  <c r="F272" i="64" s="1"/>
  <c r="N272" i="64"/>
  <c r="M272" i="64"/>
  <c r="K272" i="64"/>
  <c r="K270" i="64" s="1"/>
  <c r="J272" i="64"/>
  <c r="J270" i="64" s="1"/>
  <c r="H272" i="64"/>
  <c r="G272" i="64"/>
  <c r="E272" i="64"/>
  <c r="E270" i="64" s="1"/>
  <c r="D272" i="64"/>
  <c r="O271" i="64"/>
  <c r="L271" i="64"/>
  <c r="I271" i="64"/>
  <c r="F271" i="64"/>
  <c r="O268" i="64"/>
  <c r="L268" i="64"/>
  <c r="I268" i="64"/>
  <c r="F268" i="64"/>
  <c r="O267" i="64"/>
  <c r="L267" i="64"/>
  <c r="I267" i="64"/>
  <c r="F267" i="64"/>
  <c r="O266" i="64"/>
  <c r="L266" i="64"/>
  <c r="I266" i="64"/>
  <c r="F266" i="64"/>
  <c r="O265" i="64"/>
  <c r="O264" i="64" s="1"/>
  <c r="L265" i="64"/>
  <c r="I265" i="64"/>
  <c r="F265" i="64"/>
  <c r="N264" i="64"/>
  <c r="M264" i="64"/>
  <c r="K264" i="64"/>
  <c r="J264" i="64"/>
  <c r="H264" i="64"/>
  <c r="G264" i="64"/>
  <c r="E264" i="64"/>
  <c r="D264" i="64"/>
  <c r="O263" i="64"/>
  <c r="L263" i="64"/>
  <c r="I263" i="64"/>
  <c r="F263" i="64"/>
  <c r="O262" i="64"/>
  <c r="L262" i="64"/>
  <c r="I262" i="64"/>
  <c r="F262" i="64"/>
  <c r="O261" i="64"/>
  <c r="O260" i="64" s="1"/>
  <c r="L261" i="64"/>
  <c r="L260" i="64" s="1"/>
  <c r="I261" i="64"/>
  <c r="F261" i="64"/>
  <c r="N260" i="64"/>
  <c r="M260" i="64"/>
  <c r="K260" i="64"/>
  <c r="J260" i="64"/>
  <c r="H260" i="64"/>
  <c r="G260" i="64"/>
  <c r="E260" i="64"/>
  <c r="D260" i="64"/>
  <c r="D259" i="64" s="1"/>
  <c r="J259" i="64"/>
  <c r="O258" i="64"/>
  <c r="L258" i="64"/>
  <c r="I258" i="64"/>
  <c r="F258" i="64"/>
  <c r="O257" i="64"/>
  <c r="L257" i="64"/>
  <c r="I257" i="64"/>
  <c r="F257" i="64"/>
  <c r="O256" i="64"/>
  <c r="L256" i="64"/>
  <c r="I256" i="64"/>
  <c r="F256" i="64"/>
  <c r="O255" i="64"/>
  <c r="L255" i="64"/>
  <c r="I255" i="64"/>
  <c r="F255" i="64"/>
  <c r="O254" i="64"/>
  <c r="L254" i="64"/>
  <c r="I254" i="64"/>
  <c r="F254" i="64"/>
  <c r="O253" i="64"/>
  <c r="L253" i="64"/>
  <c r="I253" i="64"/>
  <c r="F253" i="64"/>
  <c r="N252" i="64"/>
  <c r="M252" i="64"/>
  <c r="K252" i="64"/>
  <c r="K251" i="64" s="1"/>
  <c r="J252" i="64"/>
  <c r="J251" i="64" s="1"/>
  <c r="H252" i="64"/>
  <c r="H251" i="64" s="1"/>
  <c r="G252" i="64"/>
  <c r="G251" i="64" s="1"/>
  <c r="E252" i="64"/>
  <c r="E251" i="64" s="1"/>
  <c r="D252" i="64"/>
  <c r="D251" i="64" s="1"/>
  <c r="N251" i="64"/>
  <c r="M251" i="64"/>
  <c r="O250" i="64"/>
  <c r="L250" i="64"/>
  <c r="I250" i="64"/>
  <c r="F250" i="64"/>
  <c r="O249" i="64"/>
  <c r="L249" i="64"/>
  <c r="I249" i="64"/>
  <c r="F249" i="64"/>
  <c r="O248" i="64"/>
  <c r="L248" i="64"/>
  <c r="I248" i="64"/>
  <c r="F248" i="64"/>
  <c r="O247" i="64"/>
  <c r="L247" i="64"/>
  <c r="I247" i="64"/>
  <c r="F247" i="64"/>
  <c r="N246" i="64"/>
  <c r="M246" i="64"/>
  <c r="K246" i="64"/>
  <c r="J246" i="64"/>
  <c r="H246" i="64"/>
  <c r="G246" i="64"/>
  <c r="E246" i="64"/>
  <c r="D246" i="64"/>
  <c r="O245" i="64"/>
  <c r="L245" i="64"/>
  <c r="I245" i="64"/>
  <c r="F245" i="64"/>
  <c r="O244" i="64"/>
  <c r="L244" i="64"/>
  <c r="I244" i="64"/>
  <c r="F244" i="64"/>
  <c r="O243" i="64"/>
  <c r="L243" i="64"/>
  <c r="I243" i="64"/>
  <c r="F243" i="64"/>
  <c r="O242" i="64"/>
  <c r="L242" i="64"/>
  <c r="I242" i="64"/>
  <c r="F242" i="64"/>
  <c r="O241" i="64"/>
  <c r="L241" i="64"/>
  <c r="I241" i="64"/>
  <c r="F241" i="64"/>
  <c r="O240" i="64"/>
  <c r="L240" i="64"/>
  <c r="I240" i="64"/>
  <c r="F240" i="64"/>
  <c r="O239" i="64"/>
  <c r="L239" i="64"/>
  <c r="I239" i="64"/>
  <c r="I238" i="64" s="1"/>
  <c r="F239" i="64"/>
  <c r="N238" i="64"/>
  <c r="M238" i="64"/>
  <c r="K238" i="64"/>
  <c r="J238" i="64"/>
  <c r="H238" i="64"/>
  <c r="G238" i="64"/>
  <c r="E238" i="64"/>
  <c r="D238" i="64"/>
  <c r="O237" i="64"/>
  <c r="L237" i="64"/>
  <c r="I237" i="64"/>
  <c r="F237" i="64"/>
  <c r="O236" i="64"/>
  <c r="L236" i="64"/>
  <c r="L235" i="64" s="1"/>
  <c r="I236" i="64"/>
  <c r="I235" i="64" s="1"/>
  <c r="F236" i="64"/>
  <c r="N235" i="64"/>
  <c r="M235" i="64"/>
  <c r="M231" i="64" s="1"/>
  <c r="K235" i="64"/>
  <c r="J235" i="64"/>
  <c r="H235" i="64"/>
  <c r="G235" i="64"/>
  <c r="E235" i="64"/>
  <c r="D235" i="64"/>
  <c r="O234" i="64"/>
  <c r="L234" i="64"/>
  <c r="L233" i="64" s="1"/>
  <c r="I234" i="64"/>
  <c r="F234" i="64"/>
  <c r="O233" i="64"/>
  <c r="N233" i="64"/>
  <c r="M233" i="64"/>
  <c r="K233" i="64"/>
  <c r="J233" i="64"/>
  <c r="H233" i="64"/>
  <c r="G233" i="64"/>
  <c r="F233" i="64"/>
  <c r="E233" i="64"/>
  <c r="D233" i="64"/>
  <c r="O232" i="64"/>
  <c r="L232" i="64"/>
  <c r="I232" i="64"/>
  <c r="F232" i="64"/>
  <c r="O229" i="64"/>
  <c r="L229" i="64"/>
  <c r="I229" i="64"/>
  <c r="F229" i="64"/>
  <c r="O228" i="64"/>
  <c r="O227" i="64" s="1"/>
  <c r="L228" i="64"/>
  <c r="L227" i="64" s="1"/>
  <c r="I228" i="64"/>
  <c r="F228" i="64"/>
  <c r="F227" i="64" s="1"/>
  <c r="N227" i="64"/>
  <c r="M227" i="64"/>
  <c r="K227" i="64"/>
  <c r="J227" i="64"/>
  <c r="H227" i="64"/>
  <c r="G227" i="64"/>
  <c r="E227" i="64"/>
  <c r="D227" i="64"/>
  <c r="O226" i="64"/>
  <c r="L226" i="64"/>
  <c r="I226" i="64"/>
  <c r="F226" i="64"/>
  <c r="O225" i="64"/>
  <c r="L225" i="64"/>
  <c r="I225" i="64"/>
  <c r="F225" i="64"/>
  <c r="O224" i="64"/>
  <c r="L224" i="64"/>
  <c r="I224" i="64"/>
  <c r="F224" i="64"/>
  <c r="O223" i="64"/>
  <c r="L223" i="64"/>
  <c r="I223" i="64"/>
  <c r="F223" i="64"/>
  <c r="O222" i="64"/>
  <c r="L222" i="64"/>
  <c r="I222" i="64"/>
  <c r="F222" i="64"/>
  <c r="O221" i="64"/>
  <c r="L221" i="64"/>
  <c r="I221" i="64"/>
  <c r="F221" i="64"/>
  <c r="O220" i="64"/>
  <c r="L220" i="64"/>
  <c r="I220" i="64"/>
  <c r="F220" i="64"/>
  <c r="O219" i="64"/>
  <c r="L219" i="64"/>
  <c r="I219" i="64"/>
  <c r="F219" i="64"/>
  <c r="O218" i="64"/>
  <c r="L218" i="64"/>
  <c r="I218" i="64"/>
  <c r="F218" i="64"/>
  <c r="O217" i="64"/>
  <c r="L217" i="64"/>
  <c r="I217" i="64"/>
  <c r="F217" i="64"/>
  <c r="N216" i="64"/>
  <c r="M216" i="64"/>
  <c r="K216" i="64"/>
  <c r="J216" i="64"/>
  <c r="H216" i="64"/>
  <c r="G216" i="64"/>
  <c r="E216" i="64"/>
  <c r="D216" i="64"/>
  <c r="O215" i="64"/>
  <c r="L215" i="64"/>
  <c r="I215" i="64"/>
  <c r="F215" i="64"/>
  <c r="O214" i="64"/>
  <c r="L214" i="64"/>
  <c r="I214" i="64"/>
  <c r="F214" i="64"/>
  <c r="O213" i="64"/>
  <c r="L213" i="64"/>
  <c r="I213" i="64"/>
  <c r="F213" i="64"/>
  <c r="O212" i="64"/>
  <c r="L212" i="64"/>
  <c r="I212" i="64"/>
  <c r="F212" i="64"/>
  <c r="O211" i="64"/>
  <c r="L211" i="64"/>
  <c r="I211" i="64"/>
  <c r="F211" i="64"/>
  <c r="O210" i="64"/>
  <c r="L210" i="64"/>
  <c r="I210" i="64"/>
  <c r="F210" i="64"/>
  <c r="O209" i="64"/>
  <c r="L209" i="64"/>
  <c r="I209" i="64"/>
  <c r="F209" i="64"/>
  <c r="O208" i="64"/>
  <c r="L208" i="64"/>
  <c r="I208" i="64"/>
  <c r="F208" i="64"/>
  <c r="O207" i="64"/>
  <c r="L207" i="64"/>
  <c r="I207" i="64"/>
  <c r="F207" i="64"/>
  <c r="O206" i="64"/>
  <c r="L206" i="64"/>
  <c r="I206" i="64"/>
  <c r="F206" i="64"/>
  <c r="N205" i="64"/>
  <c r="M205" i="64"/>
  <c r="K205" i="64"/>
  <c r="J205" i="64"/>
  <c r="H205" i="64"/>
  <c r="G205" i="64"/>
  <c r="E205" i="64"/>
  <c r="E204" i="64" s="1"/>
  <c r="D205" i="64"/>
  <c r="O203" i="64"/>
  <c r="L203" i="64"/>
  <c r="I203" i="64"/>
  <c r="F203" i="64"/>
  <c r="O202" i="64"/>
  <c r="L202" i="64"/>
  <c r="I202" i="64"/>
  <c r="F202" i="64"/>
  <c r="O201" i="64"/>
  <c r="L201" i="64"/>
  <c r="I201" i="64"/>
  <c r="F201" i="64"/>
  <c r="O200" i="64"/>
  <c r="L200" i="64"/>
  <c r="I200" i="64"/>
  <c r="F200" i="64"/>
  <c r="O199" i="64"/>
  <c r="L199" i="64"/>
  <c r="I199" i="64"/>
  <c r="F199" i="64"/>
  <c r="F198" i="64" s="1"/>
  <c r="N198" i="64"/>
  <c r="M198" i="64"/>
  <c r="M196" i="64" s="1"/>
  <c r="K198" i="64"/>
  <c r="K196" i="64" s="1"/>
  <c r="J198" i="64"/>
  <c r="J196" i="64" s="1"/>
  <c r="H198" i="64"/>
  <c r="H196" i="64" s="1"/>
  <c r="G198" i="64"/>
  <c r="E198" i="64"/>
  <c r="E196" i="64" s="1"/>
  <c r="E195" i="64" s="1"/>
  <c r="D198" i="64"/>
  <c r="D196" i="64" s="1"/>
  <c r="O197" i="64"/>
  <c r="L197" i="64"/>
  <c r="I197" i="64"/>
  <c r="F197" i="64"/>
  <c r="N196" i="64"/>
  <c r="G196" i="64"/>
  <c r="O193" i="64"/>
  <c r="O192" i="64" s="1"/>
  <c r="O191" i="64" s="1"/>
  <c r="L193" i="64"/>
  <c r="L192" i="64" s="1"/>
  <c r="L191" i="64" s="1"/>
  <c r="I193" i="64"/>
  <c r="F193" i="64"/>
  <c r="F192" i="64" s="1"/>
  <c r="F191" i="64" s="1"/>
  <c r="N192" i="64"/>
  <c r="N191" i="64" s="1"/>
  <c r="M192" i="64"/>
  <c r="M191" i="64" s="1"/>
  <c r="K192" i="64"/>
  <c r="K191" i="64" s="1"/>
  <c r="J192" i="64"/>
  <c r="J191" i="64" s="1"/>
  <c r="H192" i="64"/>
  <c r="H191" i="64" s="1"/>
  <c r="G192" i="64"/>
  <c r="G191" i="64" s="1"/>
  <c r="E192" i="64"/>
  <c r="E191" i="64" s="1"/>
  <c r="D192" i="64"/>
  <c r="D191" i="64" s="1"/>
  <c r="O190" i="64"/>
  <c r="L190" i="64"/>
  <c r="I190" i="64"/>
  <c r="F190" i="64"/>
  <c r="O189" i="64"/>
  <c r="L189" i="64"/>
  <c r="L188" i="64" s="1"/>
  <c r="I189" i="64"/>
  <c r="I188" i="64" s="1"/>
  <c r="F189" i="64"/>
  <c r="N188" i="64"/>
  <c r="M188" i="64"/>
  <c r="K188" i="64"/>
  <c r="J188" i="64"/>
  <c r="H188" i="64"/>
  <c r="G188" i="64"/>
  <c r="G187" i="64" s="1"/>
  <c r="E188" i="64"/>
  <c r="D188" i="64"/>
  <c r="O186" i="64"/>
  <c r="L186" i="64"/>
  <c r="I186" i="64"/>
  <c r="F186" i="64"/>
  <c r="O185" i="64"/>
  <c r="L185" i="64"/>
  <c r="L184" i="64" s="1"/>
  <c r="I185" i="64"/>
  <c r="F185" i="64"/>
  <c r="N184" i="64"/>
  <c r="M184" i="64"/>
  <c r="K184" i="64"/>
  <c r="J184" i="64"/>
  <c r="H184" i="64"/>
  <c r="G184" i="64"/>
  <c r="E184" i="64"/>
  <c r="D184" i="64"/>
  <c r="O183" i="64"/>
  <c r="L183" i="64"/>
  <c r="I183" i="64"/>
  <c r="F183" i="64"/>
  <c r="O182" i="64"/>
  <c r="L182" i="64"/>
  <c r="I182" i="64"/>
  <c r="F182" i="64"/>
  <c r="O181" i="64"/>
  <c r="L181" i="64"/>
  <c r="I181" i="64"/>
  <c r="F181" i="64"/>
  <c r="O180" i="64"/>
  <c r="O179" i="64" s="1"/>
  <c r="L180" i="64"/>
  <c r="I180" i="64"/>
  <c r="I179" i="64" s="1"/>
  <c r="F180" i="64"/>
  <c r="F179" i="64" s="1"/>
  <c r="N179" i="64"/>
  <c r="M179" i="64"/>
  <c r="K179" i="64"/>
  <c r="J179" i="64"/>
  <c r="H179" i="64"/>
  <c r="G179" i="64"/>
  <c r="E179" i="64"/>
  <c r="D179" i="64"/>
  <c r="O178" i="64"/>
  <c r="L178" i="64"/>
  <c r="I178" i="64"/>
  <c r="F178" i="64"/>
  <c r="O177" i="64"/>
  <c r="L177" i="64"/>
  <c r="I177" i="64"/>
  <c r="F177" i="64"/>
  <c r="O176" i="64"/>
  <c r="L176" i="64"/>
  <c r="I176" i="64"/>
  <c r="I175" i="64" s="1"/>
  <c r="F176" i="64"/>
  <c r="N175" i="64"/>
  <c r="M175" i="64"/>
  <c r="K175" i="64"/>
  <c r="K174" i="64" s="1"/>
  <c r="K173" i="64" s="1"/>
  <c r="J175" i="64"/>
  <c r="H175" i="64"/>
  <c r="G175" i="64"/>
  <c r="G174" i="64" s="1"/>
  <c r="E175" i="64"/>
  <c r="D175" i="64"/>
  <c r="O172" i="64"/>
  <c r="L172" i="64"/>
  <c r="I172" i="64"/>
  <c r="F172" i="64"/>
  <c r="O171" i="64"/>
  <c r="L171" i="64"/>
  <c r="I171" i="64"/>
  <c r="F171" i="64"/>
  <c r="O170" i="64"/>
  <c r="L170" i="64"/>
  <c r="I170" i="64"/>
  <c r="F170" i="64"/>
  <c r="O169" i="64"/>
  <c r="L169" i="64"/>
  <c r="I169" i="64"/>
  <c r="F169" i="64"/>
  <c r="O168" i="64"/>
  <c r="L168" i="64"/>
  <c r="I168" i="64"/>
  <c r="F168" i="64"/>
  <c r="O167" i="64"/>
  <c r="L167" i="64"/>
  <c r="I167" i="64"/>
  <c r="I166" i="64" s="1"/>
  <c r="F167" i="64"/>
  <c r="N166" i="64"/>
  <c r="N165" i="64" s="1"/>
  <c r="M166" i="64"/>
  <c r="M165" i="64" s="1"/>
  <c r="K166" i="64"/>
  <c r="K165" i="64" s="1"/>
  <c r="J166" i="64"/>
  <c r="J165" i="64" s="1"/>
  <c r="H166" i="64"/>
  <c r="H165" i="64" s="1"/>
  <c r="G166" i="64"/>
  <c r="G165" i="64" s="1"/>
  <c r="E166" i="64"/>
  <c r="E165" i="64" s="1"/>
  <c r="D166" i="64"/>
  <c r="D165" i="64" s="1"/>
  <c r="O164" i="64"/>
  <c r="L164" i="64"/>
  <c r="I164" i="64"/>
  <c r="F164" i="64"/>
  <c r="O163" i="64"/>
  <c r="L163" i="64"/>
  <c r="I163" i="64"/>
  <c r="F163" i="64"/>
  <c r="O162" i="64"/>
  <c r="L162" i="64"/>
  <c r="I162" i="64"/>
  <c r="F162" i="64"/>
  <c r="O161" i="64"/>
  <c r="L161" i="64"/>
  <c r="L160" i="64" s="1"/>
  <c r="I161" i="64"/>
  <c r="I160" i="64" s="1"/>
  <c r="F161" i="64"/>
  <c r="N160" i="64"/>
  <c r="M160" i="64"/>
  <c r="K160" i="64"/>
  <c r="J160" i="64"/>
  <c r="H160" i="64"/>
  <c r="G160" i="64"/>
  <c r="E160" i="64"/>
  <c r="D160" i="64"/>
  <c r="O159" i="64"/>
  <c r="L159" i="64"/>
  <c r="I159" i="64"/>
  <c r="F159" i="64"/>
  <c r="O158" i="64"/>
  <c r="L158" i="64"/>
  <c r="I158" i="64"/>
  <c r="F158" i="64"/>
  <c r="O157" i="64"/>
  <c r="L157" i="64"/>
  <c r="I157" i="64"/>
  <c r="F157" i="64"/>
  <c r="O156" i="64"/>
  <c r="L156" i="64"/>
  <c r="I156" i="64"/>
  <c r="F156" i="64"/>
  <c r="O155" i="64"/>
  <c r="L155" i="64"/>
  <c r="I155" i="64"/>
  <c r="F155" i="64"/>
  <c r="O154" i="64"/>
  <c r="L154" i="64"/>
  <c r="I154" i="64"/>
  <c r="F154" i="64"/>
  <c r="O153" i="64"/>
  <c r="L153" i="64"/>
  <c r="I153" i="64"/>
  <c r="F153" i="64"/>
  <c r="O152" i="64"/>
  <c r="L152" i="64"/>
  <c r="I152" i="64"/>
  <c r="F152" i="64"/>
  <c r="N151" i="64"/>
  <c r="M151" i="64"/>
  <c r="K151" i="64"/>
  <c r="J151" i="64"/>
  <c r="H151" i="64"/>
  <c r="G151" i="64"/>
  <c r="E151" i="64"/>
  <c r="D151" i="64"/>
  <c r="O150" i="64"/>
  <c r="L150" i="64"/>
  <c r="I150" i="64"/>
  <c r="F150" i="64"/>
  <c r="O149" i="64"/>
  <c r="L149" i="64"/>
  <c r="I149" i="64"/>
  <c r="F149" i="64"/>
  <c r="O148" i="64"/>
  <c r="L148" i="64"/>
  <c r="I148" i="64"/>
  <c r="F148" i="64"/>
  <c r="O147" i="64"/>
  <c r="L147" i="64"/>
  <c r="I147" i="64"/>
  <c r="F147" i="64"/>
  <c r="O146" i="64"/>
  <c r="L146" i="64"/>
  <c r="I146" i="64"/>
  <c r="F146" i="64"/>
  <c r="O145" i="64"/>
  <c r="L145" i="64"/>
  <c r="I145" i="64"/>
  <c r="F145" i="64"/>
  <c r="N144" i="64"/>
  <c r="M144" i="64"/>
  <c r="K144" i="64"/>
  <c r="J144" i="64"/>
  <c r="H144" i="64"/>
  <c r="G144" i="64"/>
  <c r="E144" i="64"/>
  <c r="D144" i="64"/>
  <c r="O143" i="64"/>
  <c r="L143" i="64"/>
  <c r="I143" i="64"/>
  <c r="F143" i="64"/>
  <c r="O142" i="64"/>
  <c r="L142" i="64"/>
  <c r="L141" i="64" s="1"/>
  <c r="I142" i="64"/>
  <c r="I141" i="64" s="1"/>
  <c r="F142" i="64"/>
  <c r="O141" i="64"/>
  <c r="N141" i="64"/>
  <c r="M141" i="64"/>
  <c r="K141" i="64"/>
  <c r="J141" i="64"/>
  <c r="H141" i="64"/>
  <c r="G141" i="64"/>
  <c r="F141" i="64"/>
  <c r="E141" i="64"/>
  <c r="D141" i="64"/>
  <c r="O140" i="64"/>
  <c r="L140" i="64"/>
  <c r="I140" i="64"/>
  <c r="F140" i="64"/>
  <c r="O139" i="64"/>
  <c r="L139" i="64"/>
  <c r="I139" i="64"/>
  <c r="F139" i="64"/>
  <c r="O138" i="64"/>
  <c r="L138" i="64"/>
  <c r="I138" i="64"/>
  <c r="F138" i="64"/>
  <c r="O137" i="64"/>
  <c r="O136" i="64" s="1"/>
  <c r="L137" i="64"/>
  <c r="L136" i="64" s="1"/>
  <c r="I137" i="64"/>
  <c r="F137" i="64"/>
  <c r="N136" i="64"/>
  <c r="M136" i="64"/>
  <c r="K136" i="64"/>
  <c r="J136" i="64"/>
  <c r="H136" i="64"/>
  <c r="G136" i="64"/>
  <c r="E136" i="64"/>
  <c r="D136" i="64"/>
  <c r="O135" i="64"/>
  <c r="L135" i="64"/>
  <c r="I135" i="64"/>
  <c r="F135" i="64"/>
  <c r="O134" i="64"/>
  <c r="L134" i="64"/>
  <c r="I134" i="64"/>
  <c r="F134" i="64"/>
  <c r="O133" i="64"/>
  <c r="L133" i="64"/>
  <c r="I133" i="64"/>
  <c r="F133" i="64"/>
  <c r="O132" i="64"/>
  <c r="O131" i="64" s="1"/>
  <c r="L132" i="64"/>
  <c r="I132" i="64"/>
  <c r="I131" i="64" s="1"/>
  <c r="F132" i="64"/>
  <c r="N131" i="64"/>
  <c r="M131" i="64"/>
  <c r="K131" i="64"/>
  <c r="J131" i="64"/>
  <c r="H131" i="64"/>
  <c r="G131" i="64"/>
  <c r="E131" i="64"/>
  <c r="D131" i="64"/>
  <c r="O129" i="64"/>
  <c r="O128" i="64" s="1"/>
  <c r="L129" i="64"/>
  <c r="L128" i="64" s="1"/>
  <c r="I129" i="64"/>
  <c r="I128" i="64" s="1"/>
  <c r="F129" i="64"/>
  <c r="N128" i="64"/>
  <c r="M128" i="64"/>
  <c r="K128" i="64"/>
  <c r="J128" i="64"/>
  <c r="H128" i="64"/>
  <c r="G128" i="64"/>
  <c r="E128" i="64"/>
  <c r="D128" i="64"/>
  <c r="O127" i="64"/>
  <c r="L127" i="64"/>
  <c r="I127" i="64"/>
  <c r="F127" i="64"/>
  <c r="O126" i="64"/>
  <c r="L126" i="64"/>
  <c r="I126" i="64"/>
  <c r="F126" i="64"/>
  <c r="O125" i="64"/>
  <c r="L125" i="64"/>
  <c r="I125" i="64"/>
  <c r="F125" i="64"/>
  <c r="O124" i="64"/>
  <c r="L124" i="64"/>
  <c r="I124" i="64"/>
  <c r="F124" i="64"/>
  <c r="O123" i="64"/>
  <c r="L123" i="64"/>
  <c r="I123" i="64"/>
  <c r="I122" i="64" s="1"/>
  <c r="F123" i="64"/>
  <c r="N122" i="64"/>
  <c r="M122" i="64"/>
  <c r="K122" i="64"/>
  <c r="J122" i="64"/>
  <c r="H122" i="64"/>
  <c r="G122" i="64"/>
  <c r="E122" i="64"/>
  <c r="D122" i="64"/>
  <c r="O121" i="64"/>
  <c r="L121" i="64"/>
  <c r="I121" i="64"/>
  <c r="F121" i="64"/>
  <c r="O120" i="64"/>
  <c r="L120" i="64"/>
  <c r="I120" i="64"/>
  <c r="F120" i="64"/>
  <c r="O119" i="64"/>
  <c r="L119" i="64"/>
  <c r="I119" i="64"/>
  <c r="F119" i="64"/>
  <c r="O118" i="64"/>
  <c r="L118" i="64"/>
  <c r="I118" i="64"/>
  <c r="F118" i="64"/>
  <c r="O117" i="64"/>
  <c r="L117" i="64"/>
  <c r="I117" i="64"/>
  <c r="F117" i="64"/>
  <c r="N116" i="64"/>
  <c r="M116" i="64"/>
  <c r="K116" i="64"/>
  <c r="J116" i="64"/>
  <c r="H116" i="64"/>
  <c r="G116" i="64"/>
  <c r="E116" i="64"/>
  <c r="D116" i="64"/>
  <c r="O115" i="64"/>
  <c r="L115" i="64"/>
  <c r="I115" i="64"/>
  <c r="F115" i="64"/>
  <c r="O114" i="64"/>
  <c r="L114" i="64"/>
  <c r="I114" i="64"/>
  <c r="F114" i="64"/>
  <c r="O113" i="64"/>
  <c r="O112" i="64" s="1"/>
  <c r="L113" i="64"/>
  <c r="I113" i="64"/>
  <c r="F113" i="64"/>
  <c r="F112" i="64" s="1"/>
  <c r="N112" i="64"/>
  <c r="M112" i="64"/>
  <c r="K112" i="64"/>
  <c r="J112" i="64"/>
  <c r="H112" i="64"/>
  <c r="G112" i="64"/>
  <c r="E112" i="64"/>
  <c r="D112" i="64"/>
  <c r="O111" i="64"/>
  <c r="L111" i="64"/>
  <c r="I111" i="64"/>
  <c r="F111" i="64"/>
  <c r="O110" i="64"/>
  <c r="L110" i="64"/>
  <c r="I110" i="64"/>
  <c r="F110" i="64"/>
  <c r="O109" i="64"/>
  <c r="L109" i="64"/>
  <c r="I109" i="64"/>
  <c r="F109" i="64"/>
  <c r="O108" i="64"/>
  <c r="L108" i="64"/>
  <c r="I108" i="64"/>
  <c r="F108" i="64"/>
  <c r="O107" i="64"/>
  <c r="L107" i="64"/>
  <c r="I107" i="64"/>
  <c r="F107" i="64"/>
  <c r="O106" i="64"/>
  <c r="L106" i="64"/>
  <c r="I106" i="64"/>
  <c r="F106" i="64"/>
  <c r="O105" i="64"/>
  <c r="L105" i="64"/>
  <c r="I105" i="64"/>
  <c r="F105" i="64"/>
  <c r="O104" i="64"/>
  <c r="O103" i="64" s="1"/>
  <c r="L104" i="64"/>
  <c r="I104" i="64"/>
  <c r="I103" i="64" s="1"/>
  <c r="F104" i="64"/>
  <c r="N103" i="64"/>
  <c r="M103" i="64"/>
  <c r="K103" i="64"/>
  <c r="J103" i="64"/>
  <c r="H103" i="64"/>
  <c r="G103" i="64"/>
  <c r="E103" i="64"/>
  <c r="D103" i="64"/>
  <c r="O102" i="64"/>
  <c r="L102" i="64"/>
  <c r="I102" i="64"/>
  <c r="F102" i="64"/>
  <c r="O101" i="64"/>
  <c r="L101" i="64"/>
  <c r="I101" i="64"/>
  <c r="F101" i="64"/>
  <c r="O100" i="64"/>
  <c r="L100" i="64"/>
  <c r="I100" i="64"/>
  <c r="F100" i="64"/>
  <c r="O99" i="64"/>
  <c r="L99" i="64"/>
  <c r="I99" i="64"/>
  <c r="F99" i="64"/>
  <c r="O98" i="64"/>
  <c r="L98" i="64"/>
  <c r="I98" i="64"/>
  <c r="F98" i="64"/>
  <c r="O97" i="64"/>
  <c r="L97" i="64"/>
  <c r="I97" i="64"/>
  <c r="F97" i="64"/>
  <c r="O96" i="64"/>
  <c r="L96" i="64"/>
  <c r="I96" i="64"/>
  <c r="I95" i="64" s="1"/>
  <c r="F96" i="64"/>
  <c r="N95" i="64"/>
  <c r="M95" i="64"/>
  <c r="K95" i="64"/>
  <c r="J95" i="64"/>
  <c r="H95" i="64"/>
  <c r="G95" i="64"/>
  <c r="E95" i="64"/>
  <c r="D95" i="64"/>
  <c r="O94" i="64"/>
  <c r="L94" i="64"/>
  <c r="I94" i="64"/>
  <c r="F94" i="64"/>
  <c r="O93" i="64"/>
  <c r="L93" i="64"/>
  <c r="I93" i="64"/>
  <c r="F93" i="64"/>
  <c r="O92" i="64"/>
  <c r="L92" i="64"/>
  <c r="I92" i="64"/>
  <c r="F92" i="64"/>
  <c r="O91" i="64"/>
  <c r="L91" i="64"/>
  <c r="I91" i="64"/>
  <c r="F91" i="64"/>
  <c r="O90" i="64"/>
  <c r="L90" i="64"/>
  <c r="I90" i="64"/>
  <c r="F90" i="64"/>
  <c r="F89" i="64" s="1"/>
  <c r="N89" i="64"/>
  <c r="M89" i="64"/>
  <c r="K89" i="64"/>
  <c r="J89" i="64"/>
  <c r="H89" i="64"/>
  <c r="G89" i="64"/>
  <c r="E89" i="64"/>
  <c r="D89" i="64"/>
  <c r="O88" i="64"/>
  <c r="L88" i="64"/>
  <c r="I88" i="64"/>
  <c r="F88" i="64"/>
  <c r="O87" i="64"/>
  <c r="L87" i="64"/>
  <c r="I87" i="64"/>
  <c r="F87" i="64"/>
  <c r="O86" i="64"/>
  <c r="L86" i="64"/>
  <c r="I86" i="64"/>
  <c r="F86" i="64"/>
  <c r="O85" i="64"/>
  <c r="L85" i="64"/>
  <c r="I85" i="64"/>
  <c r="F85" i="64"/>
  <c r="O84" i="64"/>
  <c r="N84" i="64"/>
  <c r="M84" i="64"/>
  <c r="K84" i="64"/>
  <c r="J84" i="64"/>
  <c r="H84" i="64"/>
  <c r="G84" i="64"/>
  <c r="E84" i="64"/>
  <c r="D84" i="64"/>
  <c r="O82" i="64"/>
  <c r="L82" i="64"/>
  <c r="I82" i="64"/>
  <c r="F82" i="64"/>
  <c r="O81" i="64"/>
  <c r="L81" i="64"/>
  <c r="I81" i="64"/>
  <c r="F81" i="64"/>
  <c r="F80" i="64" s="1"/>
  <c r="O80" i="64"/>
  <c r="N80" i="64"/>
  <c r="M80" i="64"/>
  <c r="K80" i="64"/>
  <c r="J80" i="64"/>
  <c r="H80" i="64"/>
  <c r="G80" i="64"/>
  <c r="E80" i="64"/>
  <c r="D80" i="64"/>
  <c r="O79" i="64"/>
  <c r="L79" i="64"/>
  <c r="I79" i="64"/>
  <c r="F79" i="64"/>
  <c r="O78" i="64"/>
  <c r="L78" i="64"/>
  <c r="L77" i="64" s="1"/>
  <c r="I78" i="64"/>
  <c r="F78" i="64"/>
  <c r="O77" i="64"/>
  <c r="N77" i="64"/>
  <c r="M77" i="64"/>
  <c r="K77" i="64"/>
  <c r="K76" i="64" s="1"/>
  <c r="J77" i="64"/>
  <c r="H77" i="64"/>
  <c r="G77" i="64"/>
  <c r="F77" i="64"/>
  <c r="F76" i="64" s="1"/>
  <c r="E77" i="64"/>
  <c r="D77" i="64"/>
  <c r="O74" i="64"/>
  <c r="L74" i="64"/>
  <c r="I74" i="64"/>
  <c r="F74" i="64"/>
  <c r="O73" i="64"/>
  <c r="L73" i="64"/>
  <c r="I73" i="64"/>
  <c r="F73" i="64"/>
  <c r="O72" i="64"/>
  <c r="L72" i="64"/>
  <c r="I72" i="64"/>
  <c r="F72" i="64"/>
  <c r="O71" i="64"/>
  <c r="L71" i="64"/>
  <c r="I71" i="64"/>
  <c r="F71" i="64"/>
  <c r="O70" i="64"/>
  <c r="L70" i="64"/>
  <c r="I70" i="64"/>
  <c r="F70" i="64"/>
  <c r="N69" i="64"/>
  <c r="M69" i="64"/>
  <c r="K69" i="64"/>
  <c r="K67" i="64" s="1"/>
  <c r="J69" i="64"/>
  <c r="J67" i="64" s="1"/>
  <c r="H69" i="64"/>
  <c r="H67" i="64" s="1"/>
  <c r="G69" i="64"/>
  <c r="G67" i="64" s="1"/>
  <c r="E69" i="64"/>
  <c r="E67" i="64" s="1"/>
  <c r="D69" i="64"/>
  <c r="D67" i="64" s="1"/>
  <c r="O68" i="64"/>
  <c r="L68" i="64"/>
  <c r="I68" i="64"/>
  <c r="F68" i="64"/>
  <c r="N67" i="64"/>
  <c r="M67" i="64"/>
  <c r="O66" i="64"/>
  <c r="L66" i="64"/>
  <c r="I66" i="64"/>
  <c r="F66" i="64"/>
  <c r="O65" i="64"/>
  <c r="L65" i="64"/>
  <c r="I65" i="64"/>
  <c r="F65" i="64"/>
  <c r="O64" i="64"/>
  <c r="L64" i="64"/>
  <c r="I64" i="64"/>
  <c r="F64" i="64"/>
  <c r="O63" i="64"/>
  <c r="L63" i="64"/>
  <c r="I63" i="64"/>
  <c r="F63" i="64"/>
  <c r="O62" i="64"/>
  <c r="L62" i="64"/>
  <c r="I62" i="64"/>
  <c r="F62" i="64"/>
  <c r="O61" i="64"/>
  <c r="L61" i="64"/>
  <c r="I61" i="64"/>
  <c r="F61" i="64"/>
  <c r="O60" i="64"/>
  <c r="L60" i="64"/>
  <c r="I60" i="64"/>
  <c r="F60" i="64"/>
  <c r="O59" i="64"/>
  <c r="O58" i="64" s="1"/>
  <c r="L59" i="64"/>
  <c r="I59" i="64"/>
  <c r="F59" i="64"/>
  <c r="F58" i="64" s="1"/>
  <c r="N58" i="64"/>
  <c r="M58" i="64"/>
  <c r="K58" i="64"/>
  <c r="J58" i="64"/>
  <c r="H58" i="64"/>
  <c r="G58" i="64"/>
  <c r="E58" i="64"/>
  <c r="D58" i="64"/>
  <c r="O57" i="64"/>
  <c r="L57" i="64"/>
  <c r="I57" i="64"/>
  <c r="F57" i="64"/>
  <c r="O56" i="64"/>
  <c r="O55" i="64" s="1"/>
  <c r="L56" i="64"/>
  <c r="L55" i="64" s="1"/>
  <c r="I56" i="64"/>
  <c r="I55" i="64" s="1"/>
  <c r="F56" i="64"/>
  <c r="F55" i="64" s="1"/>
  <c r="N55" i="64"/>
  <c r="N54" i="64" s="1"/>
  <c r="M55" i="64"/>
  <c r="M54" i="64" s="1"/>
  <c r="K55" i="64"/>
  <c r="K54" i="64" s="1"/>
  <c r="J55" i="64"/>
  <c r="H55" i="64"/>
  <c r="H54" i="64" s="1"/>
  <c r="H53" i="64" s="1"/>
  <c r="G55" i="64"/>
  <c r="E55" i="64"/>
  <c r="E54" i="64" s="1"/>
  <c r="D55" i="64"/>
  <c r="D54" i="64" s="1"/>
  <c r="O47" i="64"/>
  <c r="C47" i="64" s="1"/>
  <c r="O46" i="64"/>
  <c r="C46" i="64" s="1"/>
  <c r="N45" i="64"/>
  <c r="M45" i="64"/>
  <c r="L44" i="64"/>
  <c r="L43" i="64" s="1"/>
  <c r="I44" i="64"/>
  <c r="F44" i="64"/>
  <c r="F43" i="64" s="1"/>
  <c r="K43" i="64"/>
  <c r="J43" i="64"/>
  <c r="H43" i="64"/>
  <c r="G43" i="64"/>
  <c r="E43" i="64"/>
  <c r="D43" i="64"/>
  <c r="F42" i="64"/>
  <c r="C42" i="64" s="1"/>
  <c r="E41" i="64"/>
  <c r="D41" i="64"/>
  <c r="L40" i="64"/>
  <c r="C40" i="64" s="1"/>
  <c r="L39" i="64"/>
  <c r="C39" i="64" s="1"/>
  <c r="L38" i="64"/>
  <c r="C38" i="64" s="1"/>
  <c r="L37" i="64"/>
  <c r="C37" i="64" s="1"/>
  <c r="K36" i="64"/>
  <c r="J36" i="64"/>
  <c r="L35" i="64"/>
  <c r="C35" i="64" s="1"/>
  <c r="L34" i="64"/>
  <c r="C34" i="64" s="1"/>
  <c r="K33" i="64"/>
  <c r="J33" i="64"/>
  <c r="L32" i="64"/>
  <c r="K31" i="64"/>
  <c r="J31" i="64"/>
  <c r="L30" i="64"/>
  <c r="C30" i="64" s="1"/>
  <c r="L29" i="64"/>
  <c r="C29" i="64" s="1"/>
  <c r="L28" i="64"/>
  <c r="C28" i="64" s="1"/>
  <c r="K27" i="64"/>
  <c r="J27" i="64"/>
  <c r="F25" i="64"/>
  <c r="C25" i="64" s="1"/>
  <c r="I24" i="64"/>
  <c r="F24" i="64"/>
  <c r="O23" i="64"/>
  <c r="L23" i="64"/>
  <c r="I23" i="64"/>
  <c r="F23" i="64"/>
  <c r="O22" i="64"/>
  <c r="O21" i="64" s="1"/>
  <c r="L22" i="64"/>
  <c r="L21" i="64" s="1"/>
  <c r="I22" i="64"/>
  <c r="F22" i="64"/>
  <c r="F21" i="64" s="1"/>
  <c r="N21" i="64"/>
  <c r="N292" i="64" s="1"/>
  <c r="N291" i="64" s="1"/>
  <c r="M21" i="64"/>
  <c r="M292" i="64" s="1"/>
  <c r="K21" i="64"/>
  <c r="J21" i="64"/>
  <c r="H21" i="64"/>
  <c r="H292" i="64" s="1"/>
  <c r="H291" i="64" s="1"/>
  <c r="G21" i="64"/>
  <c r="G292" i="64" s="1"/>
  <c r="E21" i="64"/>
  <c r="D21" i="64"/>
  <c r="L58" i="64" l="1"/>
  <c r="M270" i="64"/>
  <c r="K53" i="64"/>
  <c r="H76" i="64"/>
  <c r="N76" i="64"/>
  <c r="C261" i="64"/>
  <c r="G76" i="64"/>
  <c r="M76" i="64"/>
  <c r="E259" i="64"/>
  <c r="K259" i="64"/>
  <c r="N259" i="64"/>
  <c r="D231" i="64"/>
  <c r="D230" i="64" s="1"/>
  <c r="L27" i="64"/>
  <c r="C27" i="64" s="1"/>
  <c r="C100" i="64"/>
  <c r="O122" i="64"/>
  <c r="J174" i="64"/>
  <c r="J173" i="64" s="1"/>
  <c r="C79" i="64"/>
  <c r="D76" i="64"/>
  <c r="O76" i="64"/>
  <c r="C208" i="64"/>
  <c r="C225" i="64"/>
  <c r="H259" i="64"/>
  <c r="J269" i="64"/>
  <c r="D292" i="64"/>
  <c r="J292" i="64"/>
  <c r="J291" i="64" s="1"/>
  <c r="E76" i="64"/>
  <c r="G173" i="64"/>
  <c r="H174" i="64"/>
  <c r="H173" i="64" s="1"/>
  <c r="E269" i="64"/>
  <c r="D53" i="64"/>
  <c r="C57" i="64"/>
  <c r="D83" i="64"/>
  <c r="C124" i="64"/>
  <c r="C186" i="64"/>
  <c r="C207" i="64"/>
  <c r="C237" i="64"/>
  <c r="C273" i="64"/>
  <c r="C104" i="64"/>
  <c r="C109" i="64"/>
  <c r="C149" i="64"/>
  <c r="I184" i="64"/>
  <c r="C220" i="64"/>
  <c r="C265" i="64"/>
  <c r="M269" i="64"/>
  <c r="C277" i="64"/>
  <c r="O198" i="64"/>
  <c r="O196" i="64" s="1"/>
  <c r="D291" i="64"/>
  <c r="E292" i="64"/>
  <c r="E291" i="64" s="1"/>
  <c r="K292" i="64"/>
  <c r="K291" i="64" s="1"/>
  <c r="C96" i="64"/>
  <c r="C99" i="64"/>
  <c r="C141" i="64"/>
  <c r="M187" i="64"/>
  <c r="D270" i="64"/>
  <c r="D269" i="64" s="1"/>
  <c r="N270" i="64"/>
  <c r="N269" i="64" s="1"/>
  <c r="I252" i="64"/>
  <c r="I251" i="64" s="1"/>
  <c r="L264" i="64"/>
  <c r="C148" i="64"/>
  <c r="C183" i="64"/>
  <c r="C189" i="64"/>
  <c r="C190" i="64"/>
  <c r="N187" i="64"/>
  <c r="C203" i="64"/>
  <c r="C212" i="64"/>
  <c r="C219" i="64"/>
  <c r="C244" i="64"/>
  <c r="C248" i="64"/>
  <c r="C296" i="64"/>
  <c r="N20" i="64"/>
  <c r="J26" i="64"/>
  <c r="J20" i="64" s="1"/>
  <c r="F41" i="64"/>
  <c r="C41" i="64" s="1"/>
  <c r="M53" i="64"/>
  <c r="G54" i="64"/>
  <c r="G53" i="64" s="1"/>
  <c r="D130" i="64"/>
  <c r="N130" i="64"/>
  <c r="O175" i="64"/>
  <c r="O174" i="64" s="1"/>
  <c r="C181" i="64"/>
  <c r="K231" i="64"/>
  <c r="L238" i="64"/>
  <c r="G270" i="64"/>
  <c r="G269" i="64" s="1"/>
  <c r="C44" i="64"/>
  <c r="C93" i="64"/>
  <c r="C121" i="64"/>
  <c r="C24" i="64"/>
  <c r="K26" i="64"/>
  <c r="K20" i="64" s="1"/>
  <c r="L33" i="64"/>
  <c r="C33" i="64" s="1"/>
  <c r="O45" i="64"/>
  <c r="C45" i="64" s="1"/>
  <c r="C62" i="64"/>
  <c r="C123" i="64"/>
  <c r="C133" i="64"/>
  <c r="C135" i="64"/>
  <c r="J130" i="64"/>
  <c r="C153" i="64"/>
  <c r="C163" i="64"/>
  <c r="D174" i="64"/>
  <c r="D173" i="64" s="1"/>
  <c r="C228" i="64"/>
  <c r="O246" i="64"/>
  <c r="C280" i="64"/>
  <c r="O293" i="64"/>
  <c r="L31" i="64"/>
  <c r="C31" i="64" s="1"/>
  <c r="C32" i="64"/>
  <c r="L36" i="64"/>
  <c r="C36" i="64" s="1"/>
  <c r="F144" i="64"/>
  <c r="C145" i="64"/>
  <c r="K204" i="64"/>
  <c r="K195" i="64" s="1"/>
  <c r="J204" i="64"/>
  <c r="J195" i="64" s="1"/>
  <c r="I276" i="64"/>
  <c r="H20" i="64"/>
  <c r="G291" i="64"/>
  <c r="M291" i="64"/>
  <c r="C23" i="64"/>
  <c r="E53" i="64"/>
  <c r="C66" i="64"/>
  <c r="C72" i="64"/>
  <c r="C73" i="64"/>
  <c r="C88" i="64"/>
  <c r="N83" i="64"/>
  <c r="C97" i="64"/>
  <c r="E83" i="64"/>
  <c r="C108" i="64"/>
  <c r="C111" i="64"/>
  <c r="F136" i="64"/>
  <c r="C137" i="64"/>
  <c r="C139" i="64"/>
  <c r="C140" i="64"/>
  <c r="C167" i="64"/>
  <c r="C178" i="64"/>
  <c r="G204" i="64"/>
  <c r="G195" i="64" s="1"/>
  <c r="M204" i="64"/>
  <c r="M195" i="64" s="1"/>
  <c r="C209" i="64"/>
  <c r="C224" i="64"/>
  <c r="I227" i="64"/>
  <c r="C232" i="64"/>
  <c r="N231" i="64"/>
  <c r="C241" i="64"/>
  <c r="C243" i="64"/>
  <c r="O252" i="64"/>
  <c r="O251" i="64" s="1"/>
  <c r="M259" i="64"/>
  <c r="M230" i="64" s="1"/>
  <c r="I260" i="64"/>
  <c r="C268" i="64"/>
  <c r="C281" i="64"/>
  <c r="K269" i="64"/>
  <c r="C282" i="64"/>
  <c r="O286" i="64"/>
  <c r="O292" i="64" s="1"/>
  <c r="D20" i="64"/>
  <c r="F122" i="64"/>
  <c r="D204" i="64"/>
  <c r="D195" i="64" s="1"/>
  <c r="I43" i="64"/>
  <c r="C43" i="64" s="1"/>
  <c r="C60" i="64"/>
  <c r="C64" i="64"/>
  <c r="C68" i="64"/>
  <c r="C92" i="64"/>
  <c r="C120" i="64"/>
  <c r="F128" i="64"/>
  <c r="C128" i="64" s="1"/>
  <c r="C129" i="64"/>
  <c r="L131" i="64"/>
  <c r="G130" i="64"/>
  <c r="L144" i="64"/>
  <c r="I151" i="64"/>
  <c r="C157" i="64"/>
  <c r="C169" i="64"/>
  <c r="I174" i="64"/>
  <c r="C201" i="64"/>
  <c r="C202" i="64"/>
  <c r="C213" i="64"/>
  <c r="L216" i="64"/>
  <c r="C221" i="64"/>
  <c r="E231" i="64"/>
  <c r="C247" i="64"/>
  <c r="F246" i="64"/>
  <c r="C257" i="64"/>
  <c r="I264" i="64"/>
  <c r="H270" i="64"/>
  <c r="H269" i="64" s="1"/>
  <c r="I272" i="64"/>
  <c r="C294" i="64"/>
  <c r="F293" i="64"/>
  <c r="C295" i="64"/>
  <c r="J54" i="64"/>
  <c r="J53" i="64" s="1"/>
  <c r="N53" i="64"/>
  <c r="O54" i="64"/>
  <c r="C71" i="64"/>
  <c r="O69" i="64"/>
  <c r="J76" i="64"/>
  <c r="C81" i="64"/>
  <c r="K83" i="64"/>
  <c r="F84" i="64"/>
  <c r="C87" i="64"/>
  <c r="L89" i="64"/>
  <c r="C101" i="64"/>
  <c r="C107" i="64"/>
  <c r="H83" i="64"/>
  <c r="C113" i="64"/>
  <c r="C117" i="64"/>
  <c r="C125" i="64"/>
  <c r="C146" i="64"/>
  <c r="L151" i="64"/>
  <c r="C158" i="64"/>
  <c r="C162" i="64"/>
  <c r="C171" i="64"/>
  <c r="F175" i="64"/>
  <c r="F174" i="64" s="1"/>
  <c r="C177" i="64"/>
  <c r="C182" i="64"/>
  <c r="E187" i="64"/>
  <c r="J187" i="64"/>
  <c r="C200" i="64"/>
  <c r="I205" i="64"/>
  <c r="C211" i="64"/>
  <c r="H204" i="64"/>
  <c r="H195" i="64" s="1"/>
  <c r="N204" i="64"/>
  <c r="N195" i="64" s="1"/>
  <c r="C229" i="64"/>
  <c r="J231" i="64"/>
  <c r="J230" i="64" s="1"/>
  <c r="H231" i="64"/>
  <c r="H230" i="64" s="1"/>
  <c r="C245" i="64"/>
  <c r="C256" i="64"/>
  <c r="C278" i="64"/>
  <c r="C285" i="64"/>
  <c r="C288" i="64"/>
  <c r="C297" i="64"/>
  <c r="C61" i="64"/>
  <c r="C63" i="64"/>
  <c r="C65" i="64"/>
  <c r="C70" i="64"/>
  <c r="C85" i="64"/>
  <c r="C91" i="64"/>
  <c r="O89" i="64"/>
  <c r="M83" i="64"/>
  <c r="C105" i="64"/>
  <c r="C115" i="64"/>
  <c r="F116" i="64"/>
  <c r="C119" i="64"/>
  <c r="O116" i="64"/>
  <c r="C127" i="64"/>
  <c r="M130" i="64"/>
  <c r="K130" i="64"/>
  <c r="O144" i="64"/>
  <c r="C155" i="64"/>
  <c r="C156" i="64"/>
  <c r="M174" i="64"/>
  <c r="M173" i="64" s="1"/>
  <c r="N174" i="64"/>
  <c r="N173" i="64" s="1"/>
  <c r="L179" i="64"/>
  <c r="C179" i="64" s="1"/>
  <c r="K187" i="64"/>
  <c r="L198" i="64"/>
  <c r="L196" i="64" s="1"/>
  <c r="C215" i="64"/>
  <c r="C223" i="64"/>
  <c r="G231" i="64"/>
  <c r="L246" i="64"/>
  <c r="C253" i="64"/>
  <c r="L270" i="64"/>
  <c r="L269" i="64" s="1"/>
  <c r="C274" i="64"/>
  <c r="C275" i="64"/>
  <c r="C300" i="64"/>
  <c r="F54" i="64"/>
  <c r="L292" i="64"/>
  <c r="L54" i="64"/>
  <c r="C250" i="64"/>
  <c r="I246" i="64"/>
  <c r="E20" i="64"/>
  <c r="M20" i="64"/>
  <c r="C22" i="64"/>
  <c r="C55" i="64"/>
  <c r="C59" i="64"/>
  <c r="I69" i="64"/>
  <c r="I67" i="64" s="1"/>
  <c r="I77" i="64"/>
  <c r="C77" i="64" s="1"/>
  <c r="C78" i="64"/>
  <c r="C82" i="64"/>
  <c r="I80" i="64"/>
  <c r="G83" i="64"/>
  <c r="L84" i="64"/>
  <c r="J83" i="64"/>
  <c r="C94" i="64"/>
  <c r="C98" i="64"/>
  <c r="L103" i="64"/>
  <c r="F103" i="64"/>
  <c r="C110" i="64"/>
  <c r="C114" i="64"/>
  <c r="I112" i="64"/>
  <c r="C118" i="64"/>
  <c r="I116" i="64"/>
  <c r="E130" i="64"/>
  <c r="C132" i="64"/>
  <c r="F131" i="64"/>
  <c r="C138" i="64"/>
  <c r="C147" i="64"/>
  <c r="C154" i="64"/>
  <c r="C159" i="64"/>
  <c r="O166" i="64"/>
  <c r="O165" i="64" s="1"/>
  <c r="L166" i="64"/>
  <c r="L165" i="64" s="1"/>
  <c r="C170" i="64"/>
  <c r="I21" i="64"/>
  <c r="C21" i="64" s="1"/>
  <c r="C56" i="64"/>
  <c r="I58" i="64"/>
  <c r="C58" i="64" s="1"/>
  <c r="O67" i="64"/>
  <c r="F69" i="64"/>
  <c r="O95" i="64"/>
  <c r="L122" i="64"/>
  <c r="O151" i="64"/>
  <c r="C168" i="64"/>
  <c r="F166" i="64"/>
  <c r="C185" i="64"/>
  <c r="F184" i="64"/>
  <c r="G20" i="64"/>
  <c r="L69" i="64"/>
  <c r="L67" i="64" s="1"/>
  <c r="C74" i="64"/>
  <c r="L80" i="64"/>
  <c r="L76" i="64" s="1"/>
  <c r="C86" i="64"/>
  <c r="I84" i="64"/>
  <c r="I89" i="64"/>
  <c r="C90" i="64"/>
  <c r="L95" i="64"/>
  <c r="F95" i="64"/>
  <c r="C102" i="64"/>
  <c r="C106" i="64"/>
  <c r="L112" i="64"/>
  <c r="L116" i="64"/>
  <c r="C126" i="64"/>
  <c r="H130" i="64"/>
  <c r="C134" i="64"/>
  <c r="C143" i="64"/>
  <c r="C150" i="64"/>
  <c r="C152" i="64"/>
  <c r="F151" i="64"/>
  <c r="C161" i="64"/>
  <c r="I165" i="64"/>
  <c r="I192" i="64"/>
  <c r="C193" i="64"/>
  <c r="C199" i="64"/>
  <c r="I198" i="64"/>
  <c r="I136" i="64"/>
  <c r="C142" i="64"/>
  <c r="I144" i="64"/>
  <c r="F160" i="64"/>
  <c r="C164" i="64"/>
  <c r="E174" i="64"/>
  <c r="E173" i="64" s="1"/>
  <c r="L175" i="64"/>
  <c r="C180" i="64"/>
  <c r="F188" i="64"/>
  <c r="C227" i="64"/>
  <c r="F235" i="64"/>
  <c r="C236" i="64"/>
  <c r="O259" i="64"/>
  <c r="O160" i="64"/>
  <c r="O188" i="64"/>
  <c r="O187" i="64" s="1"/>
  <c r="I196" i="64"/>
  <c r="C197" i="64"/>
  <c r="C206" i="64"/>
  <c r="F205" i="64"/>
  <c r="O205" i="64"/>
  <c r="C218" i="64"/>
  <c r="F216" i="64"/>
  <c r="O216" i="64"/>
  <c r="C240" i="64"/>
  <c r="F238" i="64"/>
  <c r="G259" i="64"/>
  <c r="G230" i="64" s="1"/>
  <c r="L259" i="64"/>
  <c r="O270" i="64"/>
  <c r="O269" i="64" s="1"/>
  <c r="C279" i="64"/>
  <c r="F276" i="64"/>
  <c r="C172" i="64"/>
  <c r="C176" i="64"/>
  <c r="O184" i="64"/>
  <c r="D187" i="64"/>
  <c r="H187" i="64"/>
  <c r="L187" i="64"/>
  <c r="F196" i="64"/>
  <c r="I216" i="64"/>
  <c r="C217" i="64"/>
  <c r="L205" i="64"/>
  <c r="C214" i="64"/>
  <c r="C226" i="64"/>
  <c r="C242" i="64"/>
  <c r="C262" i="64"/>
  <c r="C263" i="64"/>
  <c r="F260" i="64"/>
  <c r="C266" i="64"/>
  <c r="C267" i="64"/>
  <c r="F264" i="64"/>
  <c r="F286" i="64"/>
  <c r="I293" i="64"/>
  <c r="C210" i="64"/>
  <c r="C222" i="64"/>
  <c r="I233" i="64"/>
  <c r="I231" i="64" s="1"/>
  <c r="C234" i="64"/>
  <c r="C249" i="64"/>
  <c r="L252" i="64"/>
  <c r="L251" i="64" s="1"/>
  <c r="C258" i="64"/>
  <c r="L284" i="64"/>
  <c r="C287" i="64"/>
  <c r="L293" i="64"/>
  <c r="C298" i="64"/>
  <c r="C299" i="64"/>
  <c r="O235" i="64"/>
  <c r="C239" i="64"/>
  <c r="O238" i="64"/>
  <c r="C254" i="64"/>
  <c r="C255" i="64"/>
  <c r="F252" i="64"/>
  <c r="C271" i="64"/>
  <c r="F20" i="64" l="1"/>
  <c r="L231" i="64"/>
  <c r="M75" i="64"/>
  <c r="N230" i="64"/>
  <c r="K230" i="64"/>
  <c r="K194" i="64" s="1"/>
  <c r="O204" i="64"/>
  <c r="O195" i="64" s="1"/>
  <c r="N75" i="64"/>
  <c r="E230" i="64"/>
  <c r="E194" i="64" s="1"/>
  <c r="O291" i="64"/>
  <c r="O20" i="64"/>
  <c r="L204" i="64"/>
  <c r="O130" i="64"/>
  <c r="D75" i="64"/>
  <c r="C293" i="64"/>
  <c r="C264" i="64"/>
  <c r="C276" i="64"/>
  <c r="C198" i="64"/>
  <c r="H75" i="64"/>
  <c r="H52" i="64" s="1"/>
  <c r="I270" i="64"/>
  <c r="I269" i="64" s="1"/>
  <c r="D194" i="64"/>
  <c r="J194" i="64"/>
  <c r="M52" i="64"/>
  <c r="E75" i="64"/>
  <c r="E52" i="64" s="1"/>
  <c r="G75" i="64"/>
  <c r="G52" i="64" s="1"/>
  <c r="K75" i="64"/>
  <c r="K52" i="64" s="1"/>
  <c r="C246" i="64"/>
  <c r="I173" i="64"/>
  <c r="L230" i="64"/>
  <c r="D289" i="64"/>
  <c r="F231" i="64"/>
  <c r="O83" i="64"/>
  <c r="O173" i="64"/>
  <c r="L174" i="64"/>
  <c r="L173" i="64" s="1"/>
  <c r="I130" i="64"/>
  <c r="C89" i="64"/>
  <c r="N52" i="64"/>
  <c r="L130" i="64"/>
  <c r="O53" i="64"/>
  <c r="C103" i="64"/>
  <c r="J75" i="64"/>
  <c r="J289" i="64" s="1"/>
  <c r="L26" i="64"/>
  <c r="L20" i="64" s="1"/>
  <c r="N194" i="64"/>
  <c r="H194" i="64"/>
  <c r="F83" i="64"/>
  <c r="O231" i="64"/>
  <c r="O230" i="64" s="1"/>
  <c r="C272" i="64"/>
  <c r="C136" i="64"/>
  <c r="I259" i="64"/>
  <c r="I230" i="64" s="1"/>
  <c r="M194" i="64"/>
  <c r="L195" i="64"/>
  <c r="I204" i="64"/>
  <c r="I195" i="64" s="1"/>
  <c r="C160" i="64"/>
  <c r="C151" i="64"/>
  <c r="C122" i="64"/>
  <c r="C116" i="64"/>
  <c r="C80" i="64"/>
  <c r="G194" i="64"/>
  <c r="L283" i="64"/>
  <c r="C283" i="64" s="1"/>
  <c r="C284" i="64"/>
  <c r="M289" i="64"/>
  <c r="C238" i="64"/>
  <c r="C216" i="64"/>
  <c r="K289" i="64"/>
  <c r="C235" i="64"/>
  <c r="C188" i="64"/>
  <c r="F187" i="64"/>
  <c r="F270" i="64"/>
  <c r="C69" i="64"/>
  <c r="F67" i="64"/>
  <c r="C67" i="64" s="1"/>
  <c r="C144" i="64"/>
  <c r="C112" i="64"/>
  <c r="L83" i="64"/>
  <c r="I54" i="64"/>
  <c r="I53" i="64" s="1"/>
  <c r="D52" i="64"/>
  <c r="F173" i="64"/>
  <c r="C131" i="64"/>
  <c r="F130" i="64"/>
  <c r="F251" i="64"/>
  <c r="C251" i="64" s="1"/>
  <c r="C252" i="64"/>
  <c r="C205" i="64"/>
  <c r="F204" i="64"/>
  <c r="F195" i="64" s="1"/>
  <c r="C175" i="64"/>
  <c r="C184" i="64"/>
  <c r="C286" i="64"/>
  <c r="F259" i="64"/>
  <c r="C260" i="64"/>
  <c r="C233" i="64"/>
  <c r="C196" i="64"/>
  <c r="I191" i="64"/>
  <c r="C192" i="64"/>
  <c r="C95" i="64"/>
  <c r="I83" i="64"/>
  <c r="C84" i="64"/>
  <c r="F165" i="64"/>
  <c r="C165" i="64" s="1"/>
  <c r="C166" i="64"/>
  <c r="I292" i="64"/>
  <c r="I291" i="64" s="1"/>
  <c r="I20" i="64"/>
  <c r="I76" i="64"/>
  <c r="L53" i="64"/>
  <c r="F292" i="64"/>
  <c r="L291" i="64"/>
  <c r="N289" i="64" l="1"/>
  <c r="J52" i="64"/>
  <c r="J51" i="64" s="1"/>
  <c r="K51" i="64"/>
  <c r="O194" i="64"/>
  <c r="E289" i="64"/>
  <c r="C231" i="64"/>
  <c r="O75" i="64"/>
  <c r="O52" i="64" s="1"/>
  <c r="C26" i="64"/>
  <c r="C174" i="64"/>
  <c r="L75" i="64"/>
  <c r="L52" i="64" s="1"/>
  <c r="C54" i="64"/>
  <c r="H289" i="64"/>
  <c r="C20" i="64"/>
  <c r="M51" i="64"/>
  <c r="M50" i="64" s="1"/>
  <c r="G51" i="64"/>
  <c r="G290" i="64" s="1"/>
  <c r="C130" i="64"/>
  <c r="N51" i="64"/>
  <c r="N50" i="64" s="1"/>
  <c r="C173" i="64"/>
  <c r="O289" i="64"/>
  <c r="D51" i="64"/>
  <c r="D290" i="64" s="1"/>
  <c r="G289" i="64"/>
  <c r="E51" i="64"/>
  <c r="E290" i="64" s="1"/>
  <c r="K50" i="64"/>
  <c r="K290" i="64"/>
  <c r="H51" i="64"/>
  <c r="H50" i="64" s="1"/>
  <c r="I194" i="64"/>
  <c r="C204" i="64"/>
  <c r="C259" i="64"/>
  <c r="C191" i="64"/>
  <c r="I187" i="64"/>
  <c r="C187" i="64" s="1"/>
  <c r="H290" i="64"/>
  <c r="C292" i="64"/>
  <c r="F291" i="64"/>
  <c r="C291" i="64" s="1"/>
  <c r="F230" i="64"/>
  <c r="C230" i="64" s="1"/>
  <c r="F75" i="64"/>
  <c r="L194" i="64"/>
  <c r="C83" i="64"/>
  <c r="C270" i="64"/>
  <c r="F269" i="64"/>
  <c r="J50" i="64"/>
  <c r="J290" i="64"/>
  <c r="F53" i="64"/>
  <c r="I75" i="64"/>
  <c r="C76" i="64"/>
  <c r="C195" i="64"/>
  <c r="G50" i="64"/>
  <c r="O51" i="64" l="1"/>
  <c r="O290" i="64" s="1"/>
  <c r="N290" i="64"/>
  <c r="L289" i="64"/>
  <c r="D50" i="64"/>
  <c r="O50" i="64"/>
  <c r="M290" i="64"/>
  <c r="E50" i="64"/>
  <c r="I289" i="64"/>
  <c r="C269" i="64"/>
  <c r="F289" i="64"/>
  <c r="I52" i="64"/>
  <c r="I51" i="64" s="1"/>
  <c r="F194" i="64"/>
  <c r="C194" i="64" s="1"/>
  <c r="L51" i="64"/>
  <c r="C75" i="64"/>
  <c r="C53" i="64"/>
  <c r="F52" i="64"/>
  <c r="C289" i="64" l="1"/>
  <c r="F51" i="64"/>
  <c r="C52" i="64"/>
  <c r="I290" i="64"/>
  <c r="I50" i="64"/>
  <c r="L50" i="64"/>
  <c r="L290" i="64"/>
  <c r="F290" i="64" l="1"/>
  <c r="C290" i="64" s="1"/>
  <c r="F50" i="64"/>
  <c r="C50" i="64" s="1"/>
  <c r="C51" i="64"/>
  <c r="O301" i="63" l="1"/>
  <c r="L301" i="63"/>
  <c r="I301" i="63"/>
  <c r="F301" i="63"/>
  <c r="O300" i="63"/>
  <c r="L300" i="63"/>
  <c r="I300" i="63"/>
  <c r="F300" i="63"/>
  <c r="O299" i="63"/>
  <c r="L299" i="63"/>
  <c r="I299" i="63"/>
  <c r="F299" i="63"/>
  <c r="O298" i="63"/>
  <c r="L298" i="63"/>
  <c r="I298" i="63"/>
  <c r="F298" i="63"/>
  <c r="C298" i="63" s="1"/>
  <c r="O297" i="63"/>
  <c r="L297" i="63"/>
  <c r="I297" i="63"/>
  <c r="F297" i="63"/>
  <c r="O296" i="63"/>
  <c r="L296" i="63"/>
  <c r="I296" i="63"/>
  <c r="F296" i="63"/>
  <c r="O295" i="63"/>
  <c r="L295" i="63"/>
  <c r="I295" i="63"/>
  <c r="F295" i="63"/>
  <c r="O294" i="63"/>
  <c r="L294" i="63"/>
  <c r="I294" i="63"/>
  <c r="F294" i="63"/>
  <c r="N293" i="63"/>
  <c r="M293" i="63"/>
  <c r="K293" i="63"/>
  <c r="J293" i="63"/>
  <c r="H293" i="63"/>
  <c r="G293" i="63"/>
  <c r="E293" i="63"/>
  <c r="D293" i="63"/>
  <c r="O288" i="63"/>
  <c r="L288" i="63"/>
  <c r="I288" i="63"/>
  <c r="F288" i="63"/>
  <c r="O287" i="63"/>
  <c r="L287" i="63"/>
  <c r="L286" i="63" s="1"/>
  <c r="I287" i="63"/>
  <c r="I286" i="63" s="1"/>
  <c r="F287" i="63"/>
  <c r="O286" i="63"/>
  <c r="N286" i="63"/>
  <c r="M286" i="63"/>
  <c r="K286" i="63"/>
  <c r="J286" i="63"/>
  <c r="H286" i="63"/>
  <c r="G286" i="63"/>
  <c r="F286" i="63"/>
  <c r="E286" i="63"/>
  <c r="D286" i="63"/>
  <c r="O285" i="63"/>
  <c r="O284" i="63" s="1"/>
  <c r="O283" i="63" s="1"/>
  <c r="L285" i="63"/>
  <c r="L284" i="63" s="1"/>
  <c r="L283" i="63" s="1"/>
  <c r="I285" i="63"/>
  <c r="F285" i="63"/>
  <c r="F284" i="63" s="1"/>
  <c r="N284" i="63"/>
  <c r="N283" i="63" s="1"/>
  <c r="M284" i="63"/>
  <c r="K284" i="63"/>
  <c r="J284" i="63"/>
  <c r="J283" i="63" s="1"/>
  <c r="I284" i="63"/>
  <c r="I283" i="63" s="1"/>
  <c r="H284" i="63"/>
  <c r="H283" i="63" s="1"/>
  <c r="G284" i="63"/>
  <c r="E284" i="63"/>
  <c r="D284" i="63"/>
  <c r="D283" i="63" s="1"/>
  <c r="M283" i="63"/>
  <c r="K283" i="63"/>
  <c r="G283" i="63"/>
  <c r="E283" i="63"/>
  <c r="O282" i="63"/>
  <c r="L282" i="63"/>
  <c r="I282" i="63"/>
  <c r="I281" i="63" s="1"/>
  <c r="F282" i="63"/>
  <c r="F281" i="63" s="1"/>
  <c r="O281" i="63"/>
  <c r="N281" i="63"/>
  <c r="M281" i="63"/>
  <c r="K281" i="63"/>
  <c r="J281" i="63"/>
  <c r="H281" i="63"/>
  <c r="G281" i="63"/>
  <c r="E281" i="63"/>
  <c r="D281" i="63"/>
  <c r="O280" i="63"/>
  <c r="L280" i="63"/>
  <c r="I280" i="63"/>
  <c r="F280" i="63"/>
  <c r="O279" i="63"/>
  <c r="L279" i="63"/>
  <c r="I279" i="63"/>
  <c r="F279" i="63"/>
  <c r="O278" i="63"/>
  <c r="L278" i="63"/>
  <c r="I278" i="63"/>
  <c r="F278" i="63"/>
  <c r="O277" i="63"/>
  <c r="O276" i="63" s="1"/>
  <c r="L277" i="63"/>
  <c r="I277" i="63"/>
  <c r="F277" i="63"/>
  <c r="F276" i="63" s="1"/>
  <c r="N276" i="63"/>
  <c r="M276" i="63"/>
  <c r="L276" i="63"/>
  <c r="K276" i="63"/>
  <c r="J276" i="63"/>
  <c r="H276" i="63"/>
  <c r="G276" i="63"/>
  <c r="E276" i="63"/>
  <c r="D276" i="63"/>
  <c r="O275" i="63"/>
  <c r="L275" i="63"/>
  <c r="I275" i="63"/>
  <c r="F275" i="63"/>
  <c r="O274" i="63"/>
  <c r="L274" i="63"/>
  <c r="I274" i="63"/>
  <c r="F274" i="63"/>
  <c r="O273" i="63"/>
  <c r="O272" i="63" s="1"/>
  <c r="L273" i="63"/>
  <c r="I273" i="63"/>
  <c r="F273" i="63"/>
  <c r="F272" i="63" s="1"/>
  <c r="N272" i="63"/>
  <c r="M272" i="63"/>
  <c r="M270" i="63" s="1"/>
  <c r="K272" i="63"/>
  <c r="J272" i="63"/>
  <c r="J270" i="63" s="1"/>
  <c r="J269" i="63" s="1"/>
  <c r="H272" i="63"/>
  <c r="H270" i="63" s="1"/>
  <c r="G272" i="63"/>
  <c r="E272" i="63"/>
  <c r="D272" i="63"/>
  <c r="O271" i="63"/>
  <c r="L271" i="63"/>
  <c r="I271" i="63"/>
  <c r="F271" i="63"/>
  <c r="G270" i="63"/>
  <c r="O268" i="63"/>
  <c r="L268" i="63"/>
  <c r="I268" i="63"/>
  <c r="F268" i="63"/>
  <c r="O267" i="63"/>
  <c r="L267" i="63"/>
  <c r="I267" i="63"/>
  <c r="F267" i="63"/>
  <c r="O266" i="63"/>
  <c r="L266" i="63"/>
  <c r="I266" i="63"/>
  <c r="F266" i="63"/>
  <c r="O265" i="63"/>
  <c r="O264" i="63" s="1"/>
  <c r="L265" i="63"/>
  <c r="I265" i="63"/>
  <c r="F265" i="63"/>
  <c r="N264" i="63"/>
  <c r="M264" i="63"/>
  <c r="K264" i="63"/>
  <c r="J264" i="63"/>
  <c r="H264" i="63"/>
  <c r="G264" i="63"/>
  <c r="E264" i="63"/>
  <c r="D264" i="63"/>
  <c r="O263" i="63"/>
  <c r="L263" i="63"/>
  <c r="I263" i="63"/>
  <c r="F263" i="63"/>
  <c r="O262" i="63"/>
  <c r="L262" i="63"/>
  <c r="I262" i="63"/>
  <c r="F262" i="63"/>
  <c r="O261" i="63"/>
  <c r="O260" i="63" s="1"/>
  <c r="L261" i="63"/>
  <c r="L260" i="63" s="1"/>
  <c r="I261" i="63"/>
  <c r="F261" i="63"/>
  <c r="N260" i="63"/>
  <c r="M260" i="63"/>
  <c r="M259" i="63" s="1"/>
  <c r="K260" i="63"/>
  <c r="K259" i="63" s="1"/>
  <c r="J260" i="63"/>
  <c r="H260" i="63"/>
  <c r="H259" i="63" s="1"/>
  <c r="G260" i="63"/>
  <c r="F260" i="63"/>
  <c r="E260" i="63"/>
  <c r="D260" i="63"/>
  <c r="G259" i="63"/>
  <c r="O258" i="63"/>
  <c r="L258" i="63"/>
  <c r="I258" i="63"/>
  <c r="F258" i="63"/>
  <c r="O257" i="63"/>
  <c r="L257" i="63"/>
  <c r="I257" i="63"/>
  <c r="F257" i="63"/>
  <c r="C257" i="63" s="1"/>
  <c r="O256" i="63"/>
  <c r="L256" i="63"/>
  <c r="I256" i="63"/>
  <c r="F256" i="63"/>
  <c r="O255" i="63"/>
  <c r="L255" i="63"/>
  <c r="I255" i="63"/>
  <c r="F255" i="63"/>
  <c r="O254" i="63"/>
  <c r="L254" i="63"/>
  <c r="I254" i="63"/>
  <c r="F254" i="63"/>
  <c r="O253" i="63"/>
  <c r="O252" i="63" s="1"/>
  <c r="L253" i="63"/>
  <c r="I253" i="63"/>
  <c r="F253" i="63"/>
  <c r="C253" i="63" s="1"/>
  <c r="N252" i="63"/>
  <c r="M252" i="63"/>
  <c r="M251" i="63" s="1"/>
  <c r="L252" i="63"/>
  <c r="K252" i="63"/>
  <c r="J252" i="63"/>
  <c r="J251" i="63" s="1"/>
  <c r="H252" i="63"/>
  <c r="H251" i="63" s="1"/>
  <c r="G252" i="63"/>
  <c r="G251" i="63" s="1"/>
  <c r="E252" i="63"/>
  <c r="E251" i="63" s="1"/>
  <c r="D252" i="63"/>
  <c r="D251" i="63" s="1"/>
  <c r="N251" i="63"/>
  <c r="K251" i="63"/>
  <c r="O250" i="63"/>
  <c r="L250" i="63"/>
  <c r="I250" i="63"/>
  <c r="F250" i="63"/>
  <c r="O249" i="63"/>
  <c r="L249" i="63"/>
  <c r="I249" i="63"/>
  <c r="F249" i="63"/>
  <c r="O248" i="63"/>
  <c r="L248" i="63"/>
  <c r="I248" i="63"/>
  <c r="F248" i="63"/>
  <c r="O247" i="63"/>
  <c r="L247" i="63"/>
  <c r="I247" i="63"/>
  <c r="F247" i="63"/>
  <c r="F246" i="63" s="1"/>
  <c r="N246" i="63"/>
  <c r="M246" i="63"/>
  <c r="K246" i="63"/>
  <c r="J246" i="63"/>
  <c r="H246" i="63"/>
  <c r="G246" i="63"/>
  <c r="E246" i="63"/>
  <c r="D246" i="63"/>
  <c r="O245" i="63"/>
  <c r="L245" i="63"/>
  <c r="I245" i="63"/>
  <c r="F245" i="63"/>
  <c r="O244" i="63"/>
  <c r="L244" i="63"/>
  <c r="I244" i="63"/>
  <c r="F244" i="63"/>
  <c r="O243" i="63"/>
  <c r="L243" i="63"/>
  <c r="I243" i="63"/>
  <c r="F243" i="63"/>
  <c r="O242" i="63"/>
  <c r="L242" i="63"/>
  <c r="I242" i="63"/>
  <c r="F242" i="63"/>
  <c r="O241" i="63"/>
  <c r="L241" i="63"/>
  <c r="I241" i="63"/>
  <c r="C241" i="63" s="1"/>
  <c r="F241" i="63"/>
  <c r="O240" i="63"/>
  <c r="L240" i="63"/>
  <c r="I240" i="63"/>
  <c r="F240" i="63"/>
  <c r="C240" i="63" s="1"/>
  <c r="O239" i="63"/>
  <c r="L239" i="63"/>
  <c r="I239" i="63"/>
  <c r="F239" i="63"/>
  <c r="F238" i="63" s="1"/>
  <c r="N238" i="63"/>
  <c r="M238" i="63"/>
  <c r="K238" i="63"/>
  <c r="J238" i="63"/>
  <c r="H238" i="63"/>
  <c r="G238" i="63"/>
  <c r="E238" i="63"/>
  <c r="D238" i="63"/>
  <c r="O237" i="63"/>
  <c r="L237" i="63"/>
  <c r="I237" i="63"/>
  <c r="F237" i="63"/>
  <c r="O236" i="63"/>
  <c r="L236" i="63"/>
  <c r="L235" i="63" s="1"/>
  <c r="I236" i="63"/>
  <c r="F236" i="63"/>
  <c r="N235" i="63"/>
  <c r="M235" i="63"/>
  <c r="K235" i="63"/>
  <c r="J235" i="63"/>
  <c r="H235" i="63"/>
  <c r="G235" i="63"/>
  <c r="E235" i="63"/>
  <c r="D235" i="63"/>
  <c r="O234" i="63"/>
  <c r="L234" i="63"/>
  <c r="L233" i="63" s="1"/>
  <c r="I234" i="63"/>
  <c r="I233" i="63" s="1"/>
  <c r="F234" i="63"/>
  <c r="O233" i="63"/>
  <c r="N233" i="63"/>
  <c r="M233" i="63"/>
  <c r="K233" i="63"/>
  <c r="K231" i="63" s="1"/>
  <c r="J233" i="63"/>
  <c r="H233" i="63"/>
  <c r="G233" i="63"/>
  <c r="G231" i="63" s="1"/>
  <c r="E233" i="63"/>
  <c r="D233" i="63"/>
  <c r="O232" i="63"/>
  <c r="L232" i="63"/>
  <c r="I232" i="63"/>
  <c r="F232" i="63"/>
  <c r="H231" i="63"/>
  <c r="O229" i="63"/>
  <c r="L229" i="63"/>
  <c r="I229" i="63"/>
  <c r="F229" i="63"/>
  <c r="C229" i="63" s="1"/>
  <c r="O228" i="63"/>
  <c r="O227" i="63" s="1"/>
  <c r="L228" i="63"/>
  <c r="L227" i="63" s="1"/>
  <c r="I228" i="63"/>
  <c r="I227" i="63" s="1"/>
  <c r="F228" i="63"/>
  <c r="N227" i="63"/>
  <c r="M227" i="63"/>
  <c r="K227" i="63"/>
  <c r="J227" i="63"/>
  <c r="H227" i="63"/>
  <c r="G227" i="63"/>
  <c r="E227" i="63"/>
  <c r="D227" i="63"/>
  <c r="O226" i="63"/>
  <c r="L226" i="63"/>
  <c r="I226" i="63"/>
  <c r="F226" i="63"/>
  <c r="O225" i="63"/>
  <c r="L225" i="63"/>
  <c r="I225" i="63"/>
  <c r="F225" i="63"/>
  <c r="O224" i="63"/>
  <c r="L224" i="63"/>
  <c r="I224" i="63"/>
  <c r="F224" i="63"/>
  <c r="O223" i="63"/>
  <c r="L223" i="63"/>
  <c r="I223" i="63"/>
  <c r="F223" i="63"/>
  <c r="O222" i="63"/>
  <c r="L222" i="63"/>
  <c r="I222" i="63"/>
  <c r="F222" i="63"/>
  <c r="O221" i="63"/>
  <c r="L221" i="63"/>
  <c r="I221" i="63"/>
  <c r="C221" i="63" s="1"/>
  <c r="F221" i="63"/>
  <c r="O220" i="63"/>
  <c r="L220" i="63"/>
  <c r="I220" i="63"/>
  <c r="F220" i="63"/>
  <c r="O219" i="63"/>
  <c r="L219" i="63"/>
  <c r="I219" i="63"/>
  <c r="F219" i="63"/>
  <c r="O218" i="63"/>
  <c r="L218" i="63"/>
  <c r="I218" i="63"/>
  <c r="F218" i="63"/>
  <c r="O217" i="63"/>
  <c r="L217" i="63"/>
  <c r="I217" i="63"/>
  <c r="F217" i="63"/>
  <c r="N216" i="63"/>
  <c r="M216" i="63"/>
  <c r="K216" i="63"/>
  <c r="J216" i="63"/>
  <c r="H216" i="63"/>
  <c r="G216" i="63"/>
  <c r="E216" i="63"/>
  <c r="D216" i="63"/>
  <c r="O215" i="63"/>
  <c r="L215" i="63"/>
  <c r="I215" i="63"/>
  <c r="F215" i="63"/>
  <c r="O214" i="63"/>
  <c r="L214" i="63"/>
  <c r="I214" i="63"/>
  <c r="F214" i="63"/>
  <c r="O213" i="63"/>
  <c r="L213" i="63"/>
  <c r="I213" i="63"/>
  <c r="F213" i="63"/>
  <c r="O212" i="63"/>
  <c r="L212" i="63"/>
  <c r="I212" i="63"/>
  <c r="F212" i="63"/>
  <c r="O211" i="63"/>
  <c r="L211" i="63"/>
  <c r="I211" i="63"/>
  <c r="F211" i="63"/>
  <c r="O210" i="63"/>
  <c r="L210" i="63"/>
  <c r="I210" i="63"/>
  <c r="F210" i="63"/>
  <c r="O209" i="63"/>
  <c r="L209" i="63"/>
  <c r="I209" i="63"/>
  <c r="F209" i="63"/>
  <c r="O208" i="63"/>
  <c r="L208" i="63"/>
  <c r="I208" i="63"/>
  <c r="F208" i="63"/>
  <c r="O207" i="63"/>
  <c r="L207" i="63"/>
  <c r="I207" i="63"/>
  <c r="F207" i="63"/>
  <c r="O206" i="63"/>
  <c r="L206" i="63"/>
  <c r="I206" i="63"/>
  <c r="F206" i="63"/>
  <c r="N205" i="63"/>
  <c r="M205" i="63"/>
  <c r="K205" i="63"/>
  <c r="J205" i="63"/>
  <c r="H205" i="63"/>
  <c r="G205" i="63"/>
  <c r="E205" i="63"/>
  <c r="D205" i="63"/>
  <c r="N204" i="63"/>
  <c r="J204" i="63"/>
  <c r="O203" i="63"/>
  <c r="L203" i="63"/>
  <c r="I203" i="63"/>
  <c r="F203" i="63"/>
  <c r="O202" i="63"/>
  <c r="L202" i="63"/>
  <c r="I202" i="63"/>
  <c r="F202" i="63"/>
  <c r="O201" i="63"/>
  <c r="L201" i="63"/>
  <c r="I201" i="63"/>
  <c r="F201" i="63"/>
  <c r="O200" i="63"/>
  <c r="L200" i="63"/>
  <c r="I200" i="63"/>
  <c r="F200" i="63"/>
  <c r="O199" i="63"/>
  <c r="O198" i="63" s="1"/>
  <c r="L199" i="63"/>
  <c r="L198" i="63" s="1"/>
  <c r="I199" i="63"/>
  <c r="F199" i="63"/>
  <c r="F198" i="63" s="1"/>
  <c r="N198" i="63"/>
  <c r="N196" i="63" s="1"/>
  <c r="M198" i="63"/>
  <c r="M196" i="63" s="1"/>
  <c r="K198" i="63"/>
  <c r="K196" i="63" s="1"/>
  <c r="J198" i="63"/>
  <c r="J196" i="63" s="1"/>
  <c r="J195" i="63" s="1"/>
  <c r="H198" i="63"/>
  <c r="H196" i="63" s="1"/>
  <c r="G198" i="63"/>
  <c r="G196" i="63" s="1"/>
  <c r="E198" i="63"/>
  <c r="E196" i="63" s="1"/>
  <c r="D198" i="63"/>
  <c r="D196" i="63" s="1"/>
  <c r="O197" i="63"/>
  <c r="O196" i="63" s="1"/>
  <c r="L197" i="63"/>
  <c r="L196" i="63" s="1"/>
  <c r="I197" i="63"/>
  <c r="F197" i="63"/>
  <c r="O193" i="63"/>
  <c r="O192" i="63" s="1"/>
  <c r="O191" i="63" s="1"/>
  <c r="L193" i="63"/>
  <c r="I193" i="63"/>
  <c r="I192" i="63" s="1"/>
  <c r="I191" i="63" s="1"/>
  <c r="F193" i="63"/>
  <c r="N192" i="63"/>
  <c r="N191" i="63" s="1"/>
  <c r="M192" i="63"/>
  <c r="L192" i="63"/>
  <c r="K192" i="63"/>
  <c r="K191" i="63" s="1"/>
  <c r="J192" i="63"/>
  <c r="J191" i="63" s="1"/>
  <c r="H192" i="63"/>
  <c r="H191" i="63" s="1"/>
  <c r="G192" i="63"/>
  <c r="G191" i="63" s="1"/>
  <c r="E192" i="63"/>
  <c r="D192" i="63"/>
  <c r="D191" i="63" s="1"/>
  <c r="M191" i="63"/>
  <c r="E191" i="63"/>
  <c r="O190" i="63"/>
  <c r="L190" i="63"/>
  <c r="I190" i="63"/>
  <c r="F190" i="63"/>
  <c r="O189" i="63"/>
  <c r="O188" i="63" s="1"/>
  <c r="O187" i="63" s="1"/>
  <c r="L189" i="63"/>
  <c r="I189" i="63"/>
  <c r="I188" i="63" s="1"/>
  <c r="I187" i="63" s="1"/>
  <c r="F189" i="63"/>
  <c r="N188" i="63"/>
  <c r="M188" i="63"/>
  <c r="K188" i="63"/>
  <c r="J188" i="63"/>
  <c r="H188" i="63"/>
  <c r="G188" i="63"/>
  <c r="E188" i="63"/>
  <c r="E187" i="63" s="1"/>
  <c r="D188" i="63"/>
  <c r="D187" i="63" s="1"/>
  <c r="H187" i="63"/>
  <c r="O186" i="63"/>
  <c r="L186" i="63"/>
  <c r="I186" i="63"/>
  <c r="F186" i="63"/>
  <c r="O185" i="63"/>
  <c r="O184" i="63" s="1"/>
  <c r="L185" i="63"/>
  <c r="I185" i="63"/>
  <c r="I184" i="63" s="1"/>
  <c r="F185" i="63"/>
  <c r="N184" i="63"/>
  <c r="M184" i="63"/>
  <c r="L184" i="63"/>
  <c r="K184" i="63"/>
  <c r="J184" i="63"/>
  <c r="H184" i="63"/>
  <c r="G184" i="63"/>
  <c r="E184" i="63"/>
  <c r="D184" i="63"/>
  <c r="O183" i="63"/>
  <c r="L183" i="63"/>
  <c r="I183" i="63"/>
  <c r="F183" i="63"/>
  <c r="O182" i="63"/>
  <c r="L182" i="63"/>
  <c r="I182" i="63"/>
  <c r="F182" i="63"/>
  <c r="O181" i="63"/>
  <c r="L181" i="63"/>
  <c r="I181" i="63"/>
  <c r="F181" i="63"/>
  <c r="O180" i="63"/>
  <c r="O179" i="63" s="1"/>
  <c r="L180" i="63"/>
  <c r="I180" i="63"/>
  <c r="F180" i="63"/>
  <c r="C180" i="63" s="1"/>
  <c r="N179" i="63"/>
  <c r="M179" i="63"/>
  <c r="K179" i="63"/>
  <c r="J179" i="63"/>
  <c r="H179" i="63"/>
  <c r="G179" i="63"/>
  <c r="E179" i="63"/>
  <c r="D179" i="63"/>
  <c r="O178" i="63"/>
  <c r="L178" i="63"/>
  <c r="I178" i="63"/>
  <c r="F178" i="63"/>
  <c r="O177" i="63"/>
  <c r="L177" i="63"/>
  <c r="I177" i="63"/>
  <c r="F177" i="63"/>
  <c r="O176" i="63"/>
  <c r="O175" i="63" s="1"/>
  <c r="L176" i="63"/>
  <c r="I176" i="63"/>
  <c r="F176" i="63"/>
  <c r="N175" i="63"/>
  <c r="M175" i="63"/>
  <c r="K175" i="63"/>
  <c r="K174" i="63" s="1"/>
  <c r="J175" i="63"/>
  <c r="H175" i="63"/>
  <c r="H174" i="63" s="1"/>
  <c r="G175" i="63"/>
  <c r="G174" i="63" s="1"/>
  <c r="E175" i="63"/>
  <c r="E174" i="63" s="1"/>
  <c r="D175" i="63"/>
  <c r="N174" i="63"/>
  <c r="N173" i="63" s="1"/>
  <c r="M174" i="63"/>
  <c r="M173" i="63" s="1"/>
  <c r="O172" i="63"/>
  <c r="L172" i="63"/>
  <c r="I172" i="63"/>
  <c r="F172" i="63"/>
  <c r="O171" i="63"/>
  <c r="L171" i="63"/>
  <c r="I171" i="63"/>
  <c r="F171" i="63"/>
  <c r="O170" i="63"/>
  <c r="L170" i="63"/>
  <c r="I170" i="63"/>
  <c r="F170" i="63"/>
  <c r="O169" i="63"/>
  <c r="L169" i="63"/>
  <c r="I169" i="63"/>
  <c r="F169" i="63"/>
  <c r="O168" i="63"/>
  <c r="L168" i="63"/>
  <c r="I168" i="63"/>
  <c r="F168" i="63"/>
  <c r="O167" i="63"/>
  <c r="L167" i="63"/>
  <c r="I167" i="63"/>
  <c r="F167" i="63"/>
  <c r="N166" i="63"/>
  <c r="M166" i="63"/>
  <c r="M165" i="63" s="1"/>
  <c r="K166" i="63"/>
  <c r="K165" i="63" s="1"/>
  <c r="J166" i="63"/>
  <c r="J165" i="63" s="1"/>
  <c r="H166" i="63"/>
  <c r="H165" i="63" s="1"/>
  <c r="G166" i="63"/>
  <c r="E166" i="63"/>
  <c r="E165" i="63" s="1"/>
  <c r="D166" i="63"/>
  <c r="D165" i="63" s="1"/>
  <c r="N165" i="63"/>
  <c r="G165" i="63"/>
  <c r="O164" i="63"/>
  <c r="L164" i="63"/>
  <c r="I164" i="63"/>
  <c r="F164" i="63"/>
  <c r="O163" i="63"/>
  <c r="L163" i="63"/>
  <c r="I163" i="63"/>
  <c r="F163" i="63"/>
  <c r="O162" i="63"/>
  <c r="L162" i="63"/>
  <c r="I162" i="63"/>
  <c r="F162" i="63"/>
  <c r="O161" i="63"/>
  <c r="O160" i="63" s="1"/>
  <c r="L161" i="63"/>
  <c r="L160" i="63" s="1"/>
  <c r="I161" i="63"/>
  <c r="I160" i="63" s="1"/>
  <c r="F161" i="63"/>
  <c r="N160" i="63"/>
  <c r="M160" i="63"/>
  <c r="K160" i="63"/>
  <c r="J160" i="63"/>
  <c r="H160" i="63"/>
  <c r="G160" i="63"/>
  <c r="F160" i="63"/>
  <c r="E160" i="63"/>
  <c r="D160" i="63"/>
  <c r="O159" i="63"/>
  <c r="L159" i="63"/>
  <c r="I159" i="63"/>
  <c r="F159" i="63"/>
  <c r="O158" i="63"/>
  <c r="L158" i="63"/>
  <c r="I158" i="63"/>
  <c r="F158" i="63"/>
  <c r="O157" i="63"/>
  <c r="L157" i="63"/>
  <c r="I157" i="63"/>
  <c r="F157" i="63"/>
  <c r="O156" i="63"/>
  <c r="L156" i="63"/>
  <c r="I156" i="63"/>
  <c r="F156" i="63"/>
  <c r="O155" i="63"/>
  <c r="L155" i="63"/>
  <c r="I155" i="63"/>
  <c r="F155" i="63"/>
  <c r="O154" i="63"/>
  <c r="L154" i="63"/>
  <c r="I154" i="63"/>
  <c r="F154" i="63"/>
  <c r="O153" i="63"/>
  <c r="L153" i="63"/>
  <c r="I153" i="63"/>
  <c r="F153" i="63"/>
  <c r="O152" i="63"/>
  <c r="L152" i="63"/>
  <c r="I152" i="63"/>
  <c r="F152" i="63"/>
  <c r="N151" i="63"/>
  <c r="M151" i="63"/>
  <c r="K151" i="63"/>
  <c r="J151" i="63"/>
  <c r="H151" i="63"/>
  <c r="G151" i="63"/>
  <c r="E151" i="63"/>
  <c r="D151" i="63"/>
  <c r="O150" i="63"/>
  <c r="L150" i="63"/>
  <c r="I150" i="63"/>
  <c r="F150" i="63"/>
  <c r="O149" i="63"/>
  <c r="L149" i="63"/>
  <c r="I149" i="63"/>
  <c r="F149" i="63"/>
  <c r="O148" i="63"/>
  <c r="L148" i="63"/>
  <c r="I148" i="63"/>
  <c r="F148" i="63"/>
  <c r="O147" i="63"/>
  <c r="L147" i="63"/>
  <c r="I147" i="63"/>
  <c r="F147" i="63"/>
  <c r="O146" i="63"/>
  <c r="L146" i="63"/>
  <c r="I146" i="63"/>
  <c r="F146" i="63"/>
  <c r="O145" i="63"/>
  <c r="L145" i="63"/>
  <c r="I145" i="63"/>
  <c r="I144" i="63" s="1"/>
  <c r="F145" i="63"/>
  <c r="N144" i="63"/>
  <c r="M144" i="63"/>
  <c r="K144" i="63"/>
  <c r="J144" i="63"/>
  <c r="H144" i="63"/>
  <c r="G144" i="63"/>
  <c r="E144" i="63"/>
  <c r="D144" i="63"/>
  <c r="O143" i="63"/>
  <c r="L143" i="63"/>
  <c r="I143" i="63"/>
  <c r="F143" i="63"/>
  <c r="O142" i="63"/>
  <c r="O141" i="63" s="1"/>
  <c r="L142" i="63"/>
  <c r="L141" i="63" s="1"/>
  <c r="I142" i="63"/>
  <c r="I141" i="63" s="1"/>
  <c r="F142" i="63"/>
  <c r="N141" i="63"/>
  <c r="M141" i="63"/>
  <c r="K141" i="63"/>
  <c r="J141" i="63"/>
  <c r="H141" i="63"/>
  <c r="G141" i="63"/>
  <c r="F141" i="63"/>
  <c r="E141" i="63"/>
  <c r="D141" i="63"/>
  <c r="O140" i="63"/>
  <c r="L140" i="63"/>
  <c r="I140" i="63"/>
  <c r="F140" i="63"/>
  <c r="O139" i="63"/>
  <c r="L139" i="63"/>
  <c r="I139" i="63"/>
  <c r="F139" i="63"/>
  <c r="O138" i="63"/>
  <c r="L138" i="63"/>
  <c r="I138" i="63"/>
  <c r="F138" i="63"/>
  <c r="O137" i="63"/>
  <c r="L137" i="63"/>
  <c r="I137" i="63"/>
  <c r="I136" i="63" s="1"/>
  <c r="F137" i="63"/>
  <c r="O136" i="63"/>
  <c r="N136" i="63"/>
  <c r="M136" i="63"/>
  <c r="K136" i="63"/>
  <c r="J136" i="63"/>
  <c r="H136" i="63"/>
  <c r="G136" i="63"/>
  <c r="E136" i="63"/>
  <c r="D136" i="63"/>
  <c r="O135" i="63"/>
  <c r="L135" i="63"/>
  <c r="I135" i="63"/>
  <c r="F135" i="63"/>
  <c r="O134" i="63"/>
  <c r="L134" i="63"/>
  <c r="I134" i="63"/>
  <c r="F134" i="63"/>
  <c r="O133" i="63"/>
  <c r="L133" i="63"/>
  <c r="I133" i="63"/>
  <c r="F133" i="63"/>
  <c r="O132" i="63"/>
  <c r="O131" i="63" s="1"/>
  <c r="L132" i="63"/>
  <c r="I132" i="63"/>
  <c r="I131" i="63" s="1"/>
  <c r="F132" i="63"/>
  <c r="N131" i="63"/>
  <c r="M131" i="63"/>
  <c r="L131" i="63"/>
  <c r="K131" i="63"/>
  <c r="J131" i="63"/>
  <c r="H131" i="63"/>
  <c r="G131" i="63"/>
  <c r="E131" i="63"/>
  <c r="D131" i="63"/>
  <c r="O129" i="63"/>
  <c r="L129" i="63"/>
  <c r="I129" i="63"/>
  <c r="I128" i="63" s="1"/>
  <c r="F129" i="63"/>
  <c r="O128" i="63"/>
  <c r="N128" i="63"/>
  <c r="M128" i="63"/>
  <c r="K128" i="63"/>
  <c r="J128" i="63"/>
  <c r="H128" i="63"/>
  <c r="G128" i="63"/>
  <c r="F128" i="63"/>
  <c r="E128" i="63"/>
  <c r="D128" i="63"/>
  <c r="O127" i="63"/>
  <c r="L127" i="63"/>
  <c r="I127" i="63"/>
  <c r="F127" i="63"/>
  <c r="O126" i="63"/>
  <c r="L126" i="63"/>
  <c r="I126" i="63"/>
  <c r="F126" i="63"/>
  <c r="O125" i="63"/>
  <c r="L125" i="63"/>
  <c r="I125" i="63"/>
  <c r="F125" i="63"/>
  <c r="O124" i="63"/>
  <c r="L124" i="63"/>
  <c r="I124" i="63"/>
  <c r="F124" i="63"/>
  <c r="O123" i="63"/>
  <c r="L123" i="63"/>
  <c r="I123" i="63"/>
  <c r="F123" i="63"/>
  <c r="N122" i="63"/>
  <c r="M122" i="63"/>
  <c r="K122" i="63"/>
  <c r="J122" i="63"/>
  <c r="H122" i="63"/>
  <c r="G122" i="63"/>
  <c r="E122" i="63"/>
  <c r="D122" i="63"/>
  <c r="O121" i="63"/>
  <c r="L121" i="63"/>
  <c r="I121" i="63"/>
  <c r="F121" i="63"/>
  <c r="O120" i="63"/>
  <c r="L120" i="63"/>
  <c r="I120" i="63"/>
  <c r="F120" i="63"/>
  <c r="O119" i="63"/>
  <c r="L119" i="63"/>
  <c r="I119" i="63"/>
  <c r="F119" i="63"/>
  <c r="O118" i="63"/>
  <c r="L118" i="63"/>
  <c r="I118" i="63"/>
  <c r="F118" i="63"/>
  <c r="O117" i="63"/>
  <c r="L117" i="63"/>
  <c r="I117" i="63"/>
  <c r="F117" i="63"/>
  <c r="N116" i="63"/>
  <c r="M116" i="63"/>
  <c r="K116" i="63"/>
  <c r="J116" i="63"/>
  <c r="H116" i="63"/>
  <c r="G116" i="63"/>
  <c r="E116" i="63"/>
  <c r="D116" i="63"/>
  <c r="O115" i="63"/>
  <c r="L115" i="63"/>
  <c r="I115" i="63"/>
  <c r="F115" i="63"/>
  <c r="O114" i="63"/>
  <c r="L114" i="63"/>
  <c r="I114" i="63"/>
  <c r="F114" i="63"/>
  <c r="O113" i="63"/>
  <c r="L113" i="63"/>
  <c r="I113" i="63"/>
  <c r="F113" i="63"/>
  <c r="O112" i="63"/>
  <c r="N112" i="63"/>
  <c r="M112" i="63"/>
  <c r="K112" i="63"/>
  <c r="J112" i="63"/>
  <c r="H112" i="63"/>
  <c r="G112" i="63"/>
  <c r="E112" i="63"/>
  <c r="D112" i="63"/>
  <c r="O111" i="63"/>
  <c r="L111" i="63"/>
  <c r="I111" i="63"/>
  <c r="F111" i="63"/>
  <c r="O110" i="63"/>
  <c r="L110" i="63"/>
  <c r="I110" i="63"/>
  <c r="F110" i="63"/>
  <c r="O109" i="63"/>
  <c r="L109" i="63"/>
  <c r="I109" i="63"/>
  <c r="F109" i="63"/>
  <c r="O108" i="63"/>
  <c r="L108" i="63"/>
  <c r="I108" i="63"/>
  <c r="F108" i="63"/>
  <c r="O107" i="63"/>
  <c r="L107" i="63"/>
  <c r="I107" i="63"/>
  <c r="F107" i="63"/>
  <c r="O106" i="63"/>
  <c r="L106" i="63"/>
  <c r="I106" i="63"/>
  <c r="F106" i="63"/>
  <c r="O105" i="63"/>
  <c r="L105" i="63"/>
  <c r="I105" i="63"/>
  <c r="F105" i="63"/>
  <c r="O104" i="63"/>
  <c r="L104" i="63"/>
  <c r="L103" i="63" s="1"/>
  <c r="I104" i="63"/>
  <c r="F104" i="63"/>
  <c r="N103" i="63"/>
  <c r="M103" i="63"/>
  <c r="K103" i="63"/>
  <c r="J103" i="63"/>
  <c r="H103" i="63"/>
  <c r="G103" i="63"/>
  <c r="E103" i="63"/>
  <c r="D103" i="63"/>
  <c r="O102" i="63"/>
  <c r="L102" i="63"/>
  <c r="I102" i="63"/>
  <c r="F102" i="63"/>
  <c r="O101" i="63"/>
  <c r="L101" i="63"/>
  <c r="C101" i="63" s="1"/>
  <c r="I101" i="63"/>
  <c r="F101" i="63"/>
  <c r="O100" i="63"/>
  <c r="L100" i="63"/>
  <c r="I100" i="63"/>
  <c r="F100" i="63"/>
  <c r="O99" i="63"/>
  <c r="L99" i="63"/>
  <c r="I99" i="63"/>
  <c r="F99" i="63"/>
  <c r="O98" i="63"/>
  <c r="L98" i="63"/>
  <c r="I98" i="63"/>
  <c r="F98" i="63"/>
  <c r="O97" i="63"/>
  <c r="L97" i="63"/>
  <c r="I97" i="63"/>
  <c r="F97" i="63"/>
  <c r="O96" i="63"/>
  <c r="L96" i="63"/>
  <c r="I96" i="63"/>
  <c r="F96" i="63"/>
  <c r="N95" i="63"/>
  <c r="M95" i="63"/>
  <c r="K95" i="63"/>
  <c r="J95" i="63"/>
  <c r="H95" i="63"/>
  <c r="G95" i="63"/>
  <c r="E95" i="63"/>
  <c r="D95" i="63"/>
  <c r="O94" i="63"/>
  <c r="L94" i="63"/>
  <c r="I94" i="63"/>
  <c r="F94" i="63"/>
  <c r="O93" i="63"/>
  <c r="L93" i="63"/>
  <c r="I93" i="63"/>
  <c r="F93" i="63"/>
  <c r="O92" i="63"/>
  <c r="L92" i="63"/>
  <c r="I92" i="63"/>
  <c r="F92" i="63"/>
  <c r="O91" i="63"/>
  <c r="L91" i="63"/>
  <c r="I91" i="63"/>
  <c r="F91" i="63"/>
  <c r="O90" i="63"/>
  <c r="L90" i="63"/>
  <c r="I90" i="63"/>
  <c r="F90" i="63"/>
  <c r="O89" i="63"/>
  <c r="N89" i="63"/>
  <c r="M89" i="63"/>
  <c r="K89" i="63"/>
  <c r="J89" i="63"/>
  <c r="H89" i="63"/>
  <c r="G89" i="63"/>
  <c r="F89" i="63"/>
  <c r="E89" i="63"/>
  <c r="D89" i="63"/>
  <c r="O88" i="63"/>
  <c r="L88" i="63"/>
  <c r="I88" i="63"/>
  <c r="F88" i="63"/>
  <c r="O87" i="63"/>
  <c r="L87" i="63"/>
  <c r="I87" i="63"/>
  <c r="F87" i="63"/>
  <c r="O86" i="63"/>
  <c r="L86" i="63"/>
  <c r="I86" i="63"/>
  <c r="F86" i="63"/>
  <c r="O85" i="63"/>
  <c r="O84" i="63" s="1"/>
  <c r="L85" i="63"/>
  <c r="L84" i="63" s="1"/>
  <c r="I85" i="63"/>
  <c r="F85" i="63"/>
  <c r="N84" i="63"/>
  <c r="M84" i="63"/>
  <c r="K84" i="63"/>
  <c r="J84" i="63"/>
  <c r="H84" i="63"/>
  <c r="G84" i="63"/>
  <c r="E84" i="63"/>
  <c r="D84" i="63"/>
  <c r="O82" i="63"/>
  <c r="L82" i="63"/>
  <c r="I82" i="63"/>
  <c r="F82" i="63"/>
  <c r="O81" i="63"/>
  <c r="L81" i="63"/>
  <c r="L80" i="63" s="1"/>
  <c r="I81" i="63"/>
  <c r="I80" i="63" s="1"/>
  <c r="F81" i="63"/>
  <c r="O80" i="63"/>
  <c r="N80" i="63"/>
  <c r="M80" i="63"/>
  <c r="K80" i="63"/>
  <c r="J80" i="63"/>
  <c r="H80" i="63"/>
  <c r="G80" i="63"/>
  <c r="F80" i="63"/>
  <c r="E80" i="63"/>
  <c r="D80" i="63"/>
  <c r="O79" i="63"/>
  <c r="L79" i="63"/>
  <c r="I79" i="63"/>
  <c r="F79" i="63"/>
  <c r="O78" i="63"/>
  <c r="L78" i="63"/>
  <c r="L77" i="63" s="1"/>
  <c r="I78" i="63"/>
  <c r="F78" i="63"/>
  <c r="N77" i="63"/>
  <c r="N76" i="63" s="1"/>
  <c r="M77" i="63"/>
  <c r="K77" i="63"/>
  <c r="J77" i="63"/>
  <c r="J76" i="63" s="1"/>
  <c r="I77" i="63"/>
  <c r="H77" i="63"/>
  <c r="G77" i="63"/>
  <c r="E77" i="63"/>
  <c r="E76" i="63" s="1"/>
  <c r="D77" i="63"/>
  <c r="K76" i="63"/>
  <c r="H76" i="63"/>
  <c r="D76" i="63"/>
  <c r="O74" i="63"/>
  <c r="L74" i="63"/>
  <c r="I74" i="63"/>
  <c r="F74" i="63"/>
  <c r="O73" i="63"/>
  <c r="L73" i="63"/>
  <c r="I73" i="63"/>
  <c r="F73" i="63"/>
  <c r="O72" i="63"/>
  <c r="L72" i="63"/>
  <c r="I72" i="63"/>
  <c r="F72" i="63"/>
  <c r="O71" i="63"/>
  <c r="L71" i="63"/>
  <c r="I71" i="63"/>
  <c r="F71" i="63"/>
  <c r="C71" i="63" s="1"/>
  <c r="O70" i="63"/>
  <c r="L70" i="63"/>
  <c r="I70" i="63"/>
  <c r="F70" i="63"/>
  <c r="N69" i="63"/>
  <c r="N67" i="63" s="1"/>
  <c r="M69" i="63"/>
  <c r="M67" i="63" s="1"/>
  <c r="K69" i="63"/>
  <c r="K67" i="63" s="1"/>
  <c r="J69" i="63"/>
  <c r="J67" i="63" s="1"/>
  <c r="H69" i="63"/>
  <c r="G69" i="63"/>
  <c r="G67" i="63" s="1"/>
  <c r="E69" i="63"/>
  <c r="E67" i="63" s="1"/>
  <c r="D69" i="63"/>
  <c r="D67" i="63" s="1"/>
  <c r="O68" i="63"/>
  <c r="L68" i="63"/>
  <c r="I68" i="63"/>
  <c r="F68" i="63"/>
  <c r="H67" i="63"/>
  <c r="O66" i="63"/>
  <c r="L66" i="63"/>
  <c r="I66" i="63"/>
  <c r="F66" i="63"/>
  <c r="O65" i="63"/>
  <c r="L65" i="63"/>
  <c r="I65" i="63"/>
  <c r="F65" i="63"/>
  <c r="O64" i="63"/>
  <c r="L64" i="63"/>
  <c r="I64" i="63"/>
  <c r="F64" i="63"/>
  <c r="O63" i="63"/>
  <c r="L63" i="63"/>
  <c r="I63" i="63"/>
  <c r="F63" i="63"/>
  <c r="C63" i="63" s="1"/>
  <c r="O62" i="63"/>
  <c r="L62" i="63"/>
  <c r="I62" i="63"/>
  <c r="F62" i="63"/>
  <c r="C62" i="63" s="1"/>
  <c r="O61" i="63"/>
  <c r="L61" i="63"/>
  <c r="I61" i="63"/>
  <c r="F61" i="63"/>
  <c r="C61" i="63" s="1"/>
  <c r="O60" i="63"/>
  <c r="L60" i="63"/>
  <c r="I60" i="63"/>
  <c r="F60" i="63"/>
  <c r="O59" i="63"/>
  <c r="L59" i="63"/>
  <c r="I59" i="63"/>
  <c r="F59" i="63"/>
  <c r="F58" i="63" s="1"/>
  <c r="N58" i="63"/>
  <c r="M58" i="63"/>
  <c r="L58" i="63"/>
  <c r="K58" i="63"/>
  <c r="J58" i="63"/>
  <c r="H58" i="63"/>
  <c r="G58" i="63"/>
  <c r="E58" i="63"/>
  <c r="D58" i="63"/>
  <c r="O57" i="63"/>
  <c r="L57" i="63"/>
  <c r="I57" i="63"/>
  <c r="F57" i="63"/>
  <c r="O56" i="63"/>
  <c r="L56" i="63"/>
  <c r="I56" i="63"/>
  <c r="F56" i="63"/>
  <c r="O55" i="63"/>
  <c r="N55" i="63"/>
  <c r="M55" i="63"/>
  <c r="M54" i="63" s="1"/>
  <c r="K55" i="63"/>
  <c r="J55" i="63"/>
  <c r="H55" i="63"/>
  <c r="H54" i="63" s="1"/>
  <c r="G55" i="63"/>
  <c r="G54" i="63" s="1"/>
  <c r="F55" i="63"/>
  <c r="E55" i="63"/>
  <c r="D55" i="63"/>
  <c r="D54" i="63" s="1"/>
  <c r="N54" i="63"/>
  <c r="J54" i="63"/>
  <c r="O47" i="63"/>
  <c r="C47" i="63" s="1"/>
  <c r="O46" i="63"/>
  <c r="C46" i="63" s="1"/>
  <c r="N45" i="63"/>
  <c r="M45" i="63"/>
  <c r="L44" i="63"/>
  <c r="L43" i="63" s="1"/>
  <c r="I44" i="63"/>
  <c r="I43" i="63" s="1"/>
  <c r="F44" i="63"/>
  <c r="F43" i="63" s="1"/>
  <c r="K43" i="63"/>
  <c r="J43" i="63"/>
  <c r="H43" i="63"/>
  <c r="G43" i="63"/>
  <c r="E43" i="63"/>
  <c r="D43" i="63"/>
  <c r="F42" i="63"/>
  <c r="C42" i="63" s="1"/>
  <c r="E41" i="63"/>
  <c r="D41" i="63"/>
  <c r="L40" i="63"/>
  <c r="C40" i="63" s="1"/>
  <c r="L39" i="63"/>
  <c r="C39" i="63" s="1"/>
  <c r="L38" i="63"/>
  <c r="C38" i="63" s="1"/>
  <c r="L37" i="63"/>
  <c r="C37" i="63" s="1"/>
  <c r="K36" i="63"/>
  <c r="J36" i="63"/>
  <c r="L35" i="63"/>
  <c r="C35" i="63" s="1"/>
  <c r="L34" i="63"/>
  <c r="C34" i="63" s="1"/>
  <c r="K33" i="63"/>
  <c r="J33" i="63"/>
  <c r="L32" i="63"/>
  <c r="C32" i="63" s="1"/>
  <c r="K31" i="63"/>
  <c r="J31" i="63"/>
  <c r="L30" i="63"/>
  <c r="C30" i="63" s="1"/>
  <c r="L29" i="63"/>
  <c r="C29" i="63" s="1"/>
  <c r="L28" i="63"/>
  <c r="C28" i="63" s="1"/>
  <c r="K27" i="63"/>
  <c r="J27" i="63"/>
  <c r="F25" i="63"/>
  <c r="C25" i="63"/>
  <c r="I24" i="63"/>
  <c r="F24" i="63"/>
  <c r="O23" i="63"/>
  <c r="L23" i="63"/>
  <c r="I23" i="63"/>
  <c r="F23" i="63"/>
  <c r="O22" i="63"/>
  <c r="O21" i="63" s="1"/>
  <c r="L22" i="63"/>
  <c r="L21" i="63" s="1"/>
  <c r="I22" i="63"/>
  <c r="I21" i="63" s="1"/>
  <c r="I292" i="63" s="1"/>
  <c r="F22" i="63"/>
  <c r="F21" i="63" s="1"/>
  <c r="N21" i="63"/>
  <c r="M21" i="63"/>
  <c r="K21" i="63"/>
  <c r="J21" i="63"/>
  <c r="J292" i="63" s="1"/>
  <c r="J291" i="63" s="1"/>
  <c r="H21" i="63"/>
  <c r="H20" i="63" s="1"/>
  <c r="G21" i="63"/>
  <c r="G292" i="63" s="1"/>
  <c r="G291" i="63" s="1"/>
  <c r="E21" i="63"/>
  <c r="E292" i="63" s="1"/>
  <c r="D21" i="63"/>
  <c r="D292" i="63" s="1"/>
  <c r="M20" i="63"/>
  <c r="C186" i="63" l="1"/>
  <c r="D231" i="63"/>
  <c r="O238" i="63"/>
  <c r="E54" i="63"/>
  <c r="C169" i="63"/>
  <c r="N187" i="63"/>
  <c r="C24" i="63"/>
  <c r="J259" i="63"/>
  <c r="C265" i="63"/>
  <c r="C149" i="63"/>
  <c r="C164" i="63"/>
  <c r="N270" i="63"/>
  <c r="G230" i="63"/>
  <c r="J231" i="63"/>
  <c r="C23" i="63"/>
  <c r="C96" i="63"/>
  <c r="C100" i="63"/>
  <c r="C140" i="63"/>
  <c r="G173" i="63"/>
  <c r="G187" i="63"/>
  <c r="C203" i="63"/>
  <c r="C237" i="63"/>
  <c r="C245" i="63"/>
  <c r="C261" i="63"/>
  <c r="E259" i="63"/>
  <c r="C273" i="63"/>
  <c r="E270" i="63"/>
  <c r="E269" i="63" s="1"/>
  <c r="K270" i="63"/>
  <c r="L293" i="63"/>
  <c r="I55" i="63"/>
  <c r="M83" i="63"/>
  <c r="O151" i="63"/>
  <c r="L31" i="63"/>
  <c r="C31" i="63" s="1"/>
  <c r="G76" i="63"/>
  <c r="C92" i="63"/>
  <c r="C108" i="63"/>
  <c r="C137" i="63"/>
  <c r="C157" i="63"/>
  <c r="C158" i="63"/>
  <c r="C159" i="63"/>
  <c r="C168" i="63"/>
  <c r="J174" i="63"/>
  <c r="J173" i="63" s="1"/>
  <c r="C209" i="63"/>
  <c r="C217" i="63"/>
  <c r="M231" i="63"/>
  <c r="C249" i="63"/>
  <c r="C250" i="63"/>
  <c r="D259" i="63"/>
  <c r="M269" i="63"/>
  <c r="M292" i="63"/>
  <c r="K26" i="63"/>
  <c r="H83" i="63"/>
  <c r="C121" i="63"/>
  <c r="E291" i="63"/>
  <c r="J26" i="63"/>
  <c r="J53" i="63"/>
  <c r="C70" i="63"/>
  <c r="C88" i="63"/>
  <c r="N83" i="63"/>
  <c r="C105" i="63"/>
  <c r="C125" i="63"/>
  <c r="C152" i="63"/>
  <c r="I166" i="63"/>
  <c r="I165" i="63" s="1"/>
  <c r="E173" i="63"/>
  <c r="K173" i="63"/>
  <c r="J187" i="63"/>
  <c r="C197" i="63"/>
  <c r="C213" i="63"/>
  <c r="C225" i="63"/>
  <c r="O235" i="63"/>
  <c r="N259" i="63"/>
  <c r="D270" i="63"/>
  <c r="D269" i="63" s="1"/>
  <c r="H269" i="63"/>
  <c r="G269" i="63"/>
  <c r="C287" i="63"/>
  <c r="C288" i="63"/>
  <c r="C294" i="63"/>
  <c r="C295" i="63"/>
  <c r="C297" i="63"/>
  <c r="O293" i="63"/>
  <c r="C185" i="63"/>
  <c r="F184" i="63"/>
  <c r="C189" i="63"/>
  <c r="F188" i="63"/>
  <c r="C193" i="63"/>
  <c r="F192" i="63"/>
  <c r="F191" i="63" s="1"/>
  <c r="E20" i="63"/>
  <c r="C22" i="63"/>
  <c r="E83" i="63"/>
  <c r="E130" i="63"/>
  <c r="J130" i="63"/>
  <c r="N130" i="63"/>
  <c r="C148" i="63"/>
  <c r="K187" i="63"/>
  <c r="C201" i="63"/>
  <c r="I260" i="63"/>
  <c r="C260" i="63" s="1"/>
  <c r="C172" i="63"/>
  <c r="F175" i="63"/>
  <c r="C176" i="63"/>
  <c r="K230" i="63"/>
  <c r="C234" i="63"/>
  <c r="F233" i="63"/>
  <c r="C233" i="63" s="1"/>
  <c r="I235" i="63"/>
  <c r="O77" i="63"/>
  <c r="O76" i="63" s="1"/>
  <c r="N292" i="63"/>
  <c r="N291" i="63" s="1"/>
  <c r="N20" i="63"/>
  <c r="E75" i="63"/>
  <c r="I84" i="63"/>
  <c r="C85" i="63"/>
  <c r="C161" i="63"/>
  <c r="C277" i="63"/>
  <c r="K292" i="63"/>
  <c r="K291" i="63" s="1"/>
  <c r="C56" i="63"/>
  <c r="I58" i="63"/>
  <c r="C65" i="63"/>
  <c r="C66" i="63"/>
  <c r="E53" i="63"/>
  <c r="C73" i="63"/>
  <c r="C78" i="63"/>
  <c r="L76" i="63"/>
  <c r="J83" i="63"/>
  <c r="C93" i="63"/>
  <c r="I95" i="63"/>
  <c r="C102" i="63"/>
  <c r="D83" i="63"/>
  <c r="I103" i="63"/>
  <c r="C120" i="63"/>
  <c r="O116" i="63"/>
  <c r="L122" i="63"/>
  <c r="C134" i="63"/>
  <c r="C135" i="63"/>
  <c r="C141" i="63"/>
  <c r="C142" i="63"/>
  <c r="C143" i="63"/>
  <c r="C146" i="63"/>
  <c r="O144" i="63"/>
  <c r="C153" i="63"/>
  <c r="I151" i="63"/>
  <c r="I130" i="63" s="1"/>
  <c r="C170" i="63"/>
  <c r="C171" i="63"/>
  <c r="I175" i="63"/>
  <c r="C184" i="63"/>
  <c r="N195" i="63"/>
  <c r="C224" i="63"/>
  <c r="E231" i="63"/>
  <c r="E230" i="63" s="1"/>
  <c r="C243" i="63"/>
  <c r="C244" i="63"/>
  <c r="L251" i="63"/>
  <c r="C254" i="63"/>
  <c r="C255" i="63"/>
  <c r="I264" i="63"/>
  <c r="I272" i="63"/>
  <c r="C279" i="63"/>
  <c r="C280" i="63"/>
  <c r="C285" i="63"/>
  <c r="C296" i="63"/>
  <c r="C299" i="63"/>
  <c r="C301" i="63"/>
  <c r="K269" i="63"/>
  <c r="G20" i="63"/>
  <c r="C60" i="63"/>
  <c r="M53" i="63"/>
  <c r="I69" i="63"/>
  <c r="C90" i="63"/>
  <c r="C91" i="63"/>
  <c r="C97" i="63"/>
  <c r="F103" i="63"/>
  <c r="C109" i="63"/>
  <c r="C124" i="63"/>
  <c r="C132" i="63"/>
  <c r="C138" i="63"/>
  <c r="C160" i="63"/>
  <c r="C177" i="63"/>
  <c r="I179" i="63"/>
  <c r="L188" i="63"/>
  <c r="C188" i="63" s="1"/>
  <c r="M187" i="63"/>
  <c r="C200" i="63"/>
  <c r="K204" i="63"/>
  <c r="K195" i="63" s="1"/>
  <c r="C210" i="63"/>
  <c r="C212" i="63"/>
  <c r="H204" i="63"/>
  <c r="L216" i="63"/>
  <c r="M204" i="63"/>
  <c r="M195" i="63" s="1"/>
  <c r="L246" i="63"/>
  <c r="I252" i="63"/>
  <c r="I251" i="63" s="1"/>
  <c r="L264" i="63"/>
  <c r="L259" i="63" s="1"/>
  <c r="I276" i="63"/>
  <c r="C276" i="63" s="1"/>
  <c r="F293" i="63"/>
  <c r="C300" i="63"/>
  <c r="D291" i="63"/>
  <c r="M291" i="63"/>
  <c r="C44" i="63"/>
  <c r="D53" i="63"/>
  <c r="K54" i="63"/>
  <c r="K53" i="63" s="1"/>
  <c r="C57" i="63"/>
  <c r="O58" i="63"/>
  <c r="C64" i="63"/>
  <c r="N53" i="63"/>
  <c r="O69" i="63"/>
  <c r="O67" i="63" s="1"/>
  <c r="L69" i="63"/>
  <c r="I76" i="63"/>
  <c r="M76" i="63"/>
  <c r="G83" i="63"/>
  <c r="C86" i="63"/>
  <c r="C106" i="63"/>
  <c r="C107" i="63"/>
  <c r="C113" i="63"/>
  <c r="C117" i="63"/>
  <c r="I122" i="63"/>
  <c r="C126" i="63"/>
  <c r="C127" i="63"/>
  <c r="C129" i="63"/>
  <c r="D130" i="63"/>
  <c r="M130" i="63"/>
  <c r="C133" i="63"/>
  <c r="C145" i="63"/>
  <c r="F151" i="63"/>
  <c r="C156" i="63"/>
  <c r="C162" i="63"/>
  <c r="C163" i="63"/>
  <c r="L166" i="63"/>
  <c r="L165" i="63" s="1"/>
  <c r="D174" i="63"/>
  <c r="D173" i="63" s="1"/>
  <c r="O174" i="63"/>
  <c r="O173" i="63" s="1"/>
  <c r="C181" i="63"/>
  <c r="C202" i="63"/>
  <c r="G204" i="63"/>
  <c r="G195" i="63" s="1"/>
  <c r="G194" i="63" s="1"/>
  <c r="L205" i="63"/>
  <c r="C214" i="63"/>
  <c r="C215" i="63"/>
  <c r="D204" i="63"/>
  <c r="C222" i="63"/>
  <c r="E204" i="63"/>
  <c r="E195" i="63" s="1"/>
  <c r="N231" i="63"/>
  <c r="N230" i="63" s="1"/>
  <c r="C248" i="63"/>
  <c r="O246" i="63"/>
  <c r="C262" i="63"/>
  <c r="N269" i="63"/>
  <c r="C278" i="63"/>
  <c r="C68" i="63"/>
  <c r="I67" i="63"/>
  <c r="H53" i="63"/>
  <c r="C74" i="63"/>
  <c r="G53" i="63"/>
  <c r="I20" i="63"/>
  <c r="O292" i="63"/>
  <c r="O291" i="63" s="1"/>
  <c r="C43" i="63"/>
  <c r="C80" i="63"/>
  <c r="F54" i="63"/>
  <c r="F292" i="63"/>
  <c r="C21" i="63"/>
  <c r="O54" i="63"/>
  <c r="C59" i="63"/>
  <c r="C79" i="63"/>
  <c r="I116" i="63"/>
  <c r="C147" i="63"/>
  <c r="F144" i="63"/>
  <c r="C256" i="63"/>
  <c r="F252" i="63"/>
  <c r="C274" i="63"/>
  <c r="L272" i="63"/>
  <c r="C286" i="63"/>
  <c r="F77" i="63"/>
  <c r="C87" i="63"/>
  <c r="F84" i="63"/>
  <c r="O95" i="63"/>
  <c r="L128" i="63"/>
  <c r="C128" i="63" s="1"/>
  <c r="L151" i="63"/>
  <c r="C151" i="63" s="1"/>
  <c r="H195" i="63"/>
  <c r="I198" i="63"/>
  <c r="I196" i="63" s="1"/>
  <c r="C199" i="63"/>
  <c r="F270" i="63"/>
  <c r="H292" i="63"/>
  <c r="H291" i="63" s="1"/>
  <c r="J20" i="63"/>
  <c r="L55" i="63"/>
  <c r="L54" i="63" s="1"/>
  <c r="L67" i="63"/>
  <c r="F69" i="63"/>
  <c r="C72" i="63"/>
  <c r="K20" i="63"/>
  <c r="L27" i="63"/>
  <c r="L33" i="63"/>
  <c r="C33" i="63" s="1"/>
  <c r="L36" i="63"/>
  <c r="C36" i="63" s="1"/>
  <c r="F41" i="63"/>
  <c r="C41" i="63" s="1"/>
  <c r="O45" i="63"/>
  <c r="O20" i="63" s="1"/>
  <c r="C81" i="63"/>
  <c r="I89" i="63"/>
  <c r="L95" i="63"/>
  <c r="F95" i="63"/>
  <c r="L112" i="63"/>
  <c r="L116" i="63"/>
  <c r="O122" i="63"/>
  <c r="G130" i="63"/>
  <c r="K130" i="63"/>
  <c r="O130" i="63"/>
  <c r="C150" i="63"/>
  <c r="C154" i="63"/>
  <c r="C155" i="63"/>
  <c r="O166" i="63"/>
  <c r="O165" i="63" s="1"/>
  <c r="H173" i="63"/>
  <c r="L175" i="63"/>
  <c r="C175" i="63" s="1"/>
  <c r="L179" i="63"/>
  <c r="F179" i="63"/>
  <c r="D195" i="63"/>
  <c r="O205" i="63"/>
  <c r="C219" i="63"/>
  <c r="I216" i="63"/>
  <c r="C223" i="63"/>
  <c r="L292" i="63"/>
  <c r="L291" i="63" s="1"/>
  <c r="I112" i="63"/>
  <c r="C139" i="63"/>
  <c r="F136" i="63"/>
  <c r="I238" i="63"/>
  <c r="C239" i="63"/>
  <c r="D20" i="63"/>
  <c r="C82" i="63"/>
  <c r="K83" i="63"/>
  <c r="L89" i="63"/>
  <c r="C94" i="63"/>
  <c r="C98" i="63"/>
  <c r="C99" i="63"/>
  <c r="C104" i="63"/>
  <c r="O103" i="63"/>
  <c r="C103" i="63" s="1"/>
  <c r="C110" i="63"/>
  <c r="C111" i="63"/>
  <c r="C114" i="63"/>
  <c r="C115" i="63"/>
  <c r="F112" i="63"/>
  <c r="C118" i="63"/>
  <c r="C119" i="63"/>
  <c r="F116" i="63"/>
  <c r="F122" i="63"/>
  <c r="C123" i="63"/>
  <c r="H130" i="63"/>
  <c r="H75" i="63" s="1"/>
  <c r="F131" i="63"/>
  <c r="L136" i="63"/>
  <c r="L144" i="63"/>
  <c r="F166" i="63"/>
  <c r="C167" i="63"/>
  <c r="C178" i="63"/>
  <c r="C182" i="63"/>
  <c r="C183" i="63"/>
  <c r="I205" i="63"/>
  <c r="C211" i="63"/>
  <c r="C232" i="63"/>
  <c r="M230" i="63"/>
  <c r="I246" i="63"/>
  <c r="C247" i="63"/>
  <c r="O251" i="63"/>
  <c r="I259" i="63"/>
  <c r="C263" i="63"/>
  <c r="E194" i="63"/>
  <c r="O216" i="63"/>
  <c r="C226" i="63"/>
  <c r="C236" i="63"/>
  <c r="F235" i="63"/>
  <c r="C235" i="63" s="1"/>
  <c r="H230" i="63"/>
  <c r="C258" i="63"/>
  <c r="C266" i="63"/>
  <c r="C267" i="63"/>
  <c r="C268" i="63"/>
  <c r="F264" i="63"/>
  <c r="O270" i="63"/>
  <c r="O269" i="63" s="1"/>
  <c r="C190" i="63"/>
  <c r="C192" i="63"/>
  <c r="L191" i="63"/>
  <c r="F196" i="63"/>
  <c r="C198" i="63"/>
  <c r="C206" i="63"/>
  <c r="C207" i="63"/>
  <c r="C208" i="63"/>
  <c r="F205" i="63"/>
  <c r="C218" i="63"/>
  <c r="C220" i="63"/>
  <c r="F216" i="63"/>
  <c r="C228" i="63"/>
  <c r="F227" i="63"/>
  <c r="C227" i="63" s="1"/>
  <c r="O231" i="63"/>
  <c r="L238" i="63"/>
  <c r="L231" i="63" s="1"/>
  <c r="C242" i="63"/>
  <c r="D230" i="63"/>
  <c r="O259" i="63"/>
  <c r="C271" i="63"/>
  <c r="C275" i="63"/>
  <c r="C282" i="63"/>
  <c r="L281" i="63"/>
  <c r="C281" i="63" s="1"/>
  <c r="C284" i="63"/>
  <c r="F283" i="63"/>
  <c r="C283" i="63" s="1"/>
  <c r="I293" i="63"/>
  <c r="C216" i="63" l="1"/>
  <c r="M194" i="63"/>
  <c r="E289" i="63"/>
  <c r="K194" i="63"/>
  <c r="C58" i="63"/>
  <c r="J230" i="63"/>
  <c r="J194" i="63" s="1"/>
  <c r="L187" i="63"/>
  <c r="O53" i="63"/>
  <c r="I174" i="63"/>
  <c r="I173" i="63" s="1"/>
  <c r="J75" i="63"/>
  <c r="J289" i="63" s="1"/>
  <c r="E52" i="63"/>
  <c r="E51" i="63" s="1"/>
  <c r="C191" i="63"/>
  <c r="L83" i="63"/>
  <c r="L75" i="63" s="1"/>
  <c r="C55" i="63"/>
  <c r="I204" i="63"/>
  <c r="L130" i="63"/>
  <c r="C122" i="63"/>
  <c r="C112" i="63"/>
  <c r="G75" i="63"/>
  <c r="G289" i="63" s="1"/>
  <c r="C95" i="63"/>
  <c r="F20" i="63"/>
  <c r="L204" i="63"/>
  <c r="L195" i="63" s="1"/>
  <c r="I270" i="63"/>
  <c r="I269" i="63" s="1"/>
  <c r="N75" i="63"/>
  <c r="F187" i="63"/>
  <c r="J52" i="63"/>
  <c r="J51" i="63" s="1"/>
  <c r="N52" i="63"/>
  <c r="N289" i="63"/>
  <c r="D75" i="63"/>
  <c r="D52" i="63" s="1"/>
  <c r="I231" i="63"/>
  <c r="I230" i="63" s="1"/>
  <c r="I54" i="63"/>
  <c r="I53" i="63" s="1"/>
  <c r="L230" i="63"/>
  <c r="C238" i="63"/>
  <c r="I83" i="63"/>
  <c r="I75" i="63" s="1"/>
  <c r="M75" i="63"/>
  <c r="M52" i="63" s="1"/>
  <c r="M51" i="63" s="1"/>
  <c r="N194" i="63"/>
  <c r="O230" i="63"/>
  <c r="F231" i="63"/>
  <c r="C231" i="63" s="1"/>
  <c r="O204" i="63"/>
  <c r="O195" i="63" s="1"/>
  <c r="O83" i="63"/>
  <c r="O75" i="63" s="1"/>
  <c r="H52" i="63"/>
  <c r="G52" i="63"/>
  <c r="G51" i="63" s="1"/>
  <c r="G50" i="63" s="1"/>
  <c r="H289" i="63"/>
  <c r="I195" i="63"/>
  <c r="I194" i="63" s="1"/>
  <c r="C293" i="63"/>
  <c r="I291" i="63"/>
  <c r="C246" i="63"/>
  <c r="C166" i="63"/>
  <c r="F165" i="63"/>
  <c r="C165" i="63" s="1"/>
  <c r="C116" i="63"/>
  <c r="D194" i="63"/>
  <c r="L174" i="63"/>
  <c r="L173" i="63" s="1"/>
  <c r="C45" i="63"/>
  <c r="C27" i="63"/>
  <c r="L26" i="63"/>
  <c r="C272" i="63"/>
  <c r="L270" i="63"/>
  <c r="L269" i="63" s="1"/>
  <c r="L194" i="63" s="1"/>
  <c r="C144" i="63"/>
  <c r="C292" i="63"/>
  <c r="F291" i="63"/>
  <c r="C196" i="63"/>
  <c r="C131" i="63"/>
  <c r="F130" i="63"/>
  <c r="C130" i="63" s="1"/>
  <c r="F67" i="63"/>
  <c r="C67" i="63" s="1"/>
  <c r="C69" i="63"/>
  <c r="C77" i="63"/>
  <c r="F76" i="63"/>
  <c r="C54" i="63"/>
  <c r="F204" i="63"/>
  <c r="C204" i="63" s="1"/>
  <c r="C205" i="63"/>
  <c r="C179" i="63"/>
  <c r="F174" i="63"/>
  <c r="L53" i="63"/>
  <c r="F269" i="63"/>
  <c r="H194" i="63"/>
  <c r="F83" i="63"/>
  <c r="C83" i="63" s="1"/>
  <c r="C84" i="63"/>
  <c r="C89" i="63"/>
  <c r="C264" i="63"/>
  <c r="F259" i="63"/>
  <c r="C259" i="63" s="1"/>
  <c r="K75" i="63"/>
  <c r="C136" i="63"/>
  <c r="C252" i="63"/>
  <c r="F251" i="63"/>
  <c r="C251" i="63" s="1"/>
  <c r="G290" i="63"/>
  <c r="E290" i="63" l="1"/>
  <c r="E50" i="63"/>
  <c r="H51" i="63"/>
  <c r="O194" i="63"/>
  <c r="I52" i="63"/>
  <c r="I51" i="63" s="1"/>
  <c r="N51" i="63"/>
  <c r="N50" i="63" s="1"/>
  <c r="C270" i="63"/>
  <c r="C187" i="63"/>
  <c r="O289" i="63"/>
  <c r="O52" i="63"/>
  <c r="M50" i="63"/>
  <c r="M290" i="63"/>
  <c r="N290" i="63"/>
  <c r="F53" i="63"/>
  <c r="C53" i="63" s="1"/>
  <c r="D51" i="63"/>
  <c r="D50" i="63" s="1"/>
  <c r="D289" i="63"/>
  <c r="M289" i="63"/>
  <c r="L52" i="63"/>
  <c r="C291" i="63"/>
  <c r="L289" i="63"/>
  <c r="J50" i="63"/>
  <c r="J290" i="63"/>
  <c r="D290" i="63"/>
  <c r="H290" i="63"/>
  <c r="H50" i="63"/>
  <c r="C269" i="63"/>
  <c r="F230" i="63"/>
  <c r="C230" i="63" s="1"/>
  <c r="L51" i="63"/>
  <c r="L50" i="63" s="1"/>
  <c r="I289" i="63"/>
  <c r="K289" i="63"/>
  <c r="K52" i="63"/>
  <c r="K51" i="63" s="1"/>
  <c r="C174" i="63"/>
  <c r="F173" i="63"/>
  <c r="C173" i="63" s="1"/>
  <c r="F75" i="63"/>
  <c r="C75" i="63" s="1"/>
  <c r="C76" i="63"/>
  <c r="F195" i="63"/>
  <c r="I290" i="63"/>
  <c r="I50" i="63"/>
  <c r="C26" i="63"/>
  <c r="L20" i="63"/>
  <c r="C20" i="63" s="1"/>
  <c r="O51" i="63" l="1"/>
  <c r="O50" i="63" s="1"/>
  <c r="F289" i="63"/>
  <c r="C289" i="63" s="1"/>
  <c r="L290" i="63"/>
  <c r="O290" i="63"/>
  <c r="F52" i="63"/>
  <c r="C195" i="63"/>
  <c r="F194" i="63"/>
  <c r="C194" i="63" s="1"/>
  <c r="K50" i="63"/>
  <c r="K290" i="63"/>
  <c r="F51" i="63" l="1"/>
  <c r="C52" i="63"/>
  <c r="F290" i="63" l="1"/>
  <c r="C290" i="63" s="1"/>
  <c r="F50" i="63"/>
  <c r="C50" i="63" s="1"/>
  <c r="C51" i="63"/>
  <c r="O301" i="62" l="1"/>
  <c r="L301" i="62"/>
  <c r="I301" i="62"/>
  <c r="F301" i="62"/>
  <c r="O300" i="62"/>
  <c r="L300" i="62"/>
  <c r="I300" i="62"/>
  <c r="F300" i="62"/>
  <c r="C300" i="62" s="1"/>
  <c r="O299" i="62"/>
  <c r="L299" i="62"/>
  <c r="I299" i="62"/>
  <c r="F299" i="62"/>
  <c r="C299" i="62" s="1"/>
  <c r="O298" i="62"/>
  <c r="L298" i="62"/>
  <c r="I298" i="62"/>
  <c r="F298" i="62"/>
  <c r="C298" i="62" s="1"/>
  <c r="O297" i="62"/>
  <c r="L297" i="62"/>
  <c r="I297" i="62"/>
  <c r="F297" i="62"/>
  <c r="O296" i="62"/>
  <c r="L296" i="62"/>
  <c r="I296" i="62"/>
  <c r="F296" i="62"/>
  <c r="O295" i="62"/>
  <c r="L295" i="62"/>
  <c r="I295" i="62"/>
  <c r="F295" i="62"/>
  <c r="O294" i="62"/>
  <c r="O293" i="62" s="1"/>
  <c r="L294" i="62"/>
  <c r="I294" i="62"/>
  <c r="F294" i="62"/>
  <c r="N293" i="62"/>
  <c r="M293" i="62"/>
  <c r="K293" i="62"/>
  <c r="J293" i="62"/>
  <c r="H293" i="62"/>
  <c r="G293" i="62"/>
  <c r="E293" i="62"/>
  <c r="D293" i="62"/>
  <c r="O288" i="62"/>
  <c r="L288" i="62"/>
  <c r="I288" i="62"/>
  <c r="F288" i="62"/>
  <c r="O287" i="62"/>
  <c r="L287" i="62"/>
  <c r="L286" i="62" s="1"/>
  <c r="I287" i="62"/>
  <c r="I286" i="62" s="1"/>
  <c r="F287" i="62"/>
  <c r="O286" i="62"/>
  <c r="N286" i="62"/>
  <c r="M286" i="62"/>
  <c r="K286" i="62"/>
  <c r="J286" i="62"/>
  <c r="H286" i="62"/>
  <c r="G286" i="62"/>
  <c r="F286" i="62"/>
  <c r="E286" i="62"/>
  <c r="D286" i="62"/>
  <c r="O285" i="62"/>
  <c r="O284" i="62" s="1"/>
  <c r="O283" i="62" s="1"/>
  <c r="L285" i="62"/>
  <c r="I285" i="62"/>
  <c r="I284" i="62" s="1"/>
  <c r="I283" i="62" s="1"/>
  <c r="F285" i="62"/>
  <c r="N284" i="62"/>
  <c r="N283" i="62" s="1"/>
  <c r="M284" i="62"/>
  <c r="M283" i="62" s="1"/>
  <c r="L284" i="62"/>
  <c r="L283" i="62" s="1"/>
  <c r="K284" i="62"/>
  <c r="J284" i="62"/>
  <c r="J283" i="62" s="1"/>
  <c r="H284" i="62"/>
  <c r="H283" i="62" s="1"/>
  <c r="G284" i="62"/>
  <c r="G283" i="62" s="1"/>
  <c r="E284" i="62"/>
  <c r="E283" i="62" s="1"/>
  <c r="D284" i="62"/>
  <c r="D283" i="62" s="1"/>
  <c r="K283" i="62"/>
  <c r="O282" i="62"/>
  <c r="O281" i="62" s="1"/>
  <c r="L282" i="62"/>
  <c r="L281" i="62" s="1"/>
  <c r="I282" i="62"/>
  <c r="F282" i="62"/>
  <c r="N281" i="62"/>
  <c r="M281" i="62"/>
  <c r="K281" i="62"/>
  <c r="J281" i="62"/>
  <c r="I281" i="62"/>
  <c r="H281" i="62"/>
  <c r="G281" i="62"/>
  <c r="F281" i="62"/>
  <c r="E281" i="62"/>
  <c r="D281" i="62"/>
  <c r="O280" i="62"/>
  <c r="L280" i="62"/>
  <c r="I280" i="62"/>
  <c r="F280" i="62"/>
  <c r="O279" i="62"/>
  <c r="L279" i="62"/>
  <c r="I279" i="62"/>
  <c r="F279" i="62"/>
  <c r="O278" i="62"/>
  <c r="L278" i="62"/>
  <c r="I278" i="62"/>
  <c r="C278" i="62" s="1"/>
  <c r="F278" i="62"/>
  <c r="O277" i="62"/>
  <c r="L277" i="62"/>
  <c r="I277" i="62"/>
  <c r="F277" i="62"/>
  <c r="N276" i="62"/>
  <c r="M276" i="62"/>
  <c r="K276" i="62"/>
  <c r="J276" i="62"/>
  <c r="H276" i="62"/>
  <c r="G276" i="62"/>
  <c r="E276" i="62"/>
  <c r="D276" i="62"/>
  <c r="O275" i="62"/>
  <c r="L275" i="62"/>
  <c r="I275" i="62"/>
  <c r="F275" i="62"/>
  <c r="O274" i="62"/>
  <c r="O272" i="62" s="1"/>
  <c r="L274" i="62"/>
  <c r="I274" i="62"/>
  <c r="F274" i="62"/>
  <c r="C274" i="62"/>
  <c r="O273" i="62"/>
  <c r="L273" i="62"/>
  <c r="L272" i="62" s="1"/>
  <c r="I273" i="62"/>
  <c r="F273" i="62"/>
  <c r="N272" i="62"/>
  <c r="M272" i="62"/>
  <c r="K272" i="62"/>
  <c r="K270" i="62" s="1"/>
  <c r="K269" i="62" s="1"/>
  <c r="J272" i="62"/>
  <c r="H272" i="62"/>
  <c r="G272" i="62"/>
  <c r="E272" i="62"/>
  <c r="D272" i="62"/>
  <c r="O271" i="62"/>
  <c r="L271" i="62"/>
  <c r="I271" i="62"/>
  <c r="F271" i="62"/>
  <c r="N270" i="62"/>
  <c r="N269" i="62" s="1"/>
  <c r="J270" i="62"/>
  <c r="J269" i="62" s="1"/>
  <c r="G270" i="62"/>
  <c r="G269" i="62" s="1"/>
  <c r="O268" i="62"/>
  <c r="L268" i="62"/>
  <c r="I268" i="62"/>
  <c r="F268" i="62"/>
  <c r="O267" i="62"/>
  <c r="L267" i="62"/>
  <c r="I267" i="62"/>
  <c r="F267" i="62"/>
  <c r="O266" i="62"/>
  <c r="L266" i="62"/>
  <c r="I266" i="62"/>
  <c r="C266" i="62" s="1"/>
  <c r="F266" i="62"/>
  <c r="O265" i="62"/>
  <c r="L265" i="62"/>
  <c r="I265" i="62"/>
  <c r="F265" i="62"/>
  <c r="N264" i="62"/>
  <c r="M264" i="62"/>
  <c r="K264" i="62"/>
  <c r="J264" i="62"/>
  <c r="H264" i="62"/>
  <c r="G264" i="62"/>
  <c r="E264" i="62"/>
  <c r="D264" i="62"/>
  <c r="O263" i="62"/>
  <c r="L263" i="62"/>
  <c r="I263" i="62"/>
  <c r="F263" i="62"/>
  <c r="O262" i="62"/>
  <c r="L262" i="62"/>
  <c r="I262" i="62"/>
  <c r="F262" i="62"/>
  <c r="O261" i="62"/>
  <c r="L261" i="62"/>
  <c r="I261" i="62"/>
  <c r="I260" i="62" s="1"/>
  <c r="F261" i="62"/>
  <c r="N260" i="62"/>
  <c r="N259" i="62" s="1"/>
  <c r="M260" i="62"/>
  <c r="K260" i="62"/>
  <c r="K259" i="62" s="1"/>
  <c r="J260" i="62"/>
  <c r="H260" i="62"/>
  <c r="H259" i="62" s="1"/>
  <c r="G260" i="62"/>
  <c r="E260" i="62"/>
  <c r="D260" i="62"/>
  <c r="D259" i="62" s="1"/>
  <c r="J259" i="62"/>
  <c r="O258" i="62"/>
  <c r="L258" i="62"/>
  <c r="I258" i="62"/>
  <c r="F258" i="62"/>
  <c r="O257" i="62"/>
  <c r="L257" i="62"/>
  <c r="I257" i="62"/>
  <c r="F257" i="62"/>
  <c r="O256" i="62"/>
  <c r="L256" i="62"/>
  <c r="I256" i="62"/>
  <c r="F256" i="62"/>
  <c r="O255" i="62"/>
  <c r="L255" i="62"/>
  <c r="I255" i="62"/>
  <c r="F255" i="62"/>
  <c r="O254" i="62"/>
  <c r="O252" i="62" s="1"/>
  <c r="L254" i="62"/>
  <c r="I254" i="62"/>
  <c r="C254" i="62" s="1"/>
  <c r="F254" i="62"/>
  <c r="O253" i="62"/>
  <c r="L253" i="62"/>
  <c r="L252" i="62" s="1"/>
  <c r="I253" i="62"/>
  <c r="F253" i="62"/>
  <c r="N252" i="62"/>
  <c r="M252" i="62"/>
  <c r="M251" i="62" s="1"/>
  <c r="K252" i="62"/>
  <c r="J252" i="62"/>
  <c r="J251" i="62" s="1"/>
  <c r="H252" i="62"/>
  <c r="G252" i="62"/>
  <c r="G251" i="62" s="1"/>
  <c r="E252" i="62"/>
  <c r="E251" i="62" s="1"/>
  <c r="D252" i="62"/>
  <c r="D251" i="62" s="1"/>
  <c r="N251" i="62"/>
  <c r="K251" i="62"/>
  <c r="H251" i="62"/>
  <c r="O250" i="62"/>
  <c r="L250" i="62"/>
  <c r="I250" i="62"/>
  <c r="F250" i="62"/>
  <c r="O249" i="62"/>
  <c r="L249" i="62"/>
  <c r="I249" i="62"/>
  <c r="F249" i="62"/>
  <c r="O248" i="62"/>
  <c r="L248" i="62"/>
  <c r="I248" i="62"/>
  <c r="F248" i="62"/>
  <c r="O247" i="62"/>
  <c r="L247" i="62"/>
  <c r="I247" i="62"/>
  <c r="F247" i="62"/>
  <c r="F246" i="62" s="1"/>
  <c r="O246" i="62"/>
  <c r="N246" i="62"/>
  <c r="M246" i="62"/>
  <c r="K246" i="62"/>
  <c r="J246" i="62"/>
  <c r="H246" i="62"/>
  <c r="G246" i="62"/>
  <c r="E246" i="62"/>
  <c r="D246" i="62"/>
  <c r="O245" i="62"/>
  <c r="L245" i="62"/>
  <c r="I245" i="62"/>
  <c r="F245" i="62"/>
  <c r="O244" i="62"/>
  <c r="L244" i="62"/>
  <c r="I244" i="62"/>
  <c r="F244" i="62"/>
  <c r="O243" i="62"/>
  <c r="L243" i="62"/>
  <c r="I243" i="62"/>
  <c r="F243" i="62"/>
  <c r="O242" i="62"/>
  <c r="L242" i="62"/>
  <c r="I242" i="62"/>
  <c r="F242" i="62"/>
  <c r="O241" i="62"/>
  <c r="L241" i="62"/>
  <c r="I241" i="62"/>
  <c r="F241" i="62"/>
  <c r="O240" i="62"/>
  <c r="L240" i="62"/>
  <c r="I240" i="62"/>
  <c r="F240" i="62"/>
  <c r="O239" i="62"/>
  <c r="L239" i="62"/>
  <c r="L238" i="62" s="1"/>
  <c r="I239" i="62"/>
  <c r="F239" i="62"/>
  <c r="N238" i="62"/>
  <c r="M238" i="62"/>
  <c r="K238" i="62"/>
  <c r="K231" i="62" s="1"/>
  <c r="J238" i="62"/>
  <c r="H238" i="62"/>
  <c r="G238" i="62"/>
  <c r="E238" i="62"/>
  <c r="D238" i="62"/>
  <c r="O237" i="62"/>
  <c r="L237" i="62"/>
  <c r="I237" i="62"/>
  <c r="F237" i="62"/>
  <c r="O236" i="62"/>
  <c r="L236" i="62"/>
  <c r="L235" i="62" s="1"/>
  <c r="I236" i="62"/>
  <c r="I235" i="62" s="1"/>
  <c r="F236" i="62"/>
  <c r="O235" i="62"/>
  <c r="N235" i="62"/>
  <c r="M235" i="62"/>
  <c r="M231" i="62" s="1"/>
  <c r="K235" i="62"/>
  <c r="J235" i="62"/>
  <c r="H235" i="62"/>
  <c r="G235" i="62"/>
  <c r="F235" i="62"/>
  <c r="E235" i="62"/>
  <c r="D235" i="62"/>
  <c r="O234" i="62"/>
  <c r="O233" i="62" s="1"/>
  <c r="L234" i="62"/>
  <c r="I234" i="62"/>
  <c r="I233" i="62" s="1"/>
  <c r="F234" i="62"/>
  <c r="N233" i="62"/>
  <c r="M233" i="62"/>
  <c r="L233" i="62"/>
  <c r="K233" i="62"/>
  <c r="J233" i="62"/>
  <c r="H233" i="62"/>
  <c r="H231" i="62" s="1"/>
  <c r="G233" i="62"/>
  <c r="E233" i="62"/>
  <c r="E231" i="62" s="1"/>
  <c r="D233" i="62"/>
  <c r="D231" i="62" s="1"/>
  <c r="O232" i="62"/>
  <c r="L232" i="62"/>
  <c r="I232" i="62"/>
  <c r="F232" i="62"/>
  <c r="N231" i="62"/>
  <c r="O229" i="62"/>
  <c r="L229" i="62"/>
  <c r="I229" i="62"/>
  <c r="F229" i="62"/>
  <c r="O228" i="62"/>
  <c r="L228" i="62"/>
  <c r="L227" i="62" s="1"/>
  <c r="I228" i="62"/>
  <c r="I227" i="62" s="1"/>
  <c r="F228" i="62"/>
  <c r="O227" i="62"/>
  <c r="N227" i="62"/>
  <c r="M227" i="62"/>
  <c r="K227" i="62"/>
  <c r="J227" i="62"/>
  <c r="H227" i="62"/>
  <c r="G227" i="62"/>
  <c r="F227" i="62"/>
  <c r="E227" i="62"/>
  <c r="D227" i="62"/>
  <c r="O226" i="62"/>
  <c r="L226" i="62"/>
  <c r="I226" i="62"/>
  <c r="F226" i="62"/>
  <c r="O225" i="62"/>
  <c r="L225" i="62"/>
  <c r="I225" i="62"/>
  <c r="F225" i="62"/>
  <c r="C225" i="62" s="1"/>
  <c r="O224" i="62"/>
  <c r="L224" i="62"/>
  <c r="I224" i="62"/>
  <c r="F224" i="62"/>
  <c r="C224" i="62" s="1"/>
  <c r="O223" i="62"/>
  <c r="L223" i="62"/>
  <c r="I223" i="62"/>
  <c r="F223" i="62"/>
  <c r="C223" i="62" s="1"/>
  <c r="O222" i="62"/>
  <c r="L222" i="62"/>
  <c r="I222" i="62"/>
  <c r="F222" i="62"/>
  <c r="C222" i="62" s="1"/>
  <c r="O221" i="62"/>
  <c r="L221" i="62"/>
  <c r="I221" i="62"/>
  <c r="F221" i="62"/>
  <c r="O220" i="62"/>
  <c r="L220" i="62"/>
  <c r="I220" i="62"/>
  <c r="F220" i="62"/>
  <c r="O219" i="62"/>
  <c r="L219" i="62"/>
  <c r="I219" i="62"/>
  <c r="F219" i="62"/>
  <c r="O218" i="62"/>
  <c r="L218" i="62"/>
  <c r="I218" i="62"/>
  <c r="F218" i="62"/>
  <c r="C218" i="62" s="1"/>
  <c r="O217" i="62"/>
  <c r="L217" i="62"/>
  <c r="I217" i="62"/>
  <c r="F217" i="62"/>
  <c r="N216" i="62"/>
  <c r="M216" i="62"/>
  <c r="K216" i="62"/>
  <c r="J216" i="62"/>
  <c r="H216" i="62"/>
  <c r="G216" i="62"/>
  <c r="E216" i="62"/>
  <c r="D216" i="62"/>
  <c r="O215" i="62"/>
  <c r="L215" i="62"/>
  <c r="I215" i="62"/>
  <c r="F215" i="62"/>
  <c r="O214" i="62"/>
  <c r="L214" i="62"/>
  <c r="I214" i="62"/>
  <c r="F214" i="62"/>
  <c r="C214" i="62" s="1"/>
  <c r="O213" i="62"/>
  <c r="L213" i="62"/>
  <c r="I213" i="62"/>
  <c r="F213" i="62"/>
  <c r="O212" i="62"/>
  <c r="L212" i="62"/>
  <c r="I212" i="62"/>
  <c r="F212" i="62"/>
  <c r="O211" i="62"/>
  <c r="L211" i="62"/>
  <c r="I211" i="62"/>
  <c r="F211" i="62"/>
  <c r="O210" i="62"/>
  <c r="L210" i="62"/>
  <c r="I210" i="62"/>
  <c r="F210" i="62"/>
  <c r="C210" i="62" s="1"/>
  <c r="O209" i="62"/>
  <c r="L209" i="62"/>
  <c r="I209" i="62"/>
  <c r="F209" i="62"/>
  <c r="O208" i="62"/>
  <c r="L208" i="62"/>
  <c r="I208" i="62"/>
  <c r="F208" i="62"/>
  <c r="O207" i="62"/>
  <c r="L207" i="62"/>
  <c r="I207" i="62"/>
  <c r="F207" i="62"/>
  <c r="O206" i="62"/>
  <c r="L206" i="62"/>
  <c r="I206" i="62"/>
  <c r="F206" i="62"/>
  <c r="N205" i="62"/>
  <c r="M205" i="62"/>
  <c r="L205" i="62"/>
  <c r="K205" i="62"/>
  <c r="J205" i="62"/>
  <c r="H205" i="62"/>
  <c r="G205" i="62"/>
  <c r="G204" i="62" s="1"/>
  <c r="E205" i="62"/>
  <c r="D205" i="62"/>
  <c r="K204" i="62"/>
  <c r="E204" i="62"/>
  <c r="O203" i="62"/>
  <c r="L203" i="62"/>
  <c r="I203" i="62"/>
  <c r="F203" i="62"/>
  <c r="O202" i="62"/>
  <c r="L202" i="62"/>
  <c r="I202" i="62"/>
  <c r="F202" i="62"/>
  <c r="C202" i="62" s="1"/>
  <c r="O201" i="62"/>
  <c r="L201" i="62"/>
  <c r="I201" i="62"/>
  <c r="F201" i="62"/>
  <c r="O200" i="62"/>
  <c r="L200" i="62"/>
  <c r="I200" i="62"/>
  <c r="F200" i="62"/>
  <c r="O199" i="62"/>
  <c r="L199" i="62"/>
  <c r="L198" i="62" s="1"/>
  <c r="I199" i="62"/>
  <c r="F199" i="62"/>
  <c r="O198" i="62"/>
  <c r="N198" i="62"/>
  <c r="N196" i="62" s="1"/>
  <c r="M198" i="62"/>
  <c r="K198" i="62"/>
  <c r="K196" i="62" s="1"/>
  <c r="K195" i="62" s="1"/>
  <c r="J198" i="62"/>
  <c r="H198" i="62"/>
  <c r="H196" i="62" s="1"/>
  <c r="G198" i="62"/>
  <c r="G196" i="62" s="1"/>
  <c r="F198" i="62"/>
  <c r="E198" i="62"/>
  <c r="D198" i="62"/>
  <c r="D196" i="62" s="1"/>
  <c r="O197" i="62"/>
  <c r="L197" i="62"/>
  <c r="I197" i="62"/>
  <c r="F197" i="62"/>
  <c r="M196" i="62"/>
  <c r="J196" i="62"/>
  <c r="E196" i="62"/>
  <c r="O193" i="62"/>
  <c r="O192" i="62" s="1"/>
  <c r="O191" i="62" s="1"/>
  <c r="L193" i="62"/>
  <c r="I193" i="62"/>
  <c r="I192" i="62" s="1"/>
  <c r="I191" i="62" s="1"/>
  <c r="I187" i="62" s="1"/>
  <c r="F193" i="62"/>
  <c r="N192" i="62"/>
  <c r="N191" i="62" s="1"/>
  <c r="M192" i="62"/>
  <c r="M191" i="62" s="1"/>
  <c r="L192" i="62"/>
  <c r="L191" i="62" s="1"/>
  <c r="K192" i="62"/>
  <c r="J192" i="62"/>
  <c r="J191" i="62" s="1"/>
  <c r="H192" i="62"/>
  <c r="G192" i="62"/>
  <c r="G191" i="62" s="1"/>
  <c r="G187" i="62" s="1"/>
  <c r="E192" i="62"/>
  <c r="E191" i="62" s="1"/>
  <c r="D192" i="62"/>
  <c r="K191" i="62"/>
  <c r="K187" i="62" s="1"/>
  <c r="H191" i="62"/>
  <c r="D191" i="62"/>
  <c r="D187" i="62" s="1"/>
  <c r="O190" i="62"/>
  <c r="L190" i="62"/>
  <c r="I190" i="62"/>
  <c r="F190" i="62"/>
  <c r="C190" i="62" s="1"/>
  <c r="O189" i="62"/>
  <c r="L189" i="62"/>
  <c r="I189" i="62"/>
  <c r="F189" i="62"/>
  <c r="N188" i="62"/>
  <c r="M188" i="62"/>
  <c r="K188" i="62"/>
  <c r="J188" i="62"/>
  <c r="I188" i="62"/>
  <c r="H188" i="62"/>
  <c r="H187" i="62" s="1"/>
  <c r="G188" i="62"/>
  <c r="E188" i="62"/>
  <c r="E187" i="62" s="1"/>
  <c r="D188" i="62"/>
  <c r="O186" i="62"/>
  <c r="L186" i="62"/>
  <c r="I186" i="62"/>
  <c r="F186" i="62"/>
  <c r="O185" i="62"/>
  <c r="L185" i="62"/>
  <c r="I185" i="62"/>
  <c r="I184" i="62" s="1"/>
  <c r="F185" i="62"/>
  <c r="O184" i="62"/>
  <c r="N184" i="62"/>
  <c r="M184" i="62"/>
  <c r="K184" i="62"/>
  <c r="J184" i="62"/>
  <c r="H184" i="62"/>
  <c r="G184" i="62"/>
  <c r="F184" i="62"/>
  <c r="E184" i="62"/>
  <c r="D184" i="62"/>
  <c r="O183" i="62"/>
  <c r="L183" i="62"/>
  <c r="I183" i="62"/>
  <c r="F183" i="62"/>
  <c r="O182" i="62"/>
  <c r="L182" i="62"/>
  <c r="I182" i="62"/>
  <c r="F182" i="62"/>
  <c r="O181" i="62"/>
  <c r="L181" i="62"/>
  <c r="I181" i="62"/>
  <c r="F181" i="62"/>
  <c r="O180" i="62"/>
  <c r="O179" i="62" s="1"/>
  <c r="L180" i="62"/>
  <c r="I180" i="62"/>
  <c r="F180" i="62"/>
  <c r="F179" i="62" s="1"/>
  <c r="N179" i="62"/>
  <c r="N174" i="62" s="1"/>
  <c r="N173" i="62" s="1"/>
  <c r="M179" i="62"/>
  <c r="K179" i="62"/>
  <c r="J179" i="62"/>
  <c r="H179" i="62"/>
  <c r="G179" i="62"/>
  <c r="E179" i="62"/>
  <c r="D179" i="62"/>
  <c r="O178" i="62"/>
  <c r="L178" i="62"/>
  <c r="I178" i="62"/>
  <c r="F178" i="62"/>
  <c r="O177" i="62"/>
  <c r="L177" i="62"/>
  <c r="I177" i="62"/>
  <c r="F177" i="62"/>
  <c r="O176" i="62"/>
  <c r="O175" i="62" s="1"/>
  <c r="O174" i="62" s="1"/>
  <c r="O173" i="62" s="1"/>
  <c r="L176" i="62"/>
  <c r="I176" i="62"/>
  <c r="I175" i="62" s="1"/>
  <c r="F176" i="62"/>
  <c r="F175" i="62" s="1"/>
  <c r="C176" i="62"/>
  <c r="N175" i="62"/>
  <c r="M175" i="62"/>
  <c r="K175" i="62"/>
  <c r="J175" i="62"/>
  <c r="J174" i="62" s="1"/>
  <c r="J173" i="62" s="1"/>
  <c r="H175" i="62"/>
  <c r="G175" i="62"/>
  <c r="G174" i="62" s="1"/>
  <c r="E175" i="62"/>
  <c r="E174" i="62" s="1"/>
  <c r="E173" i="62" s="1"/>
  <c r="D175" i="62"/>
  <c r="D174" i="62" s="1"/>
  <c r="D173" i="62" s="1"/>
  <c r="F174" i="62"/>
  <c r="O172" i="62"/>
  <c r="L172" i="62"/>
  <c r="I172" i="62"/>
  <c r="F172" i="62"/>
  <c r="O171" i="62"/>
  <c r="L171" i="62"/>
  <c r="I171" i="62"/>
  <c r="F171" i="62"/>
  <c r="O170" i="62"/>
  <c r="L170" i="62"/>
  <c r="I170" i="62"/>
  <c r="F170" i="62"/>
  <c r="O169" i="62"/>
  <c r="L169" i="62"/>
  <c r="I169" i="62"/>
  <c r="F169" i="62"/>
  <c r="O168" i="62"/>
  <c r="L168" i="62"/>
  <c r="I168" i="62"/>
  <c r="F168" i="62"/>
  <c r="O167" i="62"/>
  <c r="O166" i="62" s="1"/>
  <c r="O165" i="62" s="1"/>
  <c r="L167" i="62"/>
  <c r="I167" i="62"/>
  <c r="F167" i="62"/>
  <c r="N166" i="62"/>
  <c r="N165" i="62" s="1"/>
  <c r="M166" i="62"/>
  <c r="M165" i="62" s="1"/>
  <c r="K166" i="62"/>
  <c r="K165" i="62" s="1"/>
  <c r="J166" i="62"/>
  <c r="H166" i="62"/>
  <c r="H165" i="62" s="1"/>
  <c r="G166" i="62"/>
  <c r="F166" i="62"/>
  <c r="E166" i="62"/>
  <c r="E165" i="62" s="1"/>
  <c r="D166" i="62"/>
  <c r="D165" i="62" s="1"/>
  <c r="J165" i="62"/>
  <c r="G165" i="62"/>
  <c r="O164" i="62"/>
  <c r="L164" i="62"/>
  <c r="I164" i="62"/>
  <c r="C164" i="62" s="1"/>
  <c r="F164" i="62"/>
  <c r="O163" i="62"/>
  <c r="L163" i="62"/>
  <c r="I163" i="62"/>
  <c r="F163" i="62"/>
  <c r="O162" i="62"/>
  <c r="L162" i="62"/>
  <c r="I162" i="62"/>
  <c r="F162" i="62"/>
  <c r="O161" i="62"/>
  <c r="L161" i="62"/>
  <c r="I161" i="62"/>
  <c r="I160" i="62" s="1"/>
  <c r="F161" i="62"/>
  <c r="O160" i="62"/>
  <c r="N160" i="62"/>
  <c r="M160" i="62"/>
  <c r="K160" i="62"/>
  <c r="J160" i="62"/>
  <c r="H160" i="62"/>
  <c r="G160" i="62"/>
  <c r="F160" i="62"/>
  <c r="E160" i="62"/>
  <c r="D160" i="62"/>
  <c r="O159" i="62"/>
  <c r="L159" i="62"/>
  <c r="I159" i="62"/>
  <c r="F159" i="62"/>
  <c r="O158" i="62"/>
  <c r="L158" i="62"/>
  <c r="I158" i="62"/>
  <c r="F158" i="62"/>
  <c r="O157" i="62"/>
  <c r="L157" i="62"/>
  <c r="I157" i="62"/>
  <c r="F157" i="62"/>
  <c r="O156" i="62"/>
  <c r="L156" i="62"/>
  <c r="I156" i="62"/>
  <c r="F156" i="62"/>
  <c r="O155" i="62"/>
  <c r="L155" i="62"/>
  <c r="I155" i="62"/>
  <c r="F155" i="62"/>
  <c r="O154" i="62"/>
  <c r="L154" i="62"/>
  <c r="I154" i="62"/>
  <c r="F154" i="62"/>
  <c r="O153" i="62"/>
  <c r="L153" i="62"/>
  <c r="I153" i="62"/>
  <c r="F153" i="62"/>
  <c r="O152" i="62"/>
  <c r="L152" i="62"/>
  <c r="I152" i="62"/>
  <c r="F152" i="62"/>
  <c r="F151" i="62" s="1"/>
  <c r="N151" i="62"/>
  <c r="M151" i="62"/>
  <c r="K151" i="62"/>
  <c r="J151" i="62"/>
  <c r="H151" i="62"/>
  <c r="G151" i="62"/>
  <c r="E151" i="62"/>
  <c r="D151" i="62"/>
  <c r="O150" i="62"/>
  <c r="L150" i="62"/>
  <c r="I150" i="62"/>
  <c r="F150" i="62"/>
  <c r="C150" i="62" s="1"/>
  <c r="O149" i="62"/>
  <c r="L149" i="62"/>
  <c r="I149" i="62"/>
  <c r="F149" i="62"/>
  <c r="C149" i="62" s="1"/>
  <c r="O148" i="62"/>
  <c r="L148" i="62"/>
  <c r="I148" i="62"/>
  <c r="F148" i="62"/>
  <c r="O147" i="62"/>
  <c r="L147" i="62"/>
  <c r="I147" i="62"/>
  <c r="F147" i="62"/>
  <c r="O146" i="62"/>
  <c r="L146" i="62"/>
  <c r="I146" i="62"/>
  <c r="F146" i="62"/>
  <c r="O145" i="62"/>
  <c r="L145" i="62"/>
  <c r="I145" i="62"/>
  <c r="I144" i="62" s="1"/>
  <c r="F145" i="62"/>
  <c r="N144" i="62"/>
  <c r="M144" i="62"/>
  <c r="K144" i="62"/>
  <c r="J144" i="62"/>
  <c r="H144" i="62"/>
  <c r="G144" i="62"/>
  <c r="E144" i="62"/>
  <c r="D144" i="62"/>
  <c r="O143" i="62"/>
  <c r="L143" i="62"/>
  <c r="I143" i="62"/>
  <c r="F143" i="62"/>
  <c r="O142" i="62"/>
  <c r="L142" i="62"/>
  <c r="L141" i="62" s="1"/>
  <c r="I142" i="62"/>
  <c r="I141" i="62" s="1"/>
  <c r="F142" i="62"/>
  <c r="O141" i="62"/>
  <c r="N141" i="62"/>
  <c r="M141" i="62"/>
  <c r="K141" i="62"/>
  <c r="J141" i="62"/>
  <c r="H141" i="62"/>
  <c r="G141" i="62"/>
  <c r="F141" i="62"/>
  <c r="E141" i="62"/>
  <c r="D141" i="62"/>
  <c r="O140" i="62"/>
  <c r="L140" i="62"/>
  <c r="I140" i="62"/>
  <c r="F140" i="62"/>
  <c r="O139" i="62"/>
  <c r="L139" i="62"/>
  <c r="I139" i="62"/>
  <c r="F139" i="62"/>
  <c r="O138" i="62"/>
  <c r="L138" i="62"/>
  <c r="I138" i="62"/>
  <c r="F138" i="62"/>
  <c r="O137" i="62"/>
  <c r="L137" i="62"/>
  <c r="I137" i="62"/>
  <c r="F137" i="62"/>
  <c r="O136" i="62"/>
  <c r="N136" i="62"/>
  <c r="M136" i="62"/>
  <c r="K136" i="62"/>
  <c r="J136" i="62"/>
  <c r="H136" i="62"/>
  <c r="G136" i="62"/>
  <c r="E136" i="62"/>
  <c r="D136" i="62"/>
  <c r="O135" i="62"/>
  <c r="L135" i="62"/>
  <c r="I135" i="62"/>
  <c r="F135" i="62"/>
  <c r="O134" i="62"/>
  <c r="L134" i="62"/>
  <c r="I134" i="62"/>
  <c r="F134" i="62"/>
  <c r="O133" i="62"/>
  <c r="L133" i="62"/>
  <c r="I133" i="62"/>
  <c r="F133" i="62"/>
  <c r="O132" i="62"/>
  <c r="O131" i="62" s="1"/>
  <c r="L132" i="62"/>
  <c r="I132" i="62"/>
  <c r="F132" i="62"/>
  <c r="F131" i="62" s="1"/>
  <c r="N131" i="62"/>
  <c r="M131" i="62"/>
  <c r="M130" i="62" s="1"/>
  <c r="K131" i="62"/>
  <c r="J131" i="62"/>
  <c r="H131" i="62"/>
  <c r="G131" i="62"/>
  <c r="E131" i="62"/>
  <c r="E130" i="62" s="1"/>
  <c r="D131" i="62"/>
  <c r="O129" i="62"/>
  <c r="O128" i="62" s="1"/>
  <c r="L129" i="62"/>
  <c r="I129" i="62"/>
  <c r="F129" i="62"/>
  <c r="F128" i="62" s="1"/>
  <c r="C129" i="62"/>
  <c r="N128" i="62"/>
  <c r="M128" i="62"/>
  <c r="L128" i="62"/>
  <c r="K128" i="62"/>
  <c r="J128" i="62"/>
  <c r="I128" i="62"/>
  <c r="H128" i="62"/>
  <c r="G128" i="62"/>
  <c r="E128" i="62"/>
  <c r="D128" i="62"/>
  <c r="O127" i="62"/>
  <c r="L127" i="62"/>
  <c r="I127" i="62"/>
  <c r="F127" i="62"/>
  <c r="O126" i="62"/>
  <c r="L126" i="62"/>
  <c r="I126" i="62"/>
  <c r="F126" i="62"/>
  <c r="O125" i="62"/>
  <c r="L125" i="62"/>
  <c r="I125" i="62"/>
  <c r="F125" i="62"/>
  <c r="O124" i="62"/>
  <c r="L124" i="62"/>
  <c r="I124" i="62"/>
  <c r="F124" i="62"/>
  <c r="C124" i="62" s="1"/>
  <c r="O123" i="62"/>
  <c r="L123" i="62"/>
  <c r="I123" i="62"/>
  <c r="I122" i="62" s="1"/>
  <c r="F123" i="62"/>
  <c r="N122" i="62"/>
  <c r="M122" i="62"/>
  <c r="K122" i="62"/>
  <c r="J122" i="62"/>
  <c r="H122" i="62"/>
  <c r="G122" i="62"/>
  <c r="E122" i="62"/>
  <c r="D122" i="62"/>
  <c r="O121" i="62"/>
  <c r="L121" i="62"/>
  <c r="I121" i="62"/>
  <c r="F121" i="62"/>
  <c r="O120" i="62"/>
  <c r="L120" i="62"/>
  <c r="I120" i="62"/>
  <c r="F120" i="62"/>
  <c r="O119" i="62"/>
  <c r="L119" i="62"/>
  <c r="I119" i="62"/>
  <c r="F119" i="62"/>
  <c r="O118" i="62"/>
  <c r="L118" i="62"/>
  <c r="I118" i="62"/>
  <c r="F118" i="62"/>
  <c r="O117" i="62"/>
  <c r="O116" i="62" s="1"/>
  <c r="L117" i="62"/>
  <c r="I117" i="62"/>
  <c r="F117" i="62"/>
  <c r="C117" i="62"/>
  <c r="N116" i="62"/>
  <c r="M116" i="62"/>
  <c r="K116" i="62"/>
  <c r="J116" i="62"/>
  <c r="H116" i="62"/>
  <c r="G116" i="62"/>
  <c r="E116" i="62"/>
  <c r="D116" i="62"/>
  <c r="O115" i="62"/>
  <c r="L115" i="62"/>
  <c r="I115" i="62"/>
  <c r="F115" i="62"/>
  <c r="O114" i="62"/>
  <c r="L114" i="62"/>
  <c r="I114" i="62"/>
  <c r="F114" i="62"/>
  <c r="O113" i="62"/>
  <c r="O112" i="62" s="1"/>
  <c r="L113" i="62"/>
  <c r="L112" i="62" s="1"/>
  <c r="I113" i="62"/>
  <c r="F113" i="62"/>
  <c r="N112" i="62"/>
  <c r="M112" i="62"/>
  <c r="K112" i="62"/>
  <c r="J112" i="62"/>
  <c r="H112" i="62"/>
  <c r="G112" i="62"/>
  <c r="E112" i="62"/>
  <c r="D112" i="62"/>
  <c r="O111" i="62"/>
  <c r="L111" i="62"/>
  <c r="I111" i="62"/>
  <c r="F111" i="62"/>
  <c r="O110" i="62"/>
  <c r="L110" i="62"/>
  <c r="I110" i="62"/>
  <c r="F110" i="62"/>
  <c r="O109" i="62"/>
  <c r="L109" i="62"/>
  <c r="I109" i="62"/>
  <c r="F109" i="62"/>
  <c r="C109" i="62" s="1"/>
  <c r="O108" i="62"/>
  <c r="L108" i="62"/>
  <c r="I108" i="62"/>
  <c r="F108" i="62"/>
  <c r="O107" i="62"/>
  <c r="L107" i="62"/>
  <c r="I107" i="62"/>
  <c r="F107" i="62"/>
  <c r="O106" i="62"/>
  <c r="L106" i="62"/>
  <c r="I106" i="62"/>
  <c r="F106" i="62"/>
  <c r="O105" i="62"/>
  <c r="L105" i="62"/>
  <c r="I105" i="62"/>
  <c r="F105" i="62"/>
  <c r="O104" i="62"/>
  <c r="L104" i="62"/>
  <c r="I104" i="62"/>
  <c r="F104" i="62"/>
  <c r="N103" i="62"/>
  <c r="M103" i="62"/>
  <c r="K103" i="62"/>
  <c r="J103" i="62"/>
  <c r="H103" i="62"/>
  <c r="G103" i="62"/>
  <c r="E103" i="62"/>
  <c r="D103" i="62"/>
  <c r="O102" i="62"/>
  <c r="L102" i="62"/>
  <c r="I102" i="62"/>
  <c r="C102" i="62" s="1"/>
  <c r="F102" i="62"/>
  <c r="O101" i="62"/>
  <c r="L101" i="62"/>
  <c r="I101" i="62"/>
  <c r="F101" i="62"/>
  <c r="O100" i="62"/>
  <c r="L100" i="62"/>
  <c r="I100" i="62"/>
  <c r="F100" i="62"/>
  <c r="O99" i="62"/>
  <c r="L99" i="62"/>
  <c r="I99" i="62"/>
  <c r="F99" i="62"/>
  <c r="O98" i="62"/>
  <c r="L98" i="62"/>
  <c r="I98" i="62"/>
  <c r="C98" i="62" s="1"/>
  <c r="F98" i="62"/>
  <c r="O97" i="62"/>
  <c r="L97" i="62"/>
  <c r="I97" i="62"/>
  <c r="C97" i="62" s="1"/>
  <c r="F97" i="62"/>
  <c r="O96" i="62"/>
  <c r="L96" i="62"/>
  <c r="L95" i="62" s="1"/>
  <c r="I96" i="62"/>
  <c r="F96" i="62"/>
  <c r="F95" i="62" s="1"/>
  <c r="N95" i="62"/>
  <c r="M95" i="62"/>
  <c r="K95" i="62"/>
  <c r="J95" i="62"/>
  <c r="H95" i="62"/>
  <c r="G95" i="62"/>
  <c r="E95" i="62"/>
  <c r="D95" i="62"/>
  <c r="O94" i="62"/>
  <c r="L94" i="62"/>
  <c r="I94" i="62"/>
  <c r="F94" i="62"/>
  <c r="O93" i="62"/>
  <c r="O89" i="62" s="1"/>
  <c r="L93" i="62"/>
  <c r="I93" i="62"/>
  <c r="C93" i="62" s="1"/>
  <c r="F93" i="62"/>
  <c r="O92" i="62"/>
  <c r="L92" i="62"/>
  <c r="I92" i="62"/>
  <c r="F92" i="62"/>
  <c r="O91" i="62"/>
  <c r="L91" i="62"/>
  <c r="I91" i="62"/>
  <c r="F91" i="62"/>
  <c r="O90" i="62"/>
  <c r="L90" i="62"/>
  <c r="L89" i="62" s="1"/>
  <c r="I90" i="62"/>
  <c r="F90" i="62"/>
  <c r="N89" i="62"/>
  <c r="M89" i="62"/>
  <c r="K89" i="62"/>
  <c r="J89" i="62"/>
  <c r="H89" i="62"/>
  <c r="G89" i="62"/>
  <c r="E89" i="62"/>
  <c r="D89" i="62"/>
  <c r="O88" i="62"/>
  <c r="L88" i="62"/>
  <c r="I88" i="62"/>
  <c r="F88" i="62"/>
  <c r="O87" i="62"/>
  <c r="L87" i="62"/>
  <c r="I87" i="62"/>
  <c r="F87" i="62"/>
  <c r="O86" i="62"/>
  <c r="L86" i="62"/>
  <c r="I86" i="62"/>
  <c r="F86" i="62"/>
  <c r="O85" i="62"/>
  <c r="L85" i="62"/>
  <c r="I85" i="62"/>
  <c r="F85" i="62"/>
  <c r="O84" i="62"/>
  <c r="N84" i="62"/>
  <c r="M84" i="62"/>
  <c r="K84" i="62"/>
  <c r="J84" i="62"/>
  <c r="H84" i="62"/>
  <c r="G84" i="62"/>
  <c r="E84" i="62"/>
  <c r="D84" i="62"/>
  <c r="O82" i="62"/>
  <c r="L82" i="62"/>
  <c r="I82" i="62"/>
  <c r="F82" i="62"/>
  <c r="O81" i="62"/>
  <c r="O80" i="62" s="1"/>
  <c r="L81" i="62"/>
  <c r="I81" i="62"/>
  <c r="F81" i="62"/>
  <c r="N80" i="62"/>
  <c r="M80" i="62"/>
  <c r="L80" i="62"/>
  <c r="K80" i="62"/>
  <c r="J80" i="62"/>
  <c r="H80" i="62"/>
  <c r="G80" i="62"/>
  <c r="F80" i="62"/>
  <c r="E80" i="62"/>
  <c r="E76" i="62" s="1"/>
  <c r="D80" i="62"/>
  <c r="O79" i="62"/>
  <c r="L79" i="62"/>
  <c r="I79" i="62"/>
  <c r="F79" i="62"/>
  <c r="O78" i="62"/>
  <c r="L78" i="62"/>
  <c r="L77" i="62" s="1"/>
  <c r="I78" i="62"/>
  <c r="I77" i="62" s="1"/>
  <c r="F78" i="62"/>
  <c r="O77" i="62"/>
  <c r="N77" i="62"/>
  <c r="M77" i="62"/>
  <c r="K77" i="62"/>
  <c r="J77" i="62"/>
  <c r="H77" i="62"/>
  <c r="H76" i="62" s="1"/>
  <c r="G77" i="62"/>
  <c r="G76" i="62" s="1"/>
  <c r="F77" i="62"/>
  <c r="F76" i="62" s="1"/>
  <c r="E77" i="62"/>
  <c r="D77" i="62"/>
  <c r="K76" i="62"/>
  <c r="D76" i="62"/>
  <c r="O74" i="62"/>
  <c r="L74" i="62"/>
  <c r="I74" i="62"/>
  <c r="F74" i="62"/>
  <c r="O73" i="62"/>
  <c r="L73" i="62"/>
  <c r="I73" i="62"/>
  <c r="F73" i="62"/>
  <c r="O72" i="62"/>
  <c r="L72" i="62"/>
  <c r="I72" i="62"/>
  <c r="F72" i="62"/>
  <c r="O71" i="62"/>
  <c r="L71" i="62"/>
  <c r="I71" i="62"/>
  <c r="F71" i="62"/>
  <c r="O70" i="62"/>
  <c r="L70" i="62"/>
  <c r="L69" i="62" s="1"/>
  <c r="I70" i="62"/>
  <c r="F70" i="62"/>
  <c r="N69" i="62"/>
  <c r="N67" i="62" s="1"/>
  <c r="M69" i="62"/>
  <c r="K69" i="62"/>
  <c r="K67" i="62" s="1"/>
  <c r="J69" i="62"/>
  <c r="J67" i="62" s="1"/>
  <c r="H69" i="62"/>
  <c r="H67" i="62" s="1"/>
  <c r="G69" i="62"/>
  <c r="G67" i="62" s="1"/>
  <c r="F69" i="62"/>
  <c r="E69" i="62"/>
  <c r="D69" i="62"/>
  <c r="O68" i="62"/>
  <c r="L68" i="62"/>
  <c r="I68" i="62"/>
  <c r="F68" i="62"/>
  <c r="M67" i="62"/>
  <c r="E67" i="62"/>
  <c r="D67" i="62"/>
  <c r="O66" i="62"/>
  <c r="L66" i="62"/>
  <c r="I66" i="62"/>
  <c r="F66" i="62"/>
  <c r="O65" i="62"/>
  <c r="L65" i="62"/>
  <c r="I65" i="62"/>
  <c r="F65" i="62"/>
  <c r="O64" i="62"/>
  <c r="L64" i="62"/>
  <c r="I64" i="62"/>
  <c r="F64" i="62"/>
  <c r="C64" i="62" s="1"/>
  <c r="O63" i="62"/>
  <c r="L63" i="62"/>
  <c r="I63" i="62"/>
  <c r="D63" i="62"/>
  <c r="F63" i="62" s="1"/>
  <c r="C63" i="62" s="1"/>
  <c r="O62" i="62"/>
  <c r="L62" i="62"/>
  <c r="I62" i="62"/>
  <c r="F62" i="62"/>
  <c r="O61" i="62"/>
  <c r="L61" i="62"/>
  <c r="I61" i="62"/>
  <c r="F61" i="62"/>
  <c r="O60" i="62"/>
  <c r="L60" i="62"/>
  <c r="I60" i="62"/>
  <c r="F60" i="62"/>
  <c r="O59" i="62"/>
  <c r="L59" i="62"/>
  <c r="L58" i="62" s="1"/>
  <c r="I59" i="62"/>
  <c r="F59" i="62"/>
  <c r="N58" i="62"/>
  <c r="M58" i="62"/>
  <c r="K58" i="62"/>
  <c r="J58" i="62"/>
  <c r="H58" i="62"/>
  <c r="G58" i="62"/>
  <c r="G54" i="62" s="1"/>
  <c r="E58" i="62"/>
  <c r="D58" i="62"/>
  <c r="O57" i="62"/>
  <c r="L57" i="62"/>
  <c r="I57" i="62"/>
  <c r="F57" i="62"/>
  <c r="O56" i="62"/>
  <c r="L56" i="62"/>
  <c r="L55" i="62" s="1"/>
  <c r="I56" i="62"/>
  <c r="F56" i="62"/>
  <c r="N55" i="62"/>
  <c r="M55" i="62"/>
  <c r="K55" i="62"/>
  <c r="J55" i="62"/>
  <c r="I55" i="62"/>
  <c r="H55" i="62"/>
  <c r="H54" i="62" s="1"/>
  <c r="G55" i="62"/>
  <c r="E55" i="62"/>
  <c r="E54" i="62" s="1"/>
  <c r="E53" i="62" s="1"/>
  <c r="D55" i="62"/>
  <c r="N54" i="62"/>
  <c r="N53" i="62" s="1"/>
  <c r="K54" i="62"/>
  <c r="J54" i="62"/>
  <c r="J53" i="62" s="1"/>
  <c r="D54" i="62"/>
  <c r="O47" i="62"/>
  <c r="C47" i="62" s="1"/>
  <c r="O46" i="62"/>
  <c r="C46" i="62" s="1"/>
  <c r="N45" i="62"/>
  <c r="M45" i="62"/>
  <c r="L44" i="62"/>
  <c r="I44" i="62"/>
  <c r="I43" i="62" s="1"/>
  <c r="F44" i="62"/>
  <c r="F43" i="62" s="1"/>
  <c r="L43" i="62"/>
  <c r="K43" i="62"/>
  <c r="J43" i="62"/>
  <c r="H43" i="62"/>
  <c r="G43" i="62"/>
  <c r="E43" i="62"/>
  <c r="D43" i="62"/>
  <c r="F42" i="62"/>
  <c r="C42" i="62" s="1"/>
  <c r="E41" i="62"/>
  <c r="D41" i="62"/>
  <c r="L40" i="62"/>
  <c r="C40" i="62" s="1"/>
  <c r="L39" i="62"/>
  <c r="C39" i="62" s="1"/>
  <c r="L38" i="62"/>
  <c r="C38" i="62" s="1"/>
  <c r="L37" i="62"/>
  <c r="C37" i="62"/>
  <c r="K36" i="62"/>
  <c r="J36" i="62"/>
  <c r="L35" i="62"/>
  <c r="C35" i="62" s="1"/>
  <c r="L34" i="62"/>
  <c r="C34" i="62" s="1"/>
  <c r="K33" i="62"/>
  <c r="J33" i="62"/>
  <c r="L32" i="62"/>
  <c r="C32" i="62" s="1"/>
  <c r="K31" i="62"/>
  <c r="J31" i="62"/>
  <c r="J26" i="62" s="1"/>
  <c r="L30" i="62"/>
  <c r="C30" i="62" s="1"/>
  <c r="L29" i="62"/>
  <c r="C29" i="62" s="1"/>
  <c r="L28" i="62"/>
  <c r="C28" i="62" s="1"/>
  <c r="K27" i="62"/>
  <c r="J27" i="62"/>
  <c r="F25" i="62"/>
  <c r="C25" i="62" s="1"/>
  <c r="I24" i="62"/>
  <c r="D24" i="62"/>
  <c r="F24" i="62" s="1"/>
  <c r="C24" i="62" s="1"/>
  <c r="O23" i="62"/>
  <c r="L23" i="62"/>
  <c r="I23" i="62"/>
  <c r="F23" i="62"/>
  <c r="O22" i="62"/>
  <c r="L22" i="62"/>
  <c r="L21" i="62" s="1"/>
  <c r="I22" i="62"/>
  <c r="F22" i="62"/>
  <c r="F21" i="62" s="1"/>
  <c r="O21" i="62"/>
  <c r="O292" i="62" s="1"/>
  <c r="O291" i="62" s="1"/>
  <c r="N21" i="62"/>
  <c r="N292" i="62" s="1"/>
  <c r="N291" i="62" s="1"/>
  <c r="M21" i="62"/>
  <c r="M292" i="62" s="1"/>
  <c r="M291" i="62" s="1"/>
  <c r="K21" i="62"/>
  <c r="J21" i="62"/>
  <c r="J292" i="62" s="1"/>
  <c r="J291" i="62" s="1"/>
  <c r="H21" i="62"/>
  <c r="H292" i="62" s="1"/>
  <c r="H291" i="62" s="1"/>
  <c r="G21" i="62"/>
  <c r="G292" i="62" s="1"/>
  <c r="E21" i="62"/>
  <c r="E292" i="62" s="1"/>
  <c r="E291" i="62" s="1"/>
  <c r="D21" i="62"/>
  <c r="D292" i="62" s="1"/>
  <c r="D291" i="62" s="1"/>
  <c r="M20" i="62"/>
  <c r="E20" i="62"/>
  <c r="O301" i="61"/>
  <c r="L301" i="61"/>
  <c r="I301" i="61"/>
  <c r="F301" i="61"/>
  <c r="O300" i="61"/>
  <c r="L300" i="61"/>
  <c r="I300" i="61"/>
  <c r="F300" i="61"/>
  <c r="O299" i="61"/>
  <c r="L299" i="61"/>
  <c r="I299" i="61"/>
  <c r="F299" i="61"/>
  <c r="C299" i="61" s="1"/>
  <c r="O298" i="61"/>
  <c r="L298" i="61"/>
  <c r="I298" i="61"/>
  <c r="F298" i="61"/>
  <c r="C298" i="61" s="1"/>
  <c r="O297" i="61"/>
  <c r="L297" i="61"/>
  <c r="I297" i="61"/>
  <c r="F297" i="61"/>
  <c r="O296" i="61"/>
  <c r="L296" i="61"/>
  <c r="I296" i="61"/>
  <c r="F296" i="61"/>
  <c r="O295" i="61"/>
  <c r="L295" i="61"/>
  <c r="I295" i="61"/>
  <c r="F295" i="61"/>
  <c r="O294" i="61"/>
  <c r="O293" i="61" s="1"/>
  <c r="L294" i="61"/>
  <c r="I294" i="61"/>
  <c r="F294" i="61"/>
  <c r="N293" i="61"/>
  <c r="M293" i="61"/>
  <c r="K293" i="61"/>
  <c r="J293" i="61"/>
  <c r="H293" i="61"/>
  <c r="G293" i="61"/>
  <c r="E293" i="61"/>
  <c r="D293" i="61"/>
  <c r="O288" i="61"/>
  <c r="L288" i="61"/>
  <c r="I288" i="61"/>
  <c r="F288" i="61"/>
  <c r="O287" i="61"/>
  <c r="L287" i="61"/>
  <c r="L286" i="61" s="1"/>
  <c r="I287" i="61"/>
  <c r="F287" i="61"/>
  <c r="F286" i="61" s="1"/>
  <c r="O286" i="61"/>
  <c r="N286" i="61"/>
  <c r="M286" i="61"/>
  <c r="K286" i="61"/>
  <c r="J286" i="61"/>
  <c r="H286" i="61"/>
  <c r="G286" i="61"/>
  <c r="E286" i="61"/>
  <c r="D286" i="61"/>
  <c r="O285" i="61"/>
  <c r="L285" i="61"/>
  <c r="L284" i="61" s="1"/>
  <c r="L283" i="61" s="1"/>
  <c r="I285" i="61"/>
  <c r="I284" i="61" s="1"/>
  <c r="I283" i="61" s="1"/>
  <c r="F285" i="61"/>
  <c r="O284" i="61"/>
  <c r="O283" i="61" s="1"/>
  <c r="N284" i="61"/>
  <c r="M284" i="61"/>
  <c r="M283" i="61" s="1"/>
  <c r="K284" i="61"/>
  <c r="K283" i="61" s="1"/>
  <c r="J284" i="61"/>
  <c r="J283" i="61" s="1"/>
  <c r="H284" i="61"/>
  <c r="G284" i="61"/>
  <c r="G283" i="61" s="1"/>
  <c r="E284" i="61"/>
  <c r="E283" i="61" s="1"/>
  <c r="D284" i="61"/>
  <c r="D283" i="61" s="1"/>
  <c r="N283" i="61"/>
  <c r="H283" i="61"/>
  <c r="O282" i="61"/>
  <c r="O281" i="61" s="1"/>
  <c r="L282" i="61"/>
  <c r="L281" i="61" s="1"/>
  <c r="I282" i="61"/>
  <c r="F282" i="61"/>
  <c r="N281" i="61"/>
  <c r="M281" i="61"/>
  <c r="K281" i="61"/>
  <c r="J281" i="61"/>
  <c r="H281" i="61"/>
  <c r="G281" i="61"/>
  <c r="F281" i="61"/>
  <c r="E281" i="61"/>
  <c r="D281" i="61"/>
  <c r="O280" i="61"/>
  <c r="L280" i="61"/>
  <c r="I280" i="61"/>
  <c r="F280" i="61"/>
  <c r="O279" i="61"/>
  <c r="L279" i="61"/>
  <c r="I279" i="61"/>
  <c r="F279" i="61"/>
  <c r="C279" i="61" s="1"/>
  <c r="O278" i="61"/>
  <c r="L278" i="61"/>
  <c r="I278" i="61"/>
  <c r="F278" i="61"/>
  <c r="C278" i="61" s="1"/>
  <c r="O277" i="61"/>
  <c r="L277" i="61"/>
  <c r="I277" i="61"/>
  <c r="I276" i="61" s="1"/>
  <c r="F277" i="61"/>
  <c r="N276" i="61"/>
  <c r="M276" i="61"/>
  <c r="K276" i="61"/>
  <c r="J276" i="61"/>
  <c r="H276" i="61"/>
  <c r="G276" i="61"/>
  <c r="G270" i="61" s="1"/>
  <c r="G269" i="61" s="1"/>
  <c r="E276" i="61"/>
  <c r="D276" i="61"/>
  <c r="O275" i="61"/>
  <c r="L275" i="61"/>
  <c r="I275" i="61"/>
  <c r="F275" i="61"/>
  <c r="O274" i="61"/>
  <c r="L274" i="61"/>
  <c r="I274" i="61"/>
  <c r="F274" i="61"/>
  <c r="O273" i="61"/>
  <c r="L273" i="61"/>
  <c r="I273" i="61"/>
  <c r="F273" i="61"/>
  <c r="N272" i="61"/>
  <c r="N270" i="61" s="1"/>
  <c r="N269" i="61" s="1"/>
  <c r="M272" i="61"/>
  <c r="K272" i="61"/>
  <c r="J272" i="61"/>
  <c r="I272" i="61"/>
  <c r="H272" i="61"/>
  <c r="G272" i="61"/>
  <c r="E272" i="61"/>
  <c r="D272" i="61"/>
  <c r="O271" i="61"/>
  <c r="L271" i="61"/>
  <c r="I271" i="61"/>
  <c r="F271" i="61"/>
  <c r="J270" i="61"/>
  <c r="J269" i="61" s="1"/>
  <c r="O268" i="61"/>
  <c r="L268" i="61"/>
  <c r="I268" i="61"/>
  <c r="F268" i="61"/>
  <c r="O267" i="61"/>
  <c r="L267" i="61"/>
  <c r="I267" i="61"/>
  <c r="F267" i="61"/>
  <c r="O266" i="61"/>
  <c r="L266" i="61"/>
  <c r="I266" i="61"/>
  <c r="F266" i="61"/>
  <c r="O265" i="61"/>
  <c r="L265" i="61"/>
  <c r="I265" i="61"/>
  <c r="F265" i="61"/>
  <c r="N264" i="61"/>
  <c r="M264" i="61"/>
  <c r="K264" i="61"/>
  <c r="J264" i="61"/>
  <c r="H264" i="61"/>
  <c r="G264" i="61"/>
  <c r="E264" i="61"/>
  <c r="D264" i="61"/>
  <c r="O263" i="61"/>
  <c r="L263" i="61"/>
  <c r="I263" i="61"/>
  <c r="F263" i="61"/>
  <c r="O262" i="61"/>
  <c r="L262" i="61"/>
  <c r="I262" i="61"/>
  <c r="F262" i="61"/>
  <c r="C262" i="61" s="1"/>
  <c r="O261" i="61"/>
  <c r="L261" i="61"/>
  <c r="I261" i="61"/>
  <c r="I260" i="61" s="1"/>
  <c r="F261" i="61"/>
  <c r="N260" i="61"/>
  <c r="M260" i="61"/>
  <c r="K260" i="61"/>
  <c r="J260" i="61"/>
  <c r="H260" i="61"/>
  <c r="G260" i="61"/>
  <c r="E260" i="61"/>
  <c r="D260" i="61"/>
  <c r="D259" i="61" s="1"/>
  <c r="K259" i="61"/>
  <c r="O258" i="61"/>
  <c r="L258" i="61"/>
  <c r="I258" i="61"/>
  <c r="C258" i="61" s="1"/>
  <c r="F258" i="61"/>
  <c r="O257" i="61"/>
  <c r="L257" i="61"/>
  <c r="I257" i="61"/>
  <c r="F257" i="61"/>
  <c r="O256" i="61"/>
  <c r="L256" i="61"/>
  <c r="I256" i="61"/>
  <c r="F256" i="61"/>
  <c r="O255" i="61"/>
  <c r="L255" i="61"/>
  <c r="I255" i="61"/>
  <c r="F255" i="61"/>
  <c r="O254" i="61"/>
  <c r="L254" i="61"/>
  <c r="I254" i="61"/>
  <c r="F254" i="61"/>
  <c r="C254" i="61" s="1"/>
  <c r="O253" i="61"/>
  <c r="L253" i="61"/>
  <c r="I253" i="61"/>
  <c r="F253" i="61"/>
  <c r="N252" i="61"/>
  <c r="M252" i="61"/>
  <c r="M251" i="61" s="1"/>
  <c r="K252" i="61"/>
  <c r="K251" i="61" s="1"/>
  <c r="J252" i="61"/>
  <c r="H252" i="61"/>
  <c r="G252" i="61"/>
  <c r="G251" i="61" s="1"/>
  <c r="E252" i="61"/>
  <c r="E251" i="61" s="1"/>
  <c r="D252" i="61"/>
  <c r="N251" i="61"/>
  <c r="J251" i="61"/>
  <c r="H251" i="61"/>
  <c r="D251" i="61"/>
  <c r="O250" i="61"/>
  <c r="L250" i="61"/>
  <c r="I250" i="61"/>
  <c r="F250" i="61"/>
  <c r="C250" i="61" s="1"/>
  <c r="O249" i="61"/>
  <c r="L249" i="61"/>
  <c r="I249" i="61"/>
  <c r="F249" i="61"/>
  <c r="O248" i="61"/>
  <c r="L248" i="61"/>
  <c r="I248" i="61"/>
  <c r="F248" i="61"/>
  <c r="O247" i="61"/>
  <c r="L247" i="61"/>
  <c r="I247" i="61"/>
  <c r="F247" i="61"/>
  <c r="N246" i="61"/>
  <c r="M246" i="61"/>
  <c r="K246" i="61"/>
  <c r="J246" i="61"/>
  <c r="H246" i="61"/>
  <c r="G246" i="61"/>
  <c r="E246" i="61"/>
  <c r="D246" i="61"/>
  <c r="O245" i="61"/>
  <c r="L245" i="61"/>
  <c r="I245" i="61"/>
  <c r="F245" i="61"/>
  <c r="O244" i="61"/>
  <c r="L244" i="61"/>
  <c r="I244" i="61"/>
  <c r="F244" i="61"/>
  <c r="O243" i="61"/>
  <c r="L243" i="61"/>
  <c r="I243" i="61"/>
  <c r="F243" i="61"/>
  <c r="O242" i="61"/>
  <c r="L242" i="61"/>
  <c r="I242" i="61"/>
  <c r="F242" i="61"/>
  <c r="O241" i="61"/>
  <c r="L241" i="61"/>
  <c r="I241" i="61"/>
  <c r="F241" i="61"/>
  <c r="O240" i="61"/>
  <c r="L240" i="61"/>
  <c r="I240" i="61"/>
  <c r="F240" i="61"/>
  <c r="O239" i="61"/>
  <c r="L239" i="61"/>
  <c r="L238" i="61" s="1"/>
  <c r="I239" i="61"/>
  <c r="F239" i="61"/>
  <c r="N238" i="61"/>
  <c r="M238" i="61"/>
  <c r="K238" i="61"/>
  <c r="J238" i="61"/>
  <c r="H238" i="61"/>
  <c r="G238" i="61"/>
  <c r="E238" i="61"/>
  <c r="D238" i="61"/>
  <c r="O237" i="61"/>
  <c r="L237" i="61"/>
  <c r="I237" i="61"/>
  <c r="F237" i="61"/>
  <c r="O236" i="61"/>
  <c r="L236" i="61"/>
  <c r="L235" i="61" s="1"/>
  <c r="I236" i="61"/>
  <c r="F236" i="61"/>
  <c r="O235" i="61"/>
  <c r="N235" i="61"/>
  <c r="M235" i="61"/>
  <c r="K235" i="61"/>
  <c r="J235" i="61"/>
  <c r="H235" i="61"/>
  <c r="G235" i="61"/>
  <c r="E235" i="61"/>
  <c r="D235" i="61"/>
  <c r="O234" i="61"/>
  <c r="O233" i="61" s="1"/>
  <c r="L234" i="61"/>
  <c r="L233" i="61" s="1"/>
  <c r="I234" i="61"/>
  <c r="F234" i="61"/>
  <c r="N233" i="61"/>
  <c r="M233" i="61"/>
  <c r="M231" i="61" s="1"/>
  <c r="K233" i="61"/>
  <c r="J233" i="61"/>
  <c r="I233" i="61"/>
  <c r="H233" i="61"/>
  <c r="H231" i="61" s="1"/>
  <c r="G233" i="61"/>
  <c r="E233" i="61"/>
  <c r="D233" i="61"/>
  <c r="D231" i="61" s="1"/>
  <c r="O232" i="61"/>
  <c r="L232" i="61"/>
  <c r="I232" i="61"/>
  <c r="F232" i="61"/>
  <c r="O229" i="61"/>
  <c r="L229" i="61"/>
  <c r="I229" i="61"/>
  <c r="F229" i="61"/>
  <c r="O228" i="61"/>
  <c r="L228" i="61"/>
  <c r="L227" i="61" s="1"/>
  <c r="I228" i="61"/>
  <c r="I227" i="61" s="1"/>
  <c r="F228" i="61"/>
  <c r="O227" i="61"/>
  <c r="N227" i="61"/>
  <c r="M227" i="61"/>
  <c r="K227" i="61"/>
  <c r="J227" i="61"/>
  <c r="H227" i="61"/>
  <c r="G227" i="61"/>
  <c r="F227" i="61"/>
  <c r="E227" i="61"/>
  <c r="D227" i="61"/>
  <c r="O226" i="61"/>
  <c r="L226" i="61"/>
  <c r="I226" i="61"/>
  <c r="C226" i="61" s="1"/>
  <c r="F226" i="61"/>
  <c r="O225" i="61"/>
  <c r="L225" i="61"/>
  <c r="I225" i="61"/>
  <c r="F225" i="61"/>
  <c r="O224" i="61"/>
  <c r="L224" i="61"/>
  <c r="I224" i="61"/>
  <c r="F224" i="61"/>
  <c r="O223" i="61"/>
  <c r="L223" i="61"/>
  <c r="I223" i="61"/>
  <c r="F223" i="61"/>
  <c r="O222" i="61"/>
  <c r="L222" i="61"/>
  <c r="I222" i="61"/>
  <c r="F222" i="61"/>
  <c r="O221" i="61"/>
  <c r="L221" i="61"/>
  <c r="I221" i="61"/>
  <c r="F221" i="61"/>
  <c r="O220" i="61"/>
  <c r="L220" i="61"/>
  <c r="I220" i="61"/>
  <c r="F220" i="61"/>
  <c r="O219" i="61"/>
  <c r="L219" i="61"/>
  <c r="I219" i="61"/>
  <c r="F219" i="61"/>
  <c r="O218" i="61"/>
  <c r="L218" i="61"/>
  <c r="I218" i="61"/>
  <c r="F218" i="61"/>
  <c r="C218" i="61" s="1"/>
  <c r="O217" i="61"/>
  <c r="L217" i="61"/>
  <c r="I217" i="61"/>
  <c r="F217" i="61"/>
  <c r="N216" i="61"/>
  <c r="M216" i="61"/>
  <c r="K216" i="61"/>
  <c r="J216" i="61"/>
  <c r="H216" i="61"/>
  <c r="G216" i="61"/>
  <c r="E216" i="61"/>
  <c r="D216" i="61"/>
  <c r="O215" i="61"/>
  <c r="L215" i="61"/>
  <c r="I215" i="61"/>
  <c r="F215" i="61"/>
  <c r="O214" i="61"/>
  <c r="L214" i="61"/>
  <c r="I214" i="61"/>
  <c r="F214" i="61"/>
  <c r="O213" i="61"/>
  <c r="L213" i="61"/>
  <c r="I213" i="61"/>
  <c r="F213" i="61"/>
  <c r="O212" i="61"/>
  <c r="L212" i="61"/>
  <c r="I212" i="61"/>
  <c r="F212" i="61"/>
  <c r="O211" i="61"/>
  <c r="L211" i="61"/>
  <c r="I211" i="61"/>
  <c r="F211" i="61"/>
  <c r="O210" i="61"/>
  <c r="L210" i="61"/>
  <c r="I210" i="61"/>
  <c r="F210" i="61"/>
  <c r="O209" i="61"/>
  <c r="L209" i="61"/>
  <c r="I209" i="61"/>
  <c r="F209" i="61"/>
  <c r="O208" i="61"/>
  <c r="L208" i="61"/>
  <c r="I208" i="61"/>
  <c r="F208" i="61"/>
  <c r="O207" i="61"/>
  <c r="L207" i="61"/>
  <c r="I207" i="61"/>
  <c r="F207" i="61"/>
  <c r="O206" i="61"/>
  <c r="L206" i="61"/>
  <c r="C206" i="61" s="1"/>
  <c r="I206" i="61"/>
  <c r="F206" i="61"/>
  <c r="N205" i="61"/>
  <c r="M205" i="61"/>
  <c r="K205" i="61"/>
  <c r="J205" i="61"/>
  <c r="H205" i="61"/>
  <c r="H204" i="61" s="1"/>
  <c r="G205" i="61"/>
  <c r="E205" i="61"/>
  <c r="D205" i="61"/>
  <c r="D204" i="61" s="1"/>
  <c r="M204" i="61"/>
  <c r="G204" i="61"/>
  <c r="O203" i="61"/>
  <c r="L203" i="61"/>
  <c r="I203" i="61"/>
  <c r="F203" i="61"/>
  <c r="O202" i="61"/>
  <c r="L202" i="61"/>
  <c r="I202" i="61"/>
  <c r="F202" i="61"/>
  <c r="C202" i="61" s="1"/>
  <c r="O201" i="61"/>
  <c r="L201" i="61"/>
  <c r="I201" i="61"/>
  <c r="F201" i="61"/>
  <c r="O200" i="61"/>
  <c r="L200" i="61"/>
  <c r="I200" i="61"/>
  <c r="F200" i="61"/>
  <c r="O199" i="61"/>
  <c r="L199" i="61"/>
  <c r="L198" i="61" s="1"/>
  <c r="I199" i="61"/>
  <c r="F199" i="61"/>
  <c r="F198" i="61" s="1"/>
  <c r="O198" i="61"/>
  <c r="N198" i="61"/>
  <c r="M198" i="61"/>
  <c r="K198" i="61"/>
  <c r="K196" i="61" s="1"/>
  <c r="J198" i="61"/>
  <c r="H198" i="61"/>
  <c r="G198" i="61"/>
  <c r="G196" i="61" s="1"/>
  <c r="G195" i="61" s="1"/>
  <c r="E198" i="61"/>
  <c r="E196" i="61" s="1"/>
  <c r="D198" i="61"/>
  <c r="O197" i="61"/>
  <c r="L197" i="61"/>
  <c r="I197" i="61"/>
  <c r="F197" i="61"/>
  <c r="N196" i="61"/>
  <c r="M196" i="61"/>
  <c r="J196" i="61"/>
  <c r="H196" i="61"/>
  <c r="D196" i="61"/>
  <c r="O193" i="61"/>
  <c r="L193" i="61"/>
  <c r="L192" i="61" s="1"/>
  <c r="L191" i="61" s="1"/>
  <c r="I193" i="61"/>
  <c r="F193" i="61"/>
  <c r="O192" i="61"/>
  <c r="O191" i="61" s="1"/>
  <c r="N192" i="61"/>
  <c r="N191" i="61" s="1"/>
  <c r="M192" i="61"/>
  <c r="M191" i="61" s="1"/>
  <c r="K192" i="61"/>
  <c r="K191" i="61" s="1"/>
  <c r="J192" i="61"/>
  <c r="I192" i="61"/>
  <c r="H192" i="61"/>
  <c r="H191" i="61" s="1"/>
  <c r="G192" i="61"/>
  <c r="G191" i="61" s="1"/>
  <c r="E192" i="61"/>
  <c r="E191" i="61" s="1"/>
  <c r="D192" i="61"/>
  <c r="J191" i="61"/>
  <c r="I191" i="61"/>
  <c r="D191" i="61"/>
  <c r="O190" i="61"/>
  <c r="L190" i="61"/>
  <c r="I190" i="61"/>
  <c r="F190" i="61"/>
  <c r="O189" i="61"/>
  <c r="O188" i="61" s="1"/>
  <c r="L189" i="61"/>
  <c r="L188" i="61" s="1"/>
  <c r="L187" i="61" s="1"/>
  <c r="I189" i="61"/>
  <c r="F189" i="61"/>
  <c r="N188" i="61"/>
  <c r="M188" i="61"/>
  <c r="K188" i="61"/>
  <c r="K187" i="61" s="1"/>
  <c r="J188" i="61"/>
  <c r="H188" i="61"/>
  <c r="G188" i="61"/>
  <c r="E188" i="61"/>
  <c r="D188" i="61"/>
  <c r="M187" i="61"/>
  <c r="O186" i="61"/>
  <c r="L186" i="61"/>
  <c r="I186" i="61"/>
  <c r="F186" i="61"/>
  <c r="O185" i="61"/>
  <c r="O184" i="61" s="1"/>
  <c r="L185" i="61"/>
  <c r="I185" i="61"/>
  <c r="F185" i="61"/>
  <c r="N184" i="61"/>
  <c r="M184" i="61"/>
  <c r="K184" i="61"/>
  <c r="J184" i="61"/>
  <c r="H184" i="61"/>
  <c r="G184" i="61"/>
  <c r="F184" i="61"/>
  <c r="E184" i="61"/>
  <c r="D184" i="61"/>
  <c r="O183" i="61"/>
  <c r="L183" i="61"/>
  <c r="I183" i="61"/>
  <c r="F183" i="61"/>
  <c r="O182" i="61"/>
  <c r="L182" i="61"/>
  <c r="I182" i="61"/>
  <c r="F182" i="61"/>
  <c r="O181" i="61"/>
  <c r="L181" i="61"/>
  <c r="I181" i="61"/>
  <c r="C181" i="61" s="1"/>
  <c r="F181" i="61"/>
  <c r="O180" i="61"/>
  <c r="L180" i="61"/>
  <c r="I180" i="61"/>
  <c r="F180" i="61"/>
  <c r="N179" i="61"/>
  <c r="M179" i="61"/>
  <c r="K179" i="61"/>
  <c r="J179" i="61"/>
  <c r="H179" i="61"/>
  <c r="G179" i="61"/>
  <c r="E179" i="61"/>
  <c r="D179" i="61"/>
  <c r="O178" i="61"/>
  <c r="L178" i="61"/>
  <c r="I178" i="61"/>
  <c r="F178" i="61"/>
  <c r="O177" i="61"/>
  <c r="L177" i="61"/>
  <c r="I177" i="61"/>
  <c r="F177" i="61"/>
  <c r="C177" i="61" s="1"/>
  <c r="O176" i="61"/>
  <c r="L176" i="61"/>
  <c r="I176" i="61"/>
  <c r="I175" i="61" s="1"/>
  <c r="F176" i="61"/>
  <c r="N175" i="61"/>
  <c r="M175" i="61"/>
  <c r="M174" i="61" s="1"/>
  <c r="K175" i="61"/>
  <c r="J175" i="61"/>
  <c r="H175" i="61"/>
  <c r="H174" i="61" s="1"/>
  <c r="H173" i="61" s="1"/>
  <c r="G175" i="61"/>
  <c r="E175" i="61"/>
  <c r="D175" i="61"/>
  <c r="N174" i="61"/>
  <c r="N173" i="61" s="1"/>
  <c r="O172" i="61"/>
  <c r="L172" i="61"/>
  <c r="I172" i="61"/>
  <c r="F172" i="61"/>
  <c r="O171" i="61"/>
  <c r="L171" i="61"/>
  <c r="I171" i="61"/>
  <c r="F171" i="61"/>
  <c r="O170" i="61"/>
  <c r="L170" i="61"/>
  <c r="I170" i="61"/>
  <c r="F170" i="61"/>
  <c r="C170" i="61" s="1"/>
  <c r="O169" i="61"/>
  <c r="L169" i="61"/>
  <c r="I169" i="61"/>
  <c r="F169" i="61"/>
  <c r="O168" i="61"/>
  <c r="L168" i="61"/>
  <c r="I168" i="61"/>
  <c r="F168" i="61"/>
  <c r="O167" i="61"/>
  <c r="O166" i="61" s="1"/>
  <c r="L167" i="61"/>
  <c r="I167" i="61"/>
  <c r="F167" i="61"/>
  <c r="N166" i="61"/>
  <c r="N165" i="61" s="1"/>
  <c r="M166" i="61"/>
  <c r="K166" i="61"/>
  <c r="K165" i="61" s="1"/>
  <c r="J166" i="61"/>
  <c r="J165" i="61" s="1"/>
  <c r="H166" i="61"/>
  <c r="H165" i="61" s="1"/>
  <c r="G166" i="61"/>
  <c r="E166" i="61"/>
  <c r="D166" i="61"/>
  <c r="D165" i="61" s="1"/>
  <c r="M165" i="61"/>
  <c r="G165" i="61"/>
  <c r="E165" i="61"/>
  <c r="O164" i="61"/>
  <c r="L164" i="61"/>
  <c r="I164" i="61"/>
  <c r="F164" i="61"/>
  <c r="O163" i="61"/>
  <c r="L163" i="61"/>
  <c r="I163" i="61"/>
  <c r="F163" i="61"/>
  <c r="O162" i="61"/>
  <c r="L162" i="61"/>
  <c r="I162" i="61"/>
  <c r="F162" i="61"/>
  <c r="O161" i="61"/>
  <c r="O160" i="61" s="1"/>
  <c r="L161" i="61"/>
  <c r="L160" i="61" s="1"/>
  <c r="I161" i="61"/>
  <c r="F161" i="61"/>
  <c r="N160" i="61"/>
  <c r="M160" i="61"/>
  <c r="K160" i="61"/>
  <c r="J160" i="61"/>
  <c r="H160" i="61"/>
  <c r="G160" i="61"/>
  <c r="E160" i="61"/>
  <c r="D160" i="61"/>
  <c r="O159" i="61"/>
  <c r="L159" i="61"/>
  <c r="I159" i="61"/>
  <c r="F159" i="61"/>
  <c r="C159" i="61"/>
  <c r="O158" i="61"/>
  <c r="L158" i="61"/>
  <c r="I158" i="61"/>
  <c r="F158" i="61"/>
  <c r="C158" i="61" s="1"/>
  <c r="O157" i="61"/>
  <c r="L157" i="61"/>
  <c r="I157" i="61"/>
  <c r="F157" i="61"/>
  <c r="O156" i="61"/>
  <c r="L156" i="61"/>
  <c r="I156" i="61"/>
  <c r="F156" i="61"/>
  <c r="O155" i="61"/>
  <c r="L155" i="61"/>
  <c r="I155" i="61"/>
  <c r="F155" i="61"/>
  <c r="O154" i="61"/>
  <c r="L154" i="61"/>
  <c r="I154" i="61"/>
  <c r="F154" i="61"/>
  <c r="O153" i="61"/>
  <c r="L153" i="61"/>
  <c r="I153" i="61"/>
  <c r="F153" i="61"/>
  <c r="C153" i="61" s="1"/>
  <c r="O152" i="61"/>
  <c r="L152" i="61"/>
  <c r="I152" i="61"/>
  <c r="F152" i="61"/>
  <c r="N151" i="61"/>
  <c r="M151" i="61"/>
  <c r="K151" i="61"/>
  <c r="J151" i="61"/>
  <c r="H151" i="61"/>
  <c r="G151" i="61"/>
  <c r="E151" i="61"/>
  <c r="D151" i="61"/>
  <c r="O150" i="61"/>
  <c r="L150" i="61"/>
  <c r="I150" i="61"/>
  <c r="F150" i="61"/>
  <c r="O149" i="61"/>
  <c r="L149" i="61"/>
  <c r="I149" i="61"/>
  <c r="F149" i="61"/>
  <c r="O148" i="61"/>
  <c r="L148" i="61"/>
  <c r="I148" i="61"/>
  <c r="F148" i="61"/>
  <c r="O147" i="61"/>
  <c r="L147" i="61"/>
  <c r="I147" i="61"/>
  <c r="F147" i="61"/>
  <c r="O146" i="61"/>
  <c r="L146" i="61"/>
  <c r="I146" i="61"/>
  <c r="F146" i="61"/>
  <c r="O145" i="61"/>
  <c r="L145" i="61"/>
  <c r="L144" i="61" s="1"/>
  <c r="I145" i="61"/>
  <c r="F145" i="61"/>
  <c r="N144" i="61"/>
  <c r="M144" i="61"/>
  <c r="K144" i="61"/>
  <c r="J144" i="61"/>
  <c r="H144" i="61"/>
  <c r="G144" i="61"/>
  <c r="E144" i="61"/>
  <c r="D144" i="61"/>
  <c r="O143" i="61"/>
  <c r="O141" i="61" s="1"/>
  <c r="L143" i="61"/>
  <c r="I143" i="61"/>
  <c r="F143" i="61"/>
  <c r="C143" i="61" s="1"/>
  <c r="O142" i="61"/>
  <c r="L142" i="61"/>
  <c r="L141" i="61" s="1"/>
  <c r="I142" i="61"/>
  <c r="I141" i="61" s="1"/>
  <c r="F142" i="61"/>
  <c r="N141" i="61"/>
  <c r="M141" i="61"/>
  <c r="K141" i="61"/>
  <c r="J141" i="61"/>
  <c r="H141" i="61"/>
  <c r="G141" i="61"/>
  <c r="E141" i="61"/>
  <c r="D141" i="61"/>
  <c r="O140" i="61"/>
  <c r="L140" i="61"/>
  <c r="I140" i="61"/>
  <c r="F140" i="61"/>
  <c r="O139" i="61"/>
  <c r="L139" i="61"/>
  <c r="I139" i="61"/>
  <c r="F139" i="61"/>
  <c r="O138" i="61"/>
  <c r="L138" i="61"/>
  <c r="I138" i="61"/>
  <c r="F138" i="61"/>
  <c r="O137" i="61"/>
  <c r="L137" i="61"/>
  <c r="L136" i="61" s="1"/>
  <c r="I137" i="61"/>
  <c r="F137" i="61"/>
  <c r="N136" i="61"/>
  <c r="M136" i="61"/>
  <c r="K136" i="61"/>
  <c r="J136" i="61"/>
  <c r="H136" i="61"/>
  <c r="G136" i="61"/>
  <c r="E136" i="61"/>
  <c r="D136" i="61"/>
  <c r="O135" i="61"/>
  <c r="L135" i="61"/>
  <c r="I135" i="61"/>
  <c r="F135" i="61"/>
  <c r="C135" i="61" s="1"/>
  <c r="O134" i="61"/>
  <c r="L134" i="61"/>
  <c r="I134" i="61"/>
  <c r="F134" i="61"/>
  <c r="O133" i="61"/>
  <c r="L133" i="61"/>
  <c r="I133" i="61"/>
  <c r="F133" i="61"/>
  <c r="O132" i="61"/>
  <c r="L132" i="61"/>
  <c r="L131" i="61" s="1"/>
  <c r="I132" i="61"/>
  <c r="F132" i="61"/>
  <c r="N131" i="61"/>
  <c r="M131" i="61"/>
  <c r="K131" i="61"/>
  <c r="J131" i="61"/>
  <c r="J130" i="61" s="1"/>
  <c r="H131" i="61"/>
  <c r="G131" i="61"/>
  <c r="E131" i="61"/>
  <c r="D131" i="61"/>
  <c r="O129" i="61"/>
  <c r="O128" i="61" s="1"/>
  <c r="L129" i="61"/>
  <c r="L128" i="61" s="1"/>
  <c r="I129" i="61"/>
  <c r="I128" i="61" s="1"/>
  <c r="F129" i="61"/>
  <c r="C129" i="61" s="1"/>
  <c r="N128" i="61"/>
  <c r="M128" i="61"/>
  <c r="K128" i="61"/>
  <c r="J128" i="61"/>
  <c r="H128" i="61"/>
  <c r="G128" i="61"/>
  <c r="F128" i="61"/>
  <c r="E128" i="61"/>
  <c r="D128" i="61"/>
  <c r="O127" i="61"/>
  <c r="L127" i="61"/>
  <c r="I127" i="61"/>
  <c r="F127" i="61"/>
  <c r="O126" i="61"/>
  <c r="L126" i="61"/>
  <c r="I126" i="61"/>
  <c r="F126" i="61"/>
  <c r="O125" i="61"/>
  <c r="L125" i="61"/>
  <c r="I125" i="61"/>
  <c r="F125" i="61"/>
  <c r="O124" i="61"/>
  <c r="L124" i="61"/>
  <c r="I124" i="61"/>
  <c r="F124" i="61"/>
  <c r="O123" i="61"/>
  <c r="L123" i="61"/>
  <c r="L122" i="61" s="1"/>
  <c r="I123" i="61"/>
  <c r="F123" i="61"/>
  <c r="N122" i="61"/>
  <c r="M122" i="61"/>
  <c r="K122" i="61"/>
  <c r="J122" i="61"/>
  <c r="H122" i="61"/>
  <c r="G122" i="61"/>
  <c r="E122" i="61"/>
  <c r="D122" i="61"/>
  <c r="O121" i="61"/>
  <c r="L121" i="61"/>
  <c r="I121" i="61"/>
  <c r="F121" i="61"/>
  <c r="C121" i="61" s="1"/>
  <c r="O120" i="61"/>
  <c r="L120" i="61"/>
  <c r="I120" i="61"/>
  <c r="F120" i="61"/>
  <c r="O119" i="61"/>
  <c r="L119" i="61"/>
  <c r="I119" i="61"/>
  <c r="F119" i="61"/>
  <c r="O118" i="61"/>
  <c r="L118" i="61"/>
  <c r="I118" i="61"/>
  <c r="F118" i="61"/>
  <c r="O117" i="61"/>
  <c r="L117" i="61"/>
  <c r="L116" i="61" s="1"/>
  <c r="I117" i="61"/>
  <c r="F117" i="61"/>
  <c r="N116" i="61"/>
  <c r="M116" i="61"/>
  <c r="K116" i="61"/>
  <c r="J116" i="61"/>
  <c r="H116" i="61"/>
  <c r="G116" i="61"/>
  <c r="E116" i="61"/>
  <c r="D116" i="61"/>
  <c r="O115" i="61"/>
  <c r="L115" i="61"/>
  <c r="I115" i="61"/>
  <c r="F115" i="61"/>
  <c r="O114" i="61"/>
  <c r="L114" i="61"/>
  <c r="I114" i="61"/>
  <c r="F114" i="61"/>
  <c r="C114" i="61" s="1"/>
  <c r="O113" i="61"/>
  <c r="L113" i="61"/>
  <c r="L112" i="61" s="1"/>
  <c r="I113" i="61"/>
  <c r="F113" i="61"/>
  <c r="N112" i="61"/>
  <c r="M112" i="61"/>
  <c r="K112" i="61"/>
  <c r="J112" i="61"/>
  <c r="H112" i="61"/>
  <c r="G112" i="61"/>
  <c r="E112" i="61"/>
  <c r="D112" i="61"/>
  <c r="O111" i="61"/>
  <c r="L111" i="61"/>
  <c r="I111" i="61"/>
  <c r="F111" i="61"/>
  <c r="O110" i="61"/>
  <c r="L110" i="61"/>
  <c r="I110" i="61"/>
  <c r="F110" i="61"/>
  <c r="O109" i="61"/>
  <c r="L109" i="61"/>
  <c r="I109" i="61"/>
  <c r="F109" i="61"/>
  <c r="O108" i="61"/>
  <c r="L108" i="61"/>
  <c r="I108" i="61"/>
  <c r="F108" i="61"/>
  <c r="O107" i="61"/>
  <c r="L107" i="61"/>
  <c r="I107" i="61"/>
  <c r="F107" i="61"/>
  <c r="O106" i="61"/>
  <c r="L106" i="61"/>
  <c r="I106" i="61"/>
  <c r="F106" i="61"/>
  <c r="O105" i="61"/>
  <c r="L105" i="61"/>
  <c r="I105" i="61"/>
  <c r="F105" i="61"/>
  <c r="O104" i="61"/>
  <c r="L104" i="61"/>
  <c r="I104" i="61"/>
  <c r="F104" i="61"/>
  <c r="F103" i="61" s="1"/>
  <c r="N103" i="61"/>
  <c r="M103" i="61"/>
  <c r="K103" i="61"/>
  <c r="J103" i="61"/>
  <c r="H103" i="61"/>
  <c r="G103" i="61"/>
  <c r="E103" i="61"/>
  <c r="D103" i="61"/>
  <c r="O102" i="61"/>
  <c r="L102" i="61"/>
  <c r="I102" i="61"/>
  <c r="F102" i="61"/>
  <c r="O101" i="61"/>
  <c r="L101" i="61"/>
  <c r="I101" i="61"/>
  <c r="F101" i="61"/>
  <c r="O100" i="61"/>
  <c r="L100" i="61"/>
  <c r="I100" i="61"/>
  <c r="F100" i="61"/>
  <c r="O99" i="61"/>
  <c r="L99" i="61"/>
  <c r="I99" i="61"/>
  <c r="F99" i="61"/>
  <c r="O98" i="61"/>
  <c r="L98" i="61"/>
  <c r="I98" i="61"/>
  <c r="F98" i="61"/>
  <c r="O97" i="61"/>
  <c r="L97" i="61"/>
  <c r="I97" i="61"/>
  <c r="F97" i="61"/>
  <c r="O96" i="61"/>
  <c r="L96" i="61"/>
  <c r="L95" i="61" s="1"/>
  <c r="I96" i="61"/>
  <c r="I95" i="61" s="1"/>
  <c r="F96" i="61"/>
  <c r="N95" i="61"/>
  <c r="M95" i="61"/>
  <c r="K95" i="61"/>
  <c r="J95" i="61"/>
  <c r="H95" i="61"/>
  <c r="G95" i="61"/>
  <c r="E95" i="61"/>
  <c r="D95" i="61"/>
  <c r="O94" i="61"/>
  <c r="L94" i="61"/>
  <c r="I94" i="61"/>
  <c r="F94" i="61"/>
  <c r="O93" i="61"/>
  <c r="L93" i="61"/>
  <c r="I93" i="61"/>
  <c r="F93" i="61"/>
  <c r="C93" i="61" s="1"/>
  <c r="O92" i="61"/>
  <c r="L92" i="61"/>
  <c r="I92" i="61"/>
  <c r="F92" i="61"/>
  <c r="O91" i="61"/>
  <c r="L91" i="61"/>
  <c r="I91" i="61"/>
  <c r="F91" i="61"/>
  <c r="O90" i="61"/>
  <c r="L90" i="61"/>
  <c r="I90" i="61"/>
  <c r="I89" i="61" s="1"/>
  <c r="F90" i="61"/>
  <c r="N89" i="61"/>
  <c r="M89" i="61"/>
  <c r="K89" i="61"/>
  <c r="J89" i="61"/>
  <c r="H89" i="61"/>
  <c r="G89" i="61"/>
  <c r="E89" i="61"/>
  <c r="D89" i="61"/>
  <c r="O88" i="61"/>
  <c r="L88" i="61"/>
  <c r="I88" i="61"/>
  <c r="F88" i="61"/>
  <c r="O87" i="61"/>
  <c r="L87" i="61"/>
  <c r="C87" i="61" s="1"/>
  <c r="I87" i="61"/>
  <c r="F87" i="61"/>
  <c r="O86" i="61"/>
  <c r="L86" i="61"/>
  <c r="I86" i="61"/>
  <c r="F86" i="61"/>
  <c r="O85" i="61"/>
  <c r="L85" i="61"/>
  <c r="I85" i="61"/>
  <c r="I84" i="61" s="1"/>
  <c r="F85" i="61"/>
  <c r="N84" i="61"/>
  <c r="N83" i="61" s="1"/>
  <c r="M84" i="61"/>
  <c r="K84" i="61"/>
  <c r="J84" i="61"/>
  <c r="H84" i="61"/>
  <c r="G84" i="61"/>
  <c r="E84" i="61"/>
  <c r="D84" i="61"/>
  <c r="O82" i="61"/>
  <c r="L82" i="61"/>
  <c r="I82" i="61"/>
  <c r="F82" i="61"/>
  <c r="O81" i="61"/>
  <c r="L81" i="61"/>
  <c r="L80" i="61" s="1"/>
  <c r="I81" i="61"/>
  <c r="I80" i="61" s="1"/>
  <c r="F81" i="61"/>
  <c r="N80" i="61"/>
  <c r="M80" i="61"/>
  <c r="K80" i="61"/>
  <c r="J80" i="61"/>
  <c r="H80" i="61"/>
  <c r="G80" i="61"/>
  <c r="E80" i="61"/>
  <c r="D80" i="61"/>
  <c r="O79" i="61"/>
  <c r="L79" i="61"/>
  <c r="I79" i="61"/>
  <c r="F79" i="61"/>
  <c r="C79" i="61"/>
  <c r="O78" i="61"/>
  <c r="L78" i="61"/>
  <c r="I78" i="61"/>
  <c r="I77" i="61" s="1"/>
  <c r="F78" i="61"/>
  <c r="F77" i="61" s="1"/>
  <c r="N77" i="61"/>
  <c r="N76" i="61" s="1"/>
  <c r="M77" i="61"/>
  <c r="L77" i="61"/>
  <c r="L76" i="61" s="1"/>
  <c r="K77" i="61"/>
  <c r="K76" i="61" s="1"/>
  <c r="J77" i="61"/>
  <c r="H77" i="61"/>
  <c r="G77" i="61"/>
  <c r="G76" i="61" s="1"/>
  <c r="E77" i="61"/>
  <c r="E76" i="61" s="1"/>
  <c r="D77" i="61"/>
  <c r="M76" i="61"/>
  <c r="O74" i="61"/>
  <c r="L74" i="61"/>
  <c r="I74" i="61"/>
  <c r="F74" i="61"/>
  <c r="O73" i="61"/>
  <c r="L73" i="61"/>
  <c r="I73" i="61"/>
  <c r="F73" i="61"/>
  <c r="O72" i="61"/>
  <c r="L72" i="61"/>
  <c r="I72" i="61"/>
  <c r="F72" i="61"/>
  <c r="O71" i="61"/>
  <c r="L71" i="61"/>
  <c r="I71" i="61"/>
  <c r="F71" i="61"/>
  <c r="O70" i="61"/>
  <c r="O69" i="61" s="1"/>
  <c r="L70" i="61"/>
  <c r="I70" i="61"/>
  <c r="D70" i="61"/>
  <c r="D69" i="61" s="1"/>
  <c r="D67" i="61" s="1"/>
  <c r="N69" i="61"/>
  <c r="N67" i="61" s="1"/>
  <c r="M69" i="61"/>
  <c r="K69" i="61"/>
  <c r="K67" i="61" s="1"/>
  <c r="J69" i="61"/>
  <c r="J67" i="61" s="1"/>
  <c r="I69" i="61"/>
  <c r="H69" i="61"/>
  <c r="G69" i="61"/>
  <c r="E69" i="61"/>
  <c r="E67" i="61" s="1"/>
  <c r="O68" i="61"/>
  <c r="L68" i="61"/>
  <c r="I68" i="61"/>
  <c r="F68" i="61"/>
  <c r="M67" i="61"/>
  <c r="H67" i="61"/>
  <c r="G67" i="61"/>
  <c r="O66" i="61"/>
  <c r="L66" i="61"/>
  <c r="I66" i="61"/>
  <c r="F66" i="61"/>
  <c r="O65" i="61"/>
  <c r="L65" i="61"/>
  <c r="I65" i="61"/>
  <c r="F65" i="61"/>
  <c r="O64" i="61"/>
  <c r="L64" i="61"/>
  <c r="I64" i="61"/>
  <c r="F64" i="61"/>
  <c r="O63" i="61"/>
  <c r="L63" i="61"/>
  <c r="I63" i="61"/>
  <c r="F63" i="61"/>
  <c r="O62" i="61"/>
  <c r="L62" i="61"/>
  <c r="I62" i="61"/>
  <c r="F62" i="61"/>
  <c r="O61" i="61"/>
  <c r="L61" i="61"/>
  <c r="I61" i="61"/>
  <c r="F61" i="61"/>
  <c r="O60" i="61"/>
  <c r="L60" i="61"/>
  <c r="I60" i="61"/>
  <c r="F60" i="61"/>
  <c r="O59" i="61"/>
  <c r="L59" i="61"/>
  <c r="L58" i="61" s="1"/>
  <c r="I59" i="61"/>
  <c r="F59" i="61"/>
  <c r="N58" i="61"/>
  <c r="M58" i="61"/>
  <c r="K58" i="61"/>
  <c r="J58" i="61"/>
  <c r="I58" i="61"/>
  <c r="H58" i="61"/>
  <c r="G58" i="61"/>
  <c r="E58" i="61"/>
  <c r="D58" i="61"/>
  <c r="O57" i="61"/>
  <c r="L57" i="61"/>
  <c r="I57" i="61"/>
  <c r="D57" i="61"/>
  <c r="F57" i="61" s="1"/>
  <c r="C57" i="61" s="1"/>
  <c r="O56" i="61"/>
  <c r="L56" i="61"/>
  <c r="L55" i="61" s="1"/>
  <c r="I56" i="61"/>
  <c r="I55" i="61" s="1"/>
  <c r="F56" i="61"/>
  <c r="C56" i="61" s="1"/>
  <c r="O55" i="61"/>
  <c r="N55" i="61"/>
  <c r="M55" i="61"/>
  <c r="K55" i="61"/>
  <c r="K54" i="61" s="1"/>
  <c r="K53" i="61" s="1"/>
  <c r="J55" i="61"/>
  <c r="H55" i="61"/>
  <c r="G55" i="61"/>
  <c r="G54" i="61" s="1"/>
  <c r="G53" i="61" s="1"/>
  <c r="F55" i="61"/>
  <c r="E55" i="61"/>
  <c r="H54" i="61"/>
  <c r="O47" i="61"/>
  <c r="C47" i="61" s="1"/>
  <c r="O46" i="61"/>
  <c r="C46" i="61" s="1"/>
  <c r="N45" i="61"/>
  <c r="M45" i="61"/>
  <c r="L44" i="61"/>
  <c r="L43" i="61" s="1"/>
  <c r="I44" i="61"/>
  <c r="I43" i="61" s="1"/>
  <c r="F44" i="61"/>
  <c r="F43" i="61" s="1"/>
  <c r="K43" i="61"/>
  <c r="J43" i="61"/>
  <c r="H43" i="61"/>
  <c r="G43" i="61"/>
  <c r="E43" i="61"/>
  <c r="D43" i="61"/>
  <c r="F42" i="61"/>
  <c r="C42" i="61" s="1"/>
  <c r="E41" i="61"/>
  <c r="D41" i="61"/>
  <c r="L40" i="61"/>
  <c r="C40" i="61" s="1"/>
  <c r="L39" i="61"/>
  <c r="C39" i="61" s="1"/>
  <c r="L38" i="61"/>
  <c r="C38" i="61" s="1"/>
  <c r="L37" i="61"/>
  <c r="C37" i="61" s="1"/>
  <c r="K36" i="61"/>
  <c r="J36" i="61"/>
  <c r="L35" i="61"/>
  <c r="C35" i="61" s="1"/>
  <c r="L34" i="61"/>
  <c r="C34" i="61" s="1"/>
  <c r="K33" i="61"/>
  <c r="J33" i="61"/>
  <c r="L32" i="61"/>
  <c r="K31" i="61"/>
  <c r="J31" i="61"/>
  <c r="L30" i="61"/>
  <c r="C30" i="61" s="1"/>
  <c r="L29" i="61"/>
  <c r="C29" i="61" s="1"/>
  <c r="L28" i="61"/>
  <c r="C28" i="61" s="1"/>
  <c r="K27" i="61"/>
  <c r="J27" i="61"/>
  <c r="J26" i="61" s="1"/>
  <c r="F25" i="61"/>
  <c r="C25" i="61" s="1"/>
  <c r="I24" i="61"/>
  <c r="F24" i="61"/>
  <c r="C24" i="61" s="1"/>
  <c r="O23" i="61"/>
  <c r="L23" i="61"/>
  <c r="I23" i="61"/>
  <c r="F23" i="61"/>
  <c r="O22" i="61"/>
  <c r="O21" i="61" s="1"/>
  <c r="L22" i="61"/>
  <c r="L21" i="61" s="1"/>
  <c r="I22" i="61"/>
  <c r="F22" i="61"/>
  <c r="N21" i="61"/>
  <c r="N20" i="61" s="1"/>
  <c r="M21" i="61"/>
  <c r="M292" i="61" s="1"/>
  <c r="K21" i="61"/>
  <c r="K292" i="61" s="1"/>
  <c r="K291" i="61" s="1"/>
  <c r="J21" i="61"/>
  <c r="H21" i="61"/>
  <c r="G21" i="61"/>
  <c r="G292" i="61" s="1"/>
  <c r="F21" i="61"/>
  <c r="F292" i="61" s="1"/>
  <c r="E21" i="61"/>
  <c r="E292" i="61" s="1"/>
  <c r="E291" i="61" s="1"/>
  <c r="D21" i="61"/>
  <c r="M20" i="61"/>
  <c r="O301" i="59"/>
  <c r="L301" i="59"/>
  <c r="I301" i="59"/>
  <c r="F301" i="59"/>
  <c r="O300" i="59"/>
  <c r="L300" i="59"/>
  <c r="I300" i="59"/>
  <c r="F300" i="59"/>
  <c r="O299" i="59"/>
  <c r="L299" i="59"/>
  <c r="I299" i="59"/>
  <c r="F299" i="59"/>
  <c r="C299" i="59" s="1"/>
  <c r="O298" i="59"/>
  <c r="L298" i="59"/>
  <c r="I298" i="59"/>
  <c r="F298" i="59"/>
  <c r="O297" i="59"/>
  <c r="L297" i="59"/>
  <c r="I297" i="59"/>
  <c r="F297" i="59"/>
  <c r="O296" i="59"/>
  <c r="L296" i="59"/>
  <c r="I296" i="59"/>
  <c r="F296" i="59"/>
  <c r="O295" i="59"/>
  <c r="L295" i="59"/>
  <c r="I295" i="59"/>
  <c r="F295" i="59"/>
  <c r="O294" i="59"/>
  <c r="O293" i="59" s="1"/>
  <c r="L294" i="59"/>
  <c r="I294" i="59"/>
  <c r="F294" i="59"/>
  <c r="F293" i="59" s="1"/>
  <c r="C294" i="59"/>
  <c r="N293" i="59"/>
  <c r="M293" i="59"/>
  <c r="K293" i="59"/>
  <c r="J293" i="59"/>
  <c r="H293" i="59"/>
  <c r="G293" i="59"/>
  <c r="E293" i="59"/>
  <c r="D293" i="59"/>
  <c r="O288" i="59"/>
  <c r="L288" i="59"/>
  <c r="I288" i="59"/>
  <c r="F288" i="59"/>
  <c r="O287" i="59"/>
  <c r="O286" i="59" s="1"/>
  <c r="L287" i="59"/>
  <c r="L286" i="59" s="1"/>
  <c r="I287" i="59"/>
  <c r="C287" i="59" s="1"/>
  <c r="F287" i="59"/>
  <c r="N286" i="59"/>
  <c r="M286" i="59"/>
  <c r="K286" i="59"/>
  <c r="J286" i="59"/>
  <c r="H286" i="59"/>
  <c r="G286" i="59"/>
  <c r="F286" i="59"/>
  <c r="E286" i="59"/>
  <c r="D286" i="59"/>
  <c r="O285" i="59"/>
  <c r="L285" i="59"/>
  <c r="L284" i="59" s="1"/>
  <c r="L283" i="59" s="1"/>
  <c r="I285" i="59"/>
  <c r="F285" i="59"/>
  <c r="F284" i="59" s="1"/>
  <c r="O284" i="59"/>
  <c r="N284" i="59"/>
  <c r="N283" i="59" s="1"/>
  <c r="M284" i="59"/>
  <c r="M283" i="59" s="1"/>
  <c r="K284" i="59"/>
  <c r="J284" i="59"/>
  <c r="J283" i="59" s="1"/>
  <c r="I284" i="59"/>
  <c r="I283" i="59" s="1"/>
  <c r="H284" i="59"/>
  <c r="H283" i="59" s="1"/>
  <c r="G284" i="59"/>
  <c r="E284" i="59"/>
  <c r="E283" i="59" s="1"/>
  <c r="D284" i="59"/>
  <c r="D283" i="59" s="1"/>
  <c r="O283" i="59"/>
  <c r="K283" i="59"/>
  <c r="G283" i="59"/>
  <c r="O282" i="59"/>
  <c r="O281" i="59" s="1"/>
  <c r="L282" i="59"/>
  <c r="L281" i="59" s="1"/>
  <c r="I282" i="59"/>
  <c r="F282" i="59"/>
  <c r="F281" i="59" s="1"/>
  <c r="N281" i="59"/>
  <c r="M281" i="59"/>
  <c r="K281" i="59"/>
  <c r="J281" i="59"/>
  <c r="I281" i="59"/>
  <c r="H281" i="59"/>
  <c r="G281" i="59"/>
  <c r="E281" i="59"/>
  <c r="D281" i="59"/>
  <c r="O280" i="59"/>
  <c r="L280" i="59"/>
  <c r="I280" i="59"/>
  <c r="F280" i="59"/>
  <c r="O279" i="59"/>
  <c r="L279" i="59"/>
  <c r="I279" i="59"/>
  <c r="F279" i="59"/>
  <c r="O278" i="59"/>
  <c r="L278" i="59"/>
  <c r="I278" i="59"/>
  <c r="F278" i="59"/>
  <c r="O277" i="59"/>
  <c r="L277" i="59"/>
  <c r="I277" i="59"/>
  <c r="I276" i="59" s="1"/>
  <c r="F277" i="59"/>
  <c r="N276" i="59"/>
  <c r="M276" i="59"/>
  <c r="K276" i="59"/>
  <c r="J276" i="59"/>
  <c r="H276" i="59"/>
  <c r="G276" i="59"/>
  <c r="F276" i="59"/>
  <c r="E276" i="59"/>
  <c r="D276" i="59"/>
  <c r="D270" i="59" s="1"/>
  <c r="D269" i="59" s="1"/>
  <c r="O275" i="59"/>
  <c r="L275" i="59"/>
  <c r="I275" i="59"/>
  <c r="F275" i="59"/>
  <c r="C275" i="59" s="1"/>
  <c r="O274" i="59"/>
  <c r="L274" i="59"/>
  <c r="I274" i="59"/>
  <c r="F274" i="59"/>
  <c r="O273" i="59"/>
  <c r="L273" i="59"/>
  <c r="L272" i="59" s="1"/>
  <c r="I273" i="59"/>
  <c r="I272" i="59" s="1"/>
  <c r="F273" i="59"/>
  <c r="N272" i="59"/>
  <c r="M272" i="59"/>
  <c r="M270" i="59" s="1"/>
  <c r="K272" i="59"/>
  <c r="J272" i="59"/>
  <c r="H272" i="59"/>
  <c r="G272" i="59"/>
  <c r="G270" i="59" s="1"/>
  <c r="G269" i="59" s="1"/>
  <c r="E272" i="59"/>
  <c r="D272" i="59"/>
  <c r="O271" i="59"/>
  <c r="L271" i="59"/>
  <c r="I271" i="59"/>
  <c r="F271" i="59"/>
  <c r="K270" i="59"/>
  <c r="H270" i="59"/>
  <c r="H269" i="59" s="1"/>
  <c r="M269" i="59"/>
  <c r="O268" i="59"/>
  <c r="L268" i="59"/>
  <c r="I268" i="59"/>
  <c r="F268" i="59"/>
  <c r="O267" i="59"/>
  <c r="L267" i="59"/>
  <c r="I267" i="59"/>
  <c r="F267" i="59"/>
  <c r="O266" i="59"/>
  <c r="L266" i="59"/>
  <c r="I266" i="59"/>
  <c r="F266" i="59"/>
  <c r="O265" i="59"/>
  <c r="L265" i="59"/>
  <c r="I265" i="59"/>
  <c r="F265" i="59"/>
  <c r="N264" i="59"/>
  <c r="M264" i="59"/>
  <c r="K264" i="59"/>
  <c r="J264" i="59"/>
  <c r="H264" i="59"/>
  <c r="G264" i="59"/>
  <c r="F264" i="59"/>
  <c r="E264" i="59"/>
  <c r="D264" i="59"/>
  <c r="O263" i="59"/>
  <c r="L263" i="59"/>
  <c r="I263" i="59"/>
  <c r="F263" i="59"/>
  <c r="O262" i="59"/>
  <c r="L262" i="59"/>
  <c r="I262" i="59"/>
  <c r="F262" i="59"/>
  <c r="O261" i="59"/>
  <c r="L261" i="59"/>
  <c r="I261" i="59"/>
  <c r="I260" i="59" s="1"/>
  <c r="F261" i="59"/>
  <c r="N260" i="59"/>
  <c r="M260" i="59"/>
  <c r="M259" i="59" s="1"/>
  <c r="K260" i="59"/>
  <c r="J260" i="59"/>
  <c r="H260" i="59"/>
  <c r="H259" i="59" s="1"/>
  <c r="G260" i="59"/>
  <c r="G259" i="59" s="1"/>
  <c r="F260" i="59"/>
  <c r="E260" i="59"/>
  <c r="E259" i="59" s="1"/>
  <c r="D260" i="59"/>
  <c r="D259" i="59" s="1"/>
  <c r="N259" i="59"/>
  <c r="O258" i="59"/>
  <c r="L258" i="59"/>
  <c r="I258" i="59"/>
  <c r="F258" i="59"/>
  <c r="O257" i="59"/>
  <c r="L257" i="59"/>
  <c r="I257" i="59"/>
  <c r="F257" i="59"/>
  <c r="O256" i="59"/>
  <c r="L256" i="59"/>
  <c r="I256" i="59"/>
  <c r="F256" i="59"/>
  <c r="O255" i="59"/>
  <c r="L255" i="59"/>
  <c r="I255" i="59"/>
  <c r="F255" i="59"/>
  <c r="O254" i="59"/>
  <c r="L254" i="59"/>
  <c r="I254" i="59"/>
  <c r="F254" i="59"/>
  <c r="O253" i="59"/>
  <c r="L253" i="59"/>
  <c r="I253" i="59"/>
  <c r="I252" i="59" s="1"/>
  <c r="F253" i="59"/>
  <c r="N252" i="59"/>
  <c r="M252" i="59"/>
  <c r="M251" i="59" s="1"/>
  <c r="K252" i="59"/>
  <c r="J252" i="59"/>
  <c r="H252" i="59"/>
  <c r="H251" i="59" s="1"/>
  <c r="G252" i="59"/>
  <c r="G251" i="59" s="1"/>
  <c r="E252" i="59"/>
  <c r="E251" i="59" s="1"/>
  <c r="D252" i="59"/>
  <c r="N251" i="59"/>
  <c r="K251" i="59"/>
  <c r="J251" i="59"/>
  <c r="D251" i="59"/>
  <c r="O250" i="59"/>
  <c r="L250" i="59"/>
  <c r="I250" i="59"/>
  <c r="F250" i="59"/>
  <c r="O249" i="59"/>
  <c r="L249" i="59"/>
  <c r="I249" i="59"/>
  <c r="F249" i="59"/>
  <c r="O248" i="59"/>
  <c r="L248" i="59"/>
  <c r="I248" i="59"/>
  <c r="F248" i="59"/>
  <c r="O247" i="59"/>
  <c r="L247" i="59"/>
  <c r="I247" i="59"/>
  <c r="F247" i="59"/>
  <c r="O246" i="59"/>
  <c r="N246" i="59"/>
  <c r="M246" i="59"/>
  <c r="K246" i="59"/>
  <c r="J246" i="59"/>
  <c r="H246" i="59"/>
  <c r="G246" i="59"/>
  <c r="E246" i="59"/>
  <c r="D246" i="59"/>
  <c r="O245" i="59"/>
  <c r="L245" i="59"/>
  <c r="I245" i="59"/>
  <c r="F245" i="59"/>
  <c r="O244" i="59"/>
  <c r="L244" i="59"/>
  <c r="I244" i="59"/>
  <c r="F244" i="59"/>
  <c r="O243" i="59"/>
  <c r="L243" i="59"/>
  <c r="I243" i="59"/>
  <c r="F243" i="59"/>
  <c r="O242" i="59"/>
  <c r="L242" i="59"/>
  <c r="I242" i="59"/>
  <c r="F242" i="59"/>
  <c r="C242" i="59" s="1"/>
  <c r="O241" i="59"/>
  <c r="L241" i="59"/>
  <c r="I241" i="59"/>
  <c r="F241" i="59"/>
  <c r="O240" i="59"/>
  <c r="L240" i="59"/>
  <c r="I240" i="59"/>
  <c r="F240" i="59"/>
  <c r="O239" i="59"/>
  <c r="L239" i="59"/>
  <c r="I239" i="59"/>
  <c r="F239" i="59"/>
  <c r="N238" i="59"/>
  <c r="M238" i="59"/>
  <c r="K238" i="59"/>
  <c r="J238" i="59"/>
  <c r="H238" i="59"/>
  <c r="G238" i="59"/>
  <c r="E238" i="59"/>
  <c r="D238" i="59"/>
  <c r="O237" i="59"/>
  <c r="L237" i="59"/>
  <c r="I237" i="59"/>
  <c r="F237" i="59"/>
  <c r="O236" i="59"/>
  <c r="L236" i="59"/>
  <c r="L235" i="59" s="1"/>
  <c r="I236" i="59"/>
  <c r="F236" i="59"/>
  <c r="O235" i="59"/>
  <c r="N235" i="59"/>
  <c r="M235" i="59"/>
  <c r="K235" i="59"/>
  <c r="J235" i="59"/>
  <c r="H235" i="59"/>
  <c r="G235" i="59"/>
  <c r="F235" i="59"/>
  <c r="E235" i="59"/>
  <c r="D235" i="59"/>
  <c r="O234" i="59"/>
  <c r="O233" i="59" s="1"/>
  <c r="L234" i="59"/>
  <c r="L233" i="59" s="1"/>
  <c r="I234" i="59"/>
  <c r="C234" i="59" s="1"/>
  <c r="F234" i="59"/>
  <c r="F233" i="59" s="1"/>
  <c r="N233" i="59"/>
  <c r="N231" i="59" s="1"/>
  <c r="M233" i="59"/>
  <c r="K233" i="59"/>
  <c r="J233" i="59"/>
  <c r="I233" i="59"/>
  <c r="H233" i="59"/>
  <c r="G233" i="59"/>
  <c r="E233" i="59"/>
  <c r="D233" i="59"/>
  <c r="O232" i="59"/>
  <c r="L232" i="59"/>
  <c r="I232" i="59"/>
  <c r="F232" i="59"/>
  <c r="O229" i="59"/>
  <c r="L229" i="59"/>
  <c r="I229" i="59"/>
  <c r="F229" i="59"/>
  <c r="O228" i="59"/>
  <c r="L228" i="59"/>
  <c r="L227" i="59" s="1"/>
  <c r="I228" i="59"/>
  <c r="F228" i="59"/>
  <c r="O227" i="59"/>
  <c r="N227" i="59"/>
  <c r="M227" i="59"/>
  <c r="K227" i="59"/>
  <c r="J227" i="59"/>
  <c r="H227" i="59"/>
  <c r="G227" i="59"/>
  <c r="F227" i="59"/>
  <c r="E227" i="59"/>
  <c r="D227" i="59"/>
  <c r="O226" i="59"/>
  <c r="L226" i="59"/>
  <c r="I226" i="59"/>
  <c r="F226" i="59"/>
  <c r="C226" i="59" s="1"/>
  <c r="O225" i="59"/>
  <c r="L225" i="59"/>
  <c r="I225" i="59"/>
  <c r="F225" i="59"/>
  <c r="O224" i="59"/>
  <c r="L224" i="59"/>
  <c r="I224" i="59"/>
  <c r="F224" i="59"/>
  <c r="O223" i="59"/>
  <c r="L223" i="59"/>
  <c r="I223" i="59"/>
  <c r="D223" i="59"/>
  <c r="O222" i="59"/>
  <c r="L222" i="59"/>
  <c r="I222" i="59"/>
  <c r="F222" i="59"/>
  <c r="O221" i="59"/>
  <c r="L221" i="59"/>
  <c r="I221" i="59"/>
  <c r="F221" i="59"/>
  <c r="O220" i="59"/>
  <c r="L220" i="59"/>
  <c r="I220" i="59"/>
  <c r="F220" i="59"/>
  <c r="C220" i="59" s="1"/>
  <c r="O219" i="59"/>
  <c r="L219" i="59"/>
  <c r="I219" i="59"/>
  <c r="F219" i="59"/>
  <c r="O218" i="59"/>
  <c r="L218" i="59"/>
  <c r="I218" i="59"/>
  <c r="F218" i="59"/>
  <c r="O217" i="59"/>
  <c r="L217" i="59"/>
  <c r="I217" i="59"/>
  <c r="F217" i="59"/>
  <c r="N216" i="59"/>
  <c r="M216" i="59"/>
  <c r="K216" i="59"/>
  <c r="J216" i="59"/>
  <c r="H216" i="59"/>
  <c r="G216" i="59"/>
  <c r="E216" i="59"/>
  <c r="O215" i="59"/>
  <c r="L215" i="59"/>
  <c r="I215" i="59"/>
  <c r="F215" i="59"/>
  <c r="O214" i="59"/>
  <c r="L214" i="59"/>
  <c r="I214" i="59"/>
  <c r="F214" i="59"/>
  <c r="O213" i="59"/>
  <c r="L213" i="59"/>
  <c r="I213" i="59"/>
  <c r="F213" i="59"/>
  <c r="O212" i="59"/>
  <c r="L212" i="59"/>
  <c r="I212" i="59"/>
  <c r="F212" i="59"/>
  <c r="O211" i="59"/>
  <c r="L211" i="59"/>
  <c r="I211" i="59"/>
  <c r="F211" i="59"/>
  <c r="O210" i="59"/>
  <c r="L210" i="59"/>
  <c r="I210" i="59"/>
  <c r="F210" i="59"/>
  <c r="O209" i="59"/>
  <c r="L209" i="59"/>
  <c r="I209" i="59"/>
  <c r="F209" i="59"/>
  <c r="O208" i="59"/>
  <c r="C208" i="59" s="1"/>
  <c r="L208" i="59"/>
  <c r="I208" i="59"/>
  <c r="F208" i="59"/>
  <c r="O207" i="59"/>
  <c r="L207" i="59"/>
  <c r="I207" i="59"/>
  <c r="F207" i="59"/>
  <c r="O206" i="59"/>
  <c r="L206" i="59"/>
  <c r="I206" i="59"/>
  <c r="F206" i="59"/>
  <c r="N205" i="59"/>
  <c r="M205" i="59"/>
  <c r="M204" i="59" s="1"/>
  <c r="K205" i="59"/>
  <c r="J205" i="59"/>
  <c r="H205" i="59"/>
  <c r="G205" i="59"/>
  <c r="E205" i="59"/>
  <c r="D205" i="59"/>
  <c r="H204" i="59"/>
  <c r="G204" i="59"/>
  <c r="O203" i="59"/>
  <c r="L203" i="59"/>
  <c r="I203" i="59"/>
  <c r="F203" i="59"/>
  <c r="O202" i="59"/>
  <c r="L202" i="59"/>
  <c r="I202" i="59"/>
  <c r="F202" i="59"/>
  <c r="O201" i="59"/>
  <c r="L201" i="59"/>
  <c r="I201" i="59"/>
  <c r="C201" i="59" s="1"/>
  <c r="F201" i="59"/>
  <c r="O200" i="59"/>
  <c r="L200" i="59"/>
  <c r="I200" i="59"/>
  <c r="F200" i="59"/>
  <c r="O199" i="59"/>
  <c r="L199" i="59"/>
  <c r="L198" i="59" s="1"/>
  <c r="I199" i="59"/>
  <c r="I198" i="59" s="1"/>
  <c r="F199" i="59"/>
  <c r="N198" i="59"/>
  <c r="M198" i="59"/>
  <c r="M196" i="59" s="1"/>
  <c r="M195" i="59" s="1"/>
  <c r="K198" i="59"/>
  <c r="J198" i="59"/>
  <c r="H198" i="59"/>
  <c r="H196" i="59" s="1"/>
  <c r="G198" i="59"/>
  <c r="G196" i="59" s="1"/>
  <c r="G195" i="59" s="1"/>
  <c r="E198" i="59"/>
  <c r="E196" i="59" s="1"/>
  <c r="D198" i="59"/>
  <c r="D196" i="59" s="1"/>
  <c r="O197" i="59"/>
  <c r="L197" i="59"/>
  <c r="I197" i="59"/>
  <c r="F197" i="59"/>
  <c r="N196" i="59"/>
  <c r="K196" i="59"/>
  <c r="J196" i="59"/>
  <c r="O193" i="59"/>
  <c r="O192" i="59" s="1"/>
  <c r="O191" i="59" s="1"/>
  <c r="L193" i="59"/>
  <c r="L192" i="59" s="1"/>
  <c r="L191" i="59" s="1"/>
  <c r="I193" i="59"/>
  <c r="I192" i="59" s="1"/>
  <c r="I191" i="59" s="1"/>
  <c r="F193" i="59"/>
  <c r="F192" i="59" s="1"/>
  <c r="N192" i="59"/>
  <c r="M192" i="59"/>
  <c r="M191" i="59" s="1"/>
  <c r="K192" i="59"/>
  <c r="K191" i="59" s="1"/>
  <c r="J192" i="59"/>
  <c r="H192" i="59"/>
  <c r="H191" i="59" s="1"/>
  <c r="G192" i="59"/>
  <c r="G191" i="59" s="1"/>
  <c r="E192" i="59"/>
  <c r="E191" i="59" s="1"/>
  <c r="D192" i="59"/>
  <c r="D191" i="59" s="1"/>
  <c r="N191" i="59"/>
  <c r="J191" i="59"/>
  <c r="F191" i="59"/>
  <c r="O190" i="59"/>
  <c r="L190" i="59"/>
  <c r="I190" i="59"/>
  <c r="F190" i="59"/>
  <c r="O189" i="59"/>
  <c r="O188" i="59" s="1"/>
  <c r="O187" i="59" s="1"/>
  <c r="L189" i="59"/>
  <c r="I189" i="59"/>
  <c r="I188" i="59" s="1"/>
  <c r="F189" i="59"/>
  <c r="F188" i="59" s="1"/>
  <c r="F187" i="59" s="1"/>
  <c r="N188" i="59"/>
  <c r="M188" i="59"/>
  <c r="K188" i="59"/>
  <c r="K187" i="59" s="1"/>
  <c r="J188" i="59"/>
  <c r="H188" i="59"/>
  <c r="H187" i="59" s="1"/>
  <c r="G188" i="59"/>
  <c r="G187" i="59" s="1"/>
  <c r="E188" i="59"/>
  <c r="D188" i="59"/>
  <c r="N187" i="59"/>
  <c r="M187" i="59"/>
  <c r="E187" i="59"/>
  <c r="O186" i="59"/>
  <c r="L186" i="59"/>
  <c r="I186" i="59"/>
  <c r="F186" i="59"/>
  <c r="O185" i="59"/>
  <c r="L185" i="59"/>
  <c r="I185" i="59"/>
  <c r="I184" i="59" s="1"/>
  <c r="F185" i="59"/>
  <c r="N184" i="59"/>
  <c r="M184" i="59"/>
  <c r="K184" i="59"/>
  <c r="J184" i="59"/>
  <c r="H184" i="59"/>
  <c r="G184" i="59"/>
  <c r="E184" i="59"/>
  <c r="D184" i="59"/>
  <c r="O183" i="59"/>
  <c r="L183" i="59"/>
  <c r="I183" i="59"/>
  <c r="F183" i="59"/>
  <c r="O182" i="59"/>
  <c r="L182" i="59"/>
  <c r="I182" i="59"/>
  <c r="F182" i="59"/>
  <c r="O181" i="59"/>
  <c r="L181" i="59"/>
  <c r="I181" i="59"/>
  <c r="F181" i="59"/>
  <c r="O180" i="59"/>
  <c r="O179" i="59" s="1"/>
  <c r="L180" i="59"/>
  <c r="I180" i="59"/>
  <c r="F180" i="59"/>
  <c r="F179" i="59" s="1"/>
  <c r="N179" i="59"/>
  <c r="M179" i="59"/>
  <c r="K179" i="59"/>
  <c r="J179" i="59"/>
  <c r="H179" i="59"/>
  <c r="G179" i="59"/>
  <c r="E179" i="59"/>
  <c r="D179" i="59"/>
  <c r="O178" i="59"/>
  <c r="L178" i="59"/>
  <c r="I178" i="59"/>
  <c r="F178" i="59"/>
  <c r="O177" i="59"/>
  <c r="L177" i="59"/>
  <c r="I177" i="59"/>
  <c r="F177" i="59"/>
  <c r="O176" i="59"/>
  <c r="L176" i="59"/>
  <c r="I176" i="59"/>
  <c r="I175" i="59" s="1"/>
  <c r="F176" i="59"/>
  <c r="N175" i="59"/>
  <c r="N174" i="59" s="1"/>
  <c r="N173" i="59" s="1"/>
  <c r="M175" i="59"/>
  <c r="K175" i="59"/>
  <c r="J175" i="59"/>
  <c r="J174" i="59" s="1"/>
  <c r="J173" i="59" s="1"/>
  <c r="H175" i="59"/>
  <c r="G175" i="59"/>
  <c r="E175" i="59"/>
  <c r="E174" i="59" s="1"/>
  <c r="D175" i="59"/>
  <c r="K174" i="59"/>
  <c r="K173" i="59"/>
  <c r="O172" i="59"/>
  <c r="L172" i="59"/>
  <c r="I172" i="59"/>
  <c r="F172" i="59"/>
  <c r="O171" i="59"/>
  <c r="L171" i="59"/>
  <c r="I171" i="59"/>
  <c r="F171" i="59"/>
  <c r="O170" i="59"/>
  <c r="L170" i="59"/>
  <c r="I170" i="59"/>
  <c r="F170" i="59"/>
  <c r="O169" i="59"/>
  <c r="L169" i="59"/>
  <c r="I169" i="59"/>
  <c r="F169" i="59"/>
  <c r="C169" i="59" s="1"/>
  <c r="O168" i="59"/>
  <c r="L168" i="59"/>
  <c r="I168" i="59"/>
  <c r="F168" i="59"/>
  <c r="O167" i="59"/>
  <c r="L167" i="59"/>
  <c r="I167" i="59"/>
  <c r="F167" i="59"/>
  <c r="F166" i="59" s="1"/>
  <c r="N166" i="59"/>
  <c r="M166" i="59"/>
  <c r="M165" i="59" s="1"/>
  <c r="K166" i="59"/>
  <c r="K165" i="59" s="1"/>
  <c r="J166" i="59"/>
  <c r="J165" i="59" s="1"/>
  <c r="H166" i="59"/>
  <c r="G166" i="59"/>
  <c r="G165" i="59" s="1"/>
  <c r="E166" i="59"/>
  <c r="E165" i="59" s="1"/>
  <c r="D166" i="59"/>
  <c r="D165" i="59" s="1"/>
  <c r="N165" i="59"/>
  <c r="H165" i="59"/>
  <c r="O164" i="59"/>
  <c r="L164" i="59"/>
  <c r="I164" i="59"/>
  <c r="F164" i="59"/>
  <c r="O163" i="59"/>
  <c r="L163" i="59"/>
  <c r="I163" i="59"/>
  <c r="F163" i="59"/>
  <c r="O162" i="59"/>
  <c r="L162" i="59"/>
  <c r="I162" i="59"/>
  <c r="F162" i="59"/>
  <c r="O161" i="59"/>
  <c r="L161" i="59"/>
  <c r="L160" i="59" s="1"/>
  <c r="I161" i="59"/>
  <c r="I160" i="59" s="1"/>
  <c r="F161" i="59"/>
  <c r="O160" i="59"/>
  <c r="N160" i="59"/>
  <c r="M160" i="59"/>
  <c r="K160" i="59"/>
  <c r="J160" i="59"/>
  <c r="H160" i="59"/>
  <c r="G160" i="59"/>
  <c r="F160" i="59"/>
  <c r="E160" i="59"/>
  <c r="D160" i="59"/>
  <c r="O159" i="59"/>
  <c r="L159" i="59"/>
  <c r="I159" i="59"/>
  <c r="F159" i="59"/>
  <c r="C159" i="59"/>
  <c r="O158" i="59"/>
  <c r="L158" i="59"/>
  <c r="I158" i="59"/>
  <c r="F158" i="59"/>
  <c r="C158" i="59" s="1"/>
  <c r="O157" i="59"/>
  <c r="L157" i="59"/>
  <c r="I157" i="59"/>
  <c r="F157" i="59"/>
  <c r="C157" i="59" s="1"/>
  <c r="O156" i="59"/>
  <c r="L156" i="59"/>
  <c r="I156" i="59"/>
  <c r="F156" i="59"/>
  <c r="O155" i="59"/>
  <c r="L155" i="59"/>
  <c r="I155" i="59"/>
  <c r="F155" i="59"/>
  <c r="C155" i="59" s="1"/>
  <c r="O154" i="59"/>
  <c r="L154" i="59"/>
  <c r="I154" i="59"/>
  <c r="F154" i="59"/>
  <c r="O153" i="59"/>
  <c r="L153" i="59"/>
  <c r="I153" i="59"/>
  <c r="F153" i="59"/>
  <c r="O152" i="59"/>
  <c r="L152" i="59"/>
  <c r="I152" i="59"/>
  <c r="I151" i="59" s="1"/>
  <c r="F152" i="59"/>
  <c r="N151" i="59"/>
  <c r="M151" i="59"/>
  <c r="K151" i="59"/>
  <c r="J151" i="59"/>
  <c r="H151" i="59"/>
  <c r="G151" i="59"/>
  <c r="E151" i="59"/>
  <c r="D151" i="59"/>
  <c r="O150" i="59"/>
  <c r="L150" i="59"/>
  <c r="I150" i="59"/>
  <c r="F150" i="59"/>
  <c r="O149" i="59"/>
  <c r="L149" i="59"/>
  <c r="I149" i="59"/>
  <c r="F149" i="59"/>
  <c r="D149" i="59"/>
  <c r="O148" i="59"/>
  <c r="L148" i="59"/>
  <c r="I148" i="59"/>
  <c r="F148" i="59"/>
  <c r="O147" i="59"/>
  <c r="L147" i="59"/>
  <c r="I147" i="59"/>
  <c r="F147" i="59"/>
  <c r="O146" i="59"/>
  <c r="L146" i="59"/>
  <c r="I146" i="59"/>
  <c r="F146" i="59"/>
  <c r="O145" i="59"/>
  <c r="L145" i="59"/>
  <c r="I145" i="59"/>
  <c r="F145" i="59"/>
  <c r="N144" i="59"/>
  <c r="M144" i="59"/>
  <c r="K144" i="59"/>
  <c r="J144" i="59"/>
  <c r="H144" i="59"/>
  <c r="G144" i="59"/>
  <c r="E144" i="59"/>
  <c r="D144" i="59"/>
  <c r="O143" i="59"/>
  <c r="L143" i="59"/>
  <c r="I143" i="59"/>
  <c r="F143" i="59"/>
  <c r="O142" i="59"/>
  <c r="L142" i="59"/>
  <c r="L141" i="59" s="1"/>
  <c r="I142" i="59"/>
  <c r="I141" i="59" s="1"/>
  <c r="F142" i="59"/>
  <c r="O141" i="59"/>
  <c r="N141" i="59"/>
  <c r="M141" i="59"/>
  <c r="K141" i="59"/>
  <c r="J141" i="59"/>
  <c r="H141" i="59"/>
  <c r="G141" i="59"/>
  <c r="F141" i="59"/>
  <c r="E141" i="59"/>
  <c r="D141" i="59"/>
  <c r="O140" i="59"/>
  <c r="L140" i="59"/>
  <c r="I140" i="59"/>
  <c r="F140" i="59"/>
  <c r="O139" i="59"/>
  <c r="L139" i="59"/>
  <c r="I139" i="59"/>
  <c r="F139" i="59"/>
  <c r="O138" i="59"/>
  <c r="L138" i="59"/>
  <c r="I138" i="59"/>
  <c r="F138" i="59"/>
  <c r="O137" i="59"/>
  <c r="L137" i="59"/>
  <c r="I137" i="59"/>
  <c r="F137" i="59"/>
  <c r="O136" i="59"/>
  <c r="N136" i="59"/>
  <c r="M136" i="59"/>
  <c r="K136" i="59"/>
  <c r="J136" i="59"/>
  <c r="H136" i="59"/>
  <c r="G136" i="59"/>
  <c r="E136" i="59"/>
  <c r="D136" i="59"/>
  <c r="O135" i="59"/>
  <c r="L135" i="59"/>
  <c r="I135" i="59"/>
  <c r="F135" i="59"/>
  <c r="O134" i="59"/>
  <c r="L134" i="59"/>
  <c r="I134" i="59"/>
  <c r="F134" i="59"/>
  <c r="O133" i="59"/>
  <c r="L133" i="59"/>
  <c r="I133" i="59"/>
  <c r="D133" i="59"/>
  <c r="D131" i="59" s="1"/>
  <c r="O132" i="59"/>
  <c r="O131" i="59" s="1"/>
  <c r="L132" i="59"/>
  <c r="I132" i="59"/>
  <c r="I131" i="59" s="1"/>
  <c r="F132" i="59"/>
  <c r="N131" i="59"/>
  <c r="M131" i="59"/>
  <c r="K131" i="59"/>
  <c r="J131" i="59"/>
  <c r="H131" i="59"/>
  <c r="H130" i="59" s="1"/>
  <c r="G131" i="59"/>
  <c r="E131" i="59"/>
  <c r="O129" i="59"/>
  <c r="O128" i="59" s="1"/>
  <c r="L129" i="59"/>
  <c r="L128" i="59" s="1"/>
  <c r="I129" i="59"/>
  <c r="F129" i="59"/>
  <c r="F128" i="59" s="1"/>
  <c r="N128" i="59"/>
  <c r="M128" i="59"/>
  <c r="K128" i="59"/>
  <c r="J128" i="59"/>
  <c r="I128" i="59"/>
  <c r="H128" i="59"/>
  <c r="G128" i="59"/>
  <c r="E128" i="59"/>
  <c r="D128" i="59"/>
  <c r="O127" i="59"/>
  <c r="L127" i="59"/>
  <c r="I127" i="59"/>
  <c r="F127" i="59"/>
  <c r="O126" i="59"/>
  <c r="L126" i="59"/>
  <c r="I126" i="59"/>
  <c r="F126" i="59"/>
  <c r="O125" i="59"/>
  <c r="L125" i="59"/>
  <c r="I125" i="59"/>
  <c r="F125" i="59"/>
  <c r="O124" i="59"/>
  <c r="L124" i="59"/>
  <c r="I124" i="59"/>
  <c r="F124" i="59"/>
  <c r="O123" i="59"/>
  <c r="L123" i="59"/>
  <c r="I123" i="59"/>
  <c r="F123" i="59"/>
  <c r="N122" i="59"/>
  <c r="M122" i="59"/>
  <c r="K122" i="59"/>
  <c r="J122" i="59"/>
  <c r="H122" i="59"/>
  <c r="G122" i="59"/>
  <c r="E122" i="59"/>
  <c r="D122" i="59"/>
  <c r="O121" i="59"/>
  <c r="L121" i="59"/>
  <c r="I121" i="59"/>
  <c r="F121" i="59"/>
  <c r="C121" i="59" s="1"/>
  <c r="O120" i="59"/>
  <c r="L120" i="59"/>
  <c r="I120" i="59"/>
  <c r="F120" i="59"/>
  <c r="O119" i="59"/>
  <c r="L119" i="59"/>
  <c r="I119" i="59"/>
  <c r="F119" i="59"/>
  <c r="O118" i="59"/>
  <c r="L118" i="59"/>
  <c r="I118" i="59"/>
  <c r="F118" i="59"/>
  <c r="O117" i="59"/>
  <c r="L117" i="59"/>
  <c r="I117" i="59"/>
  <c r="F117" i="59"/>
  <c r="C117" i="59" s="1"/>
  <c r="N116" i="59"/>
  <c r="M116" i="59"/>
  <c r="K116" i="59"/>
  <c r="J116" i="59"/>
  <c r="H116" i="59"/>
  <c r="G116" i="59"/>
  <c r="E116" i="59"/>
  <c r="D116" i="59"/>
  <c r="O115" i="59"/>
  <c r="L115" i="59"/>
  <c r="I115" i="59"/>
  <c r="F115" i="59"/>
  <c r="O114" i="59"/>
  <c r="L114" i="59"/>
  <c r="I114" i="59"/>
  <c r="F114" i="59"/>
  <c r="O113" i="59"/>
  <c r="O112" i="59" s="1"/>
  <c r="L113" i="59"/>
  <c r="I113" i="59"/>
  <c r="F113" i="59"/>
  <c r="F112" i="59" s="1"/>
  <c r="N112" i="59"/>
  <c r="M112" i="59"/>
  <c r="L112" i="59"/>
  <c r="K112" i="59"/>
  <c r="J112" i="59"/>
  <c r="H112" i="59"/>
  <c r="G112" i="59"/>
  <c r="E112" i="59"/>
  <c r="D112" i="59"/>
  <c r="O111" i="59"/>
  <c r="L111" i="59"/>
  <c r="I111" i="59"/>
  <c r="F111" i="59"/>
  <c r="O110" i="59"/>
  <c r="L110" i="59"/>
  <c r="C110" i="59" s="1"/>
  <c r="I110" i="59"/>
  <c r="F110" i="59"/>
  <c r="O109" i="59"/>
  <c r="L109" i="59"/>
  <c r="I109" i="59"/>
  <c r="F109" i="59"/>
  <c r="O108" i="59"/>
  <c r="L108" i="59"/>
  <c r="I108" i="59"/>
  <c r="F108" i="59"/>
  <c r="O107" i="59"/>
  <c r="L107" i="59"/>
  <c r="I107" i="59"/>
  <c r="F107" i="59"/>
  <c r="O106" i="59"/>
  <c r="L106" i="59"/>
  <c r="I106" i="59"/>
  <c r="F106" i="59"/>
  <c r="O105" i="59"/>
  <c r="L105" i="59"/>
  <c r="I105" i="59"/>
  <c r="F105" i="59"/>
  <c r="O104" i="59"/>
  <c r="L104" i="59"/>
  <c r="I104" i="59"/>
  <c r="F104" i="59"/>
  <c r="N103" i="59"/>
  <c r="M103" i="59"/>
  <c r="K103" i="59"/>
  <c r="J103" i="59"/>
  <c r="I103" i="59"/>
  <c r="H103" i="59"/>
  <c r="G103" i="59"/>
  <c r="E103" i="59"/>
  <c r="D103" i="59"/>
  <c r="O102" i="59"/>
  <c r="L102" i="59"/>
  <c r="I102" i="59"/>
  <c r="F102" i="59"/>
  <c r="O101" i="59"/>
  <c r="L101" i="59"/>
  <c r="I101" i="59"/>
  <c r="F101" i="59"/>
  <c r="O100" i="59"/>
  <c r="L100" i="59"/>
  <c r="I100" i="59"/>
  <c r="F100" i="59"/>
  <c r="O99" i="59"/>
  <c r="L99" i="59"/>
  <c r="I99" i="59"/>
  <c r="F99" i="59"/>
  <c r="O98" i="59"/>
  <c r="L98" i="59"/>
  <c r="I98" i="59"/>
  <c r="F98" i="59"/>
  <c r="O97" i="59"/>
  <c r="L97" i="59"/>
  <c r="I97" i="59"/>
  <c r="F97" i="59"/>
  <c r="O96" i="59"/>
  <c r="O95" i="59" s="1"/>
  <c r="L96" i="59"/>
  <c r="I96" i="59"/>
  <c r="F96" i="59"/>
  <c r="N95" i="59"/>
  <c r="M95" i="59"/>
  <c r="K95" i="59"/>
  <c r="J95" i="59"/>
  <c r="H95" i="59"/>
  <c r="G95" i="59"/>
  <c r="E95" i="59"/>
  <c r="D95" i="59"/>
  <c r="O94" i="59"/>
  <c r="L94" i="59"/>
  <c r="I94" i="59"/>
  <c r="F94" i="59"/>
  <c r="O93" i="59"/>
  <c r="O89" i="59" s="1"/>
  <c r="L93" i="59"/>
  <c r="I93" i="59"/>
  <c r="F93" i="59"/>
  <c r="C93" i="59"/>
  <c r="O92" i="59"/>
  <c r="L92" i="59"/>
  <c r="I92" i="59"/>
  <c r="F92" i="59"/>
  <c r="O91" i="59"/>
  <c r="L91" i="59"/>
  <c r="I91" i="59"/>
  <c r="F91" i="59"/>
  <c r="C91" i="59" s="1"/>
  <c r="O90" i="59"/>
  <c r="L90" i="59"/>
  <c r="I90" i="59"/>
  <c r="F90" i="59"/>
  <c r="N89" i="59"/>
  <c r="M89" i="59"/>
  <c r="K89" i="59"/>
  <c r="J89" i="59"/>
  <c r="H89" i="59"/>
  <c r="G89" i="59"/>
  <c r="E89" i="59"/>
  <c r="D89" i="59"/>
  <c r="O88" i="59"/>
  <c r="L88" i="59"/>
  <c r="I88" i="59"/>
  <c r="F88" i="59"/>
  <c r="C88" i="59" s="1"/>
  <c r="O87" i="59"/>
  <c r="L87" i="59"/>
  <c r="I87" i="59"/>
  <c r="F87" i="59"/>
  <c r="O86" i="59"/>
  <c r="L86" i="59"/>
  <c r="I86" i="59"/>
  <c r="F86" i="59"/>
  <c r="O85" i="59"/>
  <c r="O84" i="59" s="1"/>
  <c r="L85" i="59"/>
  <c r="I85" i="59"/>
  <c r="F85" i="59"/>
  <c r="F84" i="59" s="1"/>
  <c r="N84" i="59"/>
  <c r="M84" i="59"/>
  <c r="K84" i="59"/>
  <c r="J84" i="59"/>
  <c r="H84" i="59"/>
  <c r="G84" i="59"/>
  <c r="E84" i="59"/>
  <c r="E83" i="59" s="1"/>
  <c r="D84" i="59"/>
  <c r="O82" i="59"/>
  <c r="L82" i="59"/>
  <c r="I82" i="59"/>
  <c r="F82" i="59"/>
  <c r="O81" i="59"/>
  <c r="O80" i="59" s="1"/>
  <c r="L81" i="59"/>
  <c r="L80" i="59" s="1"/>
  <c r="I81" i="59"/>
  <c r="I80" i="59" s="1"/>
  <c r="F81" i="59"/>
  <c r="F80" i="59" s="1"/>
  <c r="N80" i="59"/>
  <c r="M80" i="59"/>
  <c r="K80" i="59"/>
  <c r="J80" i="59"/>
  <c r="J76" i="59" s="1"/>
  <c r="H80" i="59"/>
  <c r="G80" i="59"/>
  <c r="E80" i="59"/>
  <c r="D80" i="59"/>
  <c r="O79" i="59"/>
  <c r="L79" i="59"/>
  <c r="I79" i="59"/>
  <c r="F79" i="59"/>
  <c r="O78" i="59"/>
  <c r="L78" i="59"/>
  <c r="I78" i="59"/>
  <c r="F78" i="59"/>
  <c r="O77" i="59"/>
  <c r="N77" i="59"/>
  <c r="M77" i="59"/>
  <c r="M76" i="59" s="1"/>
  <c r="K77" i="59"/>
  <c r="K76" i="59" s="1"/>
  <c r="J77" i="59"/>
  <c r="H77" i="59"/>
  <c r="G77" i="59"/>
  <c r="G76" i="59" s="1"/>
  <c r="F77" i="59"/>
  <c r="E77" i="59"/>
  <c r="D77" i="59"/>
  <c r="N76" i="59"/>
  <c r="D76" i="59"/>
  <c r="O74" i="59"/>
  <c r="L74" i="59"/>
  <c r="I74" i="59"/>
  <c r="F74" i="59"/>
  <c r="O73" i="59"/>
  <c r="L73" i="59"/>
  <c r="I73" i="59"/>
  <c r="F73" i="59"/>
  <c r="O72" i="59"/>
  <c r="L72" i="59"/>
  <c r="I72" i="59"/>
  <c r="F72" i="59"/>
  <c r="O71" i="59"/>
  <c r="L71" i="59"/>
  <c r="I71" i="59"/>
  <c r="F71" i="59"/>
  <c r="O70" i="59"/>
  <c r="O69" i="59" s="1"/>
  <c r="L70" i="59"/>
  <c r="I70" i="59"/>
  <c r="C70" i="59" s="1"/>
  <c r="F70" i="59"/>
  <c r="N69" i="59"/>
  <c r="M69" i="59"/>
  <c r="K69" i="59"/>
  <c r="K67" i="59" s="1"/>
  <c r="J69" i="59"/>
  <c r="H69" i="59"/>
  <c r="H67" i="59" s="1"/>
  <c r="G69" i="59"/>
  <c r="G67" i="59" s="1"/>
  <c r="E69" i="59"/>
  <c r="E67" i="59" s="1"/>
  <c r="D69" i="59"/>
  <c r="D67" i="59" s="1"/>
  <c r="O68" i="59"/>
  <c r="L68" i="59"/>
  <c r="I68" i="59"/>
  <c r="F68" i="59"/>
  <c r="N67" i="59"/>
  <c r="M67" i="59"/>
  <c r="J67" i="59"/>
  <c r="O66" i="59"/>
  <c r="L66" i="59"/>
  <c r="I66" i="59"/>
  <c r="F66" i="59"/>
  <c r="O65" i="59"/>
  <c r="L65" i="59"/>
  <c r="I65" i="59"/>
  <c r="F65" i="59"/>
  <c r="O64" i="59"/>
  <c r="L64" i="59"/>
  <c r="I64" i="59"/>
  <c r="F64" i="59"/>
  <c r="O63" i="59"/>
  <c r="L63" i="59"/>
  <c r="I63" i="59"/>
  <c r="F63" i="59"/>
  <c r="O62" i="59"/>
  <c r="L62" i="59"/>
  <c r="I62" i="59"/>
  <c r="F62" i="59"/>
  <c r="O61" i="59"/>
  <c r="L61" i="59"/>
  <c r="I61" i="59"/>
  <c r="F61" i="59"/>
  <c r="O60" i="59"/>
  <c r="L60" i="59"/>
  <c r="I60" i="59"/>
  <c r="F60" i="59"/>
  <c r="O59" i="59"/>
  <c r="L59" i="59"/>
  <c r="I59" i="59"/>
  <c r="F59" i="59"/>
  <c r="N58" i="59"/>
  <c r="M58" i="59"/>
  <c r="K58" i="59"/>
  <c r="J58" i="59"/>
  <c r="H58" i="59"/>
  <c r="G58" i="59"/>
  <c r="E58" i="59"/>
  <c r="D58" i="59"/>
  <c r="D54" i="59" s="1"/>
  <c r="D53" i="59" s="1"/>
  <c r="O57" i="59"/>
  <c r="L57" i="59"/>
  <c r="I57" i="59"/>
  <c r="F57" i="59"/>
  <c r="O56" i="59"/>
  <c r="O55" i="59" s="1"/>
  <c r="L56" i="59"/>
  <c r="L55" i="59" s="1"/>
  <c r="I56" i="59"/>
  <c r="I55" i="59" s="1"/>
  <c r="F56" i="59"/>
  <c r="F55" i="59" s="1"/>
  <c r="N55" i="59"/>
  <c r="M55" i="59"/>
  <c r="M54" i="59" s="1"/>
  <c r="K55" i="59"/>
  <c r="K54" i="59" s="1"/>
  <c r="K53" i="59" s="1"/>
  <c r="J55" i="59"/>
  <c r="H55" i="59"/>
  <c r="G55" i="59"/>
  <c r="G54" i="59" s="1"/>
  <c r="G53" i="59" s="1"/>
  <c r="E55" i="59"/>
  <c r="D55" i="59"/>
  <c r="H54" i="59"/>
  <c r="O47" i="59"/>
  <c r="C47" i="59" s="1"/>
  <c r="O46" i="59"/>
  <c r="C46" i="59"/>
  <c r="N45" i="59"/>
  <c r="M45" i="59"/>
  <c r="L44" i="59"/>
  <c r="I44" i="59"/>
  <c r="F44" i="59"/>
  <c r="F43" i="59" s="1"/>
  <c r="K43" i="59"/>
  <c r="J43" i="59"/>
  <c r="I43" i="59"/>
  <c r="H43" i="59"/>
  <c r="G43" i="59"/>
  <c r="E43" i="59"/>
  <c r="D43" i="59"/>
  <c r="F42" i="59"/>
  <c r="C42" i="59" s="1"/>
  <c r="E41" i="59"/>
  <c r="E20" i="59" s="1"/>
  <c r="D41" i="59"/>
  <c r="L40" i="59"/>
  <c r="C40" i="59" s="1"/>
  <c r="L39" i="59"/>
  <c r="C39" i="59"/>
  <c r="L38" i="59"/>
  <c r="C38" i="59" s="1"/>
  <c r="L37" i="59"/>
  <c r="C37" i="59" s="1"/>
  <c r="K36" i="59"/>
  <c r="J36" i="59"/>
  <c r="L35" i="59"/>
  <c r="C35" i="59" s="1"/>
  <c r="L34" i="59"/>
  <c r="C34" i="59"/>
  <c r="K33" i="59"/>
  <c r="J33" i="59"/>
  <c r="L32" i="59"/>
  <c r="K31" i="59"/>
  <c r="J31" i="59"/>
  <c r="J26" i="59" s="1"/>
  <c r="L30" i="59"/>
  <c r="C30" i="59" s="1"/>
  <c r="L29" i="59"/>
  <c r="C29" i="59" s="1"/>
  <c r="L28" i="59"/>
  <c r="C28" i="59" s="1"/>
  <c r="K27" i="59"/>
  <c r="J27" i="59"/>
  <c r="F25" i="59"/>
  <c r="C25" i="59" s="1"/>
  <c r="I24" i="59"/>
  <c r="D24" i="59"/>
  <c r="F24" i="59" s="1"/>
  <c r="O23" i="59"/>
  <c r="L23" i="59"/>
  <c r="I23" i="59"/>
  <c r="F23" i="59"/>
  <c r="O22" i="59"/>
  <c r="L22" i="59"/>
  <c r="I22" i="59"/>
  <c r="F22" i="59"/>
  <c r="O21" i="59"/>
  <c r="N21" i="59"/>
  <c r="M21" i="59"/>
  <c r="M292" i="59" s="1"/>
  <c r="M291" i="59" s="1"/>
  <c r="K21" i="59"/>
  <c r="J21" i="59"/>
  <c r="H21" i="59"/>
  <c r="H292" i="59" s="1"/>
  <c r="H291" i="59" s="1"/>
  <c r="G21" i="59"/>
  <c r="F21" i="59"/>
  <c r="F292" i="59" s="1"/>
  <c r="E21" i="59"/>
  <c r="E292" i="59" s="1"/>
  <c r="E291" i="59" s="1"/>
  <c r="D21" i="59"/>
  <c r="D292" i="59" s="1"/>
  <c r="M20" i="59"/>
  <c r="O301" i="58"/>
  <c r="L301" i="58"/>
  <c r="I301" i="58"/>
  <c r="F301" i="58"/>
  <c r="O300" i="58"/>
  <c r="L300" i="58"/>
  <c r="I300" i="58"/>
  <c r="F300" i="58"/>
  <c r="O299" i="58"/>
  <c r="L299" i="58"/>
  <c r="I299" i="58"/>
  <c r="F299" i="58"/>
  <c r="O298" i="58"/>
  <c r="L298" i="58"/>
  <c r="I298" i="58"/>
  <c r="F298" i="58"/>
  <c r="C298" i="58" s="1"/>
  <c r="O297" i="58"/>
  <c r="L297" i="58"/>
  <c r="I297" i="58"/>
  <c r="F297" i="58"/>
  <c r="O296" i="58"/>
  <c r="L296" i="58"/>
  <c r="I296" i="58"/>
  <c r="F296" i="58"/>
  <c r="O295" i="58"/>
  <c r="L295" i="58"/>
  <c r="I295" i="58"/>
  <c r="F295" i="58"/>
  <c r="O294" i="58"/>
  <c r="L294" i="58"/>
  <c r="L293" i="58" s="1"/>
  <c r="I294" i="58"/>
  <c r="F294" i="58"/>
  <c r="N293" i="58"/>
  <c r="M293" i="58"/>
  <c r="K293" i="58"/>
  <c r="J293" i="58"/>
  <c r="H293" i="58"/>
  <c r="G293" i="58"/>
  <c r="E293" i="58"/>
  <c r="D293" i="58"/>
  <c r="O288" i="58"/>
  <c r="L288" i="58"/>
  <c r="I288" i="58"/>
  <c r="F288" i="58"/>
  <c r="O287" i="58"/>
  <c r="L287" i="58"/>
  <c r="L286" i="58" s="1"/>
  <c r="I287" i="58"/>
  <c r="F287" i="58"/>
  <c r="F286" i="58" s="1"/>
  <c r="O286" i="58"/>
  <c r="N286" i="58"/>
  <c r="M286" i="58"/>
  <c r="K286" i="58"/>
  <c r="J286" i="58"/>
  <c r="H286" i="58"/>
  <c r="G286" i="58"/>
  <c r="E286" i="58"/>
  <c r="D286" i="58"/>
  <c r="O285" i="58"/>
  <c r="O284" i="58" s="1"/>
  <c r="O283" i="58" s="1"/>
  <c r="L285" i="58"/>
  <c r="L284" i="58" s="1"/>
  <c r="L283" i="58" s="1"/>
  <c r="I285" i="58"/>
  <c r="F285" i="58"/>
  <c r="N284" i="58"/>
  <c r="N283" i="58" s="1"/>
  <c r="M284" i="58"/>
  <c r="M283" i="58" s="1"/>
  <c r="K284" i="58"/>
  <c r="K283" i="58" s="1"/>
  <c r="J284" i="58"/>
  <c r="J283" i="58" s="1"/>
  <c r="I284" i="58"/>
  <c r="I283" i="58" s="1"/>
  <c r="H284" i="58"/>
  <c r="G284" i="58"/>
  <c r="G283" i="58" s="1"/>
  <c r="E284" i="58"/>
  <c r="E283" i="58" s="1"/>
  <c r="D284" i="58"/>
  <c r="H283" i="58"/>
  <c r="D283" i="58"/>
  <c r="O282" i="58"/>
  <c r="O281" i="58" s="1"/>
  <c r="L282" i="58"/>
  <c r="I282" i="58"/>
  <c r="I281" i="58" s="1"/>
  <c r="F282" i="58"/>
  <c r="C282" i="58" s="1"/>
  <c r="N281" i="58"/>
  <c r="M281" i="58"/>
  <c r="L281" i="58"/>
  <c r="K281" i="58"/>
  <c r="J281" i="58"/>
  <c r="H281" i="58"/>
  <c r="G281" i="58"/>
  <c r="F281" i="58"/>
  <c r="E281" i="58"/>
  <c r="D281" i="58"/>
  <c r="O280" i="58"/>
  <c r="L280" i="58"/>
  <c r="I280" i="58"/>
  <c r="F280" i="58"/>
  <c r="O279" i="58"/>
  <c r="L279" i="58"/>
  <c r="I279" i="58"/>
  <c r="F279" i="58"/>
  <c r="O278" i="58"/>
  <c r="L278" i="58"/>
  <c r="I278" i="58"/>
  <c r="F278" i="58"/>
  <c r="O277" i="58"/>
  <c r="L277" i="58"/>
  <c r="L276" i="58" s="1"/>
  <c r="I277" i="58"/>
  <c r="I276" i="58" s="1"/>
  <c r="F277" i="58"/>
  <c r="N276" i="58"/>
  <c r="M276" i="58"/>
  <c r="K276" i="58"/>
  <c r="J276" i="58"/>
  <c r="H276" i="58"/>
  <c r="G276" i="58"/>
  <c r="G270" i="58" s="1"/>
  <c r="G269" i="58" s="1"/>
  <c r="E276" i="58"/>
  <c r="D276" i="58"/>
  <c r="O275" i="58"/>
  <c r="L275" i="58"/>
  <c r="I275" i="58"/>
  <c r="F275" i="58"/>
  <c r="O274" i="58"/>
  <c r="L274" i="58"/>
  <c r="C274" i="58" s="1"/>
  <c r="I274" i="58"/>
  <c r="F274" i="58"/>
  <c r="O273" i="58"/>
  <c r="L273" i="58"/>
  <c r="I273" i="58"/>
  <c r="F273" i="58"/>
  <c r="N272" i="58"/>
  <c r="N270" i="58" s="1"/>
  <c r="N269" i="58" s="1"/>
  <c r="M272" i="58"/>
  <c r="M270" i="58" s="1"/>
  <c r="K272" i="58"/>
  <c r="J272" i="58"/>
  <c r="I272" i="58"/>
  <c r="H272" i="58"/>
  <c r="H270" i="58" s="1"/>
  <c r="G272" i="58"/>
  <c r="E272" i="58"/>
  <c r="D272" i="58"/>
  <c r="D270" i="58" s="1"/>
  <c r="O271" i="58"/>
  <c r="L271" i="58"/>
  <c r="I271" i="58"/>
  <c r="F271" i="58"/>
  <c r="J270" i="58"/>
  <c r="J269" i="58" s="1"/>
  <c r="O268" i="58"/>
  <c r="L268" i="58"/>
  <c r="I268" i="58"/>
  <c r="F268" i="58"/>
  <c r="O267" i="58"/>
  <c r="L267" i="58"/>
  <c r="I267" i="58"/>
  <c r="F267" i="58"/>
  <c r="O266" i="58"/>
  <c r="L266" i="58"/>
  <c r="I266" i="58"/>
  <c r="F266" i="58"/>
  <c r="O265" i="58"/>
  <c r="L265" i="58"/>
  <c r="L264" i="58" s="1"/>
  <c r="I265" i="58"/>
  <c r="F265" i="58"/>
  <c r="N264" i="58"/>
  <c r="M264" i="58"/>
  <c r="K264" i="58"/>
  <c r="J264" i="58"/>
  <c r="H264" i="58"/>
  <c r="G264" i="58"/>
  <c r="E264" i="58"/>
  <c r="D264" i="58"/>
  <c r="O263" i="58"/>
  <c r="L263" i="58"/>
  <c r="I263" i="58"/>
  <c r="F263" i="58"/>
  <c r="O262" i="58"/>
  <c r="L262" i="58"/>
  <c r="I262" i="58"/>
  <c r="F262" i="58"/>
  <c r="O261" i="58"/>
  <c r="L261" i="58"/>
  <c r="I261" i="58"/>
  <c r="I260" i="58" s="1"/>
  <c r="F261" i="58"/>
  <c r="N260" i="58"/>
  <c r="N259" i="58" s="1"/>
  <c r="M260" i="58"/>
  <c r="K260" i="58"/>
  <c r="K259" i="58" s="1"/>
  <c r="J260" i="58"/>
  <c r="H260" i="58"/>
  <c r="G260" i="58"/>
  <c r="E260" i="58"/>
  <c r="D260" i="58"/>
  <c r="J259" i="58"/>
  <c r="H259" i="58"/>
  <c r="D259" i="58"/>
  <c r="O258" i="58"/>
  <c r="L258" i="58"/>
  <c r="I258" i="58"/>
  <c r="F258" i="58"/>
  <c r="O257" i="58"/>
  <c r="L257" i="58"/>
  <c r="I257" i="58"/>
  <c r="F257" i="58"/>
  <c r="O256" i="58"/>
  <c r="L256" i="58"/>
  <c r="I256" i="58"/>
  <c r="C256" i="58" s="1"/>
  <c r="F256" i="58"/>
  <c r="O255" i="58"/>
  <c r="L255" i="58"/>
  <c r="I255" i="58"/>
  <c r="F255" i="58"/>
  <c r="O254" i="58"/>
  <c r="L254" i="58"/>
  <c r="I254" i="58"/>
  <c r="C254" i="58" s="1"/>
  <c r="F254" i="58"/>
  <c r="O253" i="58"/>
  <c r="L253" i="58"/>
  <c r="I253" i="58"/>
  <c r="F253" i="58"/>
  <c r="N252" i="58"/>
  <c r="M252" i="58"/>
  <c r="M251" i="58" s="1"/>
  <c r="K252" i="58"/>
  <c r="K251" i="58" s="1"/>
  <c r="J252" i="58"/>
  <c r="H252" i="58"/>
  <c r="H251" i="58" s="1"/>
  <c r="G252" i="58"/>
  <c r="G251" i="58" s="1"/>
  <c r="E252" i="58"/>
  <c r="E251" i="58" s="1"/>
  <c r="D252" i="58"/>
  <c r="N251" i="58"/>
  <c r="J251" i="58"/>
  <c r="D251" i="58"/>
  <c r="O250" i="58"/>
  <c r="L250" i="58"/>
  <c r="I250" i="58"/>
  <c r="F250" i="58"/>
  <c r="C250" i="58" s="1"/>
  <c r="O249" i="58"/>
  <c r="L249" i="58"/>
  <c r="I249" i="58"/>
  <c r="F249" i="58"/>
  <c r="O248" i="58"/>
  <c r="L248" i="58"/>
  <c r="I248" i="58"/>
  <c r="F248" i="58"/>
  <c r="O247" i="58"/>
  <c r="L247" i="58"/>
  <c r="L246" i="58" s="1"/>
  <c r="I247" i="58"/>
  <c r="F247" i="58"/>
  <c r="N246" i="58"/>
  <c r="M246" i="58"/>
  <c r="K246" i="58"/>
  <c r="J246" i="58"/>
  <c r="H246" i="58"/>
  <c r="G246" i="58"/>
  <c r="E246" i="58"/>
  <c r="D246" i="58"/>
  <c r="O245" i="58"/>
  <c r="L245" i="58"/>
  <c r="I245" i="58"/>
  <c r="F245" i="58"/>
  <c r="O244" i="58"/>
  <c r="L244" i="58"/>
  <c r="I244" i="58"/>
  <c r="C244" i="58" s="1"/>
  <c r="F244" i="58"/>
  <c r="O243" i="58"/>
  <c r="L243" i="58"/>
  <c r="I243" i="58"/>
  <c r="F243" i="58"/>
  <c r="O242" i="58"/>
  <c r="L242" i="58"/>
  <c r="I242" i="58"/>
  <c r="C242" i="58" s="1"/>
  <c r="F242" i="58"/>
  <c r="O241" i="58"/>
  <c r="L241" i="58"/>
  <c r="I241" i="58"/>
  <c r="F241" i="58"/>
  <c r="O240" i="58"/>
  <c r="L240" i="58"/>
  <c r="I240" i="58"/>
  <c r="F240" i="58"/>
  <c r="O239" i="58"/>
  <c r="L239" i="58"/>
  <c r="L238" i="58" s="1"/>
  <c r="I239" i="58"/>
  <c r="F239" i="58"/>
  <c r="F238" i="58" s="1"/>
  <c r="O238" i="58"/>
  <c r="N238" i="58"/>
  <c r="M238" i="58"/>
  <c r="K238" i="58"/>
  <c r="J238" i="58"/>
  <c r="H238" i="58"/>
  <c r="G238" i="58"/>
  <c r="E238" i="58"/>
  <c r="D238" i="58"/>
  <c r="O237" i="58"/>
  <c r="L237" i="58"/>
  <c r="I237" i="58"/>
  <c r="F237" i="58"/>
  <c r="O236" i="58"/>
  <c r="O235" i="58" s="1"/>
  <c r="L236" i="58"/>
  <c r="L235" i="58" s="1"/>
  <c r="I236" i="58"/>
  <c r="F236" i="58"/>
  <c r="N235" i="58"/>
  <c r="N231" i="58" s="1"/>
  <c r="M235" i="58"/>
  <c r="K235" i="58"/>
  <c r="J235" i="58"/>
  <c r="J231" i="58" s="1"/>
  <c r="J230" i="58" s="1"/>
  <c r="H235" i="58"/>
  <c r="G235" i="58"/>
  <c r="F235" i="58"/>
  <c r="E235" i="58"/>
  <c r="D235" i="58"/>
  <c r="O234" i="58"/>
  <c r="O233" i="58" s="1"/>
  <c r="L234" i="58"/>
  <c r="I234" i="58"/>
  <c r="I233" i="58" s="1"/>
  <c r="F234" i="58"/>
  <c r="N233" i="58"/>
  <c r="M233" i="58"/>
  <c r="L233" i="58"/>
  <c r="K233" i="58"/>
  <c r="J233" i="58"/>
  <c r="H233" i="58"/>
  <c r="G233" i="58"/>
  <c r="F233" i="58"/>
  <c r="E233" i="58"/>
  <c r="D233" i="58"/>
  <c r="O232" i="58"/>
  <c r="L232" i="58"/>
  <c r="I232" i="58"/>
  <c r="F232" i="58"/>
  <c r="O229" i="58"/>
  <c r="L229" i="58"/>
  <c r="I229" i="58"/>
  <c r="F229" i="58"/>
  <c r="O228" i="58"/>
  <c r="O227" i="58" s="1"/>
  <c r="L228" i="58"/>
  <c r="L227" i="58" s="1"/>
  <c r="I228" i="58"/>
  <c r="F228" i="58"/>
  <c r="N227" i="58"/>
  <c r="M227" i="58"/>
  <c r="K227" i="58"/>
  <c r="J227" i="58"/>
  <c r="H227" i="58"/>
  <c r="G227" i="58"/>
  <c r="F227" i="58"/>
  <c r="E227" i="58"/>
  <c r="D227" i="58"/>
  <c r="O226" i="58"/>
  <c r="L226" i="58"/>
  <c r="I226" i="58"/>
  <c r="F226" i="58"/>
  <c r="O225" i="58"/>
  <c r="L225" i="58"/>
  <c r="I225" i="58"/>
  <c r="F225" i="58"/>
  <c r="O224" i="58"/>
  <c r="L224" i="58"/>
  <c r="I224" i="58"/>
  <c r="F224" i="58"/>
  <c r="O223" i="58"/>
  <c r="L223" i="58"/>
  <c r="I223" i="58"/>
  <c r="F223" i="58"/>
  <c r="O222" i="58"/>
  <c r="L222" i="58"/>
  <c r="I222" i="58"/>
  <c r="F222" i="58"/>
  <c r="C222" i="58" s="1"/>
  <c r="O221" i="58"/>
  <c r="L221" i="58"/>
  <c r="I221" i="58"/>
  <c r="F221" i="58"/>
  <c r="O220" i="58"/>
  <c r="L220" i="58"/>
  <c r="I220" i="58"/>
  <c r="F220" i="58"/>
  <c r="O219" i="58"/>
  <c r="L219" i="58"/>
  <c r="I219" i="58"/>
  <c r="F219" i="58"/>
  <c r="O218" i="58"/>
  <c r="L218" i="58"/>
  <c r="I218" i="58"/>
  <c r="F218" i="58"/>
  <c r="O217" i="58"/>
  <c r="L217" i="58"/>
  <c r="I217" i="58"/>
  <c r="I216" i="58" s="1"/>
  <c r="F217" i="58"/>
  <c r="N216" i="58"/>
  <c r="M216" i="58"/>
  <c r="K216" i="58"/>
  <c r="J216" i="58"/>
  <c r="H216" i="58"/>
  <c r="G216" i="58"/>
  <c r="E216" i="58"/>
  <c r="D216" i="58"/>
  <c r="O215" i="58"/>
  <c r="L215" i="58"/>
  <c r="I215" i="58"/>
  <c r="F215" i="58"/>
  <c r="O214" i="58"/>
  <c r="L214" i="58"/>
  <c r="I214" i="58"/>
  <c r="F214" i="58"/>
  <c r="O213" i="58"/>
  <c r="L213" i="58"/>
  <c r="I213" i="58"/>
  <c r="F213" i="58"/>
  <c r="O212" i="58"/>
  <c r="L212" i="58"/>
  <c r="I212" i="58"/>
  <c r="F212" i="58"/>
  <c r="O211" i="58"/>
  <c r="L211" i="58"/>
  <c r="I211" i="58"/>
  <c r="F211" i="58"/>
  <c r="O210" i="58"/>
  <c r="L210" i="58"/>
  <c r="I210" i="58"/>
  <c r="C210" i="58" s="1"/>
  <c r="F210" i="58"/>
  <c r="O209" i="58"/>
  <c r="L209" i="58"/>
  <c r="I209" i="58"/>
  <c r="F209" i="58"/>
  <c r="O208" i="58"/>
  <c r="L208" i="58"/>
  <c r="I208" i="58"/>
  <c r="F208" i="58"/>
  <c r="O207" i="58"/>
  <c r="L207" i="58"/>
  <c r="I207" i="58"/>
  <c r="F207" i="58"/>
  <c r="O206" i="58"/>
  <c r="L206" i="58"/>
  <c r="I206" i="58"/>
  <c r="F206" i="58"/>
  <c r="N205" i="58"/>
  <c r="M205" i="58"/>
  <c r="M204" i="58" s="1"/>
  <c r="K205" i="58"/>
  <c r="J205" i="58"/>
  <c r="H205" i="58"/>
  <c r="G205" i="58"/>
  <c r="E205" i="58"/>
  <c r="D205" i="58"/>
  <c r="G204" i="58"/>
  <c r="O203" i="58"/>
  <c r="L203" i="58"/>
  <c r="I203" i="58"/>
  <c r="F203" i="58"/>
  <c r="O202" i="58"/>
  <c r="L202" i="58"/>
  <c r="I202" i="58"/>
  <c r="F202" i="58"/>
  <c r="O201" i="58"/>
  <c r="L201" i="58"/>
  <c r="I201" i="58"/>
  <c r="F201" i="58"/>
  <c r="O200" i="58"/>
  <c r="L200" i="58"/>
  <c r="I200" i="58"/>
  <c r="F200" i="58"/>
  <c r="O199" i="58"/>
  <c r="L199" i="58"/>
  <c r="L198" i="58" s="1"/>
  <c r="I199" i="58"/>
  <c r="F199" i="58"/>
  <c r="F198" i="58" s="1"/>
  <c r="O198" i="58"/>
  <c r="N198" i="58"/>
  <c r="M198" i="58"/>
  <c r="K198" i="58"/>
  <c r="K196" i="58" s="1"/>
  <c r="J198" i="58"/>
  <c r="H198" i="58"/>
  <c r="H196" i="58" s="1"/>
  <c r="G198" i="58"/>
  <c r="G196" i="58" s="1"/>
  <c r="E198" i="58"/>
  <c r="E196" i="58" s="1"/>
  <c r="D198" i="58"/>
  <c r="O197" i="58"/>
  <c r="L197" i="58"/>
  <c r="I197" i="58"/>
  <c r="F197" i="58"/>
  <c r="N196" i="58"/>
  <c r="M196" i="58"/>
  <c r="J196" i="58"/>
  <c r="D196" i="58"/>
  <c r="O193" i="58"/>
  <c r="L193" i="58"/>
  <c r="L192" i="58" s="1"/>
  <c r="L191" i="58" s="1"/>
  <c r="L187" i="58" s="1"/>
  <c r="I193" i="58"/>
  <c r="I192" i="58" s="1"/>
  <c r="I191" i="58" s="1"/>
  <c r="F193" i="58"/>
  <c r="O192" i="58"/>
  <c r="O191" i="58" s="1"/>
  <c r="N192" i="58"/>
  <c r="N191" i="58" s="1"/>
  <c r="M192" i="58"/>
  <c r="K192" i="58"/>
  <c r="K191" i="58" s="1"/>
  <c r="J192" i="58"/>
  <c r="J191" i="58" s="1"/>
  <c r="H192" i="58"/>
  <c r="H191" i="58" s="1"/>
  <c r="H187" i="58" s="1"/>
  <c r="G192" i="58"/>
  <c r="G191" i="58" s="1"/>
  <c r="F192" i="58"/>
  <c r="F191" i="58" s="1"/>
  <c r="E192" i="58"/>
  <c r="E191" i="58" s="1"/>
  <c r="D192" i="58"/>
  <c r="M191" i="58"/>
  <c r="D191" i="58"/>
  <c r="D187" i="58" s="1"/>
  <c r="O190" i="58"/>
  <c r="L190" i="58"/>
  <c r="I190" i="58"/>
  <c r="F190" i="58"/>
  <c r="O189" i="58"/>
  <c r="L189" i="58"/>
  <c r="L188" i="58" s="1"/>
  <c r="I189" i="58"/>
  <c r="I188" i="58" s="1"/>
  <c r="I187" i="58" s="1"/>
  <c r="F189" i="58"/>
  <c r="C189" i="58" s="1"/>
  <c r="O188" i="58"/>
  <c r="N188" i="58"/>
  <c r="M188" i="58"/>
  <c r="K188" i="58"/>
  <c r="K187" i="58" s="1"/>
  <c r="J188" i="58"/>
  <c r="H188" i="58"/>
  <c r="G188" i="58"/>
  <c r="G187" i="58" s="1"/>
  <c r="F188" i="58"/>
  <c r="F187" i="58" s="1"/>
  <c r="E188" i="58"/>
  <c r="D188" i="58"/>
  <c r="M187" i="58"/>
  <c r="O186" i="58"/>
  <c r="L186" i="58"/>
  <c r="I186" i="58"/>
  <c r="F186" i="58"/>
  <c r="O185" i="58"/>
  <c r="L185" i="58"/>
  <c r="L184" i="58" s="1"/>
  <c r="I185" i="58"/>
  <c r="I184" i="58" s="1"/>
  <c r="F185" i="58"/>
  <c r="O184" i="58"/>
  <c r="N184" i="58"/>
  <c r="M184" i="58"/>
  <c r="K184" i="58"/>
  <c r="J184" i="58"/>
  <c r="H184" i="58"/>
  <c r="G184" i="58"/>
  <c r="F184" i="58"/>
  <c r="E184" i="58"/>
  <c r="D184" i="58"/>
  <c r="O183" i="58"/>
  <c r="L183" i="58"/>
  <c r="I183" i="58"/>
  <c r="F183" i="58"/>
  <c r="O182" i="58"/>
  <c r="L182" i="58"/>
  <c r="I182" i="58"/>
  <c r="F182" i="58"/>
  <c r="O181" i="58"/>
  <c r="L181" i="58"/>
  <c r="I181" i="58"/>
  <c r="F181" i="58"/>
  <c r="O180" i="58"/>
  <c r="O179" i="58" s="1"/>
  <c r="L180" i="58"/>
  <c r="I180" i="58"/>
  <c r="F180" i="58"/>
  <c r="C180" i="58" s="1"/>
  <c r="N179" i="58"/>
  <c r="M179" i="58"/>
  <c r="L179" i="58"/>
  <c r="K179" i="58"/>
  <c r="J179" i="58"/>
  <c r="H179" i="58"/>
  <c r="G179" i="58"/>
  <c r="E179" i="58"/>
  <c r="D179" i="58"/>
  <c r="O178" i="58"/>
  <c r="L178" i="58"/>
  <c r="I178" i="58"/>
  <c r="F178" i="58"/>
  <c r="O177" i="58"/>
  <c r="L177" i="58"/>
  <c r="I177" i="58"/>
  <c r="F177" i="58"/>
  <c r="O176" i="58"/>
  <c r="O175" i="58" s="1"/>
  <c r="L176" i="58"/>
  <c r="I176" i="58"/>
  <c r="F176" i="58"/>
  <c r="N175" i="58"/>
  <c r="M175" i="58"/>
  <c r="K175" i="58"/>
  <c r="J175" i="58"/>
  <c r="H175" i="58"/>
  <c r="H174" i="58" s="1"/>
  <c r="G175" i="58"/>
  <c r="G174" i="58" s="1"/>
  <c r="E175" i="58"/>
  <c r="D175" i="58"/>
  <c r="D174" i="58" s="1"/>
  <c r="N174" i="58"/>
  <c r="N173" i="58" s="1"/>
  <c r="M174" i="58"/>
  <c r="M173" i="58" s="1"/>
  <c r="J174" i="58"/>
  <c r="J173" i="58"/>
  <c r="O172" i="58"/>
  <c r="L172" i="58"/>
  <c r="I172" i="58"/>
  <c r="F172" i="58"/>
  <c r="O171" i="58"/>
  <c r="L171" i="58"/>
  <c r="I171" i="58"/>
  <c r="F171" i="58"/>
  <c r="O170" i="58"/>
  <c r="L170" i="58"/>
  <c r="I170" i="58"/>
  <c r="F170" i="58"/>
  <c r="O169" i="58"/>
  <c r="L169" i="58"/>
  <c r="I169" i="58"/>
  <c r="F169" i="58"/>
  <c r="O168" i="58"/>
  <c r="L168" i="58"/>
  <c r="I168" i="58"/>
  <c r="F168" i="58"/>
  <c r="O167" i="58"/>
  <c r="J167" i="58"/>
  <c r="L167" i="58" s="1"/>
  <c r="I167" i="58"/>
  <c r="F167" i="58"/>
  <c r="F166" i="58" s="1"/>
  <c r="N166" i="58"/>
  <c r="N165" i="58" s="1"/>
  <c r="M166" i="58"/>
  <c r="M165" i="58" s="1"/>
  <c r="K166" i="58"/>
  <c r="J166" i="58"/>
  <c r="J165" i="58" s="1"/>
  <c r="H166" i="58"/>
  <c r="H165" i="58" s="1"/>
  <c r="G166" i="58"/>
  <c r="E166" i="58"/>
  <c r="E165" i="58" s="1"/>
  <c r="D166" i="58"/>
  <c r="D165" i="58" s="1"/>
  <c r="K165" i="58"/>
  <c r="G165" i="58"/>
  <c r="O164" i="58"/>
  <c r="L164" i="58"/>
  <c r="I164" i="58"/>
  <c r="F164" i="58"/>
  <c r="O163" i="58"/>
  <c r="L163" i="58"/>
  <c r="I163" i="58"/>
  <c r="F163" i="58"/>
  <c r="O162" i="58"/>
  <c r="L162" i="58"/>
  <c r="I162" i="58"/>
  <c r="F162" i="58"/>
  <c r="O161" i="58"/>
  <c r="O160" i="58" s="1"/>
  <c r="L161" i="58"/>
  <c r="I161" i="58"/>
  <c r="F161" i="58"/>
  <c r="N160" i="58"/>
  <c r="M160" i="58"/>
  <c r="K160" i="58"/>
  <c r="J160" i="58"/>
  <c r="H160" i="58"/>
  <c r="G160" i="58"/>
  <c r="F160" i="58"/>
  <c r="E160" i="58"/>
  <c r="D160" i="58"/>
  <c r="O159" i="58"/>
  <c r="L159" i="58"/>
  <c r="I159" i="58"/>
  <c r="F159" i="58"/>
  <c r="O158" i="58"/>
  <c r="L158" i="58"/>
  <c r="I158" i="58"/>
  <c r="F158" i="58"/>
  <c r="O157" i="58"/>
  <c r="L157" i="58"/>
  <c r="I157" i="58"/>
  <c r="F157" i="58"/>
  <c r="C157" i="58"/>
  <c r="O156" i="58"/>
  <c r="L156" i="58"/>
  <c r="I156" i="58"/>
  <c r="F156" i="58"/>
  <c r="C156" i="58" s="1"/>
  <c r="O155" i="58"/>
  <c r="L155" i="58"/>
  <c r="I155" i="58"/>
  <c r="F155" i="58"/>
  <c r="C155" i="58" s="1"/>
  <c r="O154" i="58"/>
  <c r="L154" i="58"/>
  <c r="I154" i="58"/>
  <c r="F154" i="58"/>
  <c r="O153" i="58"/>
  <c r="L153" i="58"/>
  <c r="I153" i="58"/>
  <c r="F153" i="58"/>
  <c r="C153" i="58" s="1"/>
  <c r="O152" i="58"/>
  <c r="L152" i="58"/>
  <c r="I152" i="58"/>
  <c r="I151" i="58" s="1"/>
  <c r="F152" i="58"/>
  <c r="N151" i="58"/>
  <c r="M151" i="58"/>
  <c r="K151" i="58"/>
  <c r="J151" i="58"/>
  <c r="H151" i="58"/>
  <c r="G151" i="58"/>
  <c r="E151" i="58"/>
  <c r="D151" i="58"/>
  <c r="O150" i="58"/>
  <c r="L150" i="58"/>
  <c r="I150" i="58"/>
  <c r="F150" i="58"/>
  <c r="O149" i="58"/>
  <c r="L149" i="58"/>
  <c r="I149" i="58"/>
  <c r="F149" i="58"/>
  <c r="C149" i="58" s="1"/>
  <c r="O148" i="58"/>
  <c r="L148" i="58"/>
  <c r="I148" i="58"/>
  <c r="F148" i="58"/>
  <c r="O147" i="58"/>
  <c r="L147" i="58"/>
  <c r="I147" i="58"/>
  <c r="F147" i="58"/>
  <c r="O146" i="58"/>
  <c r="L146" i="58"/>
  <c r="I146" i="58"/>
  <c r="F146" i="58"/>
  <c r="O145" i="58"/>
  <c r="O144" i="58" s="1"/>
  <c r="L145" i="58"/>
  <c r="I145" i="58"/>
  <c r="F145" i="58"/>
  <c r="C145" i="58" s="1"/>
  <c r="N144" i="58"/>
  <c r="M144" i="58"/>
  <c r="K144" i="58"/>
  <c r="J144" i="58"/>
  <c r="H144" i="58"/>
  <c r="G144" i="58"/>
  <c r="E144" i="58"/>
  <c r="D144" i="58"/>
  <c r="O143" i="58"/>
  <c r="L143" i="58"/>
  <c r="I143" i="58"/>
  <c r="F143" i="58"/>
  <c r="O142" i="58"/>
  <c r="L142" i="58"/>
  <c r="L141" i="58" s="1"/>
  <c r="I142" i="58"/>
  <c r="I141" i="58" s="1"/>
  <c r="F142" i="58"/>
  <c r="O141" i="58"/>
  <c r="N141" i="58"/>
  <c r="M141" i="58"/>
  <c r="K141" i="58"/>
  <c r="J141" i="58"/>
  <c r="H141" i="58"/>
  <c r="G141" i="58"/>
  <c r="F141" i="58"/>
  <c r="E141" i="58"/>
  <c r="D141" i="58"/>
  <c r="O140" i="58"/>
  <c r="L140" i="58"/>
  <c r="I140" i="58"/>
  <c r="F140" i="58"/>
  <c r="O139" i="58"/>
  <c r="L139" i="58"/>
  <c r="I139" i="58"/>
  <c r="F139" i="58"/>
  <c r="O138" i="58"/>
  <c r="L138" i="58"/>
  <c r="I138" i="58"/>
  <c r="F138" i="58"/>
  <c r="O137" i="58"/>
  <c r="O136" i="58" s="1"/>
  <c r="L137" i="58"/>
  <c r="I137" i="58"/>
  <c r="F137" i="58"/>
  <c r="N136" i="58"/>
  <c r="N130" i="58" s="1"/>
  <c r="M136" i="58"/>
  <c r="K136" i="58"/>
  <c r="J136" i="58"/>
  <c r="H136" i="58"/>
  <c r="G136" i="58"/>
  <c r="E136" i="58"/>
  <c r="D136" i="58"/>
  <c r="O135" i="58"/>
  <c r="L135" i="58"/>
  <c r="I135" i="58"/>
  <c r="F135" i="58"/>
  <c r="O134" i="58"/>
  <c r="L134" i="58"/>
  <c r="I134" i="58"/>
  <c r="F134" i="58"/>
  <c r="O133" i="58"/>
  <c r="L133" i="58"/>
  <c r="I133" i="58"/>
  <c r="F133" i="58"/>
  <c r="C133" i="58"/>
  <c r="O132" i="58"/>
  <c r="L132" i="58"/>
  <c r="I132" i="58"/>
  <c r="I131" i="58" s="1"/>
  <c r="F132" i="58"/>
  <c r="N131" i="58"/>
  <c r="M131" i="58"/>
  <c r="K131" i="58"/>
  <c r="J131" i="58"/>
  <c r="J130" i="58" s="1"/>
  <c r="H131" i="58"/>
  <c r="G131" i="58"/>
  <c r="E131" i="58"/>
  <c r="E130" i="58" s="1"/>
  <c r="D131" i="58"/>
  <c r="O129" i="58"/>
  <c r="O128" i="58" s="1"/>
  <c r="L129" i="58"/>
  <c r="L128" i="58" s="1"/>
  <c r="I129" i="58"/>
  <c r="C129" i="58" s="1"/>
  <c r="F129" i="58"/>
  <c r="F128" i="58" s="1"/>
  <c r="N128" i="58"/>
  <c r="M128" i="58"/>
  <c r="K128" i="58"/>
  <c r="J128" i="58"/>
  <c r="H128" i="58"/>
  <c r="G128" i="58"/>
  <c r="E128" i="58"/>
  <c r="D128" i="58"/>
  <c r="O127" i="58"/>
  <c r="L127" i="58"/>
  <c r="I127" i="58"/>
  <c r="F127" i="58"/>
  <c r="O126" i="58"/>
  <c r="L126" i="58"/>
  <c r="I126" i="58"/>
  <c r="F126" i="58"/>
  <c r="O125" i="58"/>
  <c r="L125" i="58"/>
  <c r="I125" i="58"/>
  <c r="F125" i="58"/>
  <c r="O124" i="58"/>
  <c r="L124" i="58"/>
  <c r="I124" i="58"/>
  <c r="F124" i="58"/>
  <c r="O123" i="58"/>
  <c r="L123" i="58"/>
  <c r="I123" i="58"/>
  <c r="I122" i="58" s="1"/>
  <c r="F123" i="58"/>
  <c r="F122" i="58" s="1"/>
  <c r="N122" i="58"/>
  <c r="M122" i="58"/>
  <c r="K122" i="58"/>
  <c r="J122" i="58"/>
  <c r="H122" i="58"/>
  <c r="G122" i="58"/>
  <c r="E122" i="58"/>
  <c r="D122" i="58"/>
  <c r="O121" i="58"/>
  <c r="L121" i="58"/>
  <c r="I121" i="58"/>
  <c r="F121" i="58"/>
  <c r="C121" i="58" s="1"/>
  <c r="O120" i="58"/>
  <c r="L120" i="58"/>
  <c r="I120" i="58"/>
  <c r="F120" i="58"/>
  <c r="O119" i="58"/>
  <c r="L119" i="58"/>
  <c r="I119" i="58"/>
  <c r="F119" i="58"/>
  <c r="O118" i="58"/>
  <c r="L118" i="58"/>
  <c r="I118" i="58"/>
  <c r="F118" i="58"/>
  <c r="O117" i="58"/>
  <c r="L117" i="58"/>
  <c r="I117" i="58"/>
  <c r="F117" i="58"/>
  <c r="O116" i="58"/>
  <c r="N116" i="58"/>
  <c r="M116" i="58"/>
  <c r="K116" i="58"/>
  <c r="J116" i="58"/>
  <c r="H116" i="58"/>
  <c r="G116" i="58"/>
  <c r="E116" i="58"/>
  <c r="D116" i="58"/>
  <c r="O115" i="58"/>
  <c r="L115" i="58"/>
  <c r="I115" i="58"/>
  <c r="F115" i="58"/>
  <c r="O114" i="58"/>
  <c r="L114" i="58"/>
  <c r="I114" i="58"/>
  <c r="F114" i="58"/>
  <c r="O113" i="58"/>
  <c r="O112" i="58" s="1"/>
  <c r="L113" i="58"/>
  <c r="I113" i="58"/>
  <c r="F113" i="58"/>
  <c r="F112" i="58" s="1"/>
  <c r="N112" i="58"/>
  <c r="M112" i="58"/>
  <c r="K112" i="58"/>
  <c r="J112" i="58"/>
  <c r="H112" i="58"/>
  <c r="G112" i="58"/>
  <c r="E112" i="58"/>
  <c r="D112" i="58"/>
  <c r="O111" i="58"/>
  <c r="L111" i="58"/>
  <c r="I111" i="58"/>
  <c r="F111" i="58"/>
  <c r="O110" i="58"/>
  <c r="L110" i="58"/>
  <c r="I110" i="58"/>
  <c r="F110" i="58"/>
  <c r="O109" i="58"/>
  <c r="L109" i="58"/>
  <c r="I109" i="58"/>
  <c r="F109" i="58"/>
  <c r="O108" i="58"/>
  <c r="L108" i="58"/>
  <c r="I108" i="58"/>
  <c r="F108" i="58"/>
  <c r="O107" i="58"/>
  <c r="L107" i="58"/>
  <c r="I107" i="58"/>
  <c r="F107" i="58"/>
  <c r="O106" i="58"/>
  <c r="L106" i="58"/>
  <c r="I106" i="58"/>
  <c r="F106" i="58"/>
  <c r="O105" i="58"/>
  <c r="L105" i="58"/>
  <c r="I105" i="58"/>
  <c r="F105" i="58"/>
  <c r="O104" i="58"/>
  <c r="O103" i="58" s="1"/>
  <c r="L104" i="58"/>
  <c r="I104" i="58"/>
  <c r="C104" i="58" s="1"/>
  <c r="F104" i="58"/>
  <c r="N103" i="58"/>
  <c r="M103" i="58"/>
  <c r="K103" i="58"/>
  <c r="J103" i="58"/>
  <c r="H103" i="58"/>
  <c r="G103" i="58"/>
  <c r="E103" i="58"/>
  <c r="D103" i="58"/>
  <c r="O102" i="58"/>
  <c r="L102" i="58"/>
  <c r="I102" i="58"/>
  <c r="F102" i="58"/>
  <c r="C102" i="58" s="1"/>
  <c r="O101" i="58"/>
  <c r="L101" i="58"/>
  <c r="I101" i="58"/>
  <c r="F101" i="58"/>
  <c r="O100" i="58"/>
  <c r="L100" i="58"/>
  <c r="I100" i="58"/>
  <c r="F100" i="58"/>
  <c r="O99" i="58"/>
  <c r="L99" i="58"/>
  <c r="I99" i="58"/>
  <c r="F99" i="58"/>
  <c r="O98" i="58"/>
  <c r="L98" i="58"/>
  <c r="I98" i="58"/>
  <c r="F98" i="58"/>
  <c r="O97" i="58"/>
  <c r="L97" i="58"/>
  <c r="I97" i="58"/>
  <c r="F97" i="58"/>
  <c r="O96" i="58"/>
  <c r="L96" i="58"/>
  <c r="I96" i="58"/>
  <c r="F96" i="58"/>
  <c r="N95" i="58"/>
  <c r="M95" i="58"/>
  <c r="K95" i="58"/>
  <c r="J95" i="58"/>
  <c r="H95" i="58"/>
  <c r="G95" i="58"/>
  <c r="F95" i="58"/>
  <c r="E95" i="58"/>
  <c r="D95" i="58"/>
  <c r="O94" i="58"/>
  <c r="L94" i="58"/>
  <c r="I94" i="58"/>
  <c r="F94" i="58"/>
  <c r="O93" i="58"/>
  <c r="L93" i="58"/>
  <c r="I93" i="58"/>
  <c r="F93" i="58"/>
  <c r="O92" i="58"/>
  <c r="L92" i="58"/>
  <c r="I92" i="58"/>
  <c r="F92" i="58"/>
  <c r="O91" i="58"/>
  <c r="L91" i="58"/>
  <c r="I91" i="58"/>
  <c r="F91" i="58"/>
  <c r="O90" i="58"/>
  <c r="L90" i="58"/>
  <c r="I90" i="58"/>
  <c r="I89" i="58" s="1"/>
  <c r="F90" i="58"/>
  <c r="C90" i="58"/>
  <c r="N89" i="58"/>
  <c r="M89" i="58"/>
  <c r="K89" i="58"/>
  <c r="J89" i="58"/>
  <c r="H89" i="58"/>
  <c r="G89" i="58"/>
  <c r="E89" i="58"/>
  <c r="D89" i="58"/>
  <c r="O88" i="58"/>
  <c r="L88" i="58"/>
  <c r="I88" i="58"/>
  <c r="F88" i="58"/>
  <c r="O87" i="58"/>
  <c r="L87" i="58"/>
  <c r="I87" i="58"/>
  <c r="F87" i="58"/>
  <c r="O86" i="58"/>
  <c r="L86" i="58"/>
  <c r="I86" i="58"/>
  <c r="F86" i="58"/>
  <c r="O85" i="58"/>
  <c r="L85" i="58"/>
  <c r="I85" i="58"/>
  <c r="F85" i="58"/>
  <c r="N84" i="58"/>
  <c r="M84" i="58"/>
  <c r="K84" i="58"/>
  <c r="J84" i="58"/>
  <c r="H84" i="58"/>
  <c r="G84" i="58"/>
  <c r="E84" i="58"/>
  <c r="D84" i="58"/>
  <c r="N83" i="58"/>
  <c r="O82" i="58"/>
  <c r="L82" i="58"/>
  <c r="I82" i="58"/>
  <c r="F82" i="58"/>
  <c r="O81" i="58"/>
  <c r="L81" i="58"/>
  <c r="L80" i="58" s="1"/>
  <c r="I81" i="58"/>
  <c r="I80" i="58" s="1"/>
  <c r="F81" i="58"/>
  <c r="N80" i="58"/>
  <c r="M80" i="58"/>
  <c r="K80" i="58"/>
  <c r="J80" i="58"/>
  <c r="H80" i="58"/>
  <c r="G80" i="58"/>
  <c r="E80" i="58"/>
  <c r="D80" i="58"/>
  <c r="O79" i="58"/>
  <c r="L79" i="58"/>
  <c r="I79" i="58"/>
  <c r="F79" i="58"/>
  <c r="O78" i="58"/>
  <c r="O77" i="58" s="1"/>
  <c r="L78" i="58"/>
  <c r="L77" i="58" s="1"/>
  <c r="L76" i="58" s="1"/>
  <c r="I78" i="58"/>
  <c r="I77" i="58" s="1"/>
  <c r="F78" i="58"/>
  <c r="N77" i="58"/>
  <c r="N76" i="58" s="1"/>
  <c r="M77" i="58"/>
  <c r="M76" i="58" s="1"/>
  <c r="K77" i="58"/>
  <c r="J77" i="58"/>
  <c r="J76" i="58" s="1"/>
  <c r="H77" i="58"/>
  <c r="G77" i="58"/>
  <c r="G76" i="58" s="1"/>
  <c r="F77" i="58"/>
  <c r="E77" i="58"/>
  <c r="D77" i="58"/>
  <c r="D76" i="58" s="1"/>
  <c r="K76" i="58"/>
  <c r="O74" i="58"/>
  <c r="L74" i="58"/>
  <c r="I74" i="58"/>
  <c r="F74" i="58"/>
  <c r="O73" i="58"/>
  <c r="L73" i="58"/>
  <c r="I73" i="58"/>
  <c r="F73" i="58"/>
  <c r="O72" i="58"/>
  <c r="L72" i="58"/>
  <c r="I72" i="58"/>
  <c r="F72" i="58"/>
  <c r="O71" i="58"/>
  <c r="L71" i="58"/>
  <c r="I71" i="58"/>
  <c r="F71" i="58"/>
  <c r="O70" i="58"/>
  <c r="L70" i="58"/>
  <c r="L69" i="58" s="1"/>
  <c r="I70" i="58"/>
  <c r="I69" i="58" s="1"/>
  <c r="F70" i="58"/>
  <c r="N69" i="58"/>
  <c r="M69" i="58"/>
  <c r="M67" i="58" s="1"/>
  <c r="K69" i="58"/>
  <c r="K67" i="58" s="1"/>
  <c r="J69" i="58"/>
  <c r="H69" i="58"/>
  <c r="H67" i="58" s="1"/>
  <c r="G69" i="58"/>
  <c r="G67" i="58" s="1"/>
  <c r="E69" i="58"/>
  <c r="E67" i="58" s="1"/>
  <c r="D69" i="58"/>
  <c r="D67" i="58" s="1"/>
  <c r="O68" i="58"/>
  <c r="L68" i="58"/>
  <c r="I68" i="58"/>
  <c r="F68" i="58"/>
  <c r="N67" i="58"/>
  <c r="J67" i="58"/>
  <c r="O66" i="58"/>
  <c r="L66" i="58"/>
  <c r="I66" i="58"/>
  <c r="F66" i="58"/>
  <c r="O65" i="58"/>
  <c r="L65" i="58"/>
  <c r="I65" i="58"/>
  <c r="F65" i="58"/>
  <c r="O64" i="58"/>
  <c r="L64" i="58"/>
  <c r="I64" i="58"/>
  <c r="F64" i="58"/>
  <c r="O63" i="58"/>
  <c r="L63" i="58"/>
  <c r="I63" i="58"/>
  <c r="F63" i="58"/>
  <c r="O62" i="58"/>
  <c r="L62" i="58"/>
  <c r="I62" i="58"/>
  <c r="F62" i="58"/>
  <c r="C62" i="58" s="1"/>
  <c r="O61" i="58"/>
  <c r="L61" i="58"/>
  <c r="I61" i="58"/>
  <c r="F61" i="58"/>
  <c r="O60" i="58"/>
  <c r="L60" i="58"/>
  <c r="I60" i="58"/>
  <c r="F60" i="58"/>
  <c r="O59" i="58"/>
  <c r="L59" i="58"/>
  <c r="I59" i="58"/>
  <c r="F59" i="58"/>
  <c r="O58" i="58"/>
  <c r="N58" i="58"/>
  <c r="M58" i="58"/>
  <c r="K58" i="58"/>
  <c r="J58" i="58"/>
  <c r="H58" i="58"/>
  <c r="G58" i="58"/>
  <c r="E58" i="58"/>
  <c r="D58" i="58"/>
  <c r="O57" i="58"/>
  <c r="L57" i="58"/>
  <c r="I57" i="58"/>
  <c r="F57" i="58"/>
  <c r="O56" i="58"/>
  <c r="O55" i="58" s="1"/>
  <c r="L56" i="58"/>
  <c r="L55" i="58" s="1"/>
  <c r="I56" i="58"/>
  <c r="F56" i="58"/>
  <c r="F55" i="58" s="1"/>
  <c r="N55" i="58"/>
  <c r="N54" i="58" s="1"/>
  <c r="M55" i="58"/>
  <c r="M54" i="58" s="1"/>
  <c r="K55" i="58"/>
  <c r="K54" i="58" s="1"/>
  <c r="K53" i="58" s="1"/>
  <c r="J55" i="58"/>
  <c r="H55" i="58"/>
  <c r="H54" i="58" s="1"/>
  <c r="G55" i="58"/>
  <c r="E55" i="58"/>
  <c r="E54" i="58" s="1"/>
  <c r="D55" i="58"/>
  <c r="O47" i="58"/>
  <c r="C47" i="58" s="1"/>
  <c r="O46" i="58"/>
  <c r="C46" i="58" s="1"/>
  <c r="N45" i="58"/>
  <c r="M45" i="58"/>
  <c r="L44" i="58"/>
  <c r="I44" i="58"/>
  <c r="F44" i="58"/>
  <c r="F43" i="58" s="1"/>
  <c r="L43" i="58"/>
  <c r="K43" i="58"/>
  <c r="J43" i="58"/>
  <c r="H43" i="58"/>
  <c r="G43" i="58"/>
  <c r="E43" i="58"/>
  <c r="D43" i="58"/>
  <c r="F42" i="58"/>
  <c r="C42" i="58" s="1"/>
  <c r="F41" i="58"/>
  <c r="C41" i="58" s="1"/>
  <c r="E41" i="58"/>
  <c r="D41" i="58"/>
  <c r="L40" i="58"/>
  <c r="C40" i="58" s="1"/>
  <c r="L39" i="58"/>
  <c r="C39" i="58" s="1"/>
  <c r="L38" i="58"/>
  <c r="C38" i="58" s="1"/>
  <c r="L37" i="58"/>
  <c r="C37" i="58" s="1"/>
  <c r="K36" i="58"/>
  <c r="J36" i="58"/>
  <c r="L35" i="58"/>
  <c r="C35" i="58" s="1"/>
  <c r="L34" i="58"/>
  <c r="C34" i="58" s="1"/>
  <c r="L33" i="58"/>
  <c r="C33" i="58" s="1"/>
  <c r="K33" i="58"/>
  <c r="J33" i="58"/>
  <c r="L32" i="58"/>
  <c r="L31" i="58" s="1"/>
  <c r="K31" i="58"/>
  <c r="J31" i="58"/>
  <c r="L30" i="58"/>
  <c r="C30" i="58" s="1"/>
  <c r="L29" i="58"/>
  <c r="C29" i="58" s="1"/>
  <c r="L28" i="58"/>
  <c r="C28" i="58" s="1"/>
  <c r="K27" i="58"/>
  <c r="J27" i="58"/>
  <c r="F25" i="58"/>
  <c r="C25" i="58"/>
  <c r="I24" i="58"/>
  <c r="F24" i="58"/>
  <c r="C24" i="58" s="1"/>
  <c r="O23" i="58"/>
  <c r="L23" i="58"/>
  <c r="I23" i="58"/>
  <c r="F23" i="58"/>
  <c r="O22" i="58"/>
  <c r="L22" i="58"/>
  <c r="I22" i="58"/>
  <c r="F22" i="58"/>
  <c r="N21" i="58"/>
  <c r="N292" i="58" s="1"/>
  <c r="N291" i="58" s="1"/>
  <c r="M21" i="58"/>
  <c r="K21" i="58"/>
  <c r="J21" i="58"/>
  <c r="J292" i="58" s="1"/>
  <c r="J291" i="58" s="1"/>
  <c r="I21" i="58"/>
  <c r="H21" i="58"/>
  <c r="G21" i="58"/>
  <c r="E21" i="58"/>
  <c r="D21" i="58"/>
  <c r="D292" i="58" s="1"/>
  <c r="D291" i="58" s="1"/>
  <c r="H20" i="58"/>
  <c r="O122" i="58" l="1"/>
  <c r="L36" i="58"/>
  <c r="C36" i="58" s="1"/>
  <c r="G54" i="58"/>
  <c r="G53" i="58" s="1"/>
  <c r="C66" i="58"/>
  <c r="L67" i="58"/>
  <c r="C86" i="58"/>
  <c r="C88" i="58"/>
  <c r="C94" i="58"/>
  <c r="C120" i="58"/>
  <c r="C125" i="58"/>
  <c r="I128" i="58"/>
  <c r="C137" i="58"/>
  <c r="C168" i="58"/>
  <c r="H173" i="58"/>
  <c r="C202" i="58"/>
  <c r="H204" i="58"/>
  <c r="H195" i="58" s="1"/>
  <c r="H194" i="58" s="1"/>
  <c r="C226" i="58"/>
  <c r="E231" i="58"/>
  <c r="F41" i="59"/>
  <c r="C41" i="59" s="1"/>
  <c r="C66" i="59"/>
  <c r="C23" i="58"/>
  <c r="C44" i="58"/>
  <c r="C70" i="58"/>
  <c r="C78" i="58"/>
  <c r="O80" i="58"/>
  <c r="M83" i="58"/>
  <c r="C98" i="58"/>
  <c r="C99" i="58"/>
  <c r="C101" i="58"/>
  <c r="C117" i="58"/>
  <c r="L144" i="58"/>
  <c r="C172" i="58"/>
  <c r="D173" i="58"/>
  <c r="C184" i="58"/>
  <c r="N187" i="58"/>
  <c r="D204" i="58"/>
  <c r="D195" i="58" s="1"/>
  <c r="D194" i="58" s="1"/>
  <c r="C206" i="58"/>
  <c r="C229" i="58"/>
  <c r="D231" i="58"/>
  <c r="D230" i="58" s="1"/>
  <c r="H231" i="58"/>
  <c r="M231" i="58"/>
  <c r="O252" i="58"/>
  <c r="O251" i="58" s="1"/>
  <c r="O264" i="58"/>
  <c r="C278" i="58"/>
  <c r="C279" i="58"/>
  <c r="H269" i="58"/>
  <c r="C294" i="58"/>
  <c r="C295" i="58"/>
  <c r="L33" i="59"/>
  <c r="C33" i="59" s="1"/>
  <c r="C44" i="59"/>
  <c r="C62" i="59"/>
  <c r="D20" i="58"/>
  <c r="C57" i="58"/>
  <c r="C74" i="58"/>
  <c r="C82" i="58"/>
  <c r="O84" i="58"/>
  <c r="L89" i="58"/>
  <c r="C108" i="58"/>
  <c r="C111" i="58"/>
  <c r="J83" i="58"/>
  <c r="J75" i="58" s="1"/>
  <c r="C161" i="58"/>
  <c r="C176" i="58"/>
  <c r="I175" i="58"/>
  <c r="E174" i="58"/>
  <c r="E173" i="58" s="1"/>
  <c r="J187" i="58"/>
  <c r="O187" i="58"/>
  <c r="E204" i="58"/>
  <c r="K204" i="58"/>
  <c r="K195" i="58" s="1"/>
  <c r="C214" i="58"/>
  <c r="C218" i="58"/>
  <c r="C221" i="58"/>
  <c r="F246" i="58"/>
  <c r="C249" i="58"/>
  <c r="O246" i="58"/>
  <c r="C258" i="58"/>
  <c r="E259" i="58"/>
  <c r="E230" i="58" s="1"/>
  <c r="C262" i="58"/>
  <c r="C266" i="58"/>
  <c r="K270" i="58"/>
  <c r="K269" i="58" s="1"/>
  <c r="I293" i="58"/>
  <c r="E54" i="59"/>
  <c r="E53" i="59" s="1"/>
  <c r="C57" i="59"/>
  <c r="C61" i="59"/>
  <c r="C65" i="59"/>
  <c r="I77" i="59"/>
  <c r="I76" i="59" s="1"/>
  <c r="I187" i="59"/>
  <c r="O67" i="59"/>
  <c r="E76" i="59"/>
  <c r="E75" i="59" s="1"/>
  <c r="H76" i="59"/>
  <c r="C82" i="59"/>
  <c r="C109" i="59"/>
  <c r="M130" i="59"/>
  <c r="G130" i="59"/>
  <c r="C178" i="59"/>
  <c r="C211" i="59"/>
  <c r="J204" i="59"/>
  <c r="J195" i="59" s="1"/>
  <c r="C23" i="61"/>
  <c r="C68" i="61"/>
  <c r="J76" i="61"/>
  <c r="C106" i="61"/>
  <c r="C125" i="61"/>
  <c r="C127" i="61"/>
  <c r="C147" i="61"/>
  <c r="C163" i="61"/>
  <c r="C164" i="61"/>
  <c r="D174" i="61"/>
  <c r="D173" i="61" s="1"/>
  <c r="J174" i="61"/>
  <c r="O179" i="61"/>
  <c r="M173" i="61"/>
  <c r="C190" i="61"/>
  <c r="H195" i="61"/>
  <c r="C222" i="61"/>
  <c r="D230" i="61"/>
  <c r="C244" i="61"/>
  <c r="C255" i="61"/>
  <c r="C257" i="61"/>
  <c r="C274" i="61"/>
  <c r="C56" i="62"/>
  <c r="C61" i="62"/>
  <c r="C68" i="62"/>
  <c r="K53" i="62"/>
  <c r="J76" i="62"/>
  <c r="I80" i="62"/>
  <c r="K83" i="62"/>
  <c r="K75" i="62" s="1"/>
  <c r="C88" i="62"/>
  <c r="C92" i="62"/>
  <c r="H83" i="62"/>
  <c r="L151" i="62"/>
  <c r="C157" i="62"/>
  <c r="C162" i="62"/>
  <c r="C163" i="62"/>
  <c r="C180" i="62"/>
  <c r="L188" i="62"/>
  <c r="L187" i="62" s="1"/>
  <c r="M204" i="62"/>
  <c r="K230" i="62"/>
  <c r="K194" i="62" s="1"/>
  <c r="C250" i="62"/>
  <c r="C73" i="59"/>
  <c r="C115" i="59"/>
  <c r="O122" i="59"/>
  <c r="O151" i="59"/>
  <c r="O130" i="59" s="1"/>
  <c r="C164" i="59"/>
  <c r="C186" i="59"/>
  <c r="L238" i="59"/>
  <c r="C243" i="59"/>
  <c r="C255" i="59"/>
  <c r="C258" i="59"/>
  <c r="J259" i="59"/>
  <c r="L276" i="59"/>
  <c r="L270" i="59" s="1"/>
  <c r="L269" i="59" s="1"/>
  <c r="C65" i="61"/>
  <c r="C66" i="61"/>
  <c r="H76" i="61"/>
  <c r="C91" i="61"/>
  <c r="C92" i="61"/>
  <c r="C99" i="61"/>
  <c r="C134" i="61"/>
  <c r="O131" i="61"/>
  <c r="N130" i="61"/>
  <c r="D195" i="61"/>
  <c r="C214" i="61"/>
  <c r="O216" i="61"/>
  <c r="N231" i="61"/>
  <c r="L246" i="61"/>
  <c r="G259" i="61"/>
  <c r="D270" i="61"/>
  <c r="D269" i="61" s="1"/>
  <c r="D194" i="61" s="1"/>
  <c r="I270" i="61"/>
  <c r="H270" i="61"/>
  <c r="H269" i="61" s="1"/>
  <c r="C296" i="61"/>
  <c r="H20" i="62"/>
  <c r="F41" i="62"/>
  <c r="C41" i="62" s="1"/>
  <c r="C79" i="62"/>
  <c r="M76" i="62"/>
  <c r="C104" i="62"/>
  <c r="C108" i="62"/>
  <c r="C120" i="62"/>
  <c r="C121" i="62"/>
  <c r="C168" i="62"/>
  <c r="C172" i="62"/>
  <c r="M174" i="62"/>
  <c r="M173" i="62" s="1"/>
  <c r="C206" i="62"/>
  <c r="C208" i="62"/>
  <c r="C234" i="62"/>
  <c r="E259" i="62"/>
  <c r="C282" i="62"/>
  <c r="C294" i="62"/>
  <c r="I293" i="62"/>
  <c r="L175" i="59"/>
  <c r="G174" i="59"/>
  <c r="G173" i="59" s="1"/>
  <c r="C200" i="59"/>
  <c r="C212" i="59"/>
  <c r="C239" i="59"/>
  <c r="C266" i="59"/>
  <c r="E20" i="61"/>
  <c r="C72" i="61"/>
  <c r="C111" i="61"/>
  <c r="C115" i="61"/>
  <c r="I131" i="61"/>
  <c r="O151" i="61"/>
  <c r="C171" i="61"/>
  <c r="K195" i="61"/>
  <c r="C201" i="61"/>
  <c r="K204" i="61"/>
  <c r="J231" i="61"/>
  <c r="C266" i="61"/>
  <c r="I166" i="62"/>
  <c r="I165" i="62" s="1"/>
  <c r="H230" i="62"/>
  <c r="H270" i="62"/>
  <c r="H269" i="62" s="1"/>
  <c r="C97" i="59"/>
  <c r="C101" i="59"/>
  <c r="C105" i="59"/>
  <c r="C125" i="59"/>
  <c r="C140" i="59"/>
  <c r="N130" i="59"/>
  <c r="C149" i="59"/>
  <c r="L184" i="59"/>
  <c r="H195" i="59"/>
  <c r="L252" i="59"/>
  <c r="L251" i="59" s="1"/>
  <c r="K259" i="59"/>
  <c r="I270" i="59"/>
  <c r="I269" i="59" s="1"/>
  <c r="C279" i="59"/>
  <c r="J20" i="61"/>
  <c r="G83" i="61"/>
  <c r="O187" i="61"/>
  <c r="E204" i="61"/>
  <c r="E195" i="61" s="1"/>
  <c r="J204" i="61"/>
  <c r="J195" i="61" s="1"/>
  <c r="H230" i="61"/>
  <c r="C242" i="61"/>
  <c r="O246" i="61"/>
  <c r="O231" i="61" s="1"/>
  <c r="J259" i="61"/>
  <c r="O260" i="61"/>
  <c r="H259" i="61"/>
  <c r="N259" i="61"/>
  <c r="N230" i="61" s="1"/>
  <c r="K270" i="61"/>
  <c r="K269" i="61" s="1"/>
  <c r="L36" i="62"/>
  <c r="C36" i="62" s="1"/>
  <c r="C43" i="62"/>
  <c r="N20" i="62"/>
  <c r="O55" i="62"/>
  <c r="C72" i="62"/>
  <c r="N76" i="62"/>
  <c r="L76" i="62"/>
  <c r="C81" i="62"/>
  <c r="M83" i="62"/>
  <c r="C113" i="62"/>
  <c r="C123" i="62"/>
  <c r="O122" i="62"/>
  <c r="J130" i="62"/>
  <c r="C141" i="62"/>
  <c r="C153" i="62"/>
  <c r="G173" i="62"/>
  <c r="K174" i="62"/>
  <c r="K173" i="62" s="1"/>
  <c r="C232" i="62"/>
  <c r="C242" i="62"/>
  <c r="C243" i="62"/>
  <c r="C245" i="62"/>
  <c r="J231" i="62"/>
  <c r="C258" i="62"/>
  <c r="C262" i="62"/>
  <c r="L260" i="62"/>
  <c r="G259" i="62"/>
  <c r="I272" i="62"/>
  <c r="I270" i="62" s="1"/>
  <c r="I269" i="62" s="1"/>
  <c r="D270" i="62"/>
  <c r="D269" i="62" s="1"/>
  <c r="C286" i="62"/>
  <c r="C287" i="62"/>
  <c r="E52" i="62"/>
  <c r="C57" i="62"/>
  <c r="I69" i="62"/>
  <c r="I67" i="62" s="1"/>
  <c r="E83" i="62"/>
  <c r="E75" i="62" s="1"/>
  <c r="F122" i="62"/>
  <c r="C122" i="62" s="1"/>
  <c r="N187" i="62"/>
  <c r="I216" i="62"/>
  <c r="K292" i="62"/>
  <c r="K291" i="62" s="1"/>
  <c r="K26" i="62"/>
  <c r="K20" i="62" s="1"/>
  <c r="L33" i="62"/>
  <c r="C33" i="62" s="1"/>
  <c r="O45" i="62"/>
  <c r="C62" i="62"/>
  <c r="D53" i="62"/>
  <c r="G53" i="62"/>
  <c r="L67" i="62"/>
  <c r="C74" i="62"/>
  <c r="I76" i="62"/>
  <c r="C101" i="62"/>
  <c r="C106" i="62"/>
  <c r="C111" i="62"/>
  <c r="L116" i="62"/>
  <c r="C118" i="62"/>
  <c r="I131" i="62"/>
  <c r="K130" i="62"/>
  <c r="C140" i="62"/>
  <c r="N130" i="62"/>
  <c r="C145" i="62"/>
  <c r="C156" i="62"/>
  <c r="L166" i="62"/>
  <c r="L165" i="62" s="1"/>
  <c r="I179" i="62"/>
  <c r="I174" i="62" s="1"/>
  <c r="C181" i="62"/>
  <c r="J187" i="62"/>
  <c r="H204" i="62"/>
  <c r="H195" i="62" s="1"/>
  <c r="H194" i="62" s="1"/>
  <c r="I205" i="62"/>
  <c r="C213" i="62"/>
  <c r="J204" i="62"/>
  <c r="J195" i="62" s="1"/>
  <c r="N204" i="62"/>
  <c r="N195" i="62" s="1"/>
  <c r="G231" i="62"/>
  <c r="G230" i="62" s="1"/>
  <c r="C244" i="62"/>
  <c r="C249" i="62"/>
  <c r="C255" i="62"/>
  <c r="C257" i="62"/>
  <c r="O260" i="62"/>
  <c r="L264" i="62"/>
  <c r="I276" i="62"/>
  <c r="L276" i="62"/>
  <c r="L293" i="62"/>
  <c r="D230" i="62"/>
  <c r="G291" i="62"/>
  <c r="C23" i="62"/>
  <c r="L27" i="62"/>
  <c r="C27" i="62" s="1"/>
  <c r="C44" i="62"/>
  <c r="M54" i="62"/>
  <c r="M53" i="62" s="1"/>
  <c r="C60" i="62"/>
  <c r="O58" i="62"/>
  <c r="O54" i="62" s="1"/>
  <c r="C66" i="62"/>
  <c r="F67" i="62"/>
  <c r="C73" i="62"/>
  <c r="C85" i="62"/>
  <c r="C94" i="62"/>
  <c r="C100" i="62"/>
  <c r="C105" i="62"/>
  <c r="C110" i="62"/>
  <c r="I116" i="62"/>
  <c r="C133" i="62"/>
  <c r="I136" i="62"/>
  <c r="C154" i="62"/>
  <c r="C155" i="62"/>
  <c r="C161" i="62"/>
  <c r="C167" i="62"/>
  <c r="H174" i="62"/>
  <c r="H173" i="62" s="1"/>
  <c r="C199" i="62"/>
  <c r="C201" i="62"/>
  <c r="D204" i="62"/>
  <c r="D195" i="62" s="1"/>
  <c r="C207" i="62"/>
  <c r="C212" i="62"/>
  <c r="C227" i="62"/>
  <c r="F233" i="62"/>
  <c r="L251" i="62"/>
  <c r="O264" i="62"/>
  <c r="M270" i="62"/>
  <c r="M269" i="62" s="1"/>
  <c r="O276" i="62"/>
  <c r="O270" i="62" s="1"/>
  <c r="O269" i="62" s="1"/>
  <c r="M75" i="62"/>
  <c r="I264" i="62"/>
  <c r="I259" i="62" s="1"/>
  <c r="D20" i="62"/>
  <c r="I54" i="62"/>
  <c r="I53" i="62" s="1"/>
  <c r="F58" i="62"/>
  <c r="I58" i="62"/>
  <c r="C65" i="62"/>
  <c r="H53" i="62"/>
  <c r="C71" i="62"/>
  <c r="O69" i="62"/>
  <c r="O67" i="62" s="1"/>
  <c r="C67" i="62" s="1"/>
  <c r="C82" i="62"/>
  <c r="D83" i="62"/>
  <c r="C99" i="62"/>
  <c r="L122" i="62"/>
  <c r="C132" i="62"/>
  <c r="C137" i="62"/>
  <c r="C148" i="62"/>
  <c r="O144" i="62"/>
  <c r="I151" i="62"/>
  <c r="C170" i="62"/>
  <c r="C171" i="62"/>
  <c r="C177" i="62"/>
  <c r="C183" i="62"/>
  <c r="C185" i="62"/>
  <c r="G195" i="62"/>
  <c r="C203" i="62"/>
  <c r="C211" i="62"/>
  <c r="C219" i="62"/>
  <c r="C221" i="62"/>
  <c r="C226" i="62"/>
  <c r="C228" i="62"/>
  <c r="C229" i="62"/>
  <c r="C236" i="62"/>
  <c r="C237" i="62"/>
  <c r="O238" i="62"/>
  <c r="L246" i="62"/>
  <c r="L231" i="62" s="1"/>
  <c r="C267" i="62"/>
  <c r="C268" i="62"/>
  <c r="C275" i="62"/>
  <c r="C280" i="62"/>
  <c r="C297" i="62"/>
  <c r="L205" i="61"/>
  <c r="I293" i="61"/>
  <c r="C294" i="61"/>
  <c r="E83" i="61"/>
  <c r="C86" i="61"/>
  <c r="H130" i="61"/>
  <c r="H75" i="61" s="1"/>
  <c r="L184" i="61"/>
  <c r="G291" i="61"/>
  <c r="L292" i="61"/>
  <c r="I21" i="61"/>
  <c r="I20" i="61" s="1"/>
  <c r="M54" i="61"/>
  <c r="M53" i="61" s="1"/>
  <c r="C61" i="61"/>
  <c r="F70" i="61"/>
  <c r="F69" i="61" s="1"/>
  <c r="C71" i="61"/>
  <c r="O80" i="61"/>
  <c r="O103" i="61"/>
  <c r="C123" i="61"/>
  <c r="C133" i="61"/>
  <c r="C139" i="61"/>
  <c r="C167" i="61"/>
  <c r="C169" i="61"/>
  <c r="C172" i="61"/>
  <c r="C203" i="61"/>
  <c r="C210" i="61"/>
  <c r="E231" i="61"/>
  <c r="I184" i="61"/>
  <c r="J83" i="61"/>
  <c r="J75" i="61" s="1"/>
  <c r="C128" i="61"/>
  <c r="C32" i="61"/>
  <c r="L31" i="61"/>
  <c r="C31" i="61" s="1"/>
  <c r="C43" i="61"/>
  <c r="C82" i="61"/>
  <c r="K83" i="61"/>
  <c r="C98" i="61"/>
  <c r="C102" i="61"/>
  <c r="C105" i="61"/>
  <c r="C119" i="61"/>
  <c r="C149" i="61"/>
  <c r="C185" i="61"/>
  <c r="G187" i="61"/>
  <c r="E187" i="61"/>
  <c r="N204" i="61"/>
  <c r="N195" i="61" s="1"/>
  <c r="C234" i="61"/>
  <c r="F233" i="61"/>
  <c r="J230" i="61"/>
  <c r="J194" i="61" s="1"/>
  <c r="I281" i="61"/>
  <c r="I269" i="61" s="1"/>
  <c r="C282" i="61"/>
  <c r="C221" i="61"/>
  <c r="I252" i="61"/>
  <c r="I251" i="61" s="1"/>
  <c r="O272" i="61"/>
  <c r="O270" i="61" s="1"/>
  <c r="O269" i="61" s="1"/>
  <c r="D292" i="61"/>
  <c r="D291" i="61" s="1"/>
  <c r="H292" i="61"/>
  <c r="H291" i="61" s="1"/>
  <c r="M291" i="61"/>
  <c r="K26" i="61"/>
  <c r="K20" i="61" s="1"/>
  <c r="H53" i="61"/>
  <c r="N54" i="61"/>
  <c r="N53" i="61" s="1"/>
  <c r="L54" i="61"/>
  <c r="C59" i="61"/>
  <c r="C60" i="61"/>
  <c r="C74" i="61"/>
  <c r="D76" i="61"/>
  <c r="I76" i="61"/>
  <c r="D83" i="61"/>
  <c r="C101" i="61"/>
  <c r="C110" i="61"/>
  <c r="C118" i="61"/>
  <c r="C138" i="61"/>
  <c r="C146" i="61"/>
  <c r="I151" i="61"/>
  <c r="C157" i="61"/>
  <c r="L166" i="61"/>
  <c r="L165" i="61" s="1"/>
  <c r="I179" i="61"/>
  <c r="I174" i="61" s="1"/>
  <c r="I173" i="61" s="1"/>
  <c r="H187" i="61"/>
  <c r="C207" i="61"/>
  <c r="I216" i="61"/>
  <c r="C224" i="61"/>
  <c r="C225" i="61"/>
  <c r="C228" i="61"/>
  <c r="C229" i="61"/>
  <c r="C239" i="61"/>
  <c r="O238" i="61"/>
  <c r="L252" i="61"/>
  <c r="L251" i="61" s="1"/>
  <c r="L293" i="61"/>
  <c r="C219" i="61"/>
  <c r="C227" i="61"/>
  <c r="O264" i="61"/>
  <c r="O259" i="61" s="1"/>
  <c r="C280" i="61"/>
  <c r="J292" i="61"/>
  <c r="J291" i="61" s="1"/>
  <c r="N292" i="61"/>
  <c r="N291" i="61" s="1"/>
  <c r="C44" i="61"/>
  <c r="E54" i="61"/>
  <c r="J54" i="61"/>
  <c r="J53" i="61" s="1"/>
  <c r="C63" i="61"/>
  <c r="C64" i="61"/>
  <c r="I67" i="61"/>
  <c r="M83" i="61"/>
  <c r="L84" i="61"/>
  <c r="C88" i="61"/>
  <c r="O89" i="61"/>
  <c r="C94" i="61"/>
  <c r="C107" i="61"/>
  <c r="C109" i="61"/>
  <c r="C120" i="61"/>
  <c r="C140" i="61"/>
  <c r="C148" i="61"/>
  <c r="C162" i="61"/>
  <c r="O165" i="61"/>
  <c r="E174" i="61"/>
  <c r="E173" i="61" s="1"/>
  <c r="O175" i="61"/>
  <c r="C184" i="61"/>
  <c r="D187" i="61"/>
  <c r="J187" i="61"/>
  <c r="O196" i="61"/>
  <c r="I205" i="61"/>
  <c r="I204" i="61" s="1"/>
  <c r="C211" i="61"/>
  <c r="C212" i="61"/>
  <c r="C213" i="61"/>
  <c r="K231" i="61"/>
  <c r="K230" i="61" s="1"/>
  <c r="C243" i="61"/>
  <c r="C245" i="61"/>
  <c r="O252" i="61"/>
  <c r="O251" i="61" s="1"/>
  <c r="L260" i="61"/>
  <c r="M270" i="61"/>
  <c r="M269" i="61" s="1"/>
  <c r="L272" i="61"/>
  <c r="L270" i="61" s="1"/>
  <c r="L269" i="61" s="1"/>
  <c r="O276" i="61"/>
  <c r="C295" i="61"/>
  <c r="N204" i="59"/>
  <c r="N195" i="59" s="1"/>
  <c r="D291" i="59"/>
  <c r="N292" i="59"/>
  <c r="N291" i="59" s="1"/>
  <c r="C22" i="59"/>
  <c r="L27" i="59"/>
  <c r="C27" i="59" s="1"/>
  <c r="D20" i="59"/>
  <c r="H20" i="59"/>
  <c r="M53" i="59"/>
  <c r="L58" i="59"/>
  <c r="L54" i="59" s="1"/>
  <c r="C68" i="59"/>
  <c r="L69" i="59"/>
  <c r="L67" i="59" s="1"/>
  <c r="C86" i="59"/>
  <c r="G83" i="59"/>
  <c r="G75" i="59" s="1"/>
  <c r="G52" i="59" s="1"/>
  <c r="C100" i="59"/>
  <c r="C114" i="59"/>
  <c r="I116" i="59"/>
  <c r="J83" i="59"/>
  <c r="C123" i="59"/>
  <c r="C124" i="59"/>
  <c r="E130" i="59"/>
  <c r="D130" i="59"/>
  <c r="D75" i="59" s="1"/>
  <c r="C134" i="59"/>
  <c r="C135" i="59"/>
  <c r="C143" i="59"/>
  <c r="C146" i="59"/>
  <c r="C156" i="59"/>
  <c r="C168" i="59"/>
  <c r="C180" i="59"/>
  <c r="J187" i="59"/>
  <c r="F198" i="59"/>
  <c r="E204" i="59"/>
  <c r="E195" i="59" s="1"/>
  <c r="C215" i="59"/>
  <c r="C221" i="59"/>
  <c r="C222" i="59"/>
  <c r="C225" i="59"/>
  <c r="M231" i="59"/>
  <c r="J231" i="59"/>
  <c r="J230" i="59" s="1"/>
  <c r="I251" i="59"/>
  <c r="C256" i="59"/>
  <c r="C257" i="59"/>
  <c r="C261" i="59"/>
  <c r="N270" i="59"/>
  <c r="N269" i="59" s="1"/>
  <c r="O272" i="59"/>
  <c r="I293" i="59"/>
  <c r="C300" i="59"/>
  <c r="J292" i="59"/>
  <c r="J291" i="59" s="1"/>
  <c r="O45" i="59"/>
  <c r="J54" i="59"/>
  <c r="J53" i="59" s="1"/>
  <c r="O54" i="59"/>
  <c r="O53" i="59" s="1"/>
  <c r="N54" i="59"/>
  <c r="N53" i="59" s="1"/>
  <c r="D83" i="59"/>
  <c r="C85" i="59"/>
  <c r="C94" i="59"/>
  <c r="M83" i="59"/>
  <c r="I95" i="59"/>
  <c r="O103" i="59"/>
  <c r="C113" i="59"/>
  <c r="C118" i="59"/>
  <c r="C150" i="59"/>
  <c r="C153" i="59"/>
  <c r="C160" i="59"/>
  <c r="C161" i="59"/>
  <c r="C162" i="59"/>
  <c r="C163" i="59"/>
  <c r="I166" i="59"/>
  <c r="I165" i="59" s="1"/>
  <c r="C172" i="59"/>
  <c r="M174" i="59"/>
  <c r="M173" i="59" s="1"/>
  <c r="C189" i="59"/>
  <c r="C203" i="59"/>
  <c r="C213" i="59"/>
  <c r="L216" i="59"/>
  <c r="E231" i="59"/>
  <c r="E230" i="59" s="1"/>
  <c r="K231" i="59"/>
  <c r="K230" i="59" s="1"/>
  <c r="K289" i="59" s="1"/>
  <c r="C237" i="59"/>
  <c r="C250" i="59"/>
  <c r="C265" i="59"/>
  <c r="O264" i="59"/>
  <c r="C274" i="59"/>
  <c r="I286" i="59"/>
  <c r="C295" i="59"/>
  <c r="L293" i="59"/>
  <c r="C293" i="59" s="1"/>
  <c r="L131" i="59"/>
  <c r="N20" i="59"/>
  <c r="K26" i="59"/>
  <c r="K20" i="59" s="1"/>
  <c r="C63" i="59"/>
  <c r="C64" i="59"/>
  <c r="O58" i="59"/>
  <c r="H53" i="59"/>
  <c r="C81" i="59"/>
  <c r="I84" i="59"/>
  <c r="K83" i="59"/>
  <c r="I89" i="59"/>
  <c r="C102" i="59"/>
  <c r="C108" i="59"/>
  <c r="I112" i="59"/>
  <c r="F116" i="59"/>
  <c r="C120" i="59"/>
  <c r="N83" i="59"/>
  <c r="C126" i="59"/>
  <c r="C129" i="59"/>
  <c r="J130" i="59"/>
  <c r="O144" i="59"/>
  <c r="C170" i="59"/>
  <c r="E173" i="59"/>
  <c r="F184" i="59"/>
  <c r="C210" i="59"/>
  <c r="C219" i="59"/>
  <c r="O216" i="59"/>
  <c r="K204" i="59"/>
  <c r="C229" i="59"/>
  <c r="G231" i="59"/>
  <c r="G230" i="59" s="1"/>
  <c r="G194" i="59" s="1"/>
  <c r="O260" i="59"/>
  <c r="C268" i="59"/>
  <c r="K269" i="59"/>
  <c r="C271" i="59"/>
  <c r="C278" i="59"/>
  <c r="C298" i="59"/>
  <c r="E187" i="58"/>
  <c r="M53" i="58"/>
  <c r="D269" i="58"/>
  <c r="O21" i="58"/>
  <c r="K26" i="58"/>
  <c r="K20" i="58" s="1"/>
  <c r="J26" i="58"/>
  <c r="J20" i="58" s="1"/>
  <c r="O45" i="58"/>
  <c r="C45" i="58" s="1"/>
  <c r="C61" i="58"/>
  <c r="C71" i="58"/>
  <c r="C79" i="58"/>
  <c r="I84" i="58"/>
  <c r="C91" i="58"/>
  <c r="C100" i="58"/>
  <c r="I103" i="58"/>
  <c r="C115" i="58"/>
  <c r="C124" i="58"/>
  <c r="C135" i="58"/>
  <c r="C146" i="58"/>
  <c r="C148" i="58"/>
  <c r="L160" i="58"/>
  <c r="L175" i="58"/>
  <c r="L174" i="58" s="1"/>
  <c r="L173" i="58" s="1"/>
  <c r="C181" i="58"/>
  <c r="C182" i="58"/>
  <c r="C183" i="58"/>
  <c r="C188" i="58"/>
  <c r="C192" i="58"/>
  <c r="O196" i="58"/>
  <c r="C211" i="58"/>
  <c r="C213" i="58"/>
  <c r="C220" i="58"/>
  <c r="C223" i="58"/>
  <c r="C225" i="58"/>
  <c r="C237" i="58"/>
  <c r="I252" i="58"/>
  <c r="I251" i="58" s="1"/>
  <c r="O260" i="58"/>
  <c r="O259" i="58" s="1"/>
  <c r="O272" i="58"/>
  <c r="C280" i="58"/>
  <c r="C296" i="58"/>
  <c r="C299" i="58"/>
  <c r="H230" i="58"/>
  <c r="I270" i="58"/>
  <c r="I269" i="58" s="1"/>
  <c r="L27" i="58"/>
  <c r="C27" i="58" s="1"/>
  <c r="D54" i="58"/>
  <c r="D53" i="58" s="1"/>
  <c r="C63" i="58"/>
  <c r="C65" i="58"/>
  <c r="H53" i="58"/>
  <c r="C72" i="58"/>
  <c r="H76" i="58"/>
  <c r="I76" i="58"/>
  <c r="E76" i="58"/>
  <c r="E83" i="58"/>
  <c r="C92" i="58"/>
  <c r="L95" i="58"/>
  <c r="C109" i="58"/>
  <c r="F116" i="58"/>
  <c r="C119" i="58"/>
  <c r="C127" i="58"/>
  <c r="K130" i="58"/>
  <c r="C139" i="58"/>
  <c r="C140" i="58"/>
  <c r="I144" i="58"/>
  <c r="C150" i="58"/>
  <c r="O151" i="58"/>
  <c r="L151" i="58"/>
  <c r="C158" i="58"/>
  <c r="C169" i="58"/>
  <c r="C171" i="58"/>
  <c r="I179" i="58"/>
  <c r="I174" i="58" s="1"/>
  <c r="I173" i="58" s="1"/>
  <c r="C201" i="58"/>
  <c r="L205" i="58"/>
  <c r="C212" i="58"/>
  <c r="C215" i="58"/>
  <c r="L216" i="58"/>
  <c r="C224" i="58"/>
  <c r="C234" i="58"/>
  <c r="C241" i="58"/>
  <c r="G259" i="58"/>
  <c r="L136" i="58"/>
  <c r="L166" i="58"/>
  <c r="L165" i="58" s="1"/>
  <c r="N230" i="58"/>
  <c r="N20" i="58"/>
  <c r="H292" i="58"/>
  <c r="L21" i="58"/>
  <c r="L292" i="58" s="1"/>
  <c r="L291" i="58" s="1"/>
  <c r="C32" i="58"/>
  <c r="E53" i="58"/>
  <c r="J54" i="58"/>
  <c r="J53" i="58" s="1"/>
  <c r="O54" i="58"/>
  <c r="L58" i="58"/>
  <c r="C64" i="58"/>
  <c r="N75" i="58"/>
  <c r="G83" i="58"/>
  <c r="G75" i="58" s="1"/>
  <c r="K83" i="58"/>
  <c r="C97" i="58"/>
  <c r="C107" i="58"/>
  <c r="C113" i="58"/>
  <c r="O131" i="58"/>
  <c r="L131" i="58"/>
  <c r="G130" i="58"/>
  <c r="I136" i="58"/>
  <c r="C141" i="58"/>
  <c r="C163" i="58"/>
  <c r="C164" i="58"/>
  <c r="K174" i="58"/>
  <c r="C178" i="58"/>
  <c r="G195" i="58"/>
  <c r="C203" i="58"/>
  <c r="O216" i="58"/>
  <c r="J204" i="58"/>
  <c r="J195" i="58" s="1"/>
  <c r="N204" i="58"/>
  <c r="N195" i="58" s="1"/>
  <c r="G231" i="58"/>
  <c r="C243" i="58"/>
  <c r="C245" i="58"/>
  <c r="C257" i="58"/>
  <c r="C267" i="58"/>
  <c r="M269" i="58"/>
  <c r="L272" i="58"/>
  <c r="L270" i="58" s="1"/>
  <c r="L269" i="58" s="1"/>
  <c r="O276" i="58"/>
  <c r="J20" i="62"/>
  <c r="F292" i="62"/>
  <c r="F20" i="62"/>
  <c r="C128" i="62"/>
  <c r="L54" i="62"/>
  <c r="C80" i="62"/>
  <c r="O76" i="62"/>
  <c r="L292" i="62"/>
  <c r="L291" i="62" s="1"/>
  <c r="C58" i="62"/>
  <c r="C209" i="62"/>
  <c r="F205" i="62"/>
  <c r="C256" i="62"/>
  <c r="I252" i="62"/>
  <c r="I251" i="62" s="1"/>
  <c r="C301" i="62"/>
  <c r="C22" i="62"/>
  <c r="C45" i="62"/>
  <c r="F55" i="62"/>
  <c r="I95" i="62"/>
  <c r="C115" i="62"/>
  <c r="F112" i="62"/>
  <c r="L179" i="62"/>
  <c r="I204" i="62"/>
  <c r="C235" i="62"/>
  <c r="I21" i="62"/>
  <c r="L31" i="62"/>
  <c r="C59" i="62"/>
  <c r="C70" i="62"/>
  <c r="C78" i="62"/>
  <c r="G83" i="62"/>
  <c r="L84" i="62"/>
  <c r="L83" i="62" s="1"/>
  <c r="J83" i="62"/>
  <c r="J75" i="62" s="1"/>
  <c r="J52" i="62" s="1"/>
  <c r="L103" i="62"/>
  <c r="F103" i="62"/>
  <c r="C114" i="62"/>
  <c r="I112" i="62"/>
  <c r="C125" i="62"/>
  <c r="H130" i="62"/>
  <c r="H75" i="62" s="1"/>
  <c r="L131" i="62"/>
  <c r="G130" i="62"/>
  <c r="L136" i="62"/>
  <c r="L144" i="62"/>
  <c r="F165" i="62"/>
  <c r="C165" i="62" s="1"/>
  <c r="F173" i="62"/>
  <c r="I173" i="62"/>
  <c r="C178" i="62"/>
  <c r="C182" i="62"/>
  <c r="L184" i="62"/>
  <c r="C184" i="62" s="1"/>
  <c r="C197" i="62"/>
  <c r="F196" i="62"/>
  <c r="C200" i="62"/>
  <c r="I198" i="62"/>
  <c r="N230" i="62"/>
  <c r="O231" i="62"/>
  <c r="C86" i="62"/>
  <c r="I84" i="62"/>
  <c r="I89" i="62"/>
  <c r="C90" i="62"/>
  <c r="C240" i="62"/>
  <c r="I238" i="62"/>
  <c r="C285" i="62"/>
  <c r="F284" i="62"/>
  <c r="C77" i="62"/>
  <c r="N83" i="62"/>
  <c r="N75" i="62" s="1"/>
  <c r="N52" i="62" s="1"/>
  <c r="O103" i="62"/>
  <c r="C119" i="62"/>
  <c r="F116" i="62"/>
  <c r="L175" i="62"/>
  <c r="L174" i="62" s="1"/>
  <c r="L173" i="62" s="1"/>
  <c r="C179" i="62"/>
  <c r="C189" i="62"/>
  <c r="F188" i="62"/>
  <c r="C277" i="62"/>
  <c r="F276" i="62"/>
  <c r="C276" i="62" s="1"/>
  <c r="G20" i="62"/>
  <c r="O20" i="62"/>
  <c r="C87" i="62"/>
  <c r="F84" i="62"/>
  <c r="F89" i="62"/>
  <c r="C91" i="62"/>
  <c r="C96" i="62"/>
  <c r="O95" i="62"/>
  <c r="I103" i="62"/>
  <c r="C107" i="62"/>
  <c r="C126" i="62"/>
  <c r="C127" i="62"/>
  <c r="D130" i="62"/>
  <c r="C134" i="62"/>
  <c r="C135" i="62"/>
  <c r="C138" i="62"/>
  <c r="C139" i="62"/>
  <c r="F136" i="62"/>
  <c r="C142" i="62"/>
  <c r="C143" i="62"/>
  <c r="C146" i="62"/>
  <c r="C147" i="62"/>
  <c r="F144" i="62"/>
  <c r="C152" i="62"/>
  <c r="O151" i="62"/>
  <c r="O130" i="62" s="1"/>
  <c r="C158" i="62"/>
  <c r="C159" i="62"/>
  <c r="L160" i="62"/>
  <c r="C160" i="62" s="1"/>
  <c r="C169" i="62"/>
  <c r="C186" i="62"/>
  <c r="C220" i="62"/>
  <c r="C261" i="62"/>
  <c r="F260" i="62"/>
  <c r="C288" i="62"/>
  <c r="M187" i="62"/>
  <c r="L196" i="62"/>
  <c r="C215" i="62"/>
  <c r="L216" i="62"/>
  <c r="L204" i="62" s="1"/>
  <c r="C233" i="62"/>
  <c r="C263" i="62"/>
  <c r="E270" i="62"/>
  <c r="E269" i="62" s="1"/>
  <c r="E289" i="62" s="1"/>
  <c r="C279" i="62"/>
  <c r="C281" i="62"/>
  <c r="O188" i="62"/>
  <c r="O187" i="62" s="1"/>
  <c r="C193" i="62"/>
  <c r="F192" i="62"/>
  <c r="E195" i="62"/>
  <c r="M195" i="62"/>
  <c r="O196" i="62"/>
  <c r="O205" i="62"/>
  <c r="C217" i="62"/>
  <c r="F216" i="62"/>
  <c r="O216" i="62"/>
  <c r="J230" i="62"/>
  <c r="J194" i="62" s="1"/>
  <c r="C239" i="62"/>
  <c r="C241" i="62"/>
  <c r="F238" i="62"/>
  <c r="C248" i="62"/>
  <c r="I246" i="62"/>
  <c r="E230" i="62"/>
  <c r="C253" i="62"/>
  <c r="F252" i="62"/>
  <c r="O251" i="62"/>
  <c r="M259" i="62"/>
  <c r="M230" i="62" s="1"/>
  <c r="C265" i="62"/>
  <c r="F264" i="62"/>
  <c r="C271" i="62"/>
  <c r="L270" i="62"/>
  <c r="L269" i="62" s="1"/>
  <c r="C273" i="62"/>
  <c r="F272" i="62"/>
  <c r="C295" i="62"/>
  <c r="C296" i="62"/>
  <c r="C247" i="62"/>
  <c r="F293" i="62"/>
  <c r="C293" i="62" s="1"/>
  <c r="C21" i="61"/>
  <c r="C55" i="61"/>
  <c r="I54" i="61"/>
  <c r="I53" i="61" s="1"/>
  <c r="N75" i="61"/>
  <c r="O292" i="61"/>
  <c r="O291" i="61" s="1"/>
  <c r="E53" i="61"/>
  <c r="O67" i="61"/>
  <c r="D55" i="61"/>
  <c r="D54" i="61" s="1"/>
  <c r="D53" i="61" s="1"/>
  <c r="F58" i="61"/>
  <c r="C62" i="61"/>
  <c r="C73" i="61"/>
  <c r="D75" i="61"/>
  <c r="F84" i="61"/>
  <c r="C85" i="61"/>
  <c r="O84" i="61"/>
  <c r="I112" i="61"/>
  <c r="C113" i="61"/>
  <c r="D130" i="61"/>
  <c r="F151" i="61"/>
  <c r="C152" i="61"/>
  <c r="I160" i="61"/>
  <c r="C161" i="61"/>
  <c r="G174" i="61"/>
  <c r="G173" i="61" s="1"/>
  <c r="K174" i="61"/>
  <c r="K173" i="61" s="1"/>
  <c r="F179" i="61"/>
  <c r="C180" i="61"/>
  <c r="C253" i="61"/>
  <c r="F252" i="61"/>
  <c r="C268" i="61"/>
  <c r="I264" i="61"/>
  <c r="C22" i="61"/>
  <c r="I144" i="61"/>
  <c r="C145" i="61"/>
  <c r="F175" i="61"/>
  <c r="C176" i="61"/>
  <c r="G20" i="61"/>
  <c r="L27" i="61"/>
  <c r="L33" i="61"/>
  <c r="C33" i="61" s="1"/>
  <c r="L36" i="61"/>
  <c r="C36" i="61" s="1"/>
  <c r="F41" i="61"/>
  <c r="C41" i="61" s="1"/>
  <c r="O45" i="61"/>
  <c r="O20" i="61" s="1"/>
  <c r="O58" i="61"/>
  <c r="O54" i="61" s="1"/>
  <c r="O53" i="61" s="1"/>
  <c r="L69" i="61"/>
  <c r="L67" i="61" s="1"/>
  <c r="L53" i="61" s="1"/>
  <c r="L89" i="61"/>
  <c r="I103" i="61"/>
  <c r="I83" i="61" s="1"/>
  <c r="H83" i="61"/>
  <c r="C124" i="61"/>
  <c r="F122" i="61"/>
  <c r="C217" i="61"/>
  <c r="F216" i="61"/>
  <c r="F89" i="61"/>
  <c r="C90" i="61"/>
  <c r="C301" i="61"/>
  <c r="D20" i="61"/>
  <c r="H20" i="61"/>
  <c r="F67" i="61"/>
  <c r="C67" i="61" s="1"/>
  <c r="C78" i="61"/>
  <c r="O77" i="61"/>
  <c r="O76" i="61" s="1"/>
  <c r="F80" i="61"/>
  <c r="C80" i="61" s="1"/>
  <c r="C81" i="61"/>
  <c r="C97" i="61"/>
  <c r="F95" i="61"/>
  <c r="O95" i="61"/>
  <c r="I116" i="61"/>
  <c r="C117" i="61"/>
  <c r="I136" i="61"/>
  <c r="C137" i="61"/>
  <c r="I188" i="61"/>
  <c r="I187" i="61" s="1"/>
  <c r="C189" i="61"/>
  <c r="C200" i="61"/>
  <c r="I198" i="61"/>
  <c r="I196" i="61" s="1"/>
  <c r="C100" i="61"/>
  <c r="L103" i="61"/>
  <c r="I122" i="61"/>
  <c r="C126" i="61"/>
  <c r="E130" i="61"/>
  <c r="E75" i="61" s="1"/>
  <c r="C150" i="61"/>
  <c r="C154" i="61"/>
  <c r="C155" i="61"/>
  <c r="F166" i="61"/>
  <c r="C178" i="61"/>
  <c r="C182" i="61"/>
  <c r="C183" i="61"/>
  <c r="C186" i="61"/>
  <c r="N187" i="61"/>
  <c r="O205" i="61"/>
  <c r="C232" i="61"/>
  <c r="E259" i="61"/>
  <c r="C261" i="61"/>
  <c r="F260" i="61"/>
  <c r="C271" i="61"/>
  <c r="C275" i="61"/>
  <c r="C281" i="61"/>
  <c r="C285" i="61"/>
  <c r="F284" i="61"/>
  <c r="C96" i="61"/>
  <c r="C108" i="61"/>
  <c r="F112" i="61"/>
  <c r="O112" i="61"/>
  <c r="F116" i="61"/>
  <c r="O116" i="61"/>
  <c r="G130" i="61"/>
  <c r="G75" i="61" s="1"/>
  <c r="K130" i="61"/>
  <c r="K75" i="61" s="1"/>
  <c r="F131" i="61"/>
  <c r="C132" i="61"/>
  <c r="F136" i="61"/>
  <c r="O136" i="61"/>
  <c r="F144" i="61"/>
  <c r="O144" i="61"/>
  <c r="L151" i="61"/>
  <c r="L130" i="61" s="1"/>
  <c r="C156" i="61"/>
  <c r="F160" i="61"/>
  <c r="C168" i="61"/>
  <c r="J173" i="61"/>
  <c r="L175" i="61"/>
  <c r="L179" i="61"/>
  <c r="F188" i="61"/>
  <c r="C223" i="61"/>
  <c r="C237" i="61"/>
  <c r="F235" i="61"/>
  <c r="C248" i="61"/>
  <c r="I246" i="61"/>
  <c r="C265" i="61"/>
  <c r="F264" i="61"/>
  <c r="C104" i="61"/>
  <c r="O122" i="61"/>
  <c r="M130" i="61"/>
  <c r="C142" i="61"/>
  <c r="F141" i="61"/>
  <c r="C141" i="61" s="1"/>
  <c r="I166" i="61"/>
  <c r="I165" i="61" s="1"/>
  <c r="K194" i="61"/>
  <c r="C198" i="61"/>
  <c r="C241" i="61"/>
  <c r="F238" i="61"/>
  <c r="M259" i="61"/>
  <c r="M230" i="61" s="1"/>
  <c r="C197" i="61"/>
  <c r="F196" i="61"/>
  <c r="C215" i="61"/>
  <c r="L216" i="61"/>
  <c r="L204" i="61" s="1"/>
  <c r="L231" i="61"/>
  <c r="I235" i="61"/>
  <c r="C236" i="61"/>
  <c r="C247" i="61"/>
  <c r="C249" i="61"/>
  <c r="F246" i="61"/>
  <c r="C263" i="61"/>
  <c r="L264" i="61"/>
  <c r="C267" i="61"/>
  <c r="E270" i="61"/>
  <c r="E269" i="61" s="1"/>
  <c r="C273" i="61"/>
  <c r="F272" i="61"/>
  <c r="L276" i="61"/>
  <c r="C288" i="61"/>
  <c r="I286" i="61"/>
  <c r="C300" i="61"/>
  <c r="C193" i="61"/>
  <c r="F192" i="61"/>
  <c r="M195" i="61"/>
  <c r="L196" i="61"/>
  <c r="C208" i="61"/>
  <c r="C209" i="61"/>
  <c r="F205" i="61"/>
  <c r="C220" i="61"/>
  <c r="C233" i="61"/>
  <c r="G231" i="61"/>
  <c r="G230" i="61" s="1"/>
  <c r="G194" i="61" s="1"/>
  <c r="C240" i="61"/>
  <c r="I238" i="61"/>
  <c r="C256" i="61"/>
  <c r="I259" i="61"/>
  <c r="L259" i="61"/>
  <c r="C277" i="61"/>
  <c r="F276" i="61"/>
  <c r="C297" i="61"/>
  <c r="F293" i="61"/>
  <c r="C199" i="61"/>
  <c r="C287" i="61"/>
  <c r="C32" i="59"/>
  <c r="L31" i="59"/>
  <c r="C72" i="59"/>
  <c r="F69" i="59"/>
  <c r="F67" i="59" s="1"/>
  <c r="C132" i="59"/>
  <c r="C148" i="59"/>
  <c r="F165" i="59"/>
  <c r="F259" i="59"/>
  <c r="C262" i="59"/>
  <c r="C301" i="59"/>
  <c r="F291" i="59"/>
  <c r="O292" i="59"/>
  <c r="O291" i="59" s="1"/>
  <c r="O20" i="59"/>
  <c r="C45" i="59"/>
  <c r="C71" i="59"/>
  <c r="I69" i="59"/>
  <c r="I67" i="59" s="1"/>
  <c r="O76" i="59"/>
  <c r="C80" i="59"/>
  <c r="F76" i="59"/>
  <c r="L95" i="59"/>
  <c r="C98" i="59"/>
  <c r="C112" i="59"/>
  <c r="C128" i="59"/>
  <c r="I144" i="59"/>
  <c r="G292" i="59"/>
  <c r="G291" i="59" s="1"/>
  <c r="G20" i="59"/>
  <c r="L21" i="59"/>
  <c r="J20" i="59"/>
  <c r="C56" i="59"/>
  <c r="F58" i="59"/>
  <c r="C59" i="59"/>
  <c r="C60" i="59"/>
  <c r="C79" i="59"/>
  <c r="L84" i="59"/>
  <c r="C87" i="59"/>
  <c r="C90" i="59"/>
  <c r="L89" i="59"/>
  <c r="C96" i="59"/>
  <c r="F95" i="59"/>
  <c r="C95" i="59" s="1"/>
  <c r="C107" i="59"/>
  <c r="O116" i="59"/>
  <c r="O83" i="59" s="1"/>
  <c r="F122" i="59"/>
  <c r="I122" i="59"/>
  <c r="I83" i="59" s="1"/>
  <c r="C127" i="59"/>
  <c r="C141" i="59"/>
  <c r="C142" i="59"/>
  <c r="L144" i="59"/>
  <c r="C145" i="59"/>
  <c r="C152" i="59"/>
  <c r="L151" i="59"/>
  <c r="C182" i="59"/>
  <c r="I179" i="59"/>
  <c r="I174" i="59" s="1"/>
  <c r="I173" i="59" s="1"/>
  <c r="C23" i="59"/>
  <c r="I21" i="59"/>
  <c r="C24" i="59"/>
  <c r="F20" i="59"/>
  <c r="L43" i="59"/>
  <c r="C43" i="59" s="1"/>
  <c r="L77" i="59"/>
  <c r="C78" i="59"/>
  <c r="C92" i="59"/>
  <c r="F89" i="59"/>
  <c r="L103" i="59"/>
  <c r="C106" i="59"/>
  <c r="I136" i="59"/>
  <c r="I130" i="59" s="1"/>
  <c r="C147" i="59"/>
  <c r="F144" i="59"/>
  <c r="C154" i="59"/>
  <c r="F151" i="59"/>
  <c r="C190" i="59"/>
  <c r="L188" i="59"/>
  <c r="L187" i="59" s="1"/>
  <c r="K292" i="59"/>
  <c r="K291" i="59" s="1"/>
  <c r="C55" i="59"/>
  <c r="C74" i="59"/>
  <c r="C104" i="59"/>
  <c r="F103" i="59"/>
  <c r="C103" i="59" s="1"/>
  <c r="L136" i="59"/>
  <c r="C137" i="59"/>
  <c r="L36" i="59"/>
  <c r="C36" i="59" s="1"/>
  <c r="I58" i="59"/>
  <c r="I54" i="59" s="1"/>
  <c r="I53" i="59" s="1"/>
  <c r="H83" i="59"/>
  <c r="H75" i="59" s="1"/>
  <c r="C99" i="59"/>
  <c r="C111" i="59"/>
  <c r="L116" i="59"/>
  <c r="C116" i="59"/>
  <c r="C119" i="59"/>
  <c r="L122" i="59"/>
  <c r="K130" i="59"/>
  <c r="K75" i="59" s="1"/>
  <c r="K52" i="59" s="1"/>
  <c r="C138" i="59"/>
  <c r="C139" i="59"/>
  <c r="F136" i="59"/>
  <c r="O166" i="59"/>
  <c r="O165" i="59" s="1"/>
  <c r="C176" i="59"/>
  <c r="C177" i="59"/>
  <c r="F175" i="59"/>
  <c r="C181" i="59"/>
  <c r="L179" i="59"/>
  <c r="C241" i="59"/>
  <c r="F238" i="59"/>
  <c r="C247" i="59"/>
  <c r="L246" i="59"/>
  <c r="L231" i="59" s="1"/>
  <c r="C187" i="59"/>
  <c r="C188" i="59"/>
  <c r="I196" i="59"/>
  <c r="C197" i="59"/>
  <c r="C207" i="59"/>
  <c r="F205" i="59"/>
  <c r="C232" i="59"/>
  <c r="C284" i="59"/>
  <c r="F283" i="59"/>
  <c r="C283" i="59" s="1"/>
  <c r="F133" i="59"/>
  <c r="C133" i="59" s="1"/>
  <c r="C171" i="59"/>
  <c r="O175" i="59"/>
  <c r="O174" i="59" s="1"/>
  <c r="O173" i="59" s="1"/>
  <c r="C185" i="59"/>
  <c r="O184" i="59"/>
  <c r="D187" i="59"/>
  <c r="C193" i="59"/>
  <c r="K195" i="59"/>
  <c r="F196" i="59"/>
  <c r="I205" i="59"/>
  <c r="F223" i="59"/>
  <c r="C223" i="59" s="1"/>
  <c r="D216" i="59"/>
  <c r="D204" i="59" s="1"/>
  <c r="D195" i="59" s="1"/>
  <c r="C254" i="59"/>
  <c r="F252" i="59"/>
  <c r="I264" i="59"/>
  <c r="C264" i="59" s="1"/>
  <c r="L264" i="59"/>
  <c r="C267" i="59"/>
  <c r="C277" i="59"/>
  <c r="O276" i="59"/>
  <c r="C276" i="59" s="1"/>
  <c r="C282" i="59"/>
  <c r="C288" i="59"/>
  <c r="L166" i="59"/>
  <c r="L165" i="59" s="1"/>
  <c r="C167" i="59"/>
  <c r="D174" i="59"/>
  <c r="D173" i="59" s="1"/>
  <c r="H174" i="59"/>
  <c r="H173" i="59" s="1"/>
  <c r="L174" i="59"/>
  <c r="L173" i="59" s="1"/>
  <c r="C183" i="59"/>
  <c r="C191" i="59"/>
  <c r="C192" i="59"/>
  <c r="C202" i="59"/>
  <c r="N230" i="59"/>
  <c r="O238" i="59"/>
  <c r="O231" i="59" s="1"/>
  <c r="C248" i="59"/>
  <c r="I246" i="59"/>
  <c r="L260" i="59"/>
  <c r="L259" i="59" s="1"/>
  <c r="C263" i="59"/>
  <c r="C273" i="59"/>
  <c r="F272" i="59"/>
  <c r="C281" i="59"/>
  <c r="C286" i="59"/>
  <c r="L196" i="59"/>
  <c r="C199" i="59"/>
  <c r="O198" i="59"/>
  <c r="O196" i="59" s="1"/>
  <c r="C209" i="59"/>
  <c r="C218" i="59"/>
  <c r="C224" i="59"/>
  <c r="I227" i="59"/>
  <c r="C227" i="59" s="1"/>
  <c r="C228" i="59"/>
  <c r="H231" i="59"/>
  <c r="H230" i="59" s="1"/>
  <c r="H194" i="59" s="1"/>
  <c r="C233" i="59"/>
  <c r="I235" i="59"/>
  <c r="C236" i="59"/>
  <c r="C240" i="59"/>
  <c r="I238" i="59"/>
  <c r="E270" i="59"/>
  <c r="E269" i="59" s="1"/>
  <c r="C280" i="59"/>
  <c r="C296" i="59"/>
  <c r="C297" i="59"/>
  <c r="C198" i="59"/>
  <c r="C206" i="59"/>
  <c r="O205" i="59"/>
  <c r="L205" i="59"/>
  <c r="L204" i="59" s="1"/>
  <c r="C214" i="59"/>
  <c r="I216" i="59"/>
  <c r="C217" i="59"/>
  <c r="D231" i="59"/>
  <c r="D230" i="59" s="1"/>
  <c r="M230" i="59"/>
  <c r="C244" i="59"/>
  <c r="C245" i="59"/>
  <c r="C249" i="59"/>
  <c r="F246" i="59"/>
  <c r="C253" i="59"/>
  <c r="O252" i="59"/>
  <c r="O251" i="59" s="1"/>
  <c r="J270" i="59"/>
  <c r="J269" i="59" s="1"/>
  <c r="C285" i="59"/>
  <c r="O292" i="58"/>
  <c r="C105" i="58"/>
  <c r="L103" i="58"/>
  <c r="I43" i="58"/>
  <c r="C43" i="58" s="1"/>
  <c r="L54" i="58"/>
  <c r="L53" i="58" s="1"/>
  <c r="I55" i="58"/>
  <c r="C56" i="58"/>
  <c r="C85" i="58"/>
  <c r="F84" i="58"/>
  <c r="H83" i="58"/>
  <c r="O95" i="58"/>
  <c r="M20" i="58"/>
  <c r="M292" i="58"/>
  <c r="M291" i="58" s="1"/>
  <c r="C31" i="58"/>
  <c r="C81" i="58"/>
  <c r="F80" i="58"/>
  <c r="C80" i="58" s="1"/>
  <c r="C93" i="58"/>
  <c r="F89" i="58"/>
  <c r="I20" i="58"/>
  <c r="E292" i="58"/>
  <c r="E291" i="58" s="1"/>
  <c r="E20" i="58"/>
  <c r="F58" i="58"/>
  <c r="I67" i="58"/>
  <c r="C68" i="58"/>
  <c r="O69" i="58"/>
  <c r="O67" i="58" s="1"/>
  <c r="O53" i="58" s="1"/>
  <c r="C77" i="58"/>
  <c r="O76" i="58"/>
  <c r="C87" i="58"/>
  <c r="D83" i="58"/>
  <c r="G292" i="58"/>
  <c r="G291" i="58" s="1"/>
  <c r="G20" i="58"/>
  <c r="K292" i="58"/>
  <c r="K291" i="58" s="1"/>
  <c r="F21" i="58"/>
  <c r="C22" i="58"/>
  <c r="N53" i="58"/>
  <c r="I58" i="58"/>
  <c r="C60" i="58"/>
  <c r="C73" i="58"/>
  <c r="F69" i="58"/>
  <c r="L84" i="58"/>
  <c r="O89" i="58"/>
  <c r="C95" i="58"/>
  <c r="I95" i="58"/>
  <c r="C96" i="58"/>
  <c r="C232" i="58"/>
  <c r="F231" i="58"/>
  <c r="C268" i="58"/>
  <c r="I264" i="58"/>
  <c r="I259" i="58" s="1"/>
  <c r="C301" i="58"/>
  <c r="H291" i="58"/>
  <c r="C59" i="58"/>
  <c r="F76" i="58"/>
  <c r="C110" i="58"/>
  <c r="C114" i="58"/>
  <c r="I112" i="58"/>
  <c r="C118" i="58"/>
  <c r="I116" i="58"/>
  <c r="L122" i="58"/>
  <c r="C122" i="58" s="1"/>
  <c r="C126" i="58"/>
  <c r="H130" i="58"/>
  <c r="M130" i="58"/>
  <c r="M75" i="58" s="1"/>
  <c r="M52" i="58" s="1"/>
  <c r="C134" i="58"/>
  <c r="C142" i="58"/>
  <c r="C143" i="58"/>
  <c r="C152" i="58"/>
  <c r="F151" i="58"/>
  <c r="C167" i="58"/>
  <c r="O166" i="58"/>
  <c r="O165" i="58" s="1"/>
  <c r="K173" i="58"/>
  <c r="O174" i="58"/>
  <c r="O173" i="58" s="1"/>
  <c r="C261" i="58"/>
  <c r="F260" i="58"/>
  <c r="D130" i="58"/>
  <c r="C138" i="58"/>
  <c r="C154" i="58"/>
  <c r="F165" i="58"/>
  <c r="I166" i="58"/>
  <c r="I165" i="58" s="1"/>
  <c r="G173" i="58"/>
  <c r="C177" i="58"/>
  <c r="C197" i="58"/>
  <c r="F196" i="58"/>
  <c r="C253" i="58"/>
  <c r="F252" i="58"/>
  <c r="F103" i="58"/>
  <c r="C106" i="58"/>
  <c r="L112" i="58"/>
  <c r="L116" i="58"/>
  <c r="C123" i="58"/>
  <c r="C128" i="58"/>
  <c r="C132" i="58"/>
  <c r="F131" i="58"/>
  <c r="C147" i="58"/>
  <c r="C159" i="58"/>
  <c r="C162" i="58"/>
  <c r="C170" i="58"/>
  <c r="C186" i="58"/>
  <c r="C187" i="58"/>
  <c r="C190" i="58"/>
  <c r="C191" i="58"/>
  <c r="I160" i="58"/>
  <c r="C185" i="58"/>
  <c r="C193" i="58"/>
  <c r="O205" i="58"/>
  <c r="O204" i="58" s="1"/>
  <c r="O195" i="58" s="1"/>
  <c r="C217" i="58"/>
  <c r="F216" i="58"/>
  <c r="C216" i="58" s="1"/>
  <c r="C233" i="58"/>
  <c r="I235" i="58"/>
  <c r="C236" i="58"/>
  <c r="C255" i="58"/>
  <c r="C263" i="58"/>
  <c r="E270" i="58"/>
  <c r="E269" i="58" s="1"/>
  <c r="C273" i="58"/>
  <c r="F272" i="58"/>
  <c r="C288" i="58"/>
  <c r="I286" i="58"/>
  <c r="C300" i="58"/>
  <c r="F136" i="58"/>
  <c r="C136" i="58" s="1"/>
  <c r="F144" i="58"/>
  <c r="C144" i="58" s="1"/>
  <c r="F175" i="58"/>
  <c r="F179" i="58"/>
  <c r="C179" i="58" s="1"/>
  <c r="E195" i="58"/>
  <c r="M195" i="58"/>
  <c r="L196" i="58"/>
  <c r="C207" i="58"/>
  <c r="C209" i="58"/>
  <c r="F205" i="58"/>
  <c r="C219" i="58"/>
  <c r="O231" i="58"/>
  <c r="O230" i="58" s="1"/>
  <c r="L231" i="58"/>
  <c r="K231" i="58"/>
  <c r="K230" i="58" s="1"/>
  <c r="C248" i="58"/>
  <c r="I246" i="58"/>
  <c r="C246" i="58" s="1"/>
  <c r="M230" i="58"/>
  <c r="L252" i="58"/>
  <c r="L251" i="58" s="1"/>
  <c r="M259" i="58"/>
  <c r="L260" i="58"/>
  <c r="L259" i="58" s="1"/>
  <c r="C265" i="58"/>
  <c r="F264" i="58"/>
  <c r="C264" i="58" s="1"/>
  <c r="C275" i="58"/>
  <c r="C281" i="58"/>
  <c r="C285" i="58"/>
  <c r="F284" i="58"/>
  <c r="O293" i="58"/>
  <c r="C200" i="58"/>
  <c r="I198" i="58"/>
  <c r="C208" i="58"/>
  <c r="I205" i="58"/>
  <c r="I204" i="58" s="1"/>
  <c r="I227" i="58"/>
  <c r="C227" i="58" s="1"/>
  <c r="C228" i="58"/>
  <c r="C240" i="58"/>
  <c r="I238" i="58"/>
  <c r="C238" i="58" s="1"/>
  <c r="C277" i="58"/>
  <c r="F276" i="58"/>
  <c r="C297" i="58"/>
  <c r="F293" i="58"/>
  <c r="C199" i="58"/>
  <c r="C239" i="58"/>
  <c r="C247" i="58"/>
  <c r="C271" i="58"/>
  <c r="C287" i="58"/>
  <c r="H52" i="61" l="1"/>
  <c r="H289" i="61"/>
  <c r="K52" i="62"/>
  <c r="K51" i="62" s="1"/>
  <c r="K289" i="62"/>
  <c r="J194" i="58"/>
  <c r="J289" i="58"/>
  <c r="E289" i="61"/>
  <c r="C293" i="58"/>
  <c r="C103" i="58"/>
  <c r="O83" i="58"/>
  <c r="O204" i="59"/>
  <c r="O195" i="59" s="1"/>
  <c r="M75" i="61"/>
  <c r="M52" i="61" s="1"/>
  <c r="O204" i="61"/>
  <c r="O195" i="61" s="1"/>
  <c r="I130" i="61"/>
  <c r="L83" i="61"/>
  <c r="L75" i="61" s="1"/>
  <c r="C216" i="62"/>
  <c r="H289" i="62"/>
  <c r="G75" i="62"/>
  <c r="K75" i="58"/>
  <c r="K289" i="58" s="1"/>
  <c r="O130" i="58"/>
  <c r="L26" i="58"/>
  <c r="C26" i="58" s="1"/>
  <c r="L130" i="58"/>
  <c r="O20" i="58"/>
  <c r="E52" i="59"/>
  <c r="C69" i="62"/>
  <c r="O53" i="62"/>
  <c r="L259" i="62"/>
  <c r="L230" i="62" s="1"/>
  <c r="H194" i="61"/>
  <c r="K194" i="58"/>
  <c r="H75" i="58"/>
  <c r="C184" i="59"/>
  <c r="H52" i="59"/>
  <c r="G52" i="61"/>
  <c r="G51" i="61" s="1"/>
  <c r="C151" i="61"/>
  <c r="C103" i="61"/>
  <c r="D289" i="61"/>
  <c r="N289" i="61"/>
  <c r="C246" i="62"/>
  <c r="G230" i="58"/>
  <c r="G289" i="58" s="1"/>
  <c r="N194" i="61"/>
  <c r="D194" i="62"/>
  <c r="I130" i="62"/>
  <c r="J289" i="61"/>
  <c r="O291" i="58"/>
  <c r="L130" i="59"/>
  <c r="E289" i="59"/>
  <c r="I231" i="59"/>
  <c r="D194" i="59"/>
  <c r="C151" i="59"/>
  <c r="C67" i="59"/>
  <c r="O130" i="61"/>
  <c r="E230" i="61"/>
  <c r="C70" i="61"/>
  <c r="O204" i="62"/>
  <c r="O195" i="62" s="1"/>
  <c r="C166" i="62"/>
  <c r="N75" i="59"/>
  <c r="N289" i="59" s="1"/>
  <c r="M75" i="59"/>
  <c r="M52" i="59" s="1"/>
  <c r="O174" i="61"/>
  <c r="O173" i="61" s="1"/>
  <c r="K50" i="62"/>
  <c r="K290" i="62"/>
  <c r="H52" i="62"/>
  <c r="H51" i="62" s="1"/>
  <c r="O259" i="62"/>
  <c r="O230" i="62" s="1"/>
  <c r="C264" i="62"/>
  <c r="D75" i="62"/>
  <c r="C89" i="62"/>
  <c r="I231" i="62"/>
  <c r="I230" i="62" s="1"/>
  <c r="L53" i="62"/>
  <c r="G194" i="62"/>
  <c r="M52" i="62"/>
  <c r="O83" i="62"/>
  <c r="O75" i="62" s="1"/>
  <c r="O52" i="62" s="1"/>
  <c r="C116" i="62"/>
  <c r="N194" i="62"/>
  <c r="M289" i="62"/>
  <c r="C131" i="62"/>
  <c r="J51" i="62"/>
  <c r="C174" i="62"/>
  <c r="C95" i="62"/>
  <c r="F291" i="62"/>
  <c r="I75" i="61"/>
  <c r="C276" i="61"/>
  <c r="I231" i="61"/>
  <c r="I230" i="61" s="1"/>
  <c r="L174" i="61"/>
  <c r="L173" i="61" s="1"/>
  <c r="C160" i="61"/>
  <c r="C144" i="61"/>
  <c r="C116" i="61"/>
  <c r="C95" i="61"/>
  <c r="I292" i="61"/>
  <c r="O230" i="61"/>
  <c r="C122" i="61"/>
  <c r="D52" i="61"/>
  <c r="D51" i="61" s="1"/>
  <c r="D290" i="61" s="1"/>
  <c r="C293" i="61"/>
  <c r="J52" i="61"/>
  <c r="J51" i="61" s="1"/>
  <c r="J50" i="61" s="1"/>
  <c r="I195" i="61"/>
  <c r="I194" i="61" s="1"/>
  <c r="L291" i="61"/>
  <c r="G51" i="59"/>
  <c r="G290" i="59" s="1"/>
  <c r="D289" i="59"/>
  <c r="I259" i="59"/>
  <c r="I230" i="59" s="1"/>
  <c r="C235" i="59"/>
  <c r="D52" i="59"/>
  <c r="D51" i="59" s="1"/>
  <c r="O270" i="59"/>
  <c r="O269" i="59" s="1"/>
  <c r="L230" i="59"/>
  <c r="M194" i="59"/>
  <c r="C89" i="59"/>
  <c r="L53" i="59"/>
  <c r="G289" i="59"/>
  <c r="F216" i="59"/>
  <c r="C216" i="59" s="1"/>
  <c r="K194" i="59"/>
  <c r="K51" i="59" s="1"/>
  <c r="O259" i="59"/>
  <c r="O230" i="59" s="1"/>
  <c r="J75" i="59"/>
  <c r="J289" i="59" s="1"/>
  <c r="N52" i="59"/>
  <c r="N194" i="58"/>
  <c r="N289" i="58"/>
  <c r="C151" i="58"/>
  <c r="D75" i="58"/>
  <c r="D52" i="58" s="1"/>
  <c r="D51" i="58" s="1"/>
  <c r="J52" i="58"/>
  <c r="J51" i="58" s="1"/>
  <c r="E75" i="58"/>
  <c r="E52" i="58" s="1"/>
  <c r="C112" i="58"/>
  <c r="C276" i="58"/>
  <c r="I231" i="58"/>
  <c r="I230" i="58" s="1"/>
  <c r="C160" i="58"/>
  <c r="C165" i="58"/>
  <c r="C116" i="58"/>
  <c r="C235" i="58"/>
  <c r="N52" i="58"/>
  <c r="O270" i="58"/>
  <c r="O269" i="58" s="1"/>
  <c r="O194" i="58" s="1"/>
  <c r="M289" i="58"/>
  <c r="L230" i="58"/>
  <c r="E194" i="58"/>
  <c r="C272" i="58"/>
  <c r="I130" i="58"/>
  <c r="L20" i="58"/>
  <c r="L204" i="58"/>
  <c r="L195" i="58" s="1"/>
  <c r="L194" i="58" s="1"/>
  <c r="J50" i="62"/>
  <c r="J290" i="62"/>
  <c r="J289" i="62"/>
  <c r="D52" i="62"/>
  <c r="D51" i="62" s="1"/>
  <c r="D289" i="62"/>
  <c r="N51" i="62"/>
  <c r="G52" i="62"/>
  <c r="G51" i="62" s="1"/>
  <c r="G289" i="62"/>
  <c r="H290" i="62"/>
  <c r="H50" i="62"/>
  <c r="F270" i="62"/>
  <c r="C272" i="62"/>
  <c r="C252" i="62"/>
  <c r="F251" i="62"/>
  <c r="C251" i="62" s="1"/>
  <c r="N289" i="62"/>
  <c r="C198" i="62"/>
  <c r="I196" i="62"/>
  <c r="I195" i="62" s="1"/>
  <c r="L130" i="62"/>
  <c r="L75" i="62" s="1"/>
  <c r="L52" i="62" s="1"/>
  <c r="C238" i="62"/>
  <c r="C192" i="62"/>
  <c r="F191" i="62"/>
  <c r="C191" i="62" s="1"/>
  <c r="L195" i="62"/>
  <c r="C144" i="62"/>
  <c r="C284" i="62"/>
  <c r="F283" i="62"/>
  <c r="C283" i="62" s="1"/>
  <c r="C173" i="62"/>
  <c r="C103" i="62"/>
  <c r="F231" i="62"/>
  <c r="C112" i="62"/>
  <c r="C55" i="62"/>
  <c r="F54" i="62"/>
  <c r="C151" i="62"/>
  <c r="I52" i="62"/>
  <c r="M194" i="62"/>
  <c r="M51" i="62" s="1"/>
  <c r="C260" i="62"/>
  <c r="F259" i="62"/>
  <c r="I292" i="62"/>
  <c r="I291" i="62" s="1"/>
  <c r="I20" i="62"/>
  <c r="C205" i="62"/>
  <c r="F204" i="62"/>
  <c r="E194" i="62"/>
  <c r="E51" i="62" s="1"/>
  <c r="F83" i="62"/>
  <c r="C84" i="62"/>
  <c r="I83" i="62"/>
  <c r="I75" i="62" s="1"/>
  <c r="C291" i="62"/>
  <c r="C292" i="62"/>
  <c r="C136" i="62"/>
  <c r="F130" i="62"/>
  <c r="C188" i="62"/>
  <c r="F195" i="62"/>
  <c r="C31" i="62"/>
  <c r="L26" i="62"/>
  <c r="C175" i="62"/>
  <c r="C21" i="62"/>
  <c r="C76" i="62"/>
  <c r="M289" i="61"/>
  <c r="J290" i="61"/>
  <c r="K52" i="61"/>
  <c r="K51" i="61" s="1"/>
  <c r="K289" i="61"/>
  <c r="G290" i="61"/>
  <c r="G50" i="61"/>
  <c r="E52" i="61"/>
  <c r="G289" i="61"/>
  <c r="C89" i="61"/>
  <c r="N52" i="61"/>
  <c r="N51" i="61" s="1"/>
  <c r="F76" i="61"/>
  <c r="C192" i="61"/>
  <c r="F191" i="61"/>
  <c r="C191" i="61" s="1"/>
  <c r="I289" i="61"/>
  <c r="C246" i="61"/>
  <c r="C238" i="61"/>
  <c r="C235" i="61"/>
  <c r="F231" i="61"/>
  <c r="C188" i="61"/>
  <c r="C136" i="61"/>
  <c r="C112" i="61"/>
  <c r="C77" i="61"/>
  <c r="C179" i="61"/>
  <c r="F20" i="61"/>
  <c r="I52" i="61"/>
  <c r="C205" i="61"/>
  <c r="F204" i="61"/>
  <c r="C204" i="61" s="1"/>
  <c r="M194" i="61"/>
  <c r="M51" i="61" s="1"/>
  <c r="C131" i="61"/>
  <c r="F130" i="61"/>
  <c r="C130" i="61" s="1"/>
  <c r="C166" i="61"/>
  <c r="F165" i="61"/>
  <c r="C165" i="61" s="1"/>
  <c r="C175" i="61"/>
  <c r="F174" i="61"/>
  <c r="E194" i="61"/>
  <c r="C264" i="61"/>
  <c r="O194" i="61"/>
  <c r="C284" i="61"/>
  <c r="F283" i="61"/>
  <c r="C283" i="61" s="1"/>
  <c r="O75" i="61"/>
  <c r="F291" i="61"/>
  <c r="C216" i="61"/>
  <c r="O83" i="61"/>
  <c r="C69" i="61"/>
  <c r="L195" i="61"/>
  <c r="F270" i="61"/>
  <c r="C272" i="61"/>
  <c r="L230" i="61"/>
  <c r="C196" i="61"/>
  <c r="F195" i="61"/>
  <c r="C260" i="61"/>
  <c r="F259" i="61"/>
  <c r="C259" i="61" s="1"/>
  <c r="C286" i="61"/>
  <c r="C45" i="61"/>
  <c r="C27" i="61"/>
  <c r="L26" i="61"/>
  <c r="C252" i="61"/>
  <c r="F251" i="61"/>
  <c r="C251" i="61" s="1"/>
  <c r="C84" i="61"/>
  <c r="F83" i="61"/>
  <c r="C58" i="61"/>
  <c r="F54" i="61"/>
  <c r="D290" i="59"/>
  <c r="D50" i="59"/>
  <c r="H51" i="59"/>
  <c r="I75" i="59"/>
  <c r="I52" i="59" s="1"/>
  <c r="F270" i="59"/>
  <c r="C272" i="59"/>
  <c r="J194" i="59"/>
  <c r="C165" i="59"/>
  <c r="L195" i="59"/>
  <c r="C136" i="59"/>
  <c r="C166" i="59"/>
  <c r="C69" i="59"/>
  <c r="N194" i="59"/>
  <c r="E194" i="59"/>
  <c r="E51" i="59" s="1"/>
  <c r="I204" i="59"/>
  <c r="C179" i="59"/>
  <c r="G50" i="59"/>
  <c r="C144" i="59"/>
  <c r="C77" i="59"/>
  <c r="L76" i="59"/>
  <c r="I292" i="59"/>
  <c r="C21" i="59"/>
  <c r="I20" i="59"/>
  <c r="C122" i="59"/>
  <c r="F83" i="59"/>
  <c r="L292" i="59"/>
  <c r="L291" i="59" s="1"/>
  <c r="C76" i="59"/>
  <c r="C252" i="59"/>
  <c r="F251" i="59"/>
  <c r="C251" i="59" s="1"/>
  <c r="C205" i="59"/>
  <c r="L83" i="59"/>
  <c r="O75" i="59"/>
  <c r="O52" i="59" s="1"/>
  <c r="C31" i="59"/>
  <c r="L26" i="59"/>
  <c r="H289" i="59"/>
  <c r="C175" i="59"/>
  <c r="F174" i="59"/>
  <c r="C58" i="59"/>
  <c r="F54" i="59"/>
  <c r="C246" i="59"/>
  <c r="C196" i="59"/>
  <c r="I195" i="59"/>
  <c r="C238" i="59"/>
  <c r="F231" i="59"/>
  <c r="C84" i="59"/>
  <c r="C260" i="59"/>
  <c r="F131" i="59"/>
  <c r="H289" i="58"/>
  <c r="H52" i="58"/>
  <c r="H51" i="58" s="1"/>
  <c r="M194" i="58"/>
  <c r="M51" i="58" s="1"/>
  <c r="C131" i="58"/>
  <c r="F130" i="58"/>
  <c r="C69" i="58"/>
  <c r="F67" i="58"/>
  <c r="C67" i="58" s="1"/>
  <c r="I292" i="58"/>
  <c r="I291" i="58" s="1"/>
  <c r="C205" i="58"/>
  <c r="F204" i="58"/>
  <c r="C204" i="58" s="1"/>
  <c r="F292" i="58"/>
  <c r="F20" i="58"/>
  <c r="C21" i="58"/>
  <c r="C58" i="58"/>
  <c r="I83" i="58"/>
  <c r="C198" i="58"/>
  <c r="I196" i="58"/>
  <c r="I195" i="58" s="1"/>
  <c r="C284" i="58"/>
  <c r="F283" i="58"/>
  <c r="C283" i="58" s="1"/>
  <c r="F270" i="58"/>
  <c r="C166" i="58"/>
  <c r="C286" i="58"/>
  <c r="C260" i="58"/>
  <c r="F259" i="58"/>
  <c r="C259" i="58" s="1"/>
  <c r="L83" i="58"/>
  <c r="L75" i="58" s="1"/>
  <c r="C89" i="58"/>
  <c r="I54" i="58"/>
  <c r="I53" i="58" s="1"/>
  <c r="C55" i="58"/>
  <c r="G52" i="58"/>
  <c r="C175" i="58"/>
  <c r="F174" i="58"/>
  <c r="C252" i="58"/>
  <c r="F251" i="58"/>
  <c r="C251" i="58" s="1"/>
  <c r="C76" i="58"/>
  <c r="F230" i="58"/>
  <c r="C230" i="58" s="1"/>
  <c r="O75" i="58"/>
  <c r="O289" i="58" s="1"/>
  <c r="C84" i="58"/>
  <c r="F83" i="58"/>
  <c r="F54" i="58"/>
  <c r="K50" i="59" l="1"/>
  <c r="K290" i="59"/>
  <c r="K52" i="58"/>
  <c r="K51" i="58" s="1"/>
  <c r="M289" i="59"/>
  <c r="O52" i="58"/>
  <c r="C83" i="61"/>
  <c r="O289" i="61"/>
  <c r="C204" i="62"/>
  <c r="N51" i="58"/>
  <c r="G194" i="58"/>
  <c r="G51" i="58" s="1"/>
  <c r="C231" i="58"/>
  <c r="L289" i="58"/>
  <c r="I194" i="58"/>
  <c r="C196" i="58"/>
  <c r="C196" i="62"/>
  <c r="L52" i="61"/>
  <c r="H51" i="61"/>
  <c r="E51" i="58"/>
  <c r="E289" i="58"/>
  <c r="C130" i="62"/>
  <c r="I194" i="62"/>
  <c r="I51" i="62" s="1"/>
  <c r="I290" i="62" s="1"/>
  <c r="I289" i="62"/>
  <c r="C259" i="62"/>
  <c r="F187" i="62"/>
  <c r="C187" i="62" s="1"/>
  <c r="O194" i="62"/>
  <c r="I51" i="61"/>
  <c r="I50" i="61" s="1"/>
  <c r="L289" i="61"/>
  <c r="D50" i="61"/>
  <c r="E51" i="61"/>
  <c r="I291" i="61"/>
  <c r="C291" i="61" s="1"/>
  <c r="C292" i="61"/>
  <c r="F204" i="59"/>
  <c r="C259" i="59"/>
  <c r="N51" i="59"/>
  <c r="N50" i="59" s="1"/>
  <c r="L194" i="59"/>
  <c r="J52" i="59"/>
  <c r="J51" i="59" s="1"/>
  <c r="C83" i="59"/>
  <c r="O194" i="59"/>
  <c r="O51" i="59" s="1"/>
  <c r="I194" i="59"/>
  <c r="I51" i="59" s="1"/>
  <c r="M51" i="59"/>
  <c r="J50" i="58"/>
  <c r="J290" i="58"/>
  <c r="D289" i="58"/>
  <c r="C20" i="58"/>
  <c r="C130" i="58"/>
  <c r="L52" i="58"/>
  <c r="L51" i="58" s="1"/>
  <c r="L50" i="58" s="1"/>
  <c r="I75" i="58"/>
  <c r="C83" i="58"/>
  <c r="O51" i="58"/>
  <c r="O50" i="58" s="1"/>
  <c r="M50" i="62"/>
  <c r="M290" i="62"/>
  <c r="D290" i="62"/>
  <c r="D50" i="62"/>
  <c r="C195" i="62"/>
  <c r="C83" i="62"/>
  <c r="F75" i="62"/>
  <c r="C75" i="62" s="1"/>
  <c r="F269" i="62"/>
  <c r="C270" i="62"/>
  <c r="N50" i="62"/>
  <c r="N290" i="62"/>
  <c r="E290" i="62"/>
  <c r="E50" i="62"/>
  <c r="F53" i="62"/>
  <c r="C54" i="62"/>
  <c r="G50" i="62"/>
  <c r="G290" i="62"/>
  <c r="O51" i="62"/>
  <c r="L194" i="62"/>
  <c r="L51" i="62" s="1"/>
  <c r="L289" i="62"/>
  <c r="C26" i="62"/>
  <c r="L20" i="62"/>
  <c r="C20" i="62" s="1"/>
  <c r="O289" i="62"/>
  <c r="F230" i="62"/>
  <c r="C230" i="62" s="1"/>
  <c r="C231" i="62"/>
  <c r="M50" i="61"/>
  <c r="M290" i="61"/>
  <c r="C54" i="61"/>
  <c r="F53" i="61"/>
  <c r="C195" i="61"/>
  <c r="F269" i="61"/>
  <c r="C270" i="61"/>
  <c r="C174" i="61"/>
  <c r="F173" i="61"/>
  <c r="C173" i="61" s="1"/>
  <c r="F187" i="61"/>
  <c r="C187" i="61" s="1"/>
  <c r="C76" i="61"/>
  <c r="F75" i="61"/>
  <c r="C75" i="61" s="1"/>
  <c r="O52" i="61"/>
  <c r="O51" i="61" s="1"/>
  <c r="C26" i="61"/>
  <c r="L20" i="61"/>
  <c r="C20" i="61" s="1"/>
  <c r="L194" i="61"/>
  <c r="L51" i="61" s="1"/>
  <c r="L50" i="61" s="1"/>
  <c r="I290" i="61"/>
  <c r="F230" i="61"/>
  <c r="C230" i="61" s="1"/>
  <c r="C231" i="61"/>
  <c r="N50" i="61"/>
  <c r="N290" i="61"/>
  <c r="E290" i="61"/>
  <c r="E50" i="61"/>
  <c r="K50" i="61"/>
  <c r="K290" i="61"/>
  <c r="E290" i="59"/>
  <c r="E50" i="59"/>
  <c r="L75" i="59"/>
  <c r="L52" i="59" s="1"/>
  <c r="L51" i="59" s="1"/>
  <c r="L50" i="59" s="1"/>
  <c r="N290" i="59"/>
  <c r="H290" i="59"/>
  <c r="H50" i="59"/>
  <c r="F230" i="59"/>
  <c r="C230" i="59" s="1"/>
  <c r="C231" i="59"/>
  <c r="C26" i="59"/>
  <c r="L20" i="59"/>
  <c r="C20" i="59" s="1"/>
  <c r="I289" i="59"/>
  <c r="C292" i="59"/>
  <c r="I291" i="59"/>
  <c r="C291" i="59" s="1"/>
  <c r="F53" i="59"/>
  <c r="C54" i="59"/>
  <c r="C131" i="59"/>
  <c r="F130" i="59"/>
  <c r="C130" i="59" s="1"/>
  <c r="C174" i="59"/>
  <c r="F173" i="59"/>
  <c r="C173" i="59" s="1"/>
  <c r="F269" i="59"/>
  <c r="C270" i="59"/>
  <c r="O289" i="59"/>
  <c r="M50" i="58"/>
  <c r="M290" i="58"/>
  <c r="C292" i="58"/>
  <c r="F291" i="58"/>
  <c r="C291" i="58" s="1"/>
  <c r="F75" i="58"/>
  <c r="C75" i="58" s="1"/>
  <c r="C174" i="58"/>
  <c r="F173" i="58"/>
  <c r="C173" i="58" s="1"/>
  <c r="H290" i="58"/>
  <c r="H50" i="58"/>
  <c r="F53" i="58"/>
  <c r="C54" i="58"/>
  <c r="F195" i="58"/>
  <c r="I289" i="58"/>
  <c r="D290" i="58"/>
  <c r="D50" i="58"/>
  <c r="L290" i="58"/>
  <c r="I52" i="58"/>
  <c r="I51" i="58" s="1"/>
  <c r="F269" i="58"/>
  <c r="C270" i="58"/>
  <c r="I50" i="59" l="1"/>
  <c r="I290" i="59"/>
  <c r="O290" i="59"/>
  <c r="O50" i="59"/>
  <c r="G50" i="58"/>
  <c r="G290" i="58"/>
  <c r="K290" i="58"/>
  <c r="K50" i="58"/>
  <c r="H290" i="61"/>
  <c r="H50" i="61"/>
  <c r="N50" i="58"/>
  <c r="N290" i="58"/>
  <c r="F194" i="62"/>
  <c r="O290" i="58"/>
  <c r="E290" i="58"/>
  <c r="E50" i="58"/>
  <c r="I50" i="62"/>
  <c r="C194" i="62"/>
  <c r="J50" i="59"/>
  <c r="J290" i="59"/>
  <c r="M50" i="59"/>
  <c r="M290" i="59"/>
  <c r="C204" i="59"/>
  <c r="F195" i="59"/>
  <c r="C195" i="59" s="1"/>
  <c r="L50" i="62"/>
  <c r="L290" i="62"/>
  <c r="O50" i="62"/>
  <c r="O290" i="62"/>
  <c r="F52" i="62"/>
  <c r="C53" i="62"/>
  <c r="C269" i="62"/>
  <c r="F289" i="62"/>
  <c r="C289" i="62" s="1"/>
  <c r="C269" i="61"/>
  <c r="F289" i="61"/>
  <c r="C289" i="61" s="1"/>
  <c r="O50" i="61"/>
  <c r="O290" i="61"/>
  <c r="L290" i="61"/>
  <c r="F194" i="61"/>
  <c r="C194" i="61" s="1"/>
  <c r="C53" i="61"/>
  <c r="F52" i="61"/>
  <c r="L289" i="59"/>
  <c r="L290" i="59"/>
  <c r="C53" i="59"/>
  <c r="C269" i="59"/>
  <c r="F75" i="59"/>
  <c r="C75" i="59" s="1"/>
  <c r="F194" i="58"/>
  <c r="C194" i="58" s="1"/>
  <c r="C195" i="58"/>
  <c r="C269" i="58"/>
  <c r="F289" i="58"/>
  <c r="C289" i="58" s="1"/>
  <c r="I290" i="58"/>
  <c r="I50" i="58"/>
  <c r="C53" i="58"/>
  <c r="F52" i="58"/>
  <c r="F194" i="59" l="1"/>
  <c r="C194" i="59" s="1"/>
  <c r="C52" i="62"/>
  <c r="F51" i="62"/>
  <c r="F51" i="61"/>
  <c r="C52" i="61"/>
  <c r="F52" i="59"/>
  <c r="F289" i="59"/>
  <c r="C289" i="59" s="1"/>
  <c r="C52" i="58"/>
  <c r="F51" i="58"/>
  <c r="F290" i="62" l="1"/>
  <c r="C290" i="62" s="1"/>
  <c r="F50" i="62"/>
  <c r="C50" i="62" s="1"/>
  <c r="C51" i="62"/>
  <c r="F290" i="61"/>
  <c r="C290" i="61" s="1"/>
  <c r="F50" i="61"/>
  <c r="C50" i="61" s="1"/>
  <c r="C51" i="61"/>
  <c r="C52" i="59"/>
  <c r="F51" i="59"/>
  <c r="F290" i="58"/>
  <c r="C290" i="58" s="1"/>
  <c r="F50" i="58"/>
  <c r="C50" i="58" s="1"/>
  <c r="C51" i="58"/>
  <c r="F290" i="59" l="1"/>
  <c r="C290" i="59" s="1"/>
  <c r="C51" i="59"/>
  <c r="F50" i="59"/>
  <c r="C50" i="59" s="1"/>
  <c r="I58" i="57" l="1"/>
  <c r="J57" i="57"/>
  <c r="I57" i="57"/>
  <c r="J56" i="57"/>
  <c r="I56" i="57"/>
  <c r="J55" i="57"/>
  <c r="I55" i="57"/>
  <c r="J54" i="57"/>
  <c r="I54" i="57"/>
  <c r="J53" i="57"/>
  <c r="G53" i="57"/>
  <c r="J52" i="57"/>
  <c r="I52" i="57"/>
  <c r="J51" i="57"/>
  <c r="I51" i="57"/>
  <c r="J50" i="57"/>
  <c r="I50" i="57"/>
  <c r="J49" i="57"/>
  <c r="I49" i="57"/>
  <c r="J48" i="57"/>
  <c r="I48" i="57"/>
  <c r="J47" i="57"/>
  <c r="G47" i="57"/>
  <c r="I47" i="57" s="1"/>
  <c r="H46" i="57"/>
  <c r="F46" i="57"/>
  <c r="E46" i="57"/>
  <c r="J40" i="57"/>
  <c r="I40" i="57"/>
  <c r="J39" i="57"/>
  <c r="I39" i="57"/>
  <c r="J38" i="57"/>
  <c r="I38" i="57"/>
  <c r="J37" i="57"/>
  <c r="I37" i="57"/>
  <c r="H36" i="57"/>
  <c r="G36" i="57"/>
  <c r="F36" i="57"/>
  <c r="E36" i="57"/>
  <c r="J30" i="57"/>
  <c r="I30" i="57"/>
  <c r="J29" i="57"/>
  <c r="I29" i="57"/>
  <c r="J28" i="57"/>
  <c r="I28" i="57"/>
  <c r="J27" i="57"/>
  <c r="I27" i="57"/>
  <c r="J26" i="57"/>
  <c r="I26" i="57"/>
  <c r="J25" i="57"/>
  <c r="I25" i="57"/>
  <c r="J24" i="57"/>
  <c r="I24" i="57"/>
  <c r="J23" i="57"/>
  <c r="I23" i="57"/>
  <c r="J22" i="57"/>
  <c r="I22" i="57"/>
  <c r="J21" i="57"/>
  <c r="I21" i="57"/>
  <c r="J20" i="57"/>
  <c r="I20" i="57"/>
  <c r="J19" i="57"/>
  <c r="I19" i="57"/>
  <c r="J18" i="57"/>
  <c r="I18" i="57"/>
  <c r="J17" i="57"/>
  <c r="I17" i="57"/>
  <c r="J16" i="57"/>
  <c r="I16" i="57"/>
  <c r="J15" i="57"/>
  <c r="I15" i="57"/>
  <c r="J14" i="57"/>
  <c r="I14" i="57"/>
  <c r="H12" i="57"/>
  <c r="G12" i="57"/>
  <c r="F12" i="57"/>
  <c r="E12" i="57"/>
  <c r="J36" i="57" l="1"/>
  <c r="J12" i="57"/>
  <c r="I36" i="57"/>
  <c r="I12" i="57"/>
  <c r="J46" i="57"/>
  <c r="G46" i="57"/>
  <c r="I53" i="57"/>
  <c r="I46" i="57" s="1"/>
  <c r="O301" i="56"/>
  <c r="L301" i="56"/>
  <c r="I301" i="56"/>
  <c r="F301" i="56"/>
  <c r="O300" i="56"/>
  <c r="L300" i="56"/>
  <c r="I300" i="56"/>
  <c r="F300" i="56"/>
  <c r="O299" i="56"/>
  <c r="L299" i="56"/>
  <c r="I299" i="56"/>
  <c r="F299" i="56"/>
  <c r="O298" i="56"/>
  <c r="L298" i="56"/>
  <c r="I298" i="56"/>
  <c r="F298" i="56"/>
  <c r="O297" i="56"/>
  <c r="L297" i="56"/>
  <c r="I297" i="56"/>
  <c r="F297" i="56"/>
  <c r="O296" i="56"/>
  <c r="L296" i="56"/>
  <c r="I296" i="56"/>
  <c r="F296" i="56"/>
  <c r="O295" i="56"/>
  <c r="L295" i="56"/>
  <c r="I295" i="56"/>
  <c r="F295" i="56"/>
  <c r="O294" i="56"/>
  <c r="L294" i="56"/>
  <c r="I294" i="56"/>
  <c r="F294" i="56"/>
  <c r="N293" i="56"/>
  <c r="M293" i="56"/>
  <c r="K293" i="56"/>
  <c r="J293" i="56"/>
  <c r="H293" i="56"/>
  <c r="G293" i="56"/>
  <c r="E293" i="56"/>
  <c r="D293" i="56"/>
  <c r="O288" i="56"/>
  <c r="L288" i="56"/>
  <c r="I288" i="56"/>
  <c r="F288" i="56"/>
  <c r="O287" i="56"/>
  <c r="O286" i="56" s="1"/>
  <c r="L287" i="56"/>
  <c r="L286" i="56" s="1"/>
  <c r="I287" i="56"/>
  <c r="I286" i="56" s="1"/>
  <c r="F287" i="56"/>
  <c r="F286" i="56" s="1"/>
  <c r="N286" i="56"/>
  <c r="M286" i="56"/>
  <c r="K286" i="56"/>
  <c r="J286" i="56"/>
  <c r="H286" i="56"/>
  <c r="G286" i="56"/>
  <c r="E286" i="56"/>
  <c r="D286" i="56"/>
  <c r="O285" i="56"/>
  <c r="O284" i="56" s="1"/>
  <c r="O283" i="56" s="1"/>
  <c r="L285" i="56"/>
  <c r="L284" i="56" s="1"/>
  <c r="L283" i="56" s="1"/>
  <c r="I285" i="56"/>
  <c r="I284" i="56" s="1"/>
  <c r="I283" i="56" s="1"/>
  <c r="F285" i="56"/>
  <c r="F284" i="56" s="1"/>
  <c r="N284" i="56"/>
  <c r="N283" i="56" s="1"/>
  <c r="M284" i="56"/>
  <c r="K284" i="56"/>
  <c r="K283" i="56" s="1"/>
  <c r="J284" i="56"/>
  <c r="J283" i="56" s="1"/>
  <c r="H284" i="56"/>
  <c r="H283" i="56" s="1"/>
  <c r="G284" i="56"/>
  <c r="G283" i="56" s="1"/>
  <c r="E284" i="56"/>
  <c r="E283" i="56" s="1"/>
  <c r="D284" i="56"/>
  <c r="D283" i="56" s="1"/>
  <c r="M283" i="56"/>
  <c r="O282" i="56"/>
  <c r="L282" i="56"/>
  <c r="L281" i="56" s="1"/>
  <c r="I282" i="56"/>
  <c r="I281" i="56" s="1"/>
  <c r="F282" i="56"/>
  <c r="F281" i="56" s="1"/>
  <c r="O281" i="56"/>
  <c r="N281" i="56"/>
  <c r="M281" i="56"/>
  <c r="K281" i="56"/>
  <c r="J281" i="56"/>
  <c r="H281" i="56"/>
  <c r="G281" i="56"/>
  <c r="E281" i="56"/>
  <c r="D281" i="56"/>
  <c r="O280" i="56"/>
  <c r="L280" i="56"/>
  <c r="I280" i="56"/>
  <c r="F280" i="56"/>
  <c r="O279" i="56"/>
  <c r="L279" i="56"/>
  <c r="I279" i="56"/>
  <c r="F279" i="56"/>
  <c r="O278" i="56"/>
  <c r="L278" i="56"/>
  <c r="I278" i="56"/>
  <c r="F278" i="56"/>
  <c r="O277" i="56"/>
  <c r="L277" i="56"/>
  <c r="L276" i="56" s="1"/>
  <c r="I277" i="56"/>
  <c r="F277" i="56"/>
  <c r="F276" i="56" s="1"/>
  <c r="N276" i="56"/>
  <c r="M276" i="56"/>
  <c r="K276" i="56"/>
  <c r="J276" i="56"/>
  <c r="H276" i="56"/>
  <c r="G276" i="56"/>
  <c r="E276" i="56"/>
  <c r="D276" i="56"/>
  <c r="D270" i="56" s="1"/>
  <c r="D269" i="56" s="1"/>
  <c r="O275" i="56"/>
  <c r="L275" i="56"/>
  <c r="I275" i="56"/>
  <c r="F275" i="56"/>
  <c r="O274" i="56"/>
  <c r="L274" i="56"/>
  <c r="I274" i="56"/>
  <c r="F274" i="56"/>
  <c r="O273" i="56"/>
  <c r="L273" i="56"/>
  <c r="I273" i="56"/>
  <c r="F273" i="56"/>
  <c r="F272" i="56" s="1"/>
  <c r="O272" i="56"/>
  <c r="N272" i="56"/>
  <c r="M272" i="56"/>
  <c r="L272" i="56"/>
  <c r="K272" i="56"/>
  <c r="K270" i="56" s="1"/>
  <c r="K269" i="56" s="1"/>
  <c r="J272" i="56"/>
  <c r="H272" i="56"/>
  <c r="G272" i="56"/>
  <c r="G270" i="56" s="1"/>
  <c r="G269" i="56" s="1"/>
  <c r="E272" i="56"/>
  <c r="D272" i="56"/>
  <c r="O271" i="56"/>
  <c r="L271" i="56"/>
  <c r="I271" i="56"/>
  <c r="F271" i="56"/>
  <c r="O268" i="56"/>
  <c r="L268" i="56"/>
  <c r="I268" i="56"/>
  <c r="F268" i="56"/>
  <c r="O267" i="56"/>
  <c r="L267" i="56"/>
  <c r="I267" i="56"/>
  <c r="F267" i="56"/>
  <c r="O266" i="56"/>
  <c r="L266" i="56"/>
  <c r="I266" i="56"/>
  <c r="F266" i="56"/>
  <c r="O265" i="56"/>
  <c r="L265" i="56"/>
  <c r="I265" i="56"/>
  <c r="F265" i="56"/>
  <c r="F264" i="56" s="1"/>
  <c r="N264" i="56"/>
  <c r="M264" i="56"/>
  <c r="K264" i="56"/>
  <c r="J264" i="56"/>
  <c r="H264" i="56"/>
  <c r="G264" i="56"/>
  <c r="E264" i="56"/>
  <c r="D264" i="56"/>
  <c r="O263" i="56"/>
  <c r="L263" i="56"/>
  <c r="I263" i="56"/>
  <c r="F263" i="56"/>
  <c r="O262" i="56"/>
  <c r="L262" i="56"/>
  <c r="I262" i="56"/>
  <c r="F262" i="56"/>
  <c r="O261" i="56"/>
  <c r="L261" i="56"/>
  <c r="I261" i="56"/>
  <c r="F261" i="56"/>
  <c r="N260" i="56"/>
  <c r="N259" i="56" s="1"/>
  <c r="M260" i="56"/>
  <c r="M259" i="56" s="1"/>
  <c r="K260" i="56"/>
  <c r="J260" i="56"/>
  <c r="H260" i="56"/>
  <c r="G260" i="56"/>
  <c r="G259" i="56" s="1"/>
  <c r="E260" i="56"/>
  <c r="E259" i="56" s="1"/>
  <c r="D260" i="56"/>
  <c r="H259" i="56"/>
  <c r="O258" i="56"/>
  <c r="L258" i="56"/>
  <c r="I258" i="56"/>
  <c r="F258" i="56"/>
  <c r="O257" i="56"/>
  <c r="L257" i="56"/>
  <c r="I257" i="56"/>
  <c r="F257" i="56"/>
  <c r="O256" i="56"/>
  <c r="L256" i="56"/>
  <c r="I256" i="56"/>
  <c r="F256" i="56"/>
  <c r="O255" i="56"/>
  <c r="L255" i="56"/>
  <c r="I255" i="56"/>
  <c r="F255" i="56"/>
  <c r="O254" i="56"/>
  <c r="L254" i="56"/>
  <c r="I254" i="56"/>
  <c r="F254" i="56"/>
  <c r="O253" i="56"/>
  <c r="L253" i="56"/>
  <c r="I253" i="56"/>
  <c r="F253" i="56"/>
  <c r="F252" i="56" s="1"/>
  <c r="N252" i="56"/>
  <c r="N251" i="56" s="1"/>
  <c r="M252" i="56"/>
  <c r="M251" i="56" s="1"/>
  <c r="K252" i="56"/>
  <c r="K251" i="56" s="1"/>
  <c r="J252" i="56"/>
  <c r="J251" i="56" s="1"/>
  <c r="H252" i="56"/>
  <c r="G252" i="56"/>
  <c r="G251" i="56" s="1"/>
  <c r="E252" i="56"/>
  <c r="E251" i="56" s="1"/>
  <c r="D252" i="56"/>
  <c r="D251" i="56" s="1"/>
  <c r="H251" i="56"/>
  <c r="O250" i="56"/>
  <c r="L250" i="56"/>
  <c r="I250" i="56"/>
  <c r="F250" i="56"/>
  <c r="O249" i="56"/>
  <c r="L249" i="56"/>
  <c r="I249" i="56"/>
  <c r="F249" i="56"/>
  <c r="O248" i="56"/>
  <c r="L248" i="56"/>
  <c r="I248" i="56"/>
  <c r="F248" i="56"/>
  <c r="O247" i="56"/>
  <c r="L247" i="56"/>
  <c r="I247" i="56"/>
  <c r="F247" i="56"/>
  <c r="C247" i="56" s="1"/>
  <c r="N246" i="56"/>
  <c r="M246" i="56"/>
  <c r="L246" i="56"/>
  <c r="K246" i="56"/>
  <c r="J246" i="56"/>
  <c r="H246" i="56"/>
  <c r="G246" i="56"/>
  <c r="E246" i="56"/>
  <c r="D246" i="56"/>
  <c r="O245" i="56"/>
  <c r="L245" i="56"/>
  <c r="I245" i="56"/>
  <c r="F245" i="56"/>
  <c r="O244" i="56"/>
  <c r="L244" i="56"/>
  <c r="I244" i="56"/>
  <c r="F244" i="56"/>
  <c r="O243" i="56"/>
  <c r="L243" i="56"/>
  <c r="I243" i="56"/>
  <c r="F243" i="56"/>
  <c r="O242" i="56"/>
  <c r="L242" i="56"/>
  <c r="I242" i="56"/>
  <c r="F242" i="56"/>
  <c r="O241" i="56"/>
  <c r="L241" i="56"/>
  <c r="I241" i="56"/>
  <c r="F241" i="56"/>
  <c r="O240" i="56"/>
  <c r="L240" i="56"/>
  <c r="I240" i="56"/>
  <c r="F240" i="56"/>
  <c r="O239" i="56"/>
  <c r="L239" i="56"/>
  <c r="I239" i="56"/>
  <c r="F239" i="56"/>
  <c r="N238" i="56"/>
  <c r="M238" i="56"/>
  <c r="K238" i="56"/>
  <c r="J238" i="56"/>
  <c r="H238" i="56"/>
  <c r="G238" i="56"/>
  <c r="E238" i="56"/>
  <c r="D238" i="56"/>
  <c r="O237" i="56"/>
  <c r="L237" i="56"/>
  <c r="I237" i="56"/>
  <c r="F237" i="56"/>
  <c r="O236" i="56"/>
  <c r="L236" i="56"/>
  <c r="L235" i="56" s="1"/>
  <c r="I236" i="56"/>
  <c r="F236" i="56"/>
  <c r="O235" i="56"/>
  <c r="N235" i="56"/>
  <c r="M235" i="56"/>
  <c r="K235" i="56"/>
  <c r="J235" i="56"/>
  <c r="H235" i="56"/>
  <c r="H231" i="56" s="1"/>
  <c r="G235" i="56"/>
  <c r="F235" i="56"/>
  <c r="E235" i="56"/>
  <c r="D235" i="56"/>
  <c r="O234" i="56"/>
  <c r="O233" i="56" s="1"/>
  <c r="L234" i="56"/>
  <c r="L233" i="56" s="1"/>
  <c r="I234" i="56"/>
  <c r="F234" i="56"/>
  <c r="F233" i="56" s="1"/>
  <c r="N233" i="56"/>
  <c r="M233" i="56"/>
  <c r="K233" i="56"/>
  <c r="J233" i="56"/>
  <c r="I233" i="56"/>
  <c r="H233" i="56"/>
  <c r="G233" i="56"/>
  <c r="G231" i="56" s="1"/>
  <c r="E233" i="56"/>
  <c r="E231" i="56" s="1"/>
  <c r="E230" i="56" s="1"/>
  <c r="D233" i="56"/>
  <c r="O232" i="56"/>
  <c r="L232" i="56"/>
  <c r="I232" i="56"/>
  <c r="F232" i="56"/>
  <c r="O229" i="56"/>
  <c r="L229" i="56"/>
  <c r="I229" i="56"/>
  <c r="F229" i="56"/>
  <c r="O228" i="56"/>
  <c r="L228" i="56"/>
  <c r="I228" i="56"/>
  <c r="I227" i="56" s="1"/>
  <c r="F228" i="56"/>
  <c r="O227" i="56"/>
  <c r="N227" i="56"/>
  <c r="M227" i="56"/>
  <c r="K227" i="56"/>
  <c r="J227" i="56"/>
  <c r="H227" i="56"/>
  <c r="G227" i="56"/>
  <c r="F227" i="56"/>
  <c r="E227" i="56"/>
  <c r="D227" i="56"/>
  <c r="O226" i="56"/>
  <c r="L226" i="56"/>
  <c r="I226" i="56"/>
  <c r="F226" i="56"/>
  <c r="O225" i="56"/>
  <c r="L225" i="56"/>
  <c r="I225" i="56"/>
  <c r="F225" i="56"/>
  <c r="O224" i="56"/>
  <c r="L224" i="56"/>
  <c r="I224" i="56"/>
  <c r="F224" i="56"/>
  <c r="O223" i="56"/>
  <c r="L223" i="56"/>
  <c r="I223" i="56"/>
  <c r="F223" i="56"/>
  <c r="O222" i="56"/>
  <c r="L222" i="56"/>
  <c r="I222" i="56"/>
  <c r="F222" i="56"/>
  <c r="O221" i="56"/>
  <c r="L221" i="56"/>
  <c r="I221" i="56"/>
  <c r="F221" i="56"/>
  <c r="O220" i="56"/>
  <c r="L220" i="56"/>
  <c r="I220" i="56"/>
  <c r="F220" i="56"/>
  <c r="O219" i="56"/>
  <c r="L219" i="56"/>
  <c r="I219" i="56"/>
  <c r="F219" i="56"/>
  <c r="O218" i="56"/>
  <c r="L218" i="56"/>
  <c r="I218" i="56"/>
  <c r="F218" i="56"/>
  <c r="O217" i="56"/>
  <c r="L217" i="56"/>
  <c r="L216" i="56" s="1"/>
  <c r="I217" i="56"/>
  <c r="F217" i="56"/>
  <c r="F216" i="56" s="1"/>
  <c r="N216" i="56"/>
  <c r="M216" i="56"/>
  <c r="K216" i="56"/>
  <c r="J216" i="56"/>
  <c r="H216" i="56"/>
  <c r="G216" i="56"/>
  <c r="E216" i="56"/>
  <c r="D216" i="56"/>
  <c r="O215" i="56"/>
  <c r="L215" i="56"/>
  <c r="I215" i="56"/>
  <c r="F215" i="56"/>
  <c r="O214" i="56"/>
  <c r="L214" i="56"/>
  <c r="I214" i="56"/>
  <c r="F214" i="56"/>
  <c r="O213" i="56"/>
  <c r="L213" i="56"/>
  <c r="I213" i="56"/>
  <c r="F213" i="56"/>
  <c r="O212" i="56"/>
  <c r="L212" i="56"/>
  <c r="I212" i="56"/>
  <c r="F212" i="56"/>
  <c r="O211" i="56"/>
  <c r="L211" i="56"/>
  <c r="I211" i="56"/>
  <c r="F211" i="56"/>
  <c r="O210" i="56"/>
  <c r="L210" i="56"/>
  <c r="I210" i="56"/>
  <c r="F210" i="56"/>
  <c r="O209" i="56"/>
  <c r="L209" i="56"/>
  <c r="I209" i="56"/>
  <c r="F209" i="56"/>
  <c r="O208" i="56"/>
  <c r="L208" i="56"/>
  <c r="I208" i="56"/>
  <c r="F208" i="56"/>
  <c r="O207" i="56"/>
  <c r="L207" i="56"/>
  <c r="I207" i="56"/>
  <c r="F207" i="56"/>
  <c r="O206" i="56"/>
  <c r="O205" i="56" s="1"/>
  <c r="L206" i="56"/>
  <c r="I206" i="56"/>
  <c r="F206" i="56"/>
  <c r="F205" i="56" s="1"/>
  <c r="N205" i="56"/>
  <c r="M205" i="56"/>
  <c r="K205" i="56"/>
  <c r="J205" i="56"/>
  <c r="J204" i="56" s="1"/>
  <c r="H205" i="56"/>
  <c r="G205" i="56"/>
  <c r="G204" i="56" s="1"/>
  <c r="E205" i="56"/>
  <c r="D205" i="56"/>
  <c r="O203" i="56"/>
  <c r="L203" i="56"/>
  <c r="I203" i="56"/>
  <c r="F203" i="56"/>
  <c r="O202" i="56"/>
  <c r="L202" i="56"/>
  <c r="I202" i="56"/>
  <c r="F202" i="56"/>
  <c r="O201" i="56"/>
  <c r="L201" i="56"/>
  <c r="I201" i="56"/>
  <c r="F201" i="56"/>
  <c r="O200" i="56"/>
  <c r="L200" i="56"/>
  <c r="I200" i="56"/>
  <c r="F200" i="56"/>
  <c r="O199" i="56"/>
  <c r="L199" i="56"/>
  <c r="I199" i="56"/>
  <c r="F199" i="56"/>
  <c r="F198" i="56" s="1"/>
  <c r="O198" i="56"/>
  <c r="N198" i="56"/>
  <c r="M198" i="56"/>
  <c r="K198" i="56"/>
  <c r="K196" i="56" s="1"/>
  <c r="J198" i="56"/>
  <c r="H198" i="56"/>
  <c r="H196" i="56" s="1"/>
  <c r="G198" i="56"/>
  <c r="G196" i="56" s="1"/>
  <c r="E198" i="56"/>
  <c r="E196" i="56" s="1"/>
  <c r="D198" i="56"/>
  <c r="D196" i="56" s="1"/>
  <c r="O197" i="56"/>
  <c r="L197" i="56"/>
  <c r="I197" i="56"/>
  <c r="F197" i="56"/>
  <c r="N196" i="56"/>
  <c r="M196" i="56"/>
  <c r="J196" i="56"/>
  <c r="O193" i="56"/>
  <c r="L193" i="56"/>
  <c r="L192" i="56" s="1"/>
  <c r="L191" i="56" s="1"/>
  <c r="I193" i="56"/>
  <c r="I192" i="56" s="1"/>
  <c r="I191" i="56" s="1"/>
  <c r="F193" i="56"/>
  <c r="O192" i="56"/>
  <c r="N192" i="56"/>
  <c r="N191" i="56" s="1"/>
  <c r="M192" i="56"/>
  <c r="M191" i="56" s="1"/>
  <c r="K192" i="56"/>
  <c r="K191" i="56" s="1"/>
  <c r="J192" i="56"/>
  <c r="J191" i="56" s="1"/>
  <c r="H192" i="56"/>
  <c r="H191" i="56" s="1"/>
  <c r="G192" i="56"/>
  <c r="G191" i="56" s="1"/>
  <c r="E192" i="56"/>
  <c r="E191" i="56" s="1"/>
  <c r="D192" i="56"/>
  <c r="O191" i="56"/>
  <c r="D191" i="56"/>
  <c r="O190" i="56"/>
  <c r="L190" i="56"/>
  <c r="I190" i="56"/>
  <c r="F190" i="56"/>
  <c r="O189" i="56"/>
  <c r="L189" i="56"/>
  <c r="I189" i="56"/>
  <c r="I188" i="56" s="1"/>
  <c r="F189" i="56"/>
  <c r="F188" i="56" s="1"/>
  <c r="N188" i="56"/>
  <c r="M188" i="56"/>
  <c r="K188" i="56"/>
  <c r="J188" i="56"/>
  <c r="H188" i="56"/>
  <c r="G188" i="56"/>
  <c r="E188" i="56"/>
  <c r="D188" i="56"/>
  <c r="D187" i="56" s="1"/>
  <c r="O186" i="56"/>
  <c r="L186" i="56"/>
  <c r="I186" i="56"/>
  <c r="F186" i="56"/>
  <c r="O185" i="56"/>
  <c r="L185" i="56"/>
  <c r="I185" i="56"/>
  <c r="I184" i="56" s="1"/>
  <c r="F185" i="56"/>
  <c r="N184" i="56"/>
  <c r="M184" i="56"/>
  <c r="K184" i="56"/>
  <c r="J184" i="56"/>
  <c r="H184" i="56"/>
  <c r="G184" i="56"/>
  <c r="E184" i="56"/>
  <c r="D184" i="56"/>
  <c r="O183" i="56"/>
  <c r="L183" i="56"/>
  <c r="I183" i="56"/>
  <c r="F183" i="56"/>
  <c r="O182" i="56"/>
  <c r="L182" i="56"/>
  <c r="I182" i="56"/>
  <c r="F182" i="56"/>
  <c r="O181" i="56"/>
  <c r="L181" i="56"/>
  <c r="I181" i="56"/>
  <c r="F181" i="56"/>
  <c r="O180" i="56"/>
  <c r="L180" i="56"/>
  <c r="I180" i="56"/>
  <c r="I179" i="56" s="1"/>
  <c r="F180" i="56"/>
  <c r="F179" i="56" s="1"/>
  <c r="N179" i="56"/>
  <c r="M179" i="56"/>
  <c r="K179" i="56"/>
  <c r="J179" i="56"/>
  <c r="J174" i="56" s="1"/>
  <c r="J173" i="56" s="1"/>
  <c r="H179" i="56"/>
  <c r="G179" i="56"/>
  <c r="E179" i="56"/>
  <c r="D179" i="56"/>
  <c r="O178" i="56"/>
  <c r="L178" i="56"/>
  <c r="I178" i="56"/>
  <c r="F178" i="56"/>
  <c r="O177" i="56"/>
  <c r="L177" i="56"/>
  <c r="I177" i="56"/>
  <c r="F177" i="56"/>
  <c r="O176" i="56"/>
  <c r="O175" i="56" s="1"/>
  <c r="L176" i="56"/>
  <c r="L175" i="56" s="1"/>
  <c r="I176" i="56"/>
  <c r="F176" i="56"/>
  <c r="N175" i="56"/>
  <c r="M175" i="56"/>
  <c r="M174" i="56" s="1"/>
  <c r="M173" i="56" s="1"/>
  <c r="K175" i="56"/>
  <c r="J175" i="56"/>
  <c r="H175" i="56"/>
  <c r="H174" i="56" s="1"/>
  <c r="G175" i="56"/>
  <c r="G174" i="56" s="1"/>
  <c r="E175" i="56"/>
  <c r="D175" i="56"/>
  <c r="N174" i="56"/>
  <c r="D174" i="56"/>
  <c r="O172" i="56"/>
  <c r="L172" i="56"/>
  <c r="I172" i="56"/>
  <c r="F172" i="56"/>
  <c r="O171" i="56"/>
  <c r="L171" i="56"/>
  <c r="I171" i="56"/>
  <c r="F171" i="56"/>
  <c r="O170" i="56"/>
  <c r="L170" i="56"/>
  <c r="I170" i="56"/>
  <c r="F170" i="56"/>
  <c r="O169" i="56"/>
  <c r="L169" i="56"/>
  <c r="I169" i="56"/>
  <c r="F169" i="56"/>
  <c r="O168" i="56"/>
  <c r="L168" i="56"/>
  <c r="I168" i="56"/>
  <c r="F168" i="56"/>
  <c r="O167" i="56"/>
  <c r="O166" i="56" s="1"/>
  <c r="O165" i="56" s="1"/>
  <c r="L167" i="56"/>
  <c r="L166" i="56" s="1"/>
  <c r="L165" i="56" s="1"/>
  <c r="I167" i="56"/>
  <c r="F167" i="56"/>
  <c r="N166" i="56"/>
  <c r="N165" i="56" s="1"/>
  <c r="M166" i="56"/>
  <c r="K166" i="56"/>
  <c r="K165" i="56" s="1"/>
  <c r="J166" i="56"/>
  <c r="J165" i="56" s="1"/>
  <c r="H166" i="56"/>
  <c r="H165" i="56" s="1"/>
  <c r="G166" i="56"/>
  <c r="E166" i="56"/>
  <c r="E165" i="56" s="1"/>
  <c r="D166" i="56"/>
  <c r="D165" i="56" s="1"/>
  <c r="M165" i="56"/>
  <c r="G165" i="56"/>
  <c r="O164" i="56"/>
  <c r="L164" i="56"/>
  <c r="I164" i="56"/>
  <c r="F164" i="56"/>
  <c r="O163" i="56"/>
  <c r="L163" i="56"/>
  <c r="I163" i="56"/>
  <c r="F163" i="56"/>
  <c r="O162" i="56"/>
  <c r="L162" i="56"/>
  <c r="I162" i="56"/>
  <c r="F162" i="56"/>
  <c r="O161" i="56"/>
  <c r="O160" i="56" s="1"/>
  <c r="L161" i="56"/>
  <c r="L160" i="56" s="1"/>
  <c r="I161" i="56"/>
  <c r="F161" i="56"/>
  <c r="F160" i="56" s="1"/>
  <c r="N160" i="56"/>
  <c r="M160" i="56"/>
  <c r="K160" i="56"/>
  <c r="J160" i="56"/>
  <c r="H160" i="56"/>
  <c r="G160" i="56"/>
  <c r="E160" i="56"/>
  <c r="D160" i="56"/>
  <c r="O159" i="56"/>
  <c r="L159" i="56"/>
  <c r="I159" i="56"/>
  <c r="F159" i="56"/>
  <c r="O158" i="56"/>
  <c r="L158" i="56"/>
  <c r="I158" i="56"/>
  <c r="F158" i="56"/>
  <c r="O157" i="56"/>
  <c r="L157" i="56"/>
  <c r="I157" i="56"/>
  <c r="F157" i="56"/>
  <c r="O156" i="56"/>
  <c r="L156" i="56"/>
  <c r="I156" i="56"/>
  <c r="F156" i="56"/>
  <c r="O155" i="56"/>
  <c r="L155" i="56"/>
  <c r="I155" i="56"/>
  <c r="F155" i="56"/>
  <c r="O154" i="56"/>
  <c r="L154" i="56"/>
  <c r="I154" i="56"/>
  <c r="F154" i="56"/>
  <c r="O153" i="56"/>
  <c r="L153" i="56"/>
  <c r="I153" i="56"/>
  <c r="F153" i="56"/>
  <c r="O152" i="56"/>
  <c r="L152" i="56"/>
  <c r="L151" i="56" s="1"/>
  <c r="I152" i="56"/>
  <c r="F152" i="56"/>
  <c r="N151" i="56"/>
  <c r="M151" i="56"/>
  <c r="K151" i="56"/>
  <c r="J151" i="56"/>
  <c r="H151" i="56"/>
  <c r="G151" i="56"/>
  <c r="E151" i="56"/>
  <c r="D151" i="56"/>
  <c r="O150" i="56"/>
  <c r="L150" i="56"/>
  <c r="I150" i="56"/>
  <c r="F150" i="56"/>
  <c r="O149" i="56"/>
  <c r="L149" i="56"/>
  <c r="I149" i="56"/>
  <c r="F149" i="56"/>
  <c r="O148" i="56"/>
  <c r="L148" i="56"/>
  <c r="I148" i="56"/>
  <c r="F148" i="56"/>
  <c r="O147" i="56"/>
  <c r="L147" i="56"/>
  <c r="I147" i="56"/>
  <c r="F147" i="56"/>
  <c r="O146" i="56"/>
  <c r="L146" i="56"/>
  <c r="I146" i="56"/>
  <c r="F146" i="56"/>
  <c r="O145" i="56"/>
  <c r="L145" i="56"/>
  <c r="I145" i="56"/>
  <c r="F145" i="56"/>
  <c r="F144" i="56" s="1"/>
  <c r="N144" i="56"/>
  <c r="M144" i="56"/>
  <c r="K144" i="56"/>
  <c r="J144" i="56"/>
  <c r="H144" i="56"/>
  <c r="G144" i="56"/>
  <c r="E144" i="56"/>
  <c r="D144" i="56"/>
  <c r="O143" i="56"/>
  <c r="L143" i="56"/>
  <c r="I143" i="56"/>
  <c r="F143" i="56"/>
  <c r="O142" i="56"/>
  <c r="L142" i="56"/>
  <c r="I142" i="56"/>
  <c r="F142" i="56"/>
  <c r="N141" i="56"/>
  <c r="M141" i="56"/>
  <c r="K141" i="56"/>
  <c r="J141" i="56"/>
  <c r="H141" i="56"/>
  <c r="G141" i="56"/>
  <c r="E141" i="56"/>
  <c r="D141" i="56"/>
  <c r="O140" i="56"/>
  <c r="L140" i="56"/>
  <c r="I140" i="56"/>
  <c r="F140" i="56"/>
  <c r="O139" i="56"/>
  <c r="L139" i="56"/>
  <c r="I139" i="56"/>
  <c r="F139" i="56"/>
  <c r="O138" i="56"/>
  <c r="L138" i="56"/>
  <c r="I138" i="56"/>
  <c r="F138" i="56"/>
  <c r="O137" i="56"/>
  <c r="L137" i="56"/>
  <c r="L136" i="56" s="1"/>
  <c r="I137" i="56"/>
  <c r="F137" i="56"/>
  <c r="F136" i="56" s="1"/>
  <c r="N136" i="56"/>
  <c r="M136" i="56"/>
  <c r="K136" i="56"/>
  <c r="J136" i="56"/>
  <c r="H136" i="56"/>
  <c r="G136" i="56"/>
  <c r="E136" i="56"/>
  <c r="D136" i="56"/>
  <c r="O135" i="56"/>
  <c r="L135" i="56"/>
  <c r="I135" i="56"/>
  <c r="E135" i="56"/>
  <c r="F135" i="56" s="1"/>
  <c r="O134" i="56"/>
  <c r="L134" i="56"/>
  <c r="I134" i="56"/>
  <c r="F134" i="56"/>
  <c r="O133" i="56"/>
  <c r="L133" i="56"/>
  <c r="I133" i="56"/>
  <c r="F133" i="56"/>
  <c r="O132" i="56"/>
  <c r="O131" i="56" s="1"/>
  <c r="L132" i="56"/>
  <c r="L131" i="56" s="1"/>
  <c r="I132" i="56"/>
  <c r="I131" i="56" s="1"/>
  <c r="F132" i="56"/>
  <c r="N131" i="56"/>
  <c r="M131" i="56"/>
  <c r="K131" i="56"/>
  <c r="J131" i="56"/>
  <c r="H131" i="56"/>
  <c r="G131" i="56"/>
  <c r="D131" i="56"/>
  <c r="O129" i="56"/>
  <c r="L129" i="56"/>
  <c r="L128" i="56" s="1"/>
  <c r="I129" i="56"/>
  <c r="I128" i="56" s="1"/>
  <c r="F129" i="56"/>
  <c r="O128" i="56"/>
  <c r="N128" i="56"/>
  <c r="M128" i="56"/>
  <c r="K128" i="56"/>
  <c r="J128" i="56"/>
  <c r="H128" i="56"/>
  <c r="G128" i="56"/>
  <c r="E128" i="56"/>
  <c r="D128" i="56"/>
  <c r="O127" i="56"/>
  <c r="L127" i="56"/>
  <c r="I127" i="56"/>
  <c r="F127" i="56"/>
  <c r="O126" i="56"/>
  <c r="L126" i="56"/>
  <c r="I126" i="56"/>
  <c r="F126" i="56"/>
  <c r="O125" i="56"/>
  <c r="L125" i="56"/>
  <c r="I125" i="56"/>
  <c r="F125" i="56"/>
  <c r="O124" i="56"/>
  <c r="L124" i="56"/>
  <c r="I124" i="56"/>
  <c r="F124" i="56"/>
  <c r="O123" i="56"/>
  <c r="L123" i="56"/>
  <c r="I123" i="56"/>
  <c r="F123" i="56"/>
  <c r="N122" i="56"/>
  <c r="M122" i="56"/>
  <c r="K122" i="56"/>
  <c r="J122" i="56"/>
  <c r="H122" i="56"/>
  <c r="G122" i="56"/>
  <c r="E122" i="56"/>
  <c r="D122" i="56"/>
  <c r="O121" i="56"/>
  <c r="L121" i="56"/>
  <c r="I121" i="56"/>
  <c r="F121" i="56"/>
  <c r="O120" i="56"/>
  <c r="L120" i="56"/>
  <c r="I120" i="56"/>
  <c r="F120" i="56"/>
  <c r="O119" i="56"/>
  <c r="L119" i="56"/>
  <c r="I119" i="56"/>
  <c r="F119" i="56"/>
  <c r="O118" i="56"/>
  <c r="L118" i="56"/>
  <c r="I118" i="56"/>
  <c r="F118" i="56"/>
  <c r="O117" i="56"/>
  <c r="O116" i="56" s="1"/>
  <c r="L117" i="56"/>
  <c r="L116" i="56" s="1"/>
  <c r="I117" i="56"/>
  <c r="F117" i="56"/>
  <c r="N116" i="56"/>
  <c r="M116" i="56"/>
  <c r="K116" i="56"/>
  <c r="J116" i="56"/>
  <c r="H116" i="56"/>
  <c r="G116" i="56"/>
  <c r="E116" i="56"/>
  <c r="D116" i="56"/>
  <c r="O115" i="56"/>
  <c r="L115" i="56"/>
  <c r="I115" i="56"/>
  <c r="F115" i="56"/>
  <c r="O114" i="56"/>
  <c r="L114" i="56"/>
  <c r="I114" i="56"/>
  <c r="F114" i="56"/>
  <c r="O113" i="56"/>
  <c r="O112" i="56" s="1"/>
  <c r="L113" i="56"/>
  <c r="L112" i="56" s="1"/>
  <c r="I113" i="56"/>
  <c r="I112" i="56" s="1"/>
  <c r="F113" i="56"/>
  <c r="N112" i="56"/>
  <c r="M112" i="56"/>
  <c r="K112" i="56"/>
  <c r="J112" i="56"/>
  <c r="H112" i="56"/>
  <c r="G112" i="56"/>
  <c r="E112" i="56"/>
  <c r="D112" i="56"/>
  <c r="O111" i="56"/>
  <c r="L111" i="56"/>
  <c r="I111" i="56"/>
  <c r="F111" i="56"/>
  <c r="O110" i="56"/>
  <c r="L110" i="56"/>
  <c r="I110" i="56"/>
  <c r="F110" i="56"/>
  <c r="O109" i="56"/>
  <c r="L109" i="56"/>
  <c r="I109" i="56"/>
  <c r="F109" i="56"/>
  <c r="O108" i="56"/>
  <c r="L108" i="56"/>
  <c r="I108" i="56"/>
  <c r="F108" i="56"/>
  <c r="O107" i="56"/>
  <c r="L107" i="56"/>
  <c r="I107" i="56"/>
  <c r="F107" i="56"/>
  <c r="O106" i="56"/>
  <c r="L106" i="56"/>
  <c r="I106" i="56"/>
  <c r="F106" i="56"/>
  <c r="O105" i="56"/>
  <c r="L105" i="56"/>
  <c r="I105" i="56"/>
  <c r="F105" i="56"/>
  <c r="O104" i="56"/>
  <c r="L104" i="56"/>
  <c r="L103" i="56" s="1"/>
  <c r="I104" i="56"/>
  <c r="I103" i="56" s="1"/>
  <c r="F104" i="56"/>
  <c r="N103" i="56"/>
  <c r="M103" i="56"/>
  <c r="K103" i="56"/>
  <c r="J103" i="56"/>
  <c r="H103" i="56"/>
  <c r="G103" i="56"/>
  <c r="E103" i="56"/>
  <c r="D103" i="56"/>
  <c r="O102" i="56"/>
  <c r="L102" i="56"/>
  <c r="I102" i="56"/>
  <c r="E102" i="56"/>
  <c r="F102" i="56" s="1"/>
  <c r="O101" i="56"/>
  <c r="L101" i="56"/>
  <c r="I101" i="56"/>
  <c r="F101" i="56"/>
  <c r="O100" i="56"/>
  <c r="L100" i="56"/>
  <c r="I100" i="56"/>
  <c r="F100" i="56"/>
  <c r="O99" i="56"/>
  <c r="L99" i="56"/>
  <c r="I99" i="56"/>
  <c r="F99" i="56"/>
  <c r="O98" i="56"/>
  <c r="L98" i="56"/>
  <c r="I98" i="56"/>
  <c r="F98" i="56"/>
  <c r="O97" i="56"/>
  <c r="L97" i="56"/>
  <c r="I97" i="56"/>
  <c r="E97" i="56"/>
  <c r="F97" i="56" s="1"/>
  <c r="O96" i="56"/>
  <c r="L96" i="56"/>
  <c r="I96" i="56"/>
  <c r="F96" i="56"/>
  <c r="N95" i="56"/>
  <c r="M95" i="56"/>
  <c r="K95" i="56"/>
  <c r="J95" i="56"/>
  <c r="H95" i="56"/>
  <c r="G95" i="56"/>
  <c r="E95" i="56"/>
  <c r="D95" i="56"/>
  <c r="O94" i="56"/>
  <c r="L94" i="56"/>
  <c r="I94" i="56"/>
  <c r="F94" i="56"/>
  <c r="O93" i="56"/>
  <c r="L93" i="56"/>
  <c r="I93" i="56"/>
  <c r="F93" i="56"/>
  <c r="O92" i="56"/>
  <c r="L92" i="56"/>
  <c r="I92" i="56"/>
  <c r="F92" i="56"/>
  <c r="O91" i="56"/>
  <c r="L91" i="56"/>
  <c r="I91" i="56"/>
  <c r="F91" i="56"/>
  <c r="O90" i="56"/>
  <c r="L90" i="56"/>
  <c r="L89" i="56" s="1"/>
  <c r="I90" i="56"/>
  <c r="I89" i="56" s="1"/>
  <c r="F90" i="56"/>
  <c r="F89" i="56" s="1"/>
  <c r="N89" i="56"/>
  <c r="M89" i="56"/>
  <c r="K89" i="56"/>
  <c r="J89" i="56"/>
  <c r="H89" i="56"/>
  <c r="G89" i="56"/>
  <c r="E89" i="56"/>
  <c r="D89" i="56"/>
  <c r="O88" i="56"/>
  <c r="L88" i="56"/>
  <c r="I88" i="56"/>
  <c r="F88" i="56"/>
  <c r="O87" i="56"/>
  <c r="L87" i="56"/>
  <c r="I87" i="56"/>
  <c r="F87" i="56"/>
  <c r="O86" i="56"/>
  <c r="L86" i="56"/>
  <c r="I86" i="56"/>
  <c r="F86" i="56"/>
  <c r="O85" i="56"/>
  <c r="L85" i="56"/>
  <c r="I85" i="56"/>
  <c r="F85" i="56"/>
  <c r="F84" i="56" s="1"/>
  <c r="N84" i="56"/>
  <c r="M84" i="56"/>
  <c r="K84" i="56"/>
  <c r="J84" i="56"/>
  <c r="H84" i="56"/>
  <c r="G84" i="56"/>
  <c r="E84" i="56"/>
  <c r="D84" i="56"/>
  <c r="O82" i="56"/>
  <c r="L82" i="56"/>
  <c r="I82" i="56"/>
  <c r="F82" i="56"/>
  <c r="O81" i="56"/>
  <c r="O80" i="56" s="1"/>
  <c r="L81" i="56"/>
  <c r="L80" i="56" s="1"/>
  <c r="I81" i="56"/>
  <c r="F81" i="56"/>
  <c r="F80" i="56" s="1"/>
  <c r="N80" i="56"/>
  <c r="M80" i="56"/>
  <c r="K80" i="56"/>
  <c r="J80" i="56"/>
  <c r="H80" i="56"/>
  <c r="G80" i="56"/>
  <c r="E80" i="56"/>
  <c r="D80" i="56"/>
  <c r="O79" i="56"/>
  <c r="L79" i="56"/>
  <c r="I79" i="56"/>
  <c r="F79" i="56"/>
  <c r="O78" i="56"/>
  <c r="L78" i="56"/>
  <c r="I78" i="56"/>
  <c r="F78" i="56"/>
  <c r="N77" i="56"/>
  <c r="M77" i="56"/>
  <c r="K77" i="56"/>
  <c r="J77" i="56"/>
  <c r="H77" i="56"/>
  <c r="G77" i="56"/>
  <c r="E77" i="56"/>
  <c r="E76" i="56" s="1"/>
  <c r="D77" i="56"/>
  <c r="N76" i="56"/>
  <c r="O74" i="56"/>
  <c r="L74" i="56"/>
  <c r="I74" i="56"/>
  <c r="F74" i="56"/>
  <c r="O73" i="56"/>
  <c r="L73" i="56"/>
  <c r="I73" i="56"/>
  <c r="F73" i="56"/>
  <c r="O72" i="56"/>
  <c r="L72" i="56"/>
  <c r="I72" i="56"/>
  <c r="F72" i="56"/>
  <c r="O71" i="56"/>
  <c r="L71" i="56"/>
  <c r="I71" i="56"/>
  <c r="F71" i="56"/>
  <c r="O70" i="56"/>
  <c r="L70" i="56"/>
  <c r="I70" i="56"/>
  <c r="I69" i="56" s="1"/>
  <c r="F70" i="56"/>
  <c r="N69" i="56"/>
  <c r="M69" i="56"/>
  <c r="M67" i="56" s="1"/>
  <c r="K69" i="56"/>
  <c r="J69" i="56"/>
  <c r="J67" i="56" s="1"/>
  <c r="H69" i="56"/>
  <c r="H67" i="56" s="1"/>
  <c r="G69" i="56"/>
  <c r="G67" i="56" s="1"/>
  <c r="E69" i="56"/>
  <c r="E67" i="56" s="1"/>
  <c r="D69" i="56"/>
  <c r="D67" i="56" s="1"/>
  <c r="O68" i="56"/>
  <c r="L68" i="56"/>
  <c r="I68" i="56"/>
  <c r="F68" i="56"/>
  <c r="N67" i="56"/>
  <c r="K67" i="56"/>
  <c r="O66" i="56"/>
  <c r="L66" i="56"/>
  <c r="I66" i="56"/>
  <c r="F66" i="56"/>
  <c r="O65" i="56"/>
  <c r="L65" i="56"/>
  <c r="I65" i="56"/>
  <c r="F65" i="56"/>
  <c r="O64" i="56"/>
  <c r="L64" i="56"/>
  <c r="I64" i="56"/>
  <c r="F64" i="56"/>
  <c r="O63" i="56"/>
  <c r="L63" i="56"/>
  <c r="I63" i="56"/>
  <c r="F63" i="56"/>
  <c r="O62" i="56"/>
  <c r="L62" i="56"/>
  <c r="I62" i="56"/>
  <c r="F62" i="56"/>
  <c r="O61" i="56"/>
  <c r="L61" i="56"/>
  <c r="I61" i="56"/>
  <c r="F61" i="56"/>
  <c r="O60" i="56"/>
  <c r="L60" i="56"/>
  <c r="I60" i="56"/>
  <c r="F60" i="56"/>
  <c r="O59" i="56"/>
  <c r="L59" i="56"/>
  <c r="I59" i="56"/>
  <c r="F59" i="56"/>
  <c r="F58" i="56" s="1"/>
  <c r="N58" i="56"/>
  <c r="M58" i="56"/>
  <c r="K58" i="56"/>
  <c r="J58" i="56"/>
  <c r="H58" i="56"/>
  <c r="G58" i="56"/>
  <c r="E58" i="56"/>
  <c r="D58" i="56"/>
  <c r="O57" i="56"/>
  <c r="L57" i="56"/>
  <c r="I57" i="56"/>
  <c r="F57" i="56"/>
  <c r="O56" i="56"/>
  <c r="O55" i="56" s="1"/>
  <c r="L56" i="56"/>
  <c r="L55" i="56" s="1"/>
  <c r="I56" i="56"/>
  <c r="I55" i="56" s="1"/>
  <c r="F56" i="56"/>
  <c r="N55" i="56"/>
  <c r="M55" i="56"/>
  <c r="K55" i="56"/>
  <c r="J55" i="56"/>
  <c r="J54" i="56" s="1"/>
  <c r="H55" i="56"/>
  <c r="G55" i="56"/>
  <c r="E55" i="56"/>
  <c r="E54" i="56" s="1"/>
  <c r="E53" i="56" s="1"/>
  <c r="D55" i="56"/>
  <c r="D54" i="56" s="1"/>
  <c r="O47" i="56"/>
  <c r="O46" i="56"/>
  <c r="C46" i="56" s="1"/>
  <c r="N45" i="56"/>
  <c r="M45" i="56"/>
  <c r="L44" i="56"/>
  <c r="L43" i="56" s="1"/>
  <c r="I44" i="56"/>
  <c r="I43" i="56" s="1"/>
  <c r="F44" i="56"/>
  <c r="F43" i="56" s="1"/>
  <c r="K43" i="56"/>
  <c r="J43" i="56"/>
  <c r="H43" i="56"/>
  <c r="G43" i="56"/>
  <c r="E43" i="56"/>
  <c r="D43" i="56"/>
  <c r="F42" i="56"/>
  <c r="C42" i="56" s="1"/>
  <c r="E41" i="56"/>
  <c r="D41" i="56"/>
  <c r="L40" i="56"/>
  <c r="C40" i="56" s="1"/>
  <c r="L39" i="56"/>
  <c r="C39" i="56" s="1"/>
  <c r="L38" i="56"/>
  <c r="C38" i="56" s="1"/>
  <c r="L37" i="56"/>
  <c r="C37" i="56" s="1"/>
  <c r="K36" i="56"/>
  <c r="J36" i="56"/>
  <c r="L35" i="56"/>
  <c r="C35" i="56" s="1"/>
  <c r="L34" i="56"/>
  <c r="C34" i="56" s="1"/>
  <c r="K33" i="56"/>
  <c r="J33" i="56"/>
  <c r="L32" i="56"/>
  <c r="L31" i="56" s="1"/>
  <c r="K31" i="56"/>
  <c r="J31" i="56"/>
  <c r="L30" i="56"/>
  <c r="C30" i="56" s="1"/>
  <c r="L29" i="56"/>
  <c r="C29" i="56" s="1"/>
  <c r="L28" i="56"/>
  <c r="C28" i="56" s="1"/>
  <c r="K27" i="56"/>
  <c r="J27" i="56"/>
  <c r="F25" i="56"/>
  <c r="C25" i="56" s="1"/>
  <c r="I24" i="56"/>
  <c r="O23" i="56"/>
  <c r="L23" i="56"/>
  <c r="I23" i="56"/>
  <c r="F23" i="56"/>
  <c r="O22" i="56"/>
  <c r="L22" i="56"/>
  <c r="L21" i="56" s="1"/>
  <c r="I22" i="56"/>
  <c r="F22" i="56"/>
  <c r="N21" i="56"/>
  <c r="M21" i="56"/>
  <c r="M292" i="56" s="1"/>
  <c r="M291" i="56" s="1"/>
  <c r="K21" i="56"/>
  <c r="J21" i="56"/>
  <c r="J292" i="56" s="1"/>
  <c r="J291" i="56" s="1"/>
  <c r="H21" i="56"/>
  <c r="G21" i="56"/>
  <c r="F21" i="56"/>
  <c r="E21" i="56"/>
  <c r="E292" i="56" s="1"/>
  <c r="D21" i="56"/>
  <c r="E187" i="56" l="1"/>
  <c r="K187" i="56"/>
  <c r="H292" i="56"/>
  <c r="H291" i="56" s="1"/>
  <c r="D53" i="56"/>
  <c r="C255" i="56"/>
  <c r="D292" i="56"/>
  <c r="D291" i="56" s="1"/>
  <c r="N292" i="56"/>
  <c r="N291" i="56" s="1"/>
  <c r="F292" i="56"/>
  <c r="O179" i="56"/>
  <c r="C109" i="56"/>
  <c r="C186" i="56"/>
  <c r="L238" i="56"/>
  <c r="L231" i="56" s="1"/>
  <c r="E291" i="56"/>
  <c r="K292" i="56"/>
  <c r="K291" i="56" s="1"/>
  <c r="C155" i="56"/>
  <c r="N173" i="56"/>
  <c r="H173" i="56"/>
  <c r="N204" i="56"/>
  <c r="N231" i="56"/>
  <c r="C254" i="56"/>
  <c r="O252" i="56"/>
  <c r="O251" i="56" s="1"/>
  <c r="G292" i="56"/>
  <c r="G291" i="56" s="1"/>
  <c r="F41" i="56"/>
  <c r="C41" i="56" s="1"/>
  <c r="C79" i="56"/>
  <c r="K204" i="56"/>
  <c r="M231" i="56"/>
  <c r="C243" i="56"/>
  <c r="C245" i="56"/>
  <c r="L270" i="56"/>
  <c r="M230" i="56"/>
  <c r="C102" i="56"/>
  <c r="O246" i="56"/>
  <c r="N195" i="56"/>
  <c r="M20" i="56"/>
  <c r="H54" i="56"/>
  <c r="N54" i="56"/>
  <c r="N53" i="56" s="1"/>
  <c r="M76" i="56"/>
  <c r="L77" i="56"/>
  <c r="L95" i="56"/>
  <c r="C132" i="56"/>
  <c r="C133" i="56"/>
  <c r="C163" i="56"/>
  <c r="N187" i="56"/>
  <c r="C129" i="56"/>
  <c r="C143" i="56"/>
  <c r="C152" i="56"/>
  <c r="C154" i="56"/>
  <c r="J195" i="56"/>
  <c r="C206" i="56"/>
  <c r="C211" i="56"/>
  <c r="C271" i="56"/>
  <c r="H270" i="56"/>
  <c r="H269" i="56" s="1"/>
  <c r="C273" i="56"/>
  <c r="E270" i="56"/>
  <c r="E269" i="56" s="1"/>
  <c r="C287" i="56"/>
  <c r="J53" i="56"/>
  <c r="H76" i="56"/>
  <c r="O89" i="56"/>
  <c r="K26" i="56"/>
  <c r="K20" i="56" s="1"/>
  <c r="D76" i="56"/>
  <c r="O77" i="56"/>
  <c r="K83" i="56"/>
  <c r="C125" i="56"/>
  <c r="D173" i="56"/>
  <c r="K174" i="56"/>
  <c r="K173" i="56" s="1"/>
  <c r="G187" i="56"/>
  <c r="C202" i="56"/>
  <c r="C229" i="56"/>
  <c r="C267" i="56"/>
  <c r="C268" i="56"/>
  <c r="N270" i="56"/>
  <c r="C169" i="56"/>
  <c r="C183" i="56"/>
  <c r="L188" i="56"/>
  <c r="C223" i="56"/>
  <c r="C224" i="56"/>
  <c r="C226" i="56"/>
  <c r="C87" i="56"/>
  <c r="E83" i="56"/>
  <c r="C89" i="56"/>
  <c r="C98" i="56"/>
  <c r="C99" i="56"/>
  <c r="C101" i="56"/>
  <c r="C114" i="56"/>
  <c r="C124" i="56"/>
  <c r="G130" i="56"/>
  <c r="F141" i="56"/>
  <c r="O141" i="56"/>
  <c r="C215" i="56"/>
  <c r="E204" i="56"/>
  <c r="C219" i="56"/>
  <c r="L260" i="56"/>
  <c r="K259" i="56"/>
  <c r="C265" i="56"/>
  <c r="J270" i="56"/>
  <c r="C279" i="56"/>
  <c r="C284" i="56"/>
  <c r="O293" i="56"/>
  <c r="I21" i="56"/>
  <c r="O95" i="56"/>
  <c r="C63" i="56"/>
  <c r="C65" i="56"/>
  <c r="I77" i="56"/>
  <c r="G83" i="56"/>
  <c r="C121" i="56"/>
  <c r="C139" i="56"/>
  <c r="O151" i="56"/>
  <c r="J187" i="56"/>
  <c r="H187" i="56"/>
  <c r="L205" i="56"/>
  <c r="L269" i="56"/>
  <c r="C299" i="56"/>
  <c r="C300" i="56"/>
  <c r="L292" i="56"/>
  <c r="L58" i="56"/>
  <c r="L54" i="56" s="1"/>
  <c r="I67" i="56"/>
  <c r="C71" i="56"/>
  <c r="C73" i="56"/>
  <c r="C105" i="56"/>
  <c r="C106" i="56"/>
  <c r="C108" i="56"/>
  <c r="N130" i="56"/>
  <c r="L141" i="56"/>
  <c r="L130" i="56" s="1"/>
  <c r="I141" i="56"/>
  <c r="C147" i="56"/>
  <c r="C149" i="56"/>
  <c r="C162" i="56"/>
  <c r="C171" i="56"/>
  <c r="C172" i="56"/>
  <c r="C199" i="56"/>
  <c r="M204" i="56"/>
  <c r="K231" i="56"/>
  <c r="C236" i="56"/>
  <c r="C239" i="56"/>
  <c r="J259" i="56"/>
  <c r="C263" i="56"/>
  <c r="D259" i="56"/>
  <c r="C275" i="56"/>
  <c r="O276" i="56"/>
  <c r="O270" i="56" s="1"/>
  <c r="O269" i="56" s="1"/>
  <c r="C295" i="56"/>
  <c r="C297" i="56"/>
  <c r="D83" i="56"/>
  <c r="F122" i="56"/>
  <c r="I175" i="56"/>
  <c r="I174" i="56" s="1"/>
  <c r="I173" i="56" s="1"/>
  <c r="C176" i="56"/>
  <c r="E20" i="56"/>
  <c r="L27" i="56"/>
  <c r="C27" i="56" s="1"/>
  <c r="J26" i="56"/>
  <c r="O45" i="56"/>
  <c r="G54" i="56"/>
  <c r="G53" i="56" s="1"/>
  <c r="K54" i="56"/>
  <c r="K53" i="56" s="1"/>
  <c r="O58" i="56"/>
  <c r="O54" i="56" s="1"/>
  <c r="G76" i="56"/>
  <c r="G75" i="56" s="1"/>
  <c r="K76" i="56"/>
  <c r="H83" i="56"/>
  <c r="N83" i="56"/>
  <c r="C97" i="56"/>
  <c r="C113" i="56"/>
  <c r="F112" i="56"/>
  <c r="C117" i="56"/>
  <c r="M130" i="56"/>
  <c r="K130" i="56"/>
  <c r="C159" i="56"/>
  <c r="C182" i="56"/>
  <c r="C190" i="56"/>
  <c r="E195" i="56"/>
  <c r="H230" i="56"/>
  <c r="J231" i="56"/>
  <c r="I293" i="56"/>
  <c r="H53" i="56"/>
  <c r="C91" i="56"/>
  <c r="L33" i="56"/>
  <c r="C33" i="56" s="1"/>
  <c r="M54" i="56"/>
  <c r="M53" i="56" s="1"/>
  <c r="L76" i="56"/>
  <c r="J76" i="56"/>
  <c r="J83" i="56"/>
  <c r="C86" i="56"/>
  <c r="C210" i="56"/>
  <c r="I216" i="56"/>
  <c r="D231" i="56"/>
  <c r="D230" i="56" s="1"/>
  <c r="M270" i="56"/>
  <c r="M269" i="56" s="1"/>
  <c r="G20" i="56"/>
  <c r="C22" i="56"/>
  <c r="C57" i="56"/>
  <c r="C62" i="56"/>
  <c r="O69" i="56"/>
  <c r="O67" i="56" s="1"/>
  <c r="C23" i="56"/>
  <c r="L36" i="56"/>
  <c r="C36" i="56" s="1"/>
  <c r="C44" i="56"/>
  <c r="I58" i="56"/>
  <c r="C58" i="56" s="1"/>
  <c r="C61" i="56"/>
  <c r="C66" i="56"/>
  <c r="C72" i="56"/>
  <c r="C74" i="56"/>
  <c r="C82" i="56"/>
  <c r="C85" i="56"/>
  <c r="C88" i="56"/>
  <c r="I166" i="56"/>
  <c r="I165" i="56" s="1"/>
  <c r="C167" i="56"/>
  <c r="C214" i="56"/>
  <c r="I205" i="56"/>
  <c r="O84" i="56"/>
  <c r="L84" i="56"/>
  <c r="C92" i="56"/>
  <c r="C94" i="56"/>
  <c r="C100" i="56"/>
  <c r="C107" i="56"/>
  <c r="C110" i="56"/>
  <c r="C115" i="56"/>
  <c r="C123" i="56"/>
  <c r="C126" i="56"/>
  <c r="H130" i="56"/>
  <c r="C134" i="56"/>
  <c r="O136" i="56"/>
  <c r="O130" i="56" s="1"/>
  <c r="O144" i="56"/>
  <c r="L144" i="56"/>
  <c r="C153" i="56"/>
  <c r="C156" i="56"/>
  <c r="C158" i="56"/>
  <c r="C161" i="56"/>
  <c r="C164" i="56"/>
  <c r="C181" i="56"/>
  <c r="L184" i="56"/>
  <c r="C189" i="56"/>
  <c r="O188" i="56"/>
  <c r="O187" i="56" s="1"/>
  <c r="L187" i="56"/>
  <c r="C197" i="56"/>
  <c r="O196" i="56"/>
  <c r="C203" i="56"/>
  <c r="H204" i="56"/>
  <c r="H195" i="56" s="1"/>
  <c r="H194" i="56" s="1"/>
  <c r="C208" i="56"/>
  <c r="C209" i="56"/>
  <c r="O216" i="56"/>
  <c r="C225" i="56"/>
  <c r="C228" i="56"/>
  <c r="G230" i="56"/>
  <c r="C237" i="56"/>
  <c r="O238" i="56"/>
  <c r="C248" i="56"/>
  <c r="F246" i="56"/>
  <c r="C253" i="56"/>
  <c r="C256" i="56"/>
  <c r="C258" i="56"/>
  <c r="F260" i="56"/>
  <c r="C262" i="56"/>
  <c r="O260" i="56"/>
  <c r="J269" i="56"/>
  <c r="N269" i="56"/>
  <c r="C285" i="56"/>
  <c r="C288" i="56"/>
  <c r="L293" i="56"/>
  <c r="L291" i="56" s="1"/>
  <c r="C301" i="56"/>
  <c r="M83" i="56"/>
  <c r="M75" i="56" s="1"/>
  <c r="C93" i="56"/>
  <c r="C96" i="56"/>
  <c r="C111" i="56"/>
  <c r="C118" i="56"/>
  <c r="F116" i="56"/>
  <c r="C127" i="56"/>
  <c r="J130" i="56"/>
  <c r="C138" i="56"/>
  <c r="C146" i="56"/>
  <c r="C157" i="56"/>
  <c r="E174" i="56"/>
  <c r="E173" i="56" s="1"/>
  <c r="O174" i="56"/>
  <c r="K195" i="56"/>
  <c r="C201" i="56"/>
  <c r="D204" i="56"/>
  <c r="D195" i="56" s="1"/>
  <c r="D194" i="56" s="1"/>
  <c r="C212" i="56"/>
  <c r="C213" i="56"/>
  <c r="C217" i="56"/>
  <c r="C218" i="56"/>
  <c r="C240" i="56"/>
  <c r="C241" i="56"/>
  <c r="F238" i="56"/>
  <c r="C249" i="56"/>
  <c r="C257" i="56"/>
  <c r="C261" i="56"/>
  <c r="L264" i="56"/>
  <c r="F270" i="56"/>
  <c r="F269" i="56" s="1"/>
  <c r="C278" i="56"/>
  <c r="C281" i="56"/>
  <c r="F293" i="56"/>
  <c r="C293" i="56" s="1"/>
  <c r="F103" i="56"/>
  <c r="O103" i="56"/>
  <c r="C103" i="56" s="1"/>
  <c r="I116" i="56"/>
  <c r="C119" i="56"/>
  <c r="O122" i="56"/>
  <c r="L122" i="56"/>
  <c r="D130" i="56"/>
  <c r="C137" i="56"/>
  <c r="C140" i="56"/>
  <c r="C145" i="56"/>
  <c r="C148" i="56"/>
  <c r="C150" i="56"/>
  <c r="C168" i="56"/>
  <c r="F166" i="56"/>
  <c r="F165" i="56" s="1"/>
  <c r="C165" i="56" s="1"/>
  <c r="G173" i="56"/>
  <c r="C178" i="56"/>
  <c r="L179" i="56"/>
  <c r="L174" i="56" s="1"/>
  <c r="L173" i="56" s="1"/>
  <c r="C185" i="56"/>
  <c r="O184" i="56"/>
  <c r="M187" i="56"/>
  <c r="C193" i="56"/>
  <c r="M195" i="56"/>
  <c r="M194" i="56" s="1"/>
  <c r="G195" i="56"/>
  <c r="G194" i="56" s="1"/>
  <c r="C200" i="56"/>
  <c r="C207" i="56"/>
  <c r="C220" i="56"/>
  <c r="C221" i="56"/>
  <c r="C222" i="56"/>
  <c r="C232" i="56"/>
  <c r="I238" i="56"/>
  <c r="C244" i="56"/>
  <c r="N230" i="56"/>
  <c r="L252" i="56"/>
  <c r="L251" i="56" s="1"/>
  <c r="C266" i="56"/>
  <c r="O264" i="56"/>
  <c r="C274" i="56"/>
  <c r="C277" i="56"/>
  <c r="C280" i="56"/>
  <c r="C296" i="56"/>
  <c r="C298" i="56"/>
  <c r="C45" i="56"/>
  <c r="C31" i="56"/>
  <c r="I292" i="56"/>
  <c r="I291" i="56" s="1"/>
  <c r="I20" i="56"/>
  <c r="C43" i="56"/>
  <c r="C64" i="56"/>
  <c r="C68" i="56"/>
  <c r="H20" i="56"/>
  <c r="O21" i="56"/>
  <c r="C21" i="56" s="1"/>
  <c r="C32" i="56"/>
  <c r="C47" i="56"/>
  <c r="I54" i="56"/>
  <c r="I53" i="56" s="1"/>
  <c r="F69" i="56"/>
  <c r="F67" i="56" s="1"/>
  <c r="C70" i="56"/>
  <c r="F131" i="56"/>
  <c r="C135" i="56"/>
  <c r="C59" i="56"/>
  <c r="J20" i="56"/>
  <c r="N20" i="56"/>
  <c r="C56" i="56"/>
  <c r="F55" i="56"/>
  <c r="C60" i="56"/>
  <c r="L69" i="56"/>
  <c r="L67" i="56" s="1"/>
  <c r="F77" i="56"/>
  <c r="C78" i="56"/>
  <c r="O76" i="56"/>
  <c r="C81" i="56"/>
  <c r="I80" i="56"/>
  <c r="C80" i="56" s="1"/>
  <c r="C112" i="56"/>
  <c r="I84" i="56"/>
  <c r="C90" i="56"/>
  <c r="F95" i="56"/>
  <c r="C104" i="56"/>
  <c r="C120" i="56"/>
  <c r="I122" i="56"/>
  <c r="F128" i="56"/>
  <c r="C128" i="56" s="1"/>
  <c r="I136" i="56"/>
  <c r="C142" i="56"/>
  <c r="I144" i="56"/>
  <c r="C144" i="56" s="1"/>
  <c r="F151" i="56"/>
  <c r="I160" i="56"/>
  <c r="C160" i="56" s="1"/>
  <c r="C170" i="56"/>
  <c r="F175" i="56"/>
  <c r="C188" i="56"/>
  <c r="N194" i="56"/>
  <c r="O204" i="56"/>
  <c r="O195" i="56" s="1"/>
  <c r="C205" i="56"/>
  <c r="F204" i="56"/>
  <c r="E131" i="56"/>
  <c r="E130" i="56" s="1"/>
  <c r="E75" i="56" s="1"/>
  <c r="E52" i="56" s="1"/>
  <c r="C177" i="56"/>
  <c r="C233" i="56"/>
  <c r="F231" i="56"/>
  <c r="I95" i="56"/>
  <c r="I151" i="56"/>
  <c r="I187" i="56"/>
  <c r="C234" i="56"/>
  <c r="C242" i="56"/>
  <c r="C250" i="56"/>
  <c r="F251" i="56"/>
  <c r="I252" i="56"/>
  <c r="I251" i="56" s="1"/>
  <c r="F259" i="56"/>
  <c r="I260" i="56"/>
  <c r="I264" i="56"/>
  <c r="C264" i="56" s="1"/>
  <c r="I272" i="56"/>
  <c r="I276" i="56"/>
  <c r="C282" i="56"/>
  <c r="F283" i="56"/>
  <c r="C283" i="56" s="1"/>
  <c r="C286" i="56"/>
  <c r="C294" i="56"/>
  <c r="F184" i="56"/>
  <c r="C184" i="56" s="1"/>
  <c r="F192" i="56"/>
  <c r="F196" i="56"/>
  <c r="L198" i="56"/>
  <c r="L196" i="56" s="1"/>
  <c r="C180" i="56"/>
  <c r="I198" i="56"/>
  <c r="I196" i="56" s="1"/>
  <c r="L227" i="56"/>
  <c r="C227" i="56" s="1"/>
  <c r="I246" i="56"/>
  <c r="I235" i="56"/>
  <c r="C246" i="56" l="1"/>
  <c r="C276" i="56"/>
  <c r="L259" i="56"/>
  <c r="C136" i="56"/>
  <c r="L53" i="56"/>
  <c r="L26" i="56"/>
  <c r="L20" i="56" s="1"/>
  <c r="D75" i="56"/>
  <c r="O231" i="56"/>
  <c r="N75" i="56"/>
  <c r="O53" i="56"/>
  <c r="C216" i="56"/>
  <c r="C166" i="56"/>
  <c r="H75" i="56"/>
  <c r="H52" i="56" s="1"/>
  <c r="H51" i="56" s="1"/>
  <c r="C179" i="56"/>
  <c r="I259" i="56"/>
  <c r="I270" i="56"/>
  <c r="I269" i="56" s="1"/>
  <c r="C269" i="56" s="1"/>
  <c r="G289" i="56"/>
  <c r="C141" i="56"/>
  <c r="F291" i="56"/>
  <c r="N289" i="56"/>
  <c r="L83" i="56"/>
  <c r="L75" i="56" s="1"/>
  <c r="L52" i="56" s="1"/>
  <c r="J230" i="56"/>
  <c r="J194" i="56" s="1"/>
  <c r="K230" i="56"/>
  <c r="N52" i="56"/>
  <c r="N51" i="56" s="1"/>
  <c r="N290" i="56" s="1"/>
  <c r="M289" i="56"/>
  <c r="C238" i="56"/>
  <c r="K194" i="56"/>
  <c r="C116" i="56"/>
  <c r="O259" i="56"/>
  <c r="E194" i="56"/>
  <c r="E51" i="56" s="1"/>
  <c r="G52" i="56"/>
  <c r="G51" i="56" s="1"/>
  <c r="C122" i="56"/>
  <c r="D289" i="56"/>
  <c r="D52" i="56"/>
  <c r="D51" i="56" s="1"/>
  <c r="I130" i="56"/>
  <c r="O173" i="56"/>
  <c r="I204" i="56"/>
  <c r="I195" i="56" s="1"/>
  <c r="C272" i="56"/>
  <c r="L230" i="56"/>
  <c r="J75" i="56"/>
  <c r="J52" i="56" s="1"/>
  <c r="M52" i="56"/>
  <c r="M51" i="56" s="1"/>
  <c r="C151" i="56"/>
  <c r="F83" i="56"/>
  <c r="I76" i="56"/>
  <c r="C69" i="56"/>
  <c r="O83" i="56"/>
  <c r="O75" i="56" s="1"/>
  <c r="K75" i="56"/>
  <c r="K289" i="56" s="1"/>
  <c r="I231" i="56"/>
  <c r="I230" i="56" s="1"/>
  <c r="C235" i="56"/>
  <c r="C192" i="56"/>
  <c r="F191" i="56"/>
  <c r="C251" i="56"/>
  <c r="C198" i="56"/>
  <c r="E289" i="56"/>
  <c r="C77" i="56"/>
  <c r="F76" i="56"/>
  <c r="F54" i="56"/>
  <c r="C55" i="56"/>
  <c r="C95" i="56"/>
  <c r="C67" i="56"/>
  <c r="F130" i="56"/>
  <c r="C131" i="56"/>
  <c r="C26" i="56"/>
  <c r="F230" i="56"/>
  <c r="C260" i="56"/>
  <c r="F174" i="56"/>
  <c r="C175" i="56"/>
  <c r="O292" i="56"/>
  <c r="O20" i="56"/>
  <c r="C196" i="56"/>
  <c r="F195" i="56"/>
  <c r="C252" i="56"/>
  <c r="L204" i="56"/>
  <c r="L195" i="56" s="1"/>
  <c r="I83" i="56"/>
  <c r="C84" i="56"/>
  <c r="G290" i="56"/>
  <c r="G50" i="56"/>
  <c r="O230" i="56" l="1"/>
  <c r="O194" i="56" s="1"/>
  <c r="O52" i="56"/>
  <c r="C270" i="56"/>
  <c r="H289" i="56"/>
  <c r="C259" i="56"/>
  <c r="N50" i="56"/>
  <c r="O51" i="56"/>
  <c r="O50" i="56" s="1"/>
  <c r="E290" i="56"/>
  <c r="E50" i="56"/>
  <c r="K52" i="56"/>
  <c r="K51" i="56" s="1"/>
  <c r="K50" i="56" s="1"/>
  <c r="J289" i="56"/>
  <c r="H290" i="56"/>
  <c r="H50" i="56"/>
  <c r="O290" i="56"/>
  <c r="C83" i="56"/>
  <c r="C231" i="56"/>
  <c r="C204" i="56"/>
  <c r="M50" i="56"/>
  <c r="M290" i="56"/>
  <c r="C130" i="56"/>
  <c r="J51" i="56"/>
  <c r="I194" i="56"/>
  <c r="O289" i="56"/>
  <c r="D50" i="56"/>
  <c r="D24" i="56"/>
  <c r="L194" i="56"/>
  <c r="L51" i="56" s="1"/>
  <c r="L289" i="56"/>
  <c r="C191" i="56"/>
  <c r="F187" i="56"/>
  <c r="C187" i="56" s="1"/>
  <c r="C230" i="56"/>
  <c r="I75" i="56"/>
  <c r="I52" i="56" s="1"/>
  <c r="F194" i="56"/>
  <c r="C195" i="56"/>
  <c r="F173" i="56"/>
  <c r="C173" i="56" s="1"/>
  <c r="C174" i="56"/>
  <c r="C54" i="56"/>
  <c r="F53" i="56"/>
  <c r="O291" i="56"/>
  <c r="C291" i="56" s="1"/>
  <c r="C292" i="56"/>
  <c r="C76" i="56"/>
  <c r="F75" i="56"/>
  <c r="K290" i="56" l="1"/>
  <c r="I289" i="56"/>
  <c r="F289" i="56"/>
  <c r="C289" i="56" s="1"/>
  <c r="I51" i="56"/>
  <c r="I290" i="56" s="1"/>
  <c r="F24" i="56"/>
  <c r="D20" i="56"/>
  <c r="D290" i="56"/>
  <c r="J50" i="56"/>
  <c r="J290" i="56"/>
  <c r="C194" i="56"/>
  <c r="L50" i="56"/>
  <c r="L290" i="56"/>
  <c r="C75" i="56"/>
  <c r="C53" i="56"/>
  <c r="F52" i="56"/>
  <c r="C24" i="56" l="1"/>
  <c r="F20" i="56"/>
  <c r="C20" i="56" s="1"/>
  <c r="I50" i="56"/>
  <c r="F51" i="56"/>
  <c r="C52" i="56"/>
  <c r="F290" i="56" l="1"/>
  <c r="C290" i="56" s="1"/>
  <c r="F50" i="56"/>
  <c r="C50" i="56" s="1"/>
  <c r="C51" i="56"/>
  <c r="H24" i="55" l="1"/>
  <c r="O301" i="55"/>
  <c r="L301" i="55"/>
  <c r="I301" i="55"/>
  <c r="C301" i="55" s="1"/>
  <c r="F301" i="55"/>
  <c r="O300" i="55"/>
  <c r="L300" i="55"/>
  <c r="I300" i="55"/>
  <c r="F300" i="55"/>
  <c r="O299" i="55"/>
  <c r="L299" i="55"/>
  <c r="I299" i="55"/>
  <c r="F299" i="55"/>
  <c r="O298" i="55"/>
  <c r="L298" i="55"/>
  <c r="I298" i="55"/>
  <c r="F298" i="55"/>
  <c r="O297" i="55"/>
  <c r="L297" i="55"/>
  <c r="I297" i="55"/>
  <c r="F297" i="55"/>
  <c r="O296" i="55"/>
  <c r="L296" i="55"/>
  <c r="I296" i="55"/>
  <c r="F296" i="55"/>
  <c r="O295" i="55"/>
  <c r="L295" i="55"/>
  <c r="I295" i="55"/>
  <c r="F295" i="55"/>
  <c r="O294" i="55"/>
  <c r="L294" i="55"/>
  <c r="I294" i="55"/>
  <c r="F294" i="55"/>
  <c r="O293" i="55"/>
  <c r="N293" i="55"/>
  <c r="M293" i="55"/>
  <c r="K293" i="55"/>
  <c r="J293" i="55"/>
  <c r="H293" i="55"/>
  <c r="G293" i="55"/>
  <c r="E293" i="55"/>
  <c r="D293" i="55"/>
  <c r="O288" i="55"/>
  <c r="L288" i="55"/>
  <c r="I288" i="55"/>
  <c r="F288" i="55"/>
  <c r="O287" i="55"/>
  <c r="L287" i="55"/>
  <c r="L286" i="55" s="1"/>
  <c r="I287" i="55"/>
  <c r="I286" i="55" s="1"/>
  <c r="F287" i="55"/>
  <c r="O286" i="55"/>
  <c r="N286" i="55"/>
  <c r="M286" i="55"/>
  <c r="K286" i="55"/>
  <c r="J286" i="55"/>
  <c r="H286" i="55"/>
  <c r="G286" i="55"/>
  <c r="E286" i="55"/>
  <c r="D286" i="55"/>
  <c r="O285" i="55"/>
  <c r="O284" i="55" s="1"/>
  <c r="O283" i="55" s="1"/>
  <c r="L285" i="55"/>
  <c r="I285" i="55"/>
  <c r="F285" i="55"/>
  <c r="C285" i="55" s="1"/>
  <c r="N284" i="55"/>
  <c r="M284" i="55"/>
  <c r="L284" i="55"/>
  <c r="L283" i="55" s="1"/>
  <c r="K284" i="55"/>
  <c r="K283" i="55" s="1"/>
  <c r="J284" i="55"/>
  <c r="I284" i="55"/>
  <c r="H284" i="55"/>
  <c r="H283" i="55" s="1"/>
  <c r="G284" i="55"/>
  <c r="G283" i="55" s="1"/>
  <c r="E284" i="55"/>
  <c r="D284" i="55"/>
  <c r="D283" i="55" s="1"/>
  <c r="N283" i="55"/>
  <c r="M283" i="55"/>
  <c r="J283" i="55"/>
  <c r="I283" i="55"/>
  <c r="E283" i="55"/>
  <c r="O282" i="55"/>
  <c r="L282" i="55"/>
  <c r="L281" i="55" s="1"/>
  <c r="I282" i="55"/>
  <c r="F282" i="55"/>
  <c r="F281" i="55" s="1"/>
  <c r="C281" i="55" s="1"/>
  <c r="O281" i="55"/>
  <c r="N281" i="55"/>
  <c r="M281" i="55"/>
  <c r="K281" i="55"/>
  <c r="J281" i="55"/>
  <c r="I281" i="55"/>
  <c r="H281" i="55"/>
  <c r="G281" i="55"/>
  <c r="E281" i="55"/>
  <c r="D281" i="55"/>
  <c r="O280" i="55"/>
  <c r="L280" i="55"/>
  <c r="I280" i="55"/>
  <c r="F280" i="55"/>
  <c r="O279" i="55"/>
  <c r="L279" i="55"/>
  <c r="I279" i="55"/>
  <c r="F279" i="55"/>
  <c r="O278" i="55"/>
  <c r="L278" i="55"/>
  <c r="I278" i="55"/>
  <c r="F278" i="55"/>
  <c r="O277" i="55"/>
  <c r="O276" i="55" s="1"/>
  <c r="L277" i="55"/>
  <c r="L276" i="55" s="1"/>
  <c r="I277" i="55"/>
  <c r="F277" i="55"/>
  <c r="N276" i="55"/>
  <c r="M276" i="55"/>
  <c r="K276" i="55"/>
  <c r="J276" i="55"/>
  <c r="H276" i="55"/>
  <c r="G276" i="55"/>
  <c r="E276" i="55"/>
  <c r="D276" i="55"/>
  <c r="O275" i="55"/>
  <c r="L275" i="55"/>
  <c r="I275" i="55"/>
  <c r="F275" i="55"/>
  <c r="O274" i="55"/>
  <c r="L274" i="55"/>
  <c r="I274" i="55"/>
  <c r="F274" i="55"/>
  <c r="O273" i="55"/>
  <c r="O272" i="55" s="1"/>
  <c r="O270" i="55" s="1"/>
  <c r="O269" i="55" s="1"/>
  <c r="L273" i="55"/>
  <c r="I273" i="55"/>
  <c r="F273" i="55"/>
  <c r="C273" i="55"/>
  <c r="N272" i="55"/>
  <c r="N270" i="55" s="1"/>
  <c r="N269" i="55" s="1"/>
  <c r="M272" i="55"/>
  <c r="K272" i="55"/>
  <c r="J272" i="55"/>
  <c r="J270" i="55" s="1"/>
  <c r="J269" i="55" s="1"/>
  <c r="I272" i="55"/>
  <c r="H272" i="55"/>
  <c r="G272" i="55"/>
  <c r="F272" i="55"/>
  <c r="E272" i="55"/>
  <c r="D272" i="55"/>
  <c r="D270" i="55" s="1"/>
  <c r="D269" i="55" s="1"/>
  <c r="O271" i="55"/>
  <c r="L271" i="55"/>
  <c r="I271" i="55"/>
  <c r="F271" i="55"/>
  <c r="M270" i="55"/>
  <c r="M269" i="55" s="1"/>
  <c r="K270" i="55"/>
  <c r="G270" i="55"/>
  <c r="E270" i="55"/>
  <c r="E269" i="55" s="1"/>
  <c r="O268" i="55"/>
  <c r="L268" i="55"/>
  <c r="I268" i="55"/>
  <c r="F268" i="55"/>
  <c r="O267" i="55"/>
  <c r="L267" i="55"/>
  <c r="I267" i="55"/>
  <c r="F267" i="55"/>
  <c r="O266" i="55"/>
  <c r="L266" i="55"/>
  <c r="I266" i="55"/>
  <c r="F266" i="55"/>
  <c r="O265" i="55"/>
  <c r="O264" i="55" s="1"/>
  <c r="L265" i="55"/>
  <c r="L264" i="55" s="1"/>
  <c r="I265" i="55"/>
  <c r="F265" i="55"/>
  <c r="C265" i="55" s="1"/>
  <c r="N264" i="55"/>
  <c r="M264" i="55"/>
  <c r="K264" i="55"/>
  <c r="J264" i="55"/>
  <c r="H264" i="55"/>
  <c r="G264" i="55"/>
  <c r="E264" i="55"/>
  <c r="D264" i="55"/>
  <c r="O263" i="55"/>
  <c r="L263" i="55"/>
  <c r="I263" i="55"/>
  <c r="F263" i="55"/>
  <c r="O262" i="55"/>
  <c r="L262" i="55"/>
  <c r="I262" i="55"/>
  <c r="F262" i="55"/>
  <c r="O261" i="55"/>
  <c r="O260" i="55" s="1"/>
  <c r="L261" i="55"/>
  <c r="I261" i="55"/>
  <c r="F261" i="55"/>
  <c r="C261" i="55" s="1"/>
  <c r="N260" i="55"/>
  <c r="N259" i="55" s="1"/>
  <c r="M260" i="55"/>
  <c r="K260" i="55"/>
  <c r="K259" i="55" s="1"/>
  <c r="J260" i="55"/>
  <c r="J259" i="55" s="1"/>
  <c r="H260" i="55"/>
  <c r="H259" i="55" s="1"/>
  <c r="G260" i="55"/>
  <c r="E260" i="55"/>
  <c r="E259" i="55" s="1"/>
  <c r="D260" i="55"/>
  <c r="M259" i="55"/>
  <c r="G259" i="55"/>
  <c r="O258" i="55"/>
  <c r="L258" i="55"/>
  <c r="I258" i="55"/>
  <c r="F258" i="55"/>
  <c r="O257" i="55"/>
  <c r="L257" i="55"/>
  <c r="I257" i="55"/>
  <c r="F257" i="55"/>
  <c r="O256" i="55"/>
  <c r="L256" i="55"/>
  <c r="I256" i="55"/>
  <c r="F256" i="55"/>
  <c r="O255" i="55"/>
  <c r="L255" i="55"/>
  <c r="I255" i="55"/>
  <c r="F255" i="55"/>
  <c r="O254" i="55"/>
  <c r="L254" i="55"/>
  <c r="I254" i="55"/>
  <c r="F254" i="55"/>
  <c r="O253" i="55"/>
  <c r="O252" i="55" s="1"/>
  <c r="L253" i="55"/>
  <c r="I253" i="55"/>
  <c r="F253" i="55"/>
  <c r="C253" i="55" s="1"/>
  <c r="N252" i="55"/>
  <c r="M252" i="55"/>
  <c r="M251" i="55" s="1"/>
  <c r="L252" i="55"/>
  <c r="L251" i="55" s="1"/>
  <c r="K252" i="55"/>
  <c r="J252" i="55"/>
  <c r="H252" i="55"/>
  <c r="H251" i="55" s="1"/>
  <c r="G252" i="55"/>
  <c r="E252" i="55"/>
  <c r="D252" i="55"/>
  <c r="D251" i="55" s="1"/>
  <c r="N251" i="55"/>
  <c r="K251" i="55"/>
  <c r="J251" i="55"/>
  <c r="G251" i="55"/>
  <c r="E251" i="55"/>
  <c r="O250" i="55"/>
  <c r="L250" i="55"/>
  <c r="I250" i="55"/>
  <c r="F250" i="55"/>
  <c r="O249" i="55"/>
  <c r="L249" i="55"/>
  <c r="I249" i="55"/>
  <c r="F249" i="55"/>
  <c r="O248" i="55"/>
  <c r="L248" i="55"/>
  <c r="I248" i="55"/>
  <c r="F248" i="55"/>
  <c r="O247" i="55"/>
  <c r="L247" i="55"/>
  <c r="I247" i="55"/>
  <c r="F247" i="55"/>
  <c r="N246" i="55"/>
  <c r="M246" i="55"/>
  <c r="K246" i="55"/>
  <c r="J246" i="55"/>
  <c r="H246" i="55"/>
  <c r="G246" i="55"/>
  <c r="E246" i="55"/>
  <c r="D246" i="55"/>
  <c r="O245" i="55"/>
  <c r="L245" i="55"/>
  <c r="I245" i="55"/>
  <c r="F245" i="55"/>
  <c r="C245" i="55" s="1"/>
  <c r="O244" i="55"/>
  <c r="L244" i="55"/>
  <c r="I244" i="55"/>
  <c r="F244" i="55"/>
  <c r="O243" i="55"/>
  <c r="L243" i="55"/>
  <c r="I243" i="55"/>
  <c r="F243" i="55"/>
  <c r="O242" i="55"/>
  <c r="L242" i="55"/>
  <c r="I242" i="55"/>
  <c r="F242" i="55"/>
  <c r="O241" i="55"/>
  <c r="L241" i="55"/>
  <c r="I241" i="55"/>
  <c r="F241" i="55"/>
  <c r="C241" i="55" s="1"/>
  <c r="O240" i="55"/>
  <c r="L240" i="55"/>
  <c r="I240" i="55"/>
  <c r="F240" i="55"/>
  <c r="O239" i="55"/>
  <c r="L239" i="55"/>
  <c r="I239" i="55"/>
  <c r="F239" i="55"/>
  <c r="F238" i="55" s="1"/>
  <c r="N238" i="55"/>
  <c r="M238" i="55"/>
  <c r="K238" i="55"/>
  <c r="J238" i="55"/>
  <c r="H238" i="55"/>
  <c r="G238" i="55"/>
  <c r="E238" i="55"/>
  <c r="D238" i="55"/>
  <c r="O237" i="55"/>
  <c r="L237" i="55"/>
  <c r="I237" i="55"/>
  <c r="F237" i="55"/>
  <c r="O236" i="55"/>
  <c r="L236" i="55"/>
  <c r="L235" i="55" s="1"/>
  <c r="I236" i="55"/>
  <c r="F236" i="55"/>
  <c r="N235" i="55"/>
  <c r="M235" i="55"/>
  <c r="M231" i="55" s="1"/>
  <c r="K235" i="55"/>
  <c r="J235" i="55"/>
  <c r="I235" i="55"/>
  <c r="H235" i="55"/>
  <c r="G235" i="55"/>
  <c r="E235" i="55"/>
  <c r="D235" i="55"/>
  <c r="D231" i="55" s="1"/>
  <c r="O234" i="55"/>
  <c r="L234" i="55"/>
  <c r="L233" i="55" s="1"/>
  <c r="I234" i="55"/>
  <c r="I233" i="55" s="1"/>
  <c r="F234" i="55"/>
  <c r="O233" i="55"/>
  <c r="N233" i="55"/>
  <c r="M233" i="55"/>
  <c r="K233" i="55"/>
  <c r="K231" i="55" s="1"/>
  <c r="J233" i="55"/>
  <c r="H233" i="55"/>
  <c r="G233" i="55"/>
  <c r="F233" i="55"/>
  <c r="E233" i="55"/>
  <c r="D233" i="55"/>
  <c r="O232" i="55"/>
  <c r="L232" i="55"/>
  <c r="I232" i="55"/>
  <c r="F232" i="55"/>
  <c r="H231" i="55"/>
  <c r="O229" i="55"/>
  <c r="L229" i="55"/>
  <c r="I229" i="55"/>
  <c r="F229" i="55"/>
  <c r="O228" i="55"/>
  <c r="O227" i="55" s="1"/>
  <c r="L228" i="55"/>
  <c r="I228" i="55"/>
  <c r="I227" i="55" s="1"/>
  <c r="F228" i="55"/>
  <c r="N227" i="55"/>
  <c r="M227" i="55"/>
  <c r="L227" i="55"/>
  <c r="K227" i="55"/>
  <c r="J227" i="55"/>
  <c r="H227" i="55"/>
  <c r="G227" i="55"/>
  <c r="E227" i="55"/>
  <c r="D227" i="55"/>
  <c r="O226" i="55"/>
  <c r="L226" i="55"/>
  <c r="I226" i="55"/>
  <c r="F226" i="55"/>
  <c r="O225" i="55"/>
  <c r="L225" i="55"/>
  <c r="I225" i="55"/>
  <c r="F225" i="55"/>
  <c r="O224" i="55"/>
  <c r="L224" i="55"/>
  <c r="I224" i="55"/>
  <c r="F224" i="55"/>
  <c r="O223" i="55"/>
  <c r="L223" i="55"/>
  <c r="I223" i="55"/>
  <c r="F223" i="55"/>
  <c r="O222" i="55"/>
  <c r="L222" i="55"/>
  <c r="I222" i="55"/>
  <c r="F222" i="55"/>
  <c r="O221" i="55"/>
  <c r="L221" i="55"/>
  <c r="I221" i="55"/>
  <c r="F221" i="55"/>
  <c r="O220" i="55"/>
  <c r="L220" i="55"/>
  <c r="I220" i="55"/>
  <c r="F220" i="55"/>
  <c r="O219" i="55"/>
  <c r="L219" i="55"/>
  <c r="I219" i="55"/>
  <c r="F219" i="55"/>
  <c r="O218" i="55"/>
  <c r="L218" i="55"/>
  <c r="I218" i="55"/>
  <c r="F218" i="55"/>
  <c r="O217" i="55"/>
  <c r="O216" i="55" s="1"/>
  <c r="L217" i="55"/>
  <c r="I217" i="55"/>
  <c r="F217" i="55"/>
  <c r="C217" i="55"/>
  <c r="N216" i="55"/>
  <c r="M216" i="55"/>
  <c r="K216" i="55"/>
  <c r="J216" i="55"/>
  <c r="H216" i="55"/>
  <c r="G216" i="55"/>
  <c r="E216" i="55"/>
  <c r="D216" i="55"/>
  <c r="O215" i="55"/>
  <c r="L215" i="55"/>
  <c r="I215" i="55"/>
  <c r="F215" i="55"/>
  <c r="O214" i="55"/>
  <c r="L214" i="55"/>
  <c r="I214" i="55"/>
  <c r="F214" i="55"/>
  <c r="C214" i="55" s="1"/>
  <c r="O213" i="55"/>
  <c r="L213" i="55"/>
  <c r="I213" i="55"/>
  <c r="F213" i="55"/>
  <c r="C213" i="55" s="1"/>
  <c r="O212" i="55"/>
  <c r="L212" i="55"/>
  <c r="I212" i="55"/>
  <c r="F212" i="55"/>
  <c r="O211" i="55"/>
  <c r="L211" i="55"/>
  <c r="I211" i="55"/>
  <c r="F211" i="55"/>
  <c r="O210" i="55"/>
  <c r="L210" i="55"/>
  <c r="I210" i="55"/>
  <c r="F210" i="55"/>
  <c r="O209" i="55"/>
  <c r="L209" i="55"/>
  <c r="I209" i="55"/>
  <c r="F209" i="55"/>
  <c r="C209" i="55" s="1"/>
  <c r="O208" i="55"/>
  <c r="L208" i="55"/>
  <c r="I208" i="55"/>
  <c r="F208" i="55"/>
  <c r="O207" i="55"/>
  <c r="L207" i="55"/>
  <c r="I207" i="55"/>
  <c r="F207" i="55"/>
  <c r="O206" i="55"/>
  <c r="L206" i="55"/>
  <c r="I206" i="55"/>
  <c r="F206" i="55"/>
  <c r="O205" i="55"/>
  <c r="N205" i="55"/>
  <c r="M205" i="55"/>
  <c r="K205" i="55"/>
  <c r="K204" i="55" s="1"/>
  <c r="J205" i="55"/>
  <c r="J204" i="55" s="1"/>
  <c r="H205" i="55"/>
  <c r="G205" i="55"/>
  <c r="G204" i="55" s="1"/>
  <c r="E205" i="55"/>
  <c r="D205" i="55"/>
  <c r="N204" i="55"/>
  <c r="H204" i="55"/>
  <c r="O203" i="55"/>
  <c r="L203" i="55"/>
  <c r="I203" i="55"/>
  <c r="F203" i="55"/>
  <c r="O202" i="55"/>
  <c r="L202" i="55"/>
  <c r="I202" i="55"/>
  <c r="F202" i="55"/>
  <c r="O201" i="55"/>
  <c r="L201" i="55"/>
  <c r="I201" i="55"/>
  <c r="F201" i="55"/>
  <c r="C201" i="55" s="1"/>
  <c r="O200" i="55"/>
  <c r="L200" i="55"/>
  <c r="I200" i="55"/>
  <c r="F200" i="55"/>
  <c r="O199" i="55"/>
  <c r="O198" i="55" s="1"/>
  <c r="L199" i="55"/>
  <c r="I199" i="55"/>
  <c r="F199" i="55"/>
  <c r="N198" i="55"/>
  <c r="N196" i="55" s="1"/>
  <c r="N195" i="55" s="1"/>
  <c r="M198" i="55"/>
  <c r="L198" i="55"/>
  <c r="K198" i="55"/>
  <c r="K196" i="55" s="1"/>
  <c r="J198" i="55"/>
  <c r="J196" i="55" s="1"/>
  <c r="H198" i="55"/>
  <c r="G198" i="55"/>
  <c r="F198" i="55"/>
  <c r="E198" i="55"/>
  <c r="D198" i="55"/>
  <c r="O197" i="55"/>
  <c r="L197" i="55"/>
  <c r="L196" i="55" s="1"/>
  <c r="I197" i="55"/>
  <c r="F197" i="55"/>
  <c r="M196" i="55"/>
  <c r="H196" i="55"/>
  <c r="G196" i="55"/>
  <c r="E196" i="55"/>
  <c r="D196" i="55"/>
  <c r="O193" i="55"/>
  <c r="O192" i="55" s="1"/>
  <c r="O191" i="55" s="1"/>
  <c r="L193" i="55"/>
  <c r="I193" i="55"/>
  <c r="C193" i="55" s="1"/>
  <c r="F193" i="55"/>
  <c r="F192" i="55" s="1"/>
  <c r="F191" i="55" s="1"/>
  <c r="N192" i="55"/>
  <c r="M192" i="55"/>
  <c r="M191" i="55" s="1"/>
  <c r="L192" i="55"/>
  <c r="L191" i="55" s="1"/>
  <c r="K192" i="55"/>
  <c r="K191" i="55" s="1"/>
  <c r="J192" i="55"/>
  <c r="H192" i="55"/>
  <c r="H191" i="55" s="1"/>
  <c r="G192" i="55"/>
  <c r="G191" i="55" s="1"/>
  <c r="E192" i="55"/>
  <c r="E191" i="55" s="1"/>
  <c r="D192" i="55"/>
  <c r="D191" i="55" s="1"/>
  <c r="N191" i="55"/>
  <c r="J191" i="55"/>
  <c r="O190" i="55"/>
  <c r="L190" i="55"/>
  <c r="I190" i="55"/>
  <c r="F190" i="55"/>
  <c r="O189" i="55"/>
  <c r="O188" i="55" s="1"/>
  <c r="O187" i="55" s="1"/>
  <c r="L189" i="55"/>
  <c r="I189" i="55"/>
  <c r="I188" i="55" s="1"/>
  <c r="F189" i="55"/>
  <c r="F188" i="55" s="1"/>
  <c r="N188" i="55"/>
  <c r="N187" i="55" s="1"/>
  <c r="M188" i="55"/>
  <c r="K188" i="55"/>
  <c r="J188" i="55"/>
  <c r="J187" i="55" s="1"/>
  <c r="H188" i="55"/>
  <c r="H187" i="55" s="1"/>
  <c r="G188" i="55"/>
  <c r="E188" i="55"/>
  <c r="D188" i="55"/>
  <c r="D187" i="55"/>
  <c r="O186" i="55"/>
  <c r="L186" i="55"/>
  <c r="I186" i="55"/>
  <c r="F186" i="55"/>
  <c r="C186" i="55" s="1"/>
  <c r="O185" i="55"/>
  <c r="L185" i="55"/>
  <c r="L184" i="55" s="1"/>
  <c r="I185" i="55"/>
  <c r="I184" i="55" s="1"/>
  <c r="F185" i="55"/>
  <c r="C185" i="55" s="1"/>
  <c r="O184" i="55"/>
  <c r="N184" i="55"/>
  <c r="M184" i="55"/>
  <c r="K184" i="55"/>
  <c r="J184" i="55"/>
  <c r="H184" i="55"/>
  <c r="G184" i="55"/>
  <c r="F184" i="55"/>
  <c r="E184" i="55"/>
  <c r="D184" i="55"/>
  <c r="O183" i="55"/>
  <c r="L183" i="55"/>
  <c r="I183" i="55"/>
  <c r="F183" i="55"/>
  <c r="O182" i="55"/>
  <c r="L182" i="55"/>
  <c r="I182" i="55"/>
  <c r="F182" i="55"/>
  <c r="O181" i="55"/>
  <c r="L181" i="55"/>
  <c r="I181" i="55"/>
  <c r="F181" i="55"/>
  <c r="O180" i="55"/>
  <c r="O179" i="55" s="1"/>
  <c r="L180" i="55"/>
  <c r="I180" i="55"/>
  <c r="F180" i="55"/>
  <c r="N179" i="55"/>
  <c r="M179" i="55"/>
  <c r="K179" i="55"/>
  <c r="J179" i="55"/>
  <c r="H179" i="55"/>
  <c r="G179" i="55"/>
  <c r="E179" i="55"/>
  <c r="D179" i="55"/>
  <c r="O178" i="55"/>
  <c r="L178" i="55"/>
  <c r="I178" i="55"/>
  <c r="F178" i="55"/>
  <c r="O177" i="55"/>
  <c r="L177" i="55"/>
  <c r="I177" i="55"/>
  <c r="F177" i="55"/>
  <c r="O176" i="55"/>
  <c r="O175" i="55" s="1"/>
  <c r="L176" i="55"/>
  <c r="L175" i="55" s="1"/>
  <c r="I176" i="55"/>
  <c r="F176" i="55"/>
  <c r="N175" i="55"/>
  <c r="M175" i="55"/>
  <c r="M174" i="55" s="1"/>
  <c r="M173" i="55" s="1"/>
  <c r="K175" i="55"/>
  <c r="J175" i="55"/>
  <c r="H175" i="55"/>
  <c r="H174" i="55" s="1"/>
  <c r="H173" i="55" s="1"/>
  <c r="G175" i="55"/>
  <c r="E175" i="55"/>
  <c r="D175" i="55"/>
  <c r="N174" i="55"/>
  <c r="N173" i="55" s="1"/>
  <c r="J174" i="55"/>
  <c r="J173" i="55"/>
  <c r="O172" i="55"/>
  <c r="L172" i="55"/>
  <c r="I172" i="55"/>
  <c r="F172" i="55"/>
  <c r="C172" i="55" s="1"/>
  <c r="O171" i="55"/>
  <c r="L171" i="55"/>
  <c r="I171" i="55"/>
  <c r="F171" i="55"/>
  <c r="C171" i="55" s="1"/>
  <c r="O170" i="55"/>
  <c r="L170" i="55"/>
  <c r="I170" i="55"/>
  <c r="F170" i="55"/>
  <c r="C170" i="55" s="1"/>
  <c r="O169" i="55"/>
  <c r="L169" i="55"/>
  <c r="I169" i="55"/>
  <c r="F169" i="55"/>
  <c r="C169" i="55" s="1"/>
  <c r="O168" i="55"/>
  <c r="L168" i="55"/>
  <c r="I168" i="55"/>
  <c r="F168" i="55"/>
  <c r="C168" i="55" s="1"/>
  <c r="O167" i="55"/>
  <c r="O166" i="55" s="1"/>
  <c r="O165" i="55" s="1"/>
  <c r="L167" i="55"/>
  <c r="I167" i="55"/>
  <c r="F167" i="55"/>
  <c r="N166" i="55"/>
  <c r="N165" i="55" s="1"/>
  <c r="M166" i="55"/>
  <c r="M165" i="55" s="1"/>
  <c r="K166" i="55"/>
  <c r="J166" i="55"/>
  <c r="J165" i="55" s="1"/>
  <c r="I166" i="55"/>
  <c r="I165" i="55" s="1"/>
  <c r="H166" i="55"/>
  <c r="H165" i="55" s="1"/>
  <c r="G166" i="55"/>
  <c r="E166" i="55"/>
  <c r="E165" i="55" s="1"/>
  <c r="D166" i="55"/>
  <c r="D165" i="55" s="1"/>
  <c r="K165" i="55"/>
  <c r="G165" i="55"/>
  <c r="O164" i="55"/>
  <c r="L164" i="55"/>
  <c r="I164" i="55"/>
  <c r="F164" i="55"/>
  <c r="C164" i="55" s="1"/>
  <c r="O163" i="55"/>
  <c r="L163" i="55"/>
  <c r="I163" i="55"/>
  <c r="F163" i="55"/>
  <c r="O162" i="55"/>
  <c r="L162" i="55"/>
  <c r="I162" i="55"/>
  <c r="F162" i="55"/>
  <c r="F160" i="55" s="1"/>
  <c r="O161" i="55"/>
  <c r="L161" i="55"/>
  <c r="L160" i="55" s="1"/>
  <c r="I161" i="55"/>
  <c r="I160" i="55" s="1"/>
  <c r="F161" i="55"/>
  <c r="O160" i="55"/>
  <c r="N160" i="55"/>
  <c r="M160" i="55"/>
  <c r="K160" i="55"/>
  <c r="J160" i="55"/>
  <c r="H160" i="55"/>
  <c r="G160" i="55"/>
  <c r="E160" i="55"/>
  <c r="D160" i="55"/>
  <c r="O159" i="55"/>
  <c r="L159" i="55"/>
  <c r="I159" i="55"/>
  <c r="F159" i="55"/>
  <c r="O158" i="55"/>
  <c r="L158" i="55"/>
  <c r="I158" i="55"/>
  <c r="F158" i="55"/>
  <c r="O157" i="55"/>
  <c r="L157" i="55"/>
  <c r="I157" i="55"/>
  <c r="F157" i="55"/>
  <c r="O156" i="55"/>
  <c r="L156" i="55"/>
  <c r="I156" i="55"/>
  <c r="F156" i="55"/>
  <c r="C156" i="55" s="1"/>
  <c r="O155" i="55"/>
  <c r="L155" i="55"/>
  <c r="I155" i="55"/>
  <c r="F155" i="55"/>
  <c r="O154" i="55"/>
  <c r="L154" i="55"/>
  <c r="I154" i="55"/>
  <c r="F154" i="55"/>
  <c r="O153" i="55"/>
  <c r="L153" i="55"/>
  <c r="I153" i="55"/>
  <c r="F153" i="55"/>
  <c r="O152" i="55"/>
  <c r="L152" i="55"/>
  <c r="L151" i="55" s="1"/>
  <c r="I152" i="55"/>
  <c r="F152" i="55"/>
  <c r="N151" i="55"/>
  <c r="M151" i="55"/>
  <c r="K151" i="55"/>
  <c r="J151" i="55"/>
  <c r="H151" i="55"/>
  <c r="G151" i="55"/>
  <c r="E151" i="55"/>
  <c r="D151" i="55"/>
  <c r="O150" i="55"/>
  <c r="L150" i="55"/>
  <c r="I150" i="55"/>
  <c r="F150" i="55"/>
  <c r="O149" i="55"/>
  <c r="L149" i="55"/>
  <c r="I149" i="55"/>
  <c r="F149" i="55"/>
  <c r="O148" i="55"/>
  <c r="L148" i="55"/>
  <c r="I148" i="55"/>
  <c r="F148" i="55"/>
  <c r="C148" i="55" s="1"/>
  <c r="O147" i="55"/>
  <c r="L147" i="55"/>
  <c r="I147" i="55"/>
  <c r="F147" i="55"/>
  <c r="O146" i="55"/>
  <c r="L146" i="55"/>
  <c r="I146" i="55"/>
  <c r="F146" i="55"/>
  <c r="O145" i="55"/>
  <c r="L145" i="55"/>
  <c r="I145" i="55"/>
  <c r="I144" i="55" s="1"/>
  <c r="F145" i="55"/>
  <c r="O144" i="55"/>
  <c r="N144" i="55"/>
  <c r="M144" i="55"/>
  <c r="K144" i="55"/>
  <c r="J144" i="55"/>
  <c r="H144" i="55"/>
  <c r="G144" i="55"/>
  <c r="E144" i="55"/>
  <c r="E130" i="55" s="1"/>
  <c r="D144" i="55"/>
  <c r="O143" i="55"/>
  <c r="L143" i="55"/>
  <c r="I143" i="55"/>
  <c r="F143" i="55"/>
  <c r="O142" i="55"/>
  <c r="O141" i="55" s="1"/>
  <c r="L142" i="55"/>
  <c r="L141" i="55" s="1"/>
  <c r="I142" i="55"/>
  <c r="I141" i="55" s="1"/>
  <c r="F142" i="55"/>
  <c r="N141" i="55"/>
  <c r="M141" i="55"/>
  <c r="K141" i="55"/>
  <c r="J141" i="55"/>
  <c r="H141" i="55"/>
  <c r="G141" i="55"/>
  <c r="F141" i="55"/>
  <c r="E141" i="55"/>
  <c r="D141" i="55"/>
  <c r="O140" i="55"/>
  <c r="L140" i="55"/>
  <c r="I140" i="55"/>
  <c r="F140" i="55"/>
  <c r="O139" i="55"/>
  <c r="L139" i="55"/>
  <c r="I139" i="55"/>
  <c r="F139" i="55"/>
  <c r="O138" i="55"/>
  <c r="L138" i="55"/>
  <c r="I138" i="55"/>
  <c r="F138" i="55"/>
  <c r="O137" i="55"/>
  <c r="L137" i="55"/>
  <c r="L136" i="55" s="1"/>
  <c r="I137" i="55"/>
  <c r="I136" i="55" s="1"/>
  <c r="F137" i="55"/>
  <c r="O136" i="55"/>
  <c r="N136" i="55"/>
  <c r="M136" i="55"/>
  <c r="K136" i="55"/>
  <c r="J136" i="55"/>
  <c r="H136" i="55"/>
  <c r="G136" i="55"/>
  <c r="E136" i="55"/>
  <c r="D136" i="55"/>
  <c r="O135" i="55"/>
  <c r="L135" i="55"/>
  <c r="I135" i="55"/>
  <c r="F135" i="55"/>
  <c r="O134" i="55"/>
  <c r="L134" i="55"/>
  <c r="I134" i="55"/>
  <c r="F134" i="55"/>
  <c r="O133" i="55"/>
  <c r="L133" i="55"/>
  <c r="I133" i="55"/>
  <c r="F133" i="55"/>
  <c r="O132" i="55"/>
  <c r="O131" i="55" s="1"/>
  <c r="L132" i="55"/>
  <c r="I132" i="55"/>
  <c r="I131" i="55" s="1"/>
  <c r="F132" i="55"/>
  <c r="N131" i="55"/>
  <c r="N130" i="55" s="1"/>
  <c r="M131" i="55"/>
  <c r="K131" i="55"/>
  <c r="J131" i="55"/>
  <c r="H131" i="55"/>
  <c r="H130" i="55" s="1"/>
  <c r="G131" i="55"/>
  <c r="G130" i="55" s="1"/>
  <c r="E131" i="55"/>
  <c r="D131" i="55"/>
  <c r="M130" i="55"/>
  <c r="O129" i="55"/>
  <c r="L129" i="55"/>
  <c r="L128" i="55" s="1"/>
  <c r="I129" i="55"/>
  <c r="I128" i="55" s="1"/>
  <c r="F129" i="55"/>
  <c r="O128" i="55"/>
  <c r="N128" i="55"/>
  <c r="M128" i="55"/>
  <c r="K128" i="55"/>
  <c r="J128" i="55"/>
  <c r="H128" i="55"/>
  <c r="G128" i="55"/>
  <c r="F128" i="55"/>
  <c r="E128" i="55"/>
  <c r="D128" i="55"/>
  <c r="O127" i="55"/>
  <c r="L127" i="55"/>
  <c r="I127" i="55"/>
  <c r="F127" i="55"/>
  <c r="O126" i="55"/>
  <c r="L126" i="55"/>
  <c r="I126" i="55"/>
  <c r="F126" i="55"/>
  <c r="O125" i="55"/>
  <c r="L125" i="55"/>
  <c r="I125" i="55"/>
  <c r="F125" i="55"/>
  <c r="O124" i="55"/>
  <c r="C124" i="55" s="1"/>
  <c r="L124" i="55"/>
  <c r="I124" i="55"/>
  <c r="F124" i="55"/>
  <c r="O123" i="55"/>
  <c r="L123" i="55"/>
  <c r="I123" i="55"/>
  <c r="F123" i="55"/>
  <c r="N122" i="55"/>
  <c r="M122" i="55"/>
  <c r="K122" i="55"/>
  <c r="J122" i="55"/>
  <c r="I122" i="55"/>
  <c r="H122" i="55"/>
  <c r="G122" i="55"/>
  <c r="E122" i="55"/>
  <c r="D122" i="55"/>
  <c r="O121" i="55"/>
  <c r="L121" i="55"/>
  <c r="I121" i="55"/>
  <c r="F121" i="55"/>
  <c r="O120" i="55"/>
  <c r="L120" i="55"/>
  <c r="I120" i="55"/>
  <c r="F120" i="55"/>
  <c r="O119" i="55"/>
  <c r="L119" i="55"/>
  <c r="I119" i="55"/>
  <c r="F119" i="55"/>
  <c r="O118" i="55"/>
  <c r="L118" i="55"/>
  <c r="I118" i="55"/>
  <c r="F118" i="55"/>
  <c r="O117" i="55"/>
  <c r="L117" i="55"/>
  <c r="I117" i="55"/>
  <c r="F117" i="55"/>
  <c r="O116" i="55"/>
  <c r="N116" i="55"/>
  <c r="M116" i="55"/>
  <c r="K116" i="55"/>
  <c r="J116" i="55"/>
  <c r="H116" i="55"/>
  <c r="G116" i="55"/>
  <c r="E116" i="55"/>
  <c r="D116" i="55"/>
  <c r="O115" i="55"/>
  <c r="L115" i="55"/>
  <c r="I115" i="55"/>
  <c r="F115" i="55"/>
  <c r="O114" i="55"/>
  <c r="L114" i="55"/>
  <c r="I114" i="55"/>
  <c r="F114" i="55"/>
  <c r="O113" i="55"/>
  <c r="L113" i="55"/>
  <c r="I113" i="55"/>
  <c r="I112" i="55" s="1"/>
  <c r="F113" i="55"/>
  <c r="O112" i="55"/>
  <c r="N112" i="55"/>
  <c r="M112" i="55"/>
  <c r="K112" i="55"/>
  <c r="J112" i="55"/>
  <c r="H112" i="55"/>
  <c r="G112" i="55"/>
  <c r="E112" i="55"/>
  <c r="D112" i="55"/>
  <c r="O111" i="55"/>
  <c r="L111" i="55"/>
  <c r="I111" i="55"/>
  <c r="F111" i="55"/>
  <c r="O110" i="55"/>
  <c r="L110" i="55"/>
  <c r="I110" i="55"/>
  <c r="F110" i="55"/>
  <c r="O109" i="55"/>
  <c r="L109" i="55"/>
  <c r="I109" i="55"/>
  <c r="F109" i="55"/>
  <c r="O108" i="55"/>
  <c r="L108" i="55"/>
  <c r="I108" i="55"/>
  <c r="F108" i="55"/>
  <c r="O107" i="55"/>
  <c r="L107" i="55"/>
  <c r="I107" i="55"/>
  <c r="F107" i="55"/>
  <c r="O106" i="55"/>
  <c r="L106" i="55"/>
  <c r="I106" i="55"/>
  <c r="F106" i="55"/>
  <c r="O105" i="55"/>
  <c r="L105" i="55"/>
  <c r="I105" i="55"/>
  <c r="F105" i="55"/>
  <c r="O104" i="55"/>
  <c r="L104" i="55"/>
  <c r="I104" i="55"/>
  <c r="F104" i="55"/>
  <c r="N103" i="55"/>
  <c r="M103" i="55"/>
  <c r="K103" i="55"/>
  <c r="J103" i="55"/>
  <c r="H103" i="55"/>
  <c r="G103" i="55"/>
  <c r="E103" i="55"/>
  <c r="D103" i="55"/>
  <c r="O102" i="55"/>
  <c r="L102" i="55"/>
  <c r="I102" i="55"/>
  <c r="E102" i="55"/>
  <c r="F102" i="55" s="1"/>
  <c r="O101" i="55"/>
  <c r="L101" i="55"/>
  <c r="I101" i="55"/>
  <c r="F101" i="55"/>
  <c r="C101" i="55" s="1"/>
  <c r="O100" i="55"/>
  <c r="L100" i="55"/>
  <c r="I100" i="55"/>
  <c r="F100" i="55"/>
  <c r="O99" i="55"/>
  <c r="L99" i="55"/>
  <c r="I99" i="55"/>
  <c r="F99" i="55"/>
  <c r="O98" i="55"/>
  <c r="L98" i="55"/>
  <c r="I98" i="55"/>
  <c r="F98" i="55"/>
  <c r="O97" i="55"/>
  <c r="L97" i="55"/>
  <c r="I97" i="55"/>
  <c r="F97" i="55"/>
  <c r="O96" i="55"/>
  <c r="L96" i="55"/>
  <c r="I96" i="55"/>
  <c r="I95" i="55" s="1"/>
  <c r="F96" i="55"/>
  <c r="N95" i="55"/>
  <c r="M95" i="55"/>
  <c r="K95" i="55"/>
  <c r="J95" i="55"/>
  <c r="H95" i="55"/>
  <c r="G95" i="55"/>
  <c r="E95" i="55"/>
  <c r="E83" i="55" s="1"/>
  <c r="D95" i="55"/>
  <c r="O94" i="55"/>
  <c r="L94" i="55"/>
  <c r="I94" i="55"/>
  <c r="F94" i="55"/>
  <c r="O93" i="55"/>
  <c r="L93" i="55"/>
  <c r="I93" i="55"/>
  <c r="F93" i="55"/>
  <c r="O92" i="55"/>
  <c r="L92" i="55"/>
  <c r="I92" i="55"/>
  <c r="F92" i="55"/>
  <c r="O91" i="55"/>
  <c r="L91" i="55"/>
  <c r="I91" i="55"/>
  <c r="F91" i="55"/>
  <c r="O90" i="55"/>
  <c r="L90" i="55"/>
  <c r="I90" i="55"/>
  <c r="F90" i="55"/>
  <c r="O89" i="55"/>
  <c r="N89" i="55"/>
  <c r="M89" i="55"/>
  <c r="K89" i="55"/>
  <c r="J89" i="55"/>
  <c r="H89" i="55"/>
  <c r="G89" i="55"/>
  <c r="E89" i="55"/>
  <c r="D89" i="55"/>
  <c r="O88" i="55"/>
  <c r="L88" i="55"/>
  <c r="I88" i="55"/>
  <c r="F88" i="55"/>
  <c r="O87" i="55"/>
  <c r="L87" i="55"/>
  <c r="I87" i="55"/>
  <c r="F87" i="55"/>
  <c r="O86" i="55"/>
  <c r="L86" i="55"/>
  <c r="I86" i="55"/>
  <c r="F86" i="55"/>
  <c r="O85" i="55"/>
  <c r="O84" i="55" s="1"/>
  <c r="L85" i="55"/>
  <c r="L84" i="55" s="1"/>
  <c r="I85" i="55"/>
  <c r="I84" i="55" s="1"/>
  <c r="F85" i="55"/>
  <c r="N84" i="55"/>
  <c r="M84" i="55"/>
  <c r="K84" i="55"/>
  <c r="J84" i="55"/>
  <c r="H84" i="55"/>
  <c r="G84" i="55"/>
  <c r="E84" i="55"/>
  <c r="D84" i="55"/>
  <c r="M83" i="55"/>
  <c r="O82" i="55"/>
  <c r="L82" i="55"/>
  <c r="I82" i="55"/>
  <c r="F82" i="55"/>
  <c r="O81" i="55"/>
  <c r="O80" i="55" s="1"/>
  <c r="L81" i="55"/>
  <c r="I81" i="55"/>
  <c r="I80" i="55" s="1"/>
  <c r="F81" i="55"/>
  <c r="N80" i="55"/>
  <c r="M80" i="55"/>
  <c r="L80" i="55"/>
  <c r="K80" i="55"/>
  <c r="K76" i="55" s="1"/>
  <c r="J80" i="55"/>
  <c r="H80" i="55"/>
  <c r="G80" i="55"/>
  <c r="E80" i="55"/>
  <c r="D80" i="55"/>
  <c r="O79" i="55"/>
  <c r="L79" i="55"/>
  <c r="I79" i="55"/>
  <c r="F79" i="55"/>
  <c r="O78" i="55"/>
  <c r="O77" i="55" s="1"/>
  <c r="L78" i="55"/>
  <c r="L77" i="55" s="1"/>
  <c r="I78" i="55"/>
  <c r="I77" i="55" s="1"/>
  <c r="F78" i="55"/>
  <c r="E78" i="55"/>
  <c r="N77" i="55"/>
  <c r="N76" i="55" s="1"/>
  <c r="M77" i="55"/>
  <c r="K77" i="55"/>
  <c r="J77" i="55"/>
  <c r="J76" i="55" s="1"/>
  <c r="H77" i="55"/>
  <c r="G77" i="55"/>
  <c r="G76" i="55" s="1"/>
  <c r="E77" i="55"/>
  <c r="D77" i="55"/>
  <c r="M76" i="55"/>
  <c r="E76" i="55"/>
  <c r="O74" i="55"/>
  <c r="L74" i="55"/>
  <c r="I74" i="55"/>
  <c r="F74" i="55"/>
  <c r="O73" i="55"/>
  <c r="L73" i="55"/>
  <c r="I73" i="55"/>
  <c r="F73" i="55"/>
  <c r="C73" i="55" s="1"/>
  <c r="O72" i="55"/>
  <c r="L72" i="55"/>
  <c r="I72" i="55"/>
  <c r="F72" i="55"/>
  <c r="C72" i="55" s="1"/>
  <c r="O71" i="55"/>
  <c r="L71" i="55"/>
  <c r="I71" i="55"/>
  <c r="F71" i="55"/>
  <c r="O70" i="55"/>
  <c r="L70" i="55"/>
  <c r="I70" i="55"/>
  <c r="I69" i="55" s="1"/>
  <c r="F70" i="55"/>
  <c r="N69" i="55"/>
  <c r="N67" i="55" s="1"/>
  <c r="M69" i="55"/>
  <c r="M67" i="55" s="1"/>
  <c r="K69" i="55"/>
  <c r="K67" i="55" s="1"/>
  <c r="J69" i="55"/>
  <c r="J67" i="55" s="1"/>
  <c r="H69" i="55"/>
  <c r="G69" i="55"/>
  <c r="E69" i="55"/>
  <c r="E67" i="55" s="1"/>
  <c r="D69" i="55"/>
  <c r="D67" i="55" s="1"/>
  <c r="O68" i="55"/>
  <c r="L68" i="55"/>
  <c r="I68" i="55"/>
  <c r="I67" i="55" s="1"/>
  <c r="F68" i="55"/>
  <c r="H67" i="55"/>
  <c r="G67" i="55"/>
  <c r="O66" i="55"/>
  <c r="L66" i="55"/>
  <c r="I66" i="55"/>
  <c r="F66" i="55"/>
  <c r="O65" i="55"/>
  <c r="L65" i="55"/>
  <c r="I65" i="55"/>
  <c r="F65" i="55"/>
  <c r="O64" i="55"/>
  <c r="L64" i="55"/>
  <c r="I64" i="55"/>
  <c r="F64" i="55"/>
  <c r="O63" i="55"/>
  <c r="L63" i="55"/>
  <c r="I63" i="55"/>
  <c r="F63" i="55"/>
  <c r="O62" i="55"/>
  <c r="L62" i="55"/>
  <c r="I62" i="55"/>
  <c r="F62" i="55"/>
  <c r="O61" i="55"/>
  <c r="L61" i="55"/>
  <c r="I61" i="55"/>
  <c r="F61" i="55"/>
  <c r="O60" i="55"/>
  <c r="L60" i="55"/>
  <c r="I60" i="55"/>
  <c r="F60" i="55"/>
  <c r="O59" i="55"/>
  <c r="L59" i="55"/>
  <c r="L58" i="55" s="1"/>
  <c r="I59" i="55"/>
  <c r="F59" i="55"/>
  <c r="N58" i="55"/>
  <c r="M58" i="55"/>
  <c r="K58" i="55"/>
  <c r="J58" i="55"/>
  <c r="H58" i="55"/>
  <c r="G58" i="55"/>
  <c r="G54" i="55" s="1"/>
  <c r="G53" i="55" s="1"/>
  <c r="E58" i="55"/>
  <c r="D58" i="55"/>
  <c r="O57" i="55"/>
  <c r="L57" i="55"/>
  <c r="I57" i="55"/>
  <c r="F57" i="55"/>
  <c r="O56" i="55"/>
  <c r="O55" i="55" s="1"/>
  <c r="L56" i="55"/>
  <c r="L55" i="55" s="1"/>
  <c r="I56" i="55"/>
  <c r="I55" i="55" s="1"/>
  <c r="F56" i="55"/>
  <c r="N55" i="55"/>
  <c r="N54" i="55" s="1"/>
  <c r="N53" i="55" s="1"/>
  <c r="M55" i="55"/>
  <c r="K55" i="55"/>
  <c r="J55" i="55"/>
  <c r="J54" i="55" s="1"/>
  <c r="J53" i="55" s="1"/>
  <c r="H55" i="55"/>
  <c r="G55" i="55"/>
  <c r="F55" i="55"/>
  <c r="E55" i="55"/>
  <c r="E54" i="55" s="1"/>
  <c r="D55" i="55"/>
  <c r="D54" i="55" s="1"/>
  <c r="K54" i="55"/>
  <c r="O47" i="55"/>
  <c r="C47" i="55" s="1"/>
  <c r="O46" i="55"/>
  <c r="N45" i="55"/>
  <c r="M45" i="55"/>
  <c r="L44" i="55"/>
  <c r="L43" i="55" s="1"/>
  <c r="I44" i="55"/>
  <c r="F44" i="55"/>
  <c r="K43" i="55"/>
  <c r="J43" i="55"/>
  <c r="H43" i="55"/>
  <c r="G43" i="55"/>
  <c r="F43" i="55"/>
  <c r="E43" i="55"/>
  <c r="D43" i="55"/>
  <c r="F42" i="55"/>
  <c r="F41" i="55" s="1"/>
  <c r="C41" i="55" s="1"/>
  <c r="C42" i="55"/>
  <c r="E41" i="55"/>
  <c r="D41" i="55"/>
  <c r="L40" i="55"/>
  <c r="C40" i="55"/>
  <c r="L39" i="55"/>
  <c r="C39" i="55" s="1"/>
  <c r="L38" i="55"/>
  <c r="C38" i="55"/>
  <c r="L37" i="55"/>
  <c r="C37" i="55" s="1"/>
  <c r="K36" i="55"/>
  <c r="J36" i="55"/>
  <c r="L35" i="55"/>
  <c r="C35" i="55" s="1"/>
  <c r="L34" i="55"/>
  <c r="L33" i="55" s="1"/>
  <c r="C33" i="55" s="1"/>
  <c r="K33" i="55"/>
  <c r="J33" i="55"/>
  <c r="L32" i="55"/>
  <c r="L31" i="55" s="1"/>
  <c r="C31" i="55" s="1"/>
  <c r="K31" i="55"/>
  <c r="J31" i="55"/>
  <c r="L30" i="55"/>
  <c r="C30" i="55" s="1"/>
  <c r="L29" i="55"/>
  <c r="C29" i="55" s="1"/>
  <c r="L28" i="55"/>
  <c r="C28" i="55" s="1"/>
  <c r="K27" i="55"/>
  <c r="K26" i="55" s="1"/>
  <c r="J27" i="55"/>
  <c r="J26" i="55" s="1"/>
  <c r="J20" i="55" s="1"/>
  <c r="F25" i="55"/>
  <c r="C25" i="55"/>
  <c r="I24" i="55"/>
  <c r="F24" i="55"/>
  <c r="O23" i="55"/>
  <c r="L23" i="55"/>
  <c r="I23" i="55"/>
  <c r="F23" i="55"/>
  <c r="O22" i="55"/>
  <c r="L22" i="55"/>
  <c r="I22" i="55"/>
  <c r="I21" i="55" s="1"/>
  <c r="I292" i="55" s="1"/>
  <c r="F22" i="55"/>
  <c r="N21" i="55"/>
  <c r="M21" i="55"/>
  <c r="M292" i="55" s="1"/>
  <c r="M291" i="55" s="1"/>
  <c r="K21" i="55"/>
  <c r="K292" i="55" s="1"/>
  <c r="K291" i="55" s="1"/>
  <c r="J21" i="55"/>
  <c r="H21" i="55"/>
  <c r="H292" i="55" s="1"/>
  <c r="H291" i="55" s="1"/>
  <c r="G21" i="55"/>
  <c r="G292" i="55" s="1"/>
  <c r="G291" i="55" s="1"/>
  <c r="E21" i="55"/>
  <c r="E292" i="55" s="1"/>
  <c r="E291" i="55" s="1"/>
  <c r="D21" i="55"/>
  <c r="N20" i="55"/>
  <c r="D20" i="55"/>
  <c r="F187" i="55" l="1"/>
  <c r="L112" i="55"/>
  <c r="D292" i="55"/>
  <c r="D291" i="55" s="1"/>
  <c r="N292" i="55"/>
  <c r="N291" i="55" s="1"/>
  <c r="C60" i="55"/>
  <c r="N83" i="55"/>
  <c r="C93" i="55"/>
  <c r="C104" i="55"/>
  <c r="C108" i="55"/>
  <c r="C109" i="55"/>
  <c r="C111" i="55"/>
  <c r="D130" i="55"/>
  <c r="C132" i="55"/>
  <c r="C134" i="55"/>
  <c r="C135" i="55"/>
  <c r="C152" i="55"/>
  <c r="C153" i="55"/>
  <c r="C154" i="55"/>
  <c r="C155" i="55"/>
  <c r="K187" i="55"/>
  <c r="E187" i="55"/>
  <c r="I192" i="55"/>
  <c r="I191" i="55" s="1"/>
  <c r="M187" i="55"/>
  <c r="C221" i="55"/>
  <c r="C225" i="55"/>
  <c r="G231" i="55"/>
  <c r="G230" i="55" s="1"/>
  <c r="C237" i="55"/>
  <c r="C240" i="55"/>
  <c r="F260" i="55"/>
  <c r="E75" i="55"/>
  <c r="J292" i="55"/>
  <c r="J291" i="55" s="1"/>
  <c r="O45" i="55"/>
  <c r="I58" i="55"/>
  <c r="C62" i="55"/>
  <c r="C66" i="55"/>
  <c r="C78" i="55"/>
  <c r="K83" i="55"/>
  <c r="C85" i="55"/>
  <c r="C88" i="55"/>
  <c r="J83" i="55"/>
  <c r="C140" i="55"/>
  <c r="E174" i="55"/>
  <c r="E173" i="55" s="1"/>
  <c r="K174" i="55"/>
  <c r="K173" i="55" s="1"/>
  <c r="K289" i="55" s="1"/>
  <c r="C180" i="55"/>
  <c r="C183" i="55"/>
  <c r="C242" i="55"/>
  <c r="C244" i="55"/>
  <c r="H270" i="55"/>
  <c r="H269" i="55" s="1"/>
  <c r="C277" i="55"/>
  <c r="C278" i="55"/>
  <c r="C279" i="55"/>
  <c r="C282" i="55"/>
  <c r="F284" i="55"/>
  <c r="F283" i="55" s="1"/>
  <c r="C288" i="55"/>
  <c r="H20" i="55"/>
  <c r="C23" i="55"/>
  <c r="C32" i="55"/>
  <c r="C34" i="55"/>
  <c r="D53" i="55"/>
  <c r="M54" i="55"/>
  <c r="M53" i="55" s="1"/>
  <c r="M75" i="55"/>
  <c r="C81" i="55"/>
  <c r="G83" i="55"/>
  <c r="G75" i="55" s="1"/>
  <c r="C97" i="55"/>
  <c r="C99" i="55"/>
  <c r="C100" i="55"/>
  <c r="C120" i="55"/>
  <c r="C143" i="55"/>
  <c r="G174" i="55"/>
  <c r="G173" i="55" s="1"/>
  <c r="C176" i="55"/>
  <c r="C197" i="55"/>
  <c r="J195" i="55"/>
  <c r="O204" i="55"/>
  <c r="C229" i="55"/>
  <c r="C249" i="55"/>
  <c r="C257" i="55"/>
  <c r="D259" i="55"/>
  <c r="C297" i="55"/>
  <c r="I187" i="55"/>
  <c r="L54" i="55"/>
  <c r="I54" i="55"/>
  <c r="I53" i="55" s="1"/>
  <c r="C59" i="55"/>
  <c r="O58" i="55"/>
  <c r="C64" i="55"/>
  <c r="O69" i="55"/>
  <c r="O67" i="55" s="1"/>
  <c r="L69" i="55"/>
  <c r="L67" i="55" s="1"/>
  <c r="D83" i="55"/>
  <c r="I89" i="55"/>
  <c r="C94" i="55"/>
  <c r="O95" i="55"/>
  <c r="L95" i="55"/>
  <c r="C102" i="55"/>
  <c r="C117" i="55"/>
  <c r="C128" i="55"/>
  <c r="L166" i="55"/>
  <c r="L165" i="55" s="1"/>
  <c r="I175" i="55"/>
  <c r="C184" i="55"/>
  <c r="C189" i="55"/>
  <c r="K195" i="55"/>
  <c r="C207" i="55"/>
  <c r="C224" i="55"/>
  <c r="O235" i="55"/>
  <c r="O231" i="55" s="1"/>
  <c r="C248" i="55"/>
  <c r="O246" i="55"/>
  <c r="L260" i="55"/>
  <c r="L259" i="55" s="1"/>
  <c r="C266" i="55"/>
  <c r="C271" i="55"/>
  <c r="C275" i="55"/>
  <c r="L21" i="55"/>
  <c r="L27" i="55"/>
  <c r="C27" i="55" s="1"/>
  <c r="L36" i="55"/>
  <c r="C36" i="55" s="1"/>
  <c r="C44" i="55"/>
  <c r="C46" i="55"/>
  <c r="H54" i="55"/>
  <c r="H53" i="55" s="1"/>
  <c r="C61" i="55"/>
  <c r="C63" i="55"/>
  <c r="C65" i="55"/>
  <c r="C71" i="55"/>
  <c r="L76" i="55"/>
  <c r="F80" i="55"/>
  <c r="O76" i="55"/>
  <c r="C106" i="55"/>
  <c r="C107" i="55"/>
  <c r="I116" i="55"/>
  <c r="C121" i="55"/>
  <c r="O122" i="55"/>
  <c r="L122" i="55"/>
  <c r="C137" i="55"/>
  <c r="C138" i="55"/>
  <c r="C160" i="55"/>
  <c r="I179" i="55"/>
  <c r="G187" i="55"/>
  <c r="C203" i="55"/>
  <c r="G195" i="55"/>
  <c r="G194" i="55" s="1"/>
  <c r="C212" i="55"/>
  <c r="C218" i="55"/>
  <c r="C226" i="55"/>
  <c r="M204" i="55"/>
  <c r="M195" i="55" s="1"/>
  <c r="L238" i="55"/>
  <c r="L272" i="55"/>
  <c r="L270" i="55" s="1"/>
  <c r="L269" i="55" s="1"/>
  <c r="F276" i="55"/>
  <c r="N75" i="55"/>
  <c r="N52" i="55" s="1"/>
  <c r="L131" i="55"/>
  <c r="C150" i="55"/>
  <c r="L179" i="55"/>
  <c r="D204" i="55"/>
  <c r="D195" i="55" s="1"/>
  <c r="E204" i="55"/>
  <c r="E195" i="55" s="1"/>
  <c r="K230" i="55"/>
  <c r="O238" i="55"/>
  <c r="H230" i="55"/>
  <c r="C258" i="55"/>
  <c r="G269" i="55"/>
  <c r="K269" i="55"/>
  <c r="C22" i="55"/>
  <c r="O21" i="55"/>
  <c r="O20" i="55" s="1"/>
  <c r="K53" i="55"/>
  <c r="C74" i="55"/>
  <c r="C79" i="55"/>
  <c r="D76" i="55"/>
  <c r="H76" i="55"/>
  <c r="C80" i="55"/>
  <c r="C90" i="55"/>
  <c r="H83" i="55"/>
  <c r="H75" i="55" s="1"/>
  <c r="L103" i="55"/>
  <c r="C126" i="55"/>
  <c r="C127" i="55"/>
  <c r="C161" i="55"/>
  <c r="C162" i="55"/>
  <c r="C163" i="55"/>
  <c r="C177" i="55"/>
  <c r="C190" i="55"/>
  <c r="C200" i="55"/>
  <c r="C215" i="55"/>
  <c r="E231" i="55"/>
  <c r="E230" i="55" s="1"/>
  <c r="L246" i="55"/>
  <c r="C254" i="55"/>
  <c r="I276" i="55"/>
  <c r="I270" i="55" s="1"/>
  <c r="I269" i="55" s="1"/>
  <c r="C298" i="55"/>
  <c r="C24" i="55"/>
  <c r="C159" i="55"/>
  <c r="C219" i="55"/>
  <c r="C68" i="55"/>
  <c r="C57" i="55"/>
  <c r="E53" i="55"/>
  <c r="E52" i="55" s="1"/>
  <c r="L292" i="55"/>
  <c r="C45" i="55"/>
  <c r="O54" i="55"/>
  <c r="O292" i="55"/>
  <c r="O291" i="55" s="1"/>
  <c r="C55" i="55"/>
  <c r="C56" i="55"/>
  <c r="F69" i="55"/>
  <c r="C139" i="55"/>
  <c r="F136" i="55"/>
  <c r="C136" i="55" s="1"/>
  <c r="C268" i="55"/>
  <c r="F264" i="55"/>
  <c r="C294" i="55"/>
  <c r="L293" i="55"/>
  <c r="G20" i="55"/>
  <c r="K20" i="55"/>
  <c r="F21" i="55"/>
  <c r="F54" i="55"/>
  <c r="F58" i="55"/>
  <c r="C86" i="55"/>
  <c r="C87" i="55"/>
  <c r="L89" i="55"/>
  <c r="C96" i="55"/>
  <c r="F95" i="55"/>
  <c r="O103" i="55"/>
  <c r="C113" i="55"/>
  <c r="C114" i="55"/>
  <c r="C115" i="55"/>
  <c r="F112" i="55"/>
  <c r="C112" i="55" s="1"/>
  <c r="L116" i="55"/>
  <c r="C123" i="55"/>
  <c r="F122" i="55"/>
  <c r="C129" i="55"/>
  <c r="K130" i="55"/>
  <c r="K75" i="55" s="1"/>
  <c r="C145" i="55"/>
  <c r="C146" i="55"/>
  <c r="C147" i="55"/>
  <c r="F144" i="55"/>
  <c r="I151" i="55"/>
  <c r="I130" i="55" s="1"/>
  <c r="C157" i="55"/>
  <c r="C158" i="55"/>
  <c r="D174" i="55"/>
  <c r="D173" i="55" s="1"/>
  <c r="C181" i="55"/>
  <c r="C182" i="55"/>
  <c r="I43" i="55"/>
  <c r="C43" i="55" s="1"/>
  <c r="C70" i="55"/>
  <c r="I76" i="55"/>
  <c r="C98" i="55"/>
  <c r="C105" i="55"/>
  <c r="C125" i="55"/>
  <c r="C133" i="55"/>
  <c r="C149" i="55"/>
  <c r="O174" i="55"/>
  <c r="O173" i="55" s="1"/>
  <c r="C255" i="55"/>
  <c r="I252" i="55"/>
  <c r="I251" i="55" s="1"/>
  <c r="E20" i="55"/>
  <c r="M20" i="55"/>
  <c r="F77" i="55"/>
  <c r="C82" i="55"/>
  <c r="C91" i="55"/>
  <c r="C92" i="55"/>
  <c r="F89" i="55"/>
  <c r="I103" i="55"/>
  <c r="I83" i="55" s="1"/>
  <c r="C110" i="55"/>
  <c r="C118" i="55"/>
  <c r="C119" i="55"/>
  <c r="F116" i="55"/>
  <c r="J130" i="55"/>
  <c r="J75" i="55" s="1"/>
  <c r="J52" i="55" s="1"/>
  <c r="C141" i="55"/>
  <c r="C142" i="55"/>
  <c r="L144" i="55"/>
  <c r="L130" i="55" s="1"/>
  <c r="O151" i="55"/>
  <c r="O130" i="55" s="1"/>
  <c r="C167" i="55"/>
  <c r="F166" i="55"/>
  <c r="L174" i="55"/>
  <c r="L173" i="55" s="1"/>
  <c r="C178" i="55"/>
  <c r="C233" i="55"/>
  <c r="C236" i="55"/>
  <c r="F235" i="55"/>
  <c r="C280" i="55"/>
  <c r="F270" i="55"/>
  <c r="L188" i="55"/>
  <c r="F196" i="55"/>
  <c r="K194" i="55"/>
  <c r="C206" i="55"/>
  <c r="C208" i="55"/>
  <c r="F205" i="55"/>
  <c r="L216" i="55"/>
  <c r="C220" i="55"/>
  <c r="F216" i="55"/>
  <c r="C228" i="55"/>
  <c r="F227" i="55"/>
  <c r="C227" i="55" s="1"/>
  <c r="D230" i="55"/>
  <c r="M230" i="55"/>
  <c r="N231" i="55"/>
  <c r="N230" i="55" s="1"/>
  <c r="O259" i="55"/>
  <c r="C267" i="55"/>
  <c r="I264" i="55"/>
  <c r="C274" i="55"/>
  <c r="E289" i="55"/>
  <c r="F84" i="55"/>
  <c r="F103" i="55"/>
  <c r="F131" i="55"/>
  <c r="F151" i="55"/>
  <c r="C151" i="55" s="1"/>
  <c r="F175" i="55"/>
  <c r="F179" i="55"/>
  <c r="C179" i="55" s="1"/>
  <c r="C191" i="55"/>
  <c r="H195" i="55"/>
  <c r="H194" i="55" s="1"/>
  <c r="O196" i="55"/>
  <c r="O195" i="55" s="1"/>
  <c r="I198" i="55"/>
  <c r="I196" i="55" s="1"/>
  <c r="C199" i="55"/>
  <c r="C202" i="55"/>
  <c r="I205" i="55"/>
  <c r="C210" i="55"/>
  <c r="C211" i="55"/>
  <c r="I216" i="55"/>
  <c r="C222" i="55"/>
  <c r="C223" i="55"/>
  <c r="C232" i="55"/>
  <c r="C234" i="55"/>
  <c r="J231" i="55"/>
  <c r="J230" i="55" s="1"/>
  <c r="F246" i="55"/>
  <c r="I246" i="55"/>
  <c r="C247" i="55"/>
  <c r="C250" i="55"/>
  <c r="O251" i="55"/>
  <c r="C262" i="55"/>
  <c r="C284" i="55"/>
  <c r="F286" i="55"/>
  <c r="C295" i="55"/>
  <c r="C296" i="55"/>
  <c r="F293" i="55"/>
  <c r="C192" i="55"/>
  <c r="L205" i="55"/>
  <c r="C238" i="55"/>
  <c r="I238" i="55"/>
  <c r="C239" i="55"/>
  <c r="C243" i="55"/>
  <c r="C256" i="55"/>
  <c r="F252" i="55"/>
  <c r="C263" i="55"/>
  <c r="I260" i="55"/>
  <c r="C272" i="55"/>
  <c r="C276" i="55"/>
  <c r="C283" i="55"/>
  <c r="C287" i="55"/>
  <c r="I293" i="55"/>
  <c r="I291" i="55" s="1"/>
  <c r="C299" i="55"/>
  <c r="C300" i="55"/>
  <c r="O301" i="54"/>
  <c r="L301" i="54"/>
  <c r="I301" i="54"/>
  <c r="F301" i="54"/>
  <c r="O300" i="54"/>
  <c r="L300" i="54"/>
  <c r="I300" i="54"/>
  <c r="F300" i="54"/>
  <c r="O299" i="54"/>
  <c r="L299" i="54"/>
  <c r="I299" i="54"/>
  <c r="F299" i="54"/>
  <c r="O298" i="54"/>
  <c r="C298" i="54" s="1"/>
  <c r="L298" i="54"/>
  <c r="I298" i="54"/>
  <c r="F298" i="54"/>
  <c r="O297" i="54"/>
  <c r="L297" i="54"/>
  <c r="I297" i="54"/>
  <c r="F297" i="54"/>
  <c r="O296" i="54"/>
  <c r="L296" i="54"/>
  <c r="I296" i="54"/>
  <c r="F296" i="54"/>
  <c r="O295" i="54"/>
  <c r="L295" i="54"/>
  <c r="I295" i="54"/>
  <c r="F295" i="54"/>
  <c r="O294" i="54"/>
  <c r="L294" i="54"/>
  <c r="I294" i="54"/>
  <c r="I293" i="54" s="1"/>
  <c r="F294" i="54"/>
  <c r="N293" i="54"/>
  <c r="M293" i="54"/>
  <c r="K293" i="54"/>
  <c r="J293" i="54"/>
  <c r="H293" i="54"/>
  <c r="G293" i="54"/>
  <c r="E293" i="54"/>
  <c r="D293" i="54"/>
  <c r="O288" i="54"/>
  <c r="L288" i="54"/>
  <c r="I288" i="54"/>
  <c r="F288" i="54"/>
  <c r="O287" i="54"/>
  <c r="L287" i="54"/>
  <c r="L286" i="54" s="1"/>
  <c r="I287" i="54"/>
  <c r="F287" i="54"/>
  <c r="O286" i="54"/>
  <c r="N286" i="54"/>
  <c r="M286" i="54"/>
  <c r="K286" i="54"/>
  <c r="J286" i="54"/>
  <c r="H286" i="54"/>
  <c r="G286" i="54"/>
  <c r="F286" i="54"/>
  <c r="E286" i="54"/>
  <c r="D286" i="54"/>
  <c r="O285" i="54"/>
  <c r="L285" i="54"/>
  <c r="L284" i="54" s="1"/>
  <c r="L283" i="54" s="1"/>
  <c r="I285" i="54"/>
  <c r="I284" i="54" s="1"/>
  <c r="I283" i="54" s="1"/>
  <c r="F285" i="54"/>
  <c r="O284" i="54"/>
  <c r="O283" i="54" s="1"/>
  <c r="N284" i="54"/>
  <c r="N283" i="54" s="1"/>
  <c r="M284" i="54"/>
  <c r="M283" i="54" s="1"/>
  <c r="K284" i="54"/>
  <c r="K283" i="54" s="1"/>
  <c r="J284" i="54"/>
  <c r="J283" i="54" s="1"/>
  <c r="H284" i="54"/>
  <c r="G284" i="54"/>
  <c r="G283" i="54" s="1"/>
  <c r="E284" i="54"/>
  <c r="E283" i="54" s="1"/>
  <c r="D284" i="54"/>
  <c r="D283" i="54" s="1"/>
  <c r="H283" i="54"/>
  <c r="O282" i="54"/>
  <c r="O281" i="54" s="1"/>
  <c r="L282" i="54"/>
  <c r="I282" i="54"/>
  <c r="I281" i="54" s="1"/>
  <c r="F282" i="54"/>
  <c r="N281" i="54"/>
  <c r="M281" i="54"/>
  <c r="L281" i="54"/>
  <c r="K281" i="54"/>
  <c r="J281" i="54"/>
  <c r="H281" i="54"/>
  <c r="G281" i="54"/>
  <c r="E281" i="54"/>
  <c r="D281" i="54"/>
  <c r="O280" i="54"/>
  <c r="L280" i="54"/>
  <c r="I280" i="54"/>
  <c r="F280" i="54"/>
  <c r="O279" i="54"/>
  <c r="L279" i="54"/>
  <c r="I279" i="54"/>
  <c r="F279" i="54"/>
  <c r="O278" i="54"/>
  <c r="L278" i="54"/>
  <c r="I278" i="54"/>
  <c r="C278" i="54" s="1"/>
  <c r="F278" i="54"/>
  <c r="O277" i="54"/>
  <c r="L277" i="54"/>
  <c r="I277" i="54"/>
  <c r="F277" i="54"/>
  <c r="N276" i="54"/>
  <c r="M276" i="54"/>
  <c r="K276" i="54"/>
  <c r="J276" i="54"/>
  <c r="H276" i="54"/>
  <c r="G276" i="54"/>
  <c r="E276" i="54"/>
  <c r="D276" i="54"/>
  <c r="O275" i="54"/>
  <c r="L275" i="54"/>
  <c r="I275" i="54"/>
  <c r="F275" i="54"/>
  <c r="O274" i="54"/>
  <c r="L274" i="54"/>
  <c r="I274" i="54"/>
  <c r="F274" i="54"/>
  <c r="O273" i="54"/>
  <c r="L273" i="54"/>
  <c r="L272" i="54" s="1"/>
  <c r="I273" i="54"/>
  <c r="F273" i="54"/>
  <c r="N272" i="54"/>
  <c r="N270" i="54" s="1"/>
  <c r="N269" i="54" s="1"/>
  <c r="M272" i="54"/>
  <c r="M270" i="54" s="1"/>
  <c r="K272" i="54"/>
  <c r="J272" i="54"/>
  <c r="J270" i="54" s="1"/>
  <c r="J269" i="54" s="1"/>
  <c r="I272" i="54"/>
  <c r="H272" i="54"/>
  <c r="H270" i="54" s="1"/>
  <c r="G272" i="54"/>
  <c r="E272" i="54"/>
  <c r="E270" i="54" s="1"/>
  <c r="D272" i="54"/>
  <c r="D270" i="54" s="1"/>
  <c r="O271" i="54"/>
  <c r="L271" i="54"/>
  <c r="I271" i="54"/>
  <c r="F271" i="54"/>
  <c r="G270" i="54"/>
  <c r="G269" i="54" s="1"/>
  <c r="O268" i="54"/>
  <c r="L268" i="54"/>
  <c r="I268" i="54"/>
  <c r="F268" i="54"/>
  <c r="O267" i="54"/>
  <c r="L267" i="54"/>
  <c r="I267" i="54"/>
  <c r="F267" i="54"/>
  <c r="O266" i="54"/>
  <c r="L266" i="54"/>
  <c r="I266" i="54"/>
  <c r="F266" i="54"/>
  <c r="C266" i="54" s="1"/>
  <c r="O265" i="54"/>
  <c r="L265" i="54"/>
  <c r="I265" i="54"/>
  <c r="F265" i="54"/>
  <c r="N264" i="54"/>
  <c r="M264" i="54"/>
  <c r="K264" i="54"/>
  <c r="J264" i="54"/>
  <c r="H264" i="54"/>
  <c r="G264" i="54"/>
  <c r="E264" i="54"/>
  <c r="D264" i="54"/>
  <c r="O263" i="54"/>
  <c r="L263" i="54"/>
  <c r="I263" i="54"/>
  <c r="F263" i="54"/>
  <c r="O262" i="54"/>
  <c r="L262" i="54"/>
  <c r="I262" i="54"/>
  <c r="F262" i="54"/>
  <c r="O261" i="54"/>
  <c r="L261" i="54"/>
  <c r="I261" i="54"/>
  <c r="I260" i="54" s="1"/>
  <c r="F261" i="54"/>
  <c r="N260" i="54"/>
  <c r="M260" i="54"/>
  <c r="M259" i="54" s="1"/>
  <c r="K260" i="54"/>
  <c r="K259" i="54" s="1"/>
  <c r="J260" i="54"/>
  <c r="J259" i="54" s="1"/>
  <c r="H260" i="54"/>
  <c r="G260" i="54"/>
  <c r="G259" i="54" s="1"/>
  <c r="E260" i="54"/>
  <c r="D260" i="54"/>
  <c r="O258" i="54"/>
  <c r="L258" i="54"/>
  <c r="I258" i="54"/>
  <c r="F258" i="54"/>
  <c r="O257" i="54"/>
  <c r="L257" i="54"/>
  <c r="I257" i="54"/>
  <c r="F257" i="54"/>
  <c r="O256" i="54"/>
  <c r="L256" i="54"/>
  <c r="I256" i="54"/>
  <c r="F256" i="54"/>
  <c r="O255" i="54"/>
  <c r="L255" i="54"/>
  <c r="I255" i="54"/>
  <c r="F255" i="54"/>
  <c r="O254" i="54"/>
  <c r="L254" i="54"/>
  <c r="I254" i="54"/>
  <c r="C254" i="54" s="1"/>
  <c r="F254" i="54"/>
  <c r="O253" i="54"/>
  <c r="L253" i="54"/>
  <c r="I253" i="54"/>
  <c r="F253" i="54"/>
  <c r="N252" i="54"/>
  <c r="N251" i="54" s="1"/>
  <c r="M252" i="54"/>
  <c r="M251" i="54" s="1"/>
  <c r="K252" i="54"/>
  <c r="K251" i="54" s="1"/>
  <c r="J252" i="54"/>
  <c r="J251" i="54" s="1"/>
  <c r="H252" i="54"/>
  <c r="H251" i="54" s="1"/>
  <c r="G252" i="54"/>
  <c r="G251" i="54" s="1"/>
  <c r="E252" i="54"/>
  <c r="E251" i="54" s="1"/>
  <c r="D252" i="54"/>
  <c r="D251" i="54" s="1"/>
  <c r="O250" i="54"/>
  <c r="L250" i="54"/>
  <c r="I250" i="54"/>
  <c r="F250" i="54"/>
  <c r="C250" i="54" s="1"/>
  <c r="O249" i="54"/>
  <c r="L249" i="54"/>
  <c r="I249" i="54"/>
  <c r="F249" i="54"/>
  <c r="O248" i="54"/>
  <c r="L248" i="54"/>
  <c r="I248" i="54"/>
  <c r="F248" i="54"/>
  <c r="O247" i="54"/>
  <c r="L247" i="54"/>
  <c r="L246" i="54" s="1"/>
  <c r="I247" i="54"/>
  <c r="F247" i="54"/>
  <c r="O246" i="54"/>
  <c r="N246" i="54"/>
  <c r="M246" i="54"/>
  <c r="K246" i="54"/>
  <c r="J246" i="54"/>
  <c r="H246" i="54"/>
  <c r="G246" i="54"/>
  <c r="E246" i="54"/>
  <c r="D246" i="54"/>
  <c r="O245" i="54"/>
  <c r="L245" i="54"/>
  <c r="I245" i="54"/>
  <c r="F245" i="54"/>
  <c r="O244" i="54"/>
  <c r="L244" i="54"/>
  <c r="I244" i="54"/>
  <c r="F244" i="54"/>
  <c r="O243" i="54"/>
  <c r="L243" i="54"/>
  <c r="I243" i="54"/>
  <c r="F243" i="54"/>
  <c r="O242" i="54"/>
  <c r="L242" i="54"/>
  <c r="I242" i="54"/>
  <c r="C242" i="54" s="1"/>
  <c r="F242" i="54"/>
  <c r="O241" i="54"/>
  <c r="L241" i="54"/>
  <c r="I241" i="54"/>
  <c r="F241" i="54"/>
  <c r="O240" i="54"/>
  <c r="L240" i="54"/>
  <c r="I240" i="54"/>
  <c r="F240" i="54"/>
  <c r="O239" i="54"/>
  <c r="L239" i="54"/>
  <c r="I239" i="54"/>
  <c r="F239" i="54"/>
  <c r="N238" i="54"/>
  <c r="M238" i="54"/>
  <c r="K238" i="54"/>
  <c r="J238" i="54"/>
  <c r="H238" i="54"/>
  <c r="G238" i="54"/>
  <c r="E238" i="54"/>
  <c r="D238" i="54"/>
  <c r="O237" i="54"/>
  <c r="L237" i="54"/>
  <c r="I237" i="54"/>
  <c r="F237" i="54"/>
  <c r="O236" i="54"/>
  <c r="O235" i="54" s="1"/>
  <c r="L236" i="54"/>
  <c r="L235" i="54" s="1"/>
  <c r="I236" i="54"/>
  <c r="F236" i="54"/>
  <c r="N235" i="54"/>
  <c r="M235" i="54"/>
  <c r="K235" i="54"/>
  <c r="J235" i="54"/>
  <c r="H235" i="54"/>
  <c r="G235" i="54"/>
  <c r="F235" i="54"/>
  <c r="E235" i="54"/>
  <c r="D235" i="54"/>
  <c r="O234" i="54"/>
  <c r="O233" i="54" s="1"/>
  <c r="L234" i="54"/>
  <c r="L233" i="54" s="1"/>
  <c r="I234" i="54"/>
  <c r="F234" i="54"/>
  <c r="F233" i="54" s="1"/>
  <c r="N233" i="54"/>
  <c r="M233" i="54"/>
  <c r="K233" i="54"/>
  <c r="J233" i="54"/>
  <c r="H233" i="54"/>
  <c r="G233" i="54"/>
  <c r="E233" i="54"/>
  <c r="E231" i="54" s="1"/>
  <c r="D233" i="54"/>
  <c r="O232" i="54"/>
  <c r="L232" i="54"/>
  <c r="I232" i="54"/>
  <c r="F232" i="54"/>
  <c r="O229" i="54"/>
  <c r="L229" i="54"/>
  <c r="I229" i="54"/>
  <c r="F229" i="54"/>
  <c r="O228" i="54"/>
  <c r="O227" i="54" s="1"/>
  <c r="L228" i="54"/>
  <c r="L227" i="54" s="1"/>
  <c r="I228" i="54"/>
  <c r="I227" i="54" s="1"/>
  <c r="F228" i="54"/>
  <c r="N227" i="54"/>
  <c r="M227" i="54"/>
  <c r="M204" i="54" s="1"/>
  <c r="K227" i="54"/>
  <c r="J227" i="54"/>
  <c r="H227" i="54"/>
  <c r="G227" i="54"/>
  <c r="G204" i="54" s="1"/>
  <c r="F227" i="54"/>
  <c r="E227" i="54"/>
  <c r="D227" i="54"/>
  <c r="O226" i="54"/>
  <c r="L226" i="54"/>
  <c r="I226" i="54"/>
  <c r="F226" i="54"/>
  <c r="O225" i="54"/>
  <c r="L225" i="54"/>
  <c r="I225" i="54"/>
  <c r="F225" i="54"/>
  <c r="O224" i="54"/>
  <c r="L224" i="54"/>
  <c r="I224" i="54"/>
  <c r="F224" i="54"/>
  <c r="O223" i="54"/>
  <c r="L223" i="54"/>
  <c r="I223" i="54"/>
  <c r="F223" i="54"/>
  <c r="O222" i="54"/>
  <c r="L222" i="54"/>
  <c r="I222" i="54"/>
  <c r="F222" i="54"/>
  <c r="O221" i="54"/>
  <c r="L221" i="54"/>
  <c r="I221" i="54"/>
  <c r="F221" i="54"/>
  <c r="O220" i="54"/>
  <c r="L220" i="54"/>
  <c r="I220" i="54"/>
  <c r="F220" i="54"/>
  <c r="O219" i="54"/>
  <c r="L219" i="54"/>
  <c r="I219" i="54"/>
  <c r="F219" i="54"/>
  <c r="O218" i="54"/>
  <c r="L218" i="54"/>
  <c r="I218" i="54"/>
  <c r="F218" i="54"/>
  <c r="O217" i="54"/>
  <c r="L217" i="54"/>
  <c r="I217" i="54"/>
  <c r="F217" i="54"/>
  <c r="O216" i="54"/>
  <c r="N216" i="54"/>
  <c r="M216" i="54"/>
  <c r="K216" i="54"/>
  <c r="J216" i="54"/>
  <c r="H216" i="54"/>
  <c r="G216" i="54"/>
  <c r="E216" i="54"/>
  <c r="D216" i="54"/>
  <c r="O215" i="54"/>
  <c r="L215" i="54"/>
  <c r="I215" i="54"/>
  <c r="F215" i="54"/>
  <c r="O214" i="54"/>
  <c r="L214" i="54"/>
  <c r="I214" i="54"/>
  <c r="F214" i="54"/>
  <c r="C214" i="54" s="1"/>
  <c r="O213" i="54"/>
  <c r="L213" i="54"/>
  <c r="I213" i="54"/>
  <c r="F213" i="54"/>
  <c r="O212" i="54"/>
  <c r="L212" i="54"/>
  <c r="I212" i="54"/>
  <c r="F212" i="54"/>
  <c r="O211" i="54"/>
  <c r="L211" i="54"/>
  <c r="I211" i="54"/>
  <c r="F211" i="54"/>
  <c r="O210" i="54"/>
  <c r="L210" i="54"/>
  <c r="I210" i="54"/>
  <c r="F210" i="54"/>
  <c r="O209" i="54"/>
  <c r="L209" i="54"/>
  <c r="I209" i="54"/>
  <c r="F209" i="54"/>
  <c r="O208" i="54"/>
  <c r="L208" i="54"/>
  <c r="I208" i="54"/>
  <c r="F208" i="54"/>
  <c r="O207" i="54"/>
  <c r="L207" i="54"/>
  <c r="I207" i="54"/>
  <c r="F207" i="54"/>
  <c r="O206" i="54"/>
  <c r="L206" i="54"/>
  <c r="I206" i="54"/>
  <c r="F206" i="54"/>
  <c r="N205" i="54"/>
  <c r="M205" i="54"/>
  <c r="K205" i="54"/>
  <c r="J205" i="54"/>
  <c r="H205" i="54"/>
  <c r="G205" i="54"/>
  <c r="E205" i="54"/>
  <c r="D205" i="54"/>
  <c r="O203" i="54"/>
  <c r="L203" i="54"/>
  <c r="I203" i="54"/>
  <c r="F203" i="54"/>
  <c r="O202" i="54"/>
  <c r="L202" i="54"/>
  <c r="I202" i="54"/>
  <c r="F202" i="54"/>
  <c r="O201" i="54"/>
  <c r="L201" i="54"/>
  <c r="I201" i="54"/>
  <c r="F201" i="54"/>
  <c r="O200" i="54"/>
  <c r="L200" i="54"/>
  <c r="I200" i="54"/>
  <c r="F200" i="54"/>
  <c r="O199" i="54"/>
  <c r="L199" i="54"/>
  <c r="L198" i="54" s="1"/>
  <c r="I199" i="54"/>
  <c r="F199" i="54"/>
  <c r="O198" i="54"/>
  <c r="N198" i="54"/>
  <c r="N196" i="54" s="1"/>
  <c r="M198" i="54"/>
  <c r="M196" i="54" s="1"/>
  <c r="K198" i="54"/>
  <c r="J198" i="54"/>
  <c r="J196" i="54" s="1"/>
  <c r="I198" i="54"/>
  <c r="H198" i="54"/>
  <c r="H196" i="54" s="1"/>
  <c r="G198" i="54"/>
  <c r="F198" i="54"/>
  <c r="E198" i="54"/>
  <c r="E196" i="54" s="1"/>
  <c r="D198" i="54"/>
  <c r="D196" i="54" s="1"/>
  <c r="O197" i="54"/>
  <c r="L197" i="54"/>
  <c r="I197" i="54"/>
  <c r="F197" i="54"/>
  <c r="K196" i="54"/>
  <c r="G196" i="54"/>
  <c r="O193" i="54"/>
  <c r="O192" i="54" s="1"/>
  <c r="O191" i="54" s="1"/>
  <c r="L193" i="54"/>
  <c r="L192" i="54" s="1"/>
  <c r="L191" i="54" s="1"/>
  <c r="I193" i="54"/>
  <c r="F193" i="54"/>
  <c r="F192" i="54" s="1"/>
  <c r="F191" i="54" s="1"/>
  <c r="N192" i="54"/>
  <c r="N191" i="54" s="1"/>
  <c r="M192" i="54"/>
  <c r="M191" i="54" s="1"/>
  <c r="K192" i="54"/>
  <c r="K191" i="54" s="1"/>
  <c r="K187" i="54" s="1"/>
  <c r="J192" i="54"/>
  <c r="J191" i="54" s="1"/>
  <c r="I192" i="54"/>
  <c r="I191" i="54" s="1"/>
  <c r="H192" i="54"/>
  <c r="G192" i="54"/>
  <c r="G191" i="54" s="1"/>
  <c r="G187" i="54" s="1"/>
  <c r="E192" i="54"/>
  <c r="E191" i="54" s="1"/>
  <c r="D192" i="54"/>
  <c r="H191" i="54"/>
  <c r="D191" i="54"/>
  <c r="O190" i="54"/>
  <c r="L190" i="54"/>
  <c r="I190" i="54"/>
  <c r="F190" i="54"/>
  <c r="O189" i="54"/>
  <c r="L189" i="54"/>
  <c r="L188" i="54" s="1"/>
  <c r="I189" i="54"/>
  <c r="F189" i="54"/>
  <c r="N188" i="54"/>
  <c r="N187" i="54" s="1"/>
  <c r="M188" i="54"/>
  <c r="M187" i="54" s="1"/>
  <c r="K188" i="54"/>
  <c r="J188" i="54"/>
  <c r="I188" i="54"/>
  <c r="I187" i="54" s="1"/>
  <c r="H188" i="54"/>
  <c r="H187" i="54" s="1"/>
  <c r="G188" i="54"/>
  <c r="E188" i="54"/>
  <c r="D188" i="54"/>
  <c r="O186" i="54"/>
  <c r="L186" i="54"/>
  <c r="I186" i="54"/>
  <c r="F186" i="54"/>
  <c r="O185" i="54"/>
  <c r="L185" i="54"/>
  <c r="L184" i="54" s="1"/>
  <c r="I185" i="54"/>
  <c r="F185" i="54"/>
  <c r="N184" i="54"/>
  <c r="M184" i="54"/>
  <c r="K184" i="54"/>
  <c r="J184" i="54"/>
  <c r="I184" i="54"/>
  <c r="H184" i="54"/>
  <c r="G184" i="54"/>
  <c r="E184" i="54"/>
  <c r="D184" i="54"/>
  <c r="O183" i="54"/>
  <c r="O179" i="54" s="1"/>
  <c r="L183" i="54"/>
  <c r="I183" i="54"/>
  <c r="F183" i="54"/>
  <c r="C183" i="54" s="1"/>
  <c r="O182" i="54"/>
  <c r="L182" i="54"/>
  <c r="I182" i="54"/>
  <c r="F182" i="54"/>
  <c r="O181" i="54"/>
  <c r="L181" i="54"/>
  <c r="I181" i="54"/>
  <c r="F181" i="54"/>
  <c r="O180" i="54"/>
  <c r="L180" i="54"/>
  <c r="L179" i="54" s="1"/>
  <c r="I180" i="54"/>
  <c r="F180" i="54"/>
  <c r="N179" i="54"/>
  <c r="M179" i="54"/>
  <c r="K179" i="54"/>
  <c r="J179" i="54"/>
  <c r="H179" i="54"/>
  <c r="G179" i="54"/>
  <c r="E179" i="54"/>
  <c r="E174" i="54" s="1"/>
  <c r="D179" i="54"/>
  <c r="O178" i="54"/>
  <c r="L178" i="54"/>
  <c r="I178" i="54"/>
  <c r="F178" i="54"/>
  <c r="O177" i="54"/>
  <c r="L177" i="54"/>
  <c r="I177" i="54"/>
  <c r="F177" i="54"/>
  <c r="O176" i="54"/>
  <c r="L176" i="54"/>
  <c r="L175" i="54" s="1"/>
  <c r="L174" i="54" s="1"/>
  <c r="L173" i="54" s="1"/>
  <c r="I176" i="54"/>
  <c r="F176" i="54"/>
  <c r="O175" i="54"/>
  <c r="N175" i="54"/>
  <c r="N174" i="54" s="1"/>
  <c r="M175" i="54"/>
  <c r="M174" i="54" s="1"/>
  <c r="M173" i="54" s="1"/>
  <c r="K175" i="54"/>
  <c r="J175" i="54"/>
  <c r="J174" i="54" s="1"/>
  <c r="H175" i="54"/>
  <c r="H174" i="54" s="1"/>
  <c r="H173" i="54" s="1"/>
  <c r="G175" i="54"/>
  <c r="E175" i="54"/>
  <c r="D175" i="54"/>
  <c r="K174" i="54"/>
  <c r="K173" i="54" s="1"/>
  <c r="D174" i="54"/>
  <c r="O172" i="54"/>
  <c r="L172" i="54"/>
  <c r="I172" i="54"/>
  <c r="F172" i="54"/>
  <c r="O171" i="54"/>
  <c r="L171" i="54"/>
  <c r="I171" i="54"/>
  <c r="F171" i="54"/>
  <c r="O170" i="54"/>
  <c r="L170" i="54"/>
  <c r="I170" i="54"/>
  <c r="F170" i="54"/>
  <c r="O169" i="54"/>
  <c r="L169" i="54"/>
  <c r="I169" i="54"/>
  <c r="F169" i="54"/>
  <c r="O168" i="54"/>
  <c r="L168" i="54"/>
  <c r="I168" i="54"/>
  <c r="F168" i="54"/>
  <c r="O167" i="54"/>
  <c r="L167" i="54"/>
  <c r="I167" i="54"/>
  <c r="F167" i="54"/>
  <c r="O166" i="54"/>
  <c r="N166" i="54"/>
  <c r="M166" i="54"/>
  <c r="K166" i="54"/>
  <c r="K165" i="54" s="1"/>
  <c r="J166" i="54"/>
  <c r="J165" i="54" s="1"/>
  <c r="H166" i="54"/>
  <c r="H165" i="54" s="1"/>
  <c r="G166" i="54"/>
  <c r="G165" i="54" s="1"/>
  <c r="E166" i="54"/>
  <c r="E165" i="54" s="1"/>
  <c r="D166" i="54"/>
  <c r="D165" i="54" s="1"/>
  <c r="N165" i="54"/>
  <c r="M165" i="54"/>
  <c r="O164" i="54"/>
  <c r="L164" i="54"/>
  <c r="I164" i="54"/>
  <c r="F164" i="54"/>
  <c r="O163" i="54"/>
  <c r="L163" i="54"/>
  <c r="I163" i="54"/>
  <c r="F163" i="54"/>
  <c r="O162" i="54"/>
  <c r="L162" i="54"/>
  <c r="I162" i="54"/>
  <c r="F162" i="54"/>
  <c r="O161" i="54"/>
  <c r="L161" i="54"/>
  <c r="L160" i="54" s="1"/>
  <c r="I161" i="54"/>
  <c r="F161" i="54"/>
  <c r="N160" i="54"/>
  <c r="M160" i="54"/>
  <c r="K160" i="54"/>
  <c r="J160" i="54"/>
  <c r="H160" i="54"/>
  <c r="G160" i="54"/>
  <c r="E160" i="54"/>
  <c r="D160" i="54"/>
  <c r="O159" i="54"/>
  <c r="C159" i="54" s="1"/>
  <c r="L159" i="54"/>
  <c r="I159" i="54"/>
  <c r="F159" i="54"/>
  <c r="O158" i="54"/>
  <c r="L158" i="54"/>
  <c r="I158" i="54"/>
  <c r="F158" i="54"/>
  <c r="C158" i="54" s="1"/>
  <c r="O157" i="54"/>
  <c r="L157" i="54"/>
  <c r="I157" i="54"/>
  <c r="F157" i="54"/>
  <c r="O156" i="54"/>
  <c r="L156" i="54"/>
  <c r="I156" i="54"/>
  <c r="F156" i="54"/>
  <c r="O155" i="54"/>
  <c r="L155" i="54"/>
  <c r="I155" i="54"/>
  <c r="F155" i="54"/>
  <c r="O154" i="54"/>
  <c r="L154" i="54"/>
  <c r="I154" i="54"/>
  <c r="F154" i="54"/>
  <c r="C154" i="54" s="1"/>
  <c r="O153" i="54"/>
  <c r="L153" i="54"/>
  <c r="I153" i="54"/>
  <c r="F153" i="54"/>
  <c r="O152" i="54"/>
  <c r="L152" i="54"/>
  <c r="I152" i="54"/>
  <c r="F152" i="54"/>
  <c r="O151" i="54"/>
  <c r="N151" i="54"/>
  <c r="M151" i="54"/>
  <c r="K151" i="54"/>
  <c r="J151" i="54"/>
  <c r="H151" i="54"/>
  <c r="G151" i="54"/>
  <c r="E151" i="54"/>
  <c r="D151" i="54"/>
  <c r="O150" i="54"/>
  <c r="L150" i="54"/>
  <c r="I150" i="54"/>
  <c r="F150" i="54"/>
  <c r="O149" i="54"/>
  <c r="L149" i="54"/>
  <c r="I149" i="54"/>
  <c r="F149" i="54"/>
  <c r="O148" i="54"/>
  <c r="L148" i="54"/>
  <c r="I148" i="54"/>
  <c r="F148" i="54"/>
  <c r="O147" i="54"/>
  <c r="L147" i="54"/>
  <c r="I147" i="54"/>
  <c r="F147" i="54"/>
  <c r="C147" i="54" s="1"/>
  <c r="O146" i="54"/>
  <c r="L146" i="54"/>
  <c r="I146" i="54"/>
  <c r="F146" i="54"/>
  <c r="O145" i="54"/>
  <c r="L145" i="54"/>
  <c r="I145" i="54"/>
  <c r="F145" i="54"/>
  <c r="N144" i="54"/>
  <c r="M144" i="54"/>
  <c r="K144" i="54"/>
  <c r="J144" i="54"/>
  <c r="H144" i="54"/>
  <c r="G144" i="54"/>
  <c r="E144" i="54"/>
  <c r="D144" i="54"/>
  <c r="O143" i="54"/>
  <c r="L143" i="54"/>
  <c r="I143" i="54"/>
  <c r="F143" i="54"/>
  <c r="O142" i="54"/>
  <c r="L142" i="54"/>
  <c r="L141" i="54" s="1"/>
  <c r="I142" i="54"/>
  <c r="F142" i="54"/>
  <c r="N141" i="54"/>
  <c r="M141" i="54"/>
  <c r="K141" i="54"/>
  <c r="J141" i="54"/>
  <c r="I141" i="54"/>
  <c r="H141" i="54"/>
  <c r="G141" i="54"/>
  <c r="E141" i="54"/>
  <c r="D141" i="54"/>
  <c r="O140" i="54"/>
  <c r="L140" i="54"/>
  <c r="I140" i="54"/>
  <c r="F140" i="54"/>
  <c r="O139" i="54"/>
  <c r="L139" i="54"/>
  <c r="I139" i="54"/>
  <c r="F139" i="54"/>
  <c r="O138" i="54"/>
  <c r="L138" i="54"/>
  <c r="I138" i="54"/>
  <c r="F138" i="54"/>
  <c r="O137" i="54"/>
  <c r="L137" i="54"/>
  <c r="I137" i="54"/>
  <c r="I136" i="54" s="1"/>
  <c r="F137" i="54"/>
  <c r="N136" i="54"/>
  <c r="M136" i="54"/>
  <c r="K136" i="54"/>
  <c r="J136" i="54"/>
  <c r="H136" i="54"/>
  <c r="G136" i="54"/>
  <c r="E136" i="54"/>
  <c r="D136" i="54"/>
  <c r="O135" i="54"/>
  <c r="L135" i="54"/>
  <c r="I135" i="54"/>
  <c r="F135" i="54"/>
  <c r="O134" i="54"/>
  <c r="L134" i="54"/>
  <c r="I134" i="54"/>
  <c r="F134" i="54"/>
  <c r="O133" i="54"/>
  <c r="L133" i="54"/>
  <c r="I133" i="54"/>
  <c r="F133" i="54"/>
  <c r="O132" i="54"/>
  <c r="L132" i="54"/>
  <c r="L131" i="54" s="1"/>
  <c r="I132" i="54"/>
  <c r="I131" i="54" s="1"/>
  <c r="F132" i="54"/>
  <c r="N131" i="54"/>
  <c r="M131" i="54"/>
  <c r="K131" i="54"/>
  <c r="J131" i="54"/>
  <c r="H131" i="54"/>
  <c r="G131" i="54"/>
  <c r="E131" i="54"/>
  <c r="D131" i="54"/>
  <c r="O129" i="54"/>
  <c r="O128" i="54" s="1"/>
  <c r="L129" i="54"/>
  <c r="L128" i="54" s="1"/>
  <c r="I129" i="54"/>
  <c r="F129" i="54"/>
  <c r="F128" i="54" s="1"/>
  <c r="N128" i="54"/>
  <c r="M128" i="54"/>
  <c r="K128" i="54"/>
  <c r="J128" i="54"/>
  <c r="I128" i="54"/>
  <c r="H128" i="54"/>
  <c r="G128" i="54"/>
  <c r="E128" i="54"/>
  <c r="D128" i="54"/>
  <c r="O127" i="54"/>
  <c r="L127" i="54"/>
  <c r="I127" i="54"/>
  <c r="F127" i="54"/>
  <c r="O126" i="54"/>
  <c r="L126" i="54"/>
  <c r="I126" i="54"/>
  <c r="F126" i="54"/>
  <c r="O125" i="54"/>
  <c r="L125" i="54"/>
  <c r="I125" i="54"/>
  <c r="F125" i="54"/>
  <c r="O124" i="54"/>
  <c r="L124" i="54"/>
  <c r="I124" i="54"/>
  <c r="F124" i="54"/>
  <c r="O123" i="54"/>
  <c r="L123" i="54"/>
  <c r="I123" i="54"/>
  <c r="F123" i="54"/>
  <c r="N122" i="54"/>
  <c r="M122" i="54"/>
  <c r="K122" i="54"/>
  <c r="J122" i="54"/>
  <c r="H122" i="54"/>
  <c r="G122" i="54"/>
  <c r="E122" i="54"/>
  <c r="D122" i="54"/>
  <c r="O121" i="54"/>
  <c r="L121" i="54"/>
  <c r="I121" i="54"/>
  <c r="F121" i="54"/>
  <c r="O120" i="54"/>
  <c r="L120" i="54"/>
  <c r="I120" i="54"/>
  <c r="F120" i="54"/>
  <c r="C120" i="54" s="1"/>
  <c r="O119" i="54"/>
  <c r="L119" i="54"/>
  <c r="I119" i="54"/>
  <c r="F119" i="54"/>
  <c r="O118" i="54"/>
  <c r="L118" i="54"/>
  <c r="I118" i="54"/>
  <c r="F118" i="54"/>
  <c r="O117" i="54"/>
  <c r="L117" i="54"/>
  <c r="I117" i="54"/>
  <c r="I116" i="54" s="1"/>
  <c r="F117" i="54"/>
  <c r="N116" i="54"/>
  <c r="M116" i="54"/>
  <c r="K116" i="54"/>
  <c r="J116" i="54"/>
  <c r="H116" i="54"/>
  <c r="G116" i="54"/>
  <c r="E116" i="54"/>
  <c r="D116" i="54"/>
  <c r="O115" i="54"/>
  <c r="L115" i="54"/>
  <c r="I115" i="54"/>
  <c r="F115" i="54"/>
  <c r="O114" i="54"/>
  <c r="L114" i="54"/>
  <c r="I114" i="54"/>
  <c r="F114" i="54"/>
  <c r="O113" i="54"/>
  <c r="L113" i="54"/>
  <c r="I113" i="54"/>
  <c r="I112" i="54" s="1"/>
  <c r="F113" i="54"/>
  <c r="O112" i="54"/>
  <c r="N112" i="54"/>
  <c r="M112" i="54"/>
  <c r="K112" i="54"/>
  <c r="J112" i="54"/>
  <c r="H112" i="54"/>
  <c r="G112" i="54"/>
  <c r="E112" i="54"/>
  <c r="D112" i="54"/>
  <c r="O111" i="54"/>
  <c r="L111" i="54"/>
  <c r="I111" i="54"/>
  <c r="F111" i="54"/>
  <c r="O110" i="54"/>
  <c r="L110" i="54"/>
  <c r="I110" i="54"/>
  <c r="F110" i="54"/>
  <c r="O109" i="54"/>
  <c r="L109" i="54"/>
  <c r="I109" i="54"/>
  <c r="F109" i="54"/>
  <c r="O108" i="54"/>
  <c r="L108" i="54"/>
  <c r="I108" i="54"/>
  <c r="F108" i="54"/>
  <c r="O107" i="54"/>
  <c r="L107" i="54"/>
  <c r="I107" i="54"/>
  <c r="F107" i="54"/>
  <c r="O106" i="54"/>
  <c r="L106" i="54"/>
  <c r="I106" i="54"/>
  <c r="F106" i="54"/>
  <c r="O105" i="54"/>
  <c r="L105" i="54"/>
  <c r="I105" i="54"/>
  <c r="F105" i="54"/>
  <c r="O104" i="54"/>
  <c r="O103" i="54" s="1"/>
  <c r="L104" i="54"/>
  <c r="I104" i="54"/>
  <c r="F104" i="54"/>
  <c r="N103" i="54"/>
  <c r="M103" i="54"/>
  <c r="K103" i="54"/>
  <c r="J103" i="54"/>
  <c r="H103" i="54"/>
  <c r="G103" i="54"/>
  <c r="E103" i="54"/>
  <c r="D103" i="54"/>
  <c r="O102" i="54"/>
  <c r="L102" i="54"/>
  <c r="I102" i="54"/>
  <c r="F102" i="54"/>
  <c r="O101" i="54"/>
  <c r="L101" i="54"/>
  <c r="I101" i="54"/>
  <c r="F101" i="54"/>
  <c r="O100" i="54"/>
  <c r="L100" i="54"/>
  <c r="I100" i="54"/>
  <c r="C100" i="54" s="1"/>
  <c r="F100" i="54"/>
  <c r="O99" i="54"/>
  <c r="L99" i="54"/>
  <c r="I99" i="54"/>
  <c r="F99" i="54"/>
  <c r="O98" i="54"/>
  <c r="L98" i="54"/>
  <c r="I98" i="54"/>
  <c r="F98" i="54"/>
  <c r="O97" i="54"/>
  <c r="L97" i="54"/>
  <c r="I97" i="54"/>
  <c r="F97" i="54"/>
  <c r="O96" i="54"/>
  <c r="L96" i="54"/>
  <c r="I96" i="54"/>
  <c r="F96" i="54"/>
  <c r="N95" i="54"/>
  <c r="M95" i="54"/>
  <c r="K95" i="54"/>
  <c r="J95" i="54"/>
  <c r="H95" i="54"/>
  <c r="G95" i="54"/>
  <c r="E95" i="54"/>
  <c r="D95" i="54"/>
  <c r="O94" i="54"/>
  <c r="L94" i="54"/>
  <c r="I94" i="54"/>
  <c r="F94" i="54"/>
  <c r="O93" i="54"/>
  <c r="L93" i="54"/>
  <c r="I93" i="54"/>
  <c r="F93" i="54"/>
  <c r="O92" i="54"/>
  <c r="L92" i="54"/>
  <c r="C92" i="54" s="1"/>
  <c r="I92" i="54"/>
  <c r="F92" i="54"/>
  <c r="O91" i="54"/>
  <c r="L91" i="54"/>
  <c r="I91" i="54"/>
  <c r="F91" i="54"/>
  <c r="O90" i="54"/>
  <c r="L90" i="54"/>
  <c r="I90" i="54"/>
  <c r="F90" i="54"/>
  <c r="F89" i="54" s="1"/>
  <c r="N89" i="54"/>
  <c r="M89" i="54"/>
  <c r="K89" i="54"/>
  <c r="J89" i="54"/>
  <c r="H89" i="54"/>
  <c r="G89" i="54"/>
  <c r="E89" i="54"/>
  <c r="D89" i="54"/>
  <c r="O88" i="54"/>
  <c r="L88" i="54"/>
  <c r="I88" i="54"/>
  <c r="F88" i="54"/>
  <c r="O87" i="54"/>
  <c r="L87" i="54"/>
  <c r="I87" i="54"/>
  <c r="F87" i="54"/>
  <c r="O86" i="54"/>
  <c r="L86" i="54"/>
  <c r="I86" i="54"/>
  <c r="F86" i="54"/>
  <c r="O85" i="54"/>
  <c r="L85" i="54"/>
  <c r="I85" i="54"/>
  <c r="F85" i="54"/>
  <c r="O84" i="54"/>
  <c r="N84" i="54"/>
  <c r="M84" i="54"/>
  <c r="K84" i="54"/>
  <c r="J84" i="54"/>
  <c r="H84" i="54"/>
  <c r="G84" i="54"/>
  <c r="E84" i="54"/>
  <c r="D84" i="54"/>
  <c r="O82" i="54"/>
  <c r="L82" i="54"/>
  <c r="I82" i="54"/>
  <c r="F82" i="54"/>
  <c r="O81" i="54"/>
  <c r="L81" i="54"/>
  <c r="I81" i="54"/>
  <c r="I80" i="54" s="1"/>
  <c r="F81" i="54"/>
  <c r="O80" i="54"/>
  <c r="N80" i="54"/>
  <c r="M80" i="54"/>
  <c r="K80" i="54"/>
  <c r="J80" i="54"/>
  <c r="H80" i="54"/>
  <c r="G80" i="54"/>
  <c r="F80" i="54"/>
  <c r="E80" i="54"/>
  <c r="D80" i="54"/>
  <c r="O79" i="54"/>
  <c r="L79" i="54"/>
  <c r="I79" i="54"/>
  <c r="F79" i="54"/>
  <c r="O78" i="54"/>
  <c r="O77" i="54" s="1"/>
  <c r="O76" i="54" s="1"/>
  <c r="L78" i="54"/>
  <c r="L77" i="54" s="1"/>
  <c r="I78" i="54"/>
  <c r="I77" i="54" s="1"/>
  <c r="F78" i="54"/>
  <c r="F77" i="54" s="1"/>
  <c r="N77" i="54"/>
  <c r="M77" i="54"/>
  <c r="K77" i="54"/>
  <c r="K76" i="54" s="1"/>
  <c r="J77" i="54"/>
  <c r="J76" i="54" s="1"/>
  <c r="H77" i="54"/>
  <c r="H76" i="54" s="1"/>
  <c r="G77" i="54"/>
  <c r="E77" i="54"/>
  <c r="E76" i="54" s="1"/>
  <c r="D77" i="54"/>
  <c r="O74" i="54"/>
  <c r="L74" i="54"/>
  <c r="I74" i="54"/>
  <c r="F74" i="54"/>
  <c r="O73" i="54"/>
  <c r="L73" i="54"/>
  <c r="I73" i="54"/>
  <c r="F73" i="54"/>
  <c r="O72" i="54"/>
  <c r="L72" i="54"/>
  <c r="I72" i="54"/>
  <c r="F72" i="54"/>
  <c r="O71" i="54"/>
  <c r="L71" i="54"/>
  <c r="I71" i="54"/>
  <c r="F71" i="54"/>
  <c r="O70" i="54"/>
  <c r="L70" i="54"/>
  <c r="I70" i="54"/>
  <c r="I69" i="54" s="1"/>
  <c r="I67" i="54" s="1"/>
  <c r="F70" i="54"/>
  <c r="O69" i="54"/>
  <c r="N69" i="54"/>
  <c r="N67" i="54" s="1"/>
  <c r="M69" i="54"/>
  <c r="M67" i="54" s="1"/>
  <c r="K69" i="54"/>
  <c r="J69" i="54"/>
  <c r="J67" i="54" s="1"/>
  <c r="H69" i="54"/>
  <c r="H67" i="54" s="1"/>
  <c r="G69" i="54"/>
  <c r="E69" i="54"/>
  <c r="D69" i="54"/>
  <c r="D67" i="54" s="1"/>
  <c r="O68" i="54"/>
  <c r="O67" i="54" s="1"/>
  <c r="L68" i="54"/>
  <c r="I68" i="54"/>
  <c r="F68" i="54"/>
  <c r="K67" i="54"/>
  <c r="G67" i="54"/>
  <c r="E67" i="54"/>
  <c r="O66" i="54"/>
  <c r="L66" i="54"/>
  <c r="I66" i="54"/>
  <c r="F66" i="54"/>
  <c r="O65" i="54"/>
  <c r="L65" i="54"/>
  <c r="I65" i="54"/>
  <c r="F65" i="54"/>
  <c r="O64" i="54"/>
  <c r="L64" i="54"/>
  <c r="I64" i="54"/>
  <c r="F64" i="54"/>
  <c r="O63" i="54"/>
  <c r="L63" i="54"/>
  <c r="I63" i="54"/>
  <c r="F63" i="54"/>
  <c r="O62" i="54"/>
  <c r="L62" i="54"/>
  <c r="I62" i="54"/>
  <c r="F62" i="54"/>
  <c r="O61" i="54"/>
  <c r="L61" i="54"/>
  <c r="I61" i="54"/>
  <c r="F61" i="54"/>
  <c r="O60" i="54"/>
  <c r="L60" i="54"/>
  <c r="I60" i="54"/>
  <c r="F60" i="54"/>
  <c r="O59" i="54"/>
  <c r="L59" i="54"/>
  <c r="I59" i="54"/>
  <c r="I58" i="54" s="1"/>
  <c r="F59" i="54"/>
  <c r="N58" i="54"/>
  <c r="M58" i="54"/>
  <c r="K58" i="54"/>
  <c r="J58" i="54"/>
  <c r="H58" i="54"/>
  <c r="G58" i="54"/>
  <c r="E58" i="54"/>
  <c r="D58" i="54"/>
  <c r="O57" i="54"/>
  <c r="L57" i="54"/>
  <c r="I57" i="54"/>
  <c r="F57" i="54"/>
  <c r="O56" i="54"/>
  <c r="O55" i="54" s="1"/>
  <c r="L56" i="54"/>
  <c r="I56" i="54"/>
  <c r="I55" i="54" s="1"/>
  <c r="I54" i="54" s="1"/>
  <c r="F56" i="54"/>
  <c r="N55" i="54"/>
  <c r="N54" i="54" s="1"/>
  <c r="M55" i="54"/>
  <c r="M54" i="54" s="1"/>
  <c r="K55" i="54"/>
  <c r="K54" i="54" s="1"/>
  <c r="J55" i="54"/>
  <c r="J54" i="54" s="1"/>
  <c r="J53" i="54" s="1"/>
  <c r="H55" i="54"/>
  <c r="H54" i="54" s="1"/>
  <c r="G55" i="54"/>
  <c r="E55" i="54"/>
  <c r="D55" i="54"/>
  <c r="D54" i="54" s="1"/>
  <c r="D53" i="54" s="1"/>
  <c r="N53" i="54"/>
  <c r="O47" i="54"/>
  <c r="C47" i="54" s="1"/>
  <c r="O46" i="54"/>
  <c r="C46" i="54"/>
  <c r="O45" i="54"/>
  <c r="C45" i="54" s="1"/>
  <c r="N45" i="54"/>
  <c r="M45" i="54"/>
  <c r="L44" i="54"/>
  <c r="L43" i="54" s="1"/>
  <c r="I44" i="54"/>
  <c r="C44" i="54" s="1"/>
  <c r="F44" i="54"/>
  <c r="F43" i="54" s="1"/>
  <c r="K43" i="54"/>
  <c r="J43" i="54"/>
  <c r="H43" i="54"/>
  <c r="H20" i="54" s="1"/>
  <c r="G43" i="54"/>
  <c r="E43" i="54"/>
  <c r="D43" i="54"/>
  <c r="F42" i="54"/>
  <c r="C42" i="54" s="1"/>
  <c r="E41" i="54"/>
  <c r="D41" i="54"/>
  <c r="L40" i="54"/>
  <c r="C40" i="54" s="1"/>
  <c r="L39" i="54"/>
  <c r="C39" i="54" s="1"/>
  <c r="L38" i="54"/>
  <c r="C38" i="54"/>
  <c r="L37" i="54"/>
  <c r="K36" i="54"/>
  <c r="J36" i="54"/>
  <c r="L35" i="54"/>
  <c r="C35" i="54" s="1"/>
  <c r="L34" i="54"/>
  <c r="C34" i="54" s="1"/>
  <c r="K33" i="54"/>
  <c r="J33" i="54"/>
  <c r="L32" i="54"/>
  <c r="K31" i="54"/>
  <c r="J31" i="54"/>
  <c r="L30" i="54"/>
  <c r="C30" i="54" s="1"/>
  <c r="L29" i="54"/>
  <c r="C29" i="54" s="1"/>
  <c r="L28" i="54"/>
  <c r="K27" i="54"/>
  <c r="K26" i="54" s="1"/>
  <c r="J27" i="54"/>
  <c r="F25" i="54"/>
  <c r="C25" i="54"/>
  <c r="I24" i="54"/>
  <c r="F24" i="54"/>
  <c r="O23" i="54"/>
  <c r="L23" i="54"/>
  <c r="I23" i="54"/>
  <c r="F23" i="54"/>
  <c r="O22" i="54"/>
  <c r="L22" i="54"/>
  <c r="I22" i="54"/>
  <c r="I21" i="54" s="1"/>
  <c r="F22" i="54"/>
  <c r="N21" i="54"/>
  <c r="M21" i="54"/>
  <c r="M20" i="54" s="1"/>
  <c r="K21" i="54"/>
  <c r="K292" i="54" s="1"/>
  <c r="J21" i="54"/>
  <c r="H21" i="54"/>
  <c r="G21" i="54"/>
  <c r="E21" i="54"/>
  <c r="D21" i="54"/>
  <c r="D292" i="54" s="1"/>
  <c r="D291" i="54" s="1"/>
  <c r="G289" i="55" l="1"/>
  <c r="G52" i="55"/>
  <c r="O89" i="54"/>
  <c r="C124" i="54"/>
  <c r="C139" i="54"/>
  <c r="C140" i="54"/>
  <c r="D130" i="54"/>
  <c r="C150" i="54"/>
  <c r="N173" i="54"/>
  <c r="E187" i="54"/>
  <c r="J187" i="54"/>
  <c r="C190" i="54"/>
  <c r="C208" i="54"/>
  <c r="C210" i="54"/>
  <c r="I252" i="54"/>
  <c r="I251" i="54" s="1"/>
  <c r="C294" i="54"/>
  <c r="N289" i="55"/>
  <c r="O83" i="55"/>
  <c r="L26" i="55"/>
  <c r="L20" i="55" s="1"/>
  <c r="N195" i="54"/>
  <c r="O53" i="55"/>
  <c r="J26" i="54"/>
  <c r="M53" i="54"/>
  <c r="G54" i="54"/>
  <c r="C65" i="54"/>
  <c r="D76" i="54"/>
  <c r="C105" i="54"/>
  <c r="C109" i="54"/>
  <c r="E83" i="54"/>
  <c r="O58" i="54"/>
  <c r="C68" i="54"/>
  <c r="C96" i="54"/>
  <c r="C98" i="54"/>
  <c r="C99" i="54"/>
  <c r="H83" i="54"/>
  <c r="C143" i="54"/>
  <c r="C171" i="54"/>
  <c r="D173" i="54"/>
  <c r="J173" i="54"/>
  <c r="O196" i="54"/>
  <c r="C228" i="54"/>
  <c r="C229" i="54"/>
  <c r="M231" i="54"/>
  <c r="C237" i="54"/>
  <c r="C239" i="54"/>
  <c r="O238" i="54"/>
  <c r="O252" i="54"/>
  <c r="O251" i="54" s="1"/>
  <c r="O260" i="54"/>
  <c r="H259" i="54"/>
  <c r="N259" i="54"/>
  <c r="E269" i="54"/>
  <c r="O276" i="54"/>
  <c r="H269" i="54"/>
  <c r="C235" i="55"/>
  <c r="C95" i="55"/>
  <c r="C23" i="54"/>
  <c r="L55" i="54"/>
  <c r="C91" i="54"/>
  <c r="C104" i="54"/>
  <c r="E292" i="54"/>
  <c r="E291" i="54" s="1"/>
  <c r="J292" i="54"/>
  <c r="J291" i="54" s="1"/>
  <c r="L33" i="54"/>
  <c r="C33" i="54" s="1"/>
  <c r="F41" i="54"/>
  <c r="C41" i="54" s="1"/>
  <c r="E54" i="54"/>
  <c r="E53" i="54" s="1"/>
  <c r="C59" i="54"/>
  <c r="D83" i="54"/>
  <c r="I95" i="54"/>
  <c r="O116" i="54"/>
  <c r="I144" i="54"/>
  <c r="C163" i="54"/>
  <c r="C182" i="54"/>
  <c r="H204" i="54"/>
  <c r="N204" i="54"/>
  <c r="C221" i="54"/>
  <c r="C226" i="54"/>
  <c r="C227" i="54"/>
  <c r="C232" i="54"/>
  <c r="D231" i="54"/>
  <c r="H231" i="54"/>
  <c r="H230" i="54" s="1"/>
  <c r="N231" i="54"/>
  <c r="N230" i="54" s="1"/>
  <c r="C262" i="54"/>
  <c r="D259" i="54"/>
  <c r="O264" i="54"/>
  <c r="C274" i="54"/>
  <c r="K270" i="54"/>
  <c r="K269" i="54" s="1"/>
  <c r="I276" i="54"/>
  <c r="M194" i="55"/>
  <c r="C58" i="55"/>
  <c r="H52" i="55"/>
  <c r="L231" i="55"/>
  <c r="L230" i="55" s="1"/>
  <c r="L53" i="55"/>
  <c r="M52" i="55"/>
  <c r="F55" i="54"/>
  <c r="J289" i="55"/>
  <c r="C103" i="55"/>
  <c r="J194" i="55"/>
  <c r="J51" i="55" s="1"/>
  <c r="O75" i="55"/>
  <c r="C144" i="55"/>
  <c r="K52" i="55"/>
  <c r="K51" i="55" s="1"/>
  <c r="L83" i="55"/>
  <c r="L75" i="55" s="1"/>
  <c r="E51" i="55"/>
  <c r="D75" i="55"/>
  <c r="D52" i="55" s="1"/>
  <c r="E194" i="55"/>
  <c r="I174" i="55"/>
  <c r="I173" i="55" s="1"/>
  <c r="D194" i="55"/>
  <c r="C246" i="55"/>
  <c r="C122" i="55"/>
  <c r="C64" i="54"/>
  <c r="C57" i="54"/>
  <c r="N292" i="54"/>
  <c r="N291" i="54" s="1"/>
  <c r="N20" i="54"/>
  <c r="C28" i="54"/>
  <c r="L27" i="54"/>
  <c r="C27" i="54" s="1"/>
  <c r="D230" i="54"/>
  <c r="C60" i="54"/>
  <c r="D75" i="54"/>
  <c r="C81" i="54"/>
  <c r="C129" i="54"/>
  <c r="C156" i="54"/>
  <c r="C162" i="54"/>
  <c r="E204" i="54"/>
  <c r="C220" i="54"/>
  <c r="C279" i="54"/>
  <c r="D269" i="54"/>
  <c r="I286" i="54"/>
  <c r="C286" i="54" s="1"/>
  <c r="C299" i="54"/>
  <c r="C300" i="54"/>
  <c r="F151" i="54"/>
  <c r="E195" i="54"/>
  <c r="I196" i="54"/>
  <c r="C22" i="54"/>
  <c r="O21" i="54"/>
  <c r="O20" i="54" s="1"/>
  <c r="C72" i="54"/>
  <c r="F69" i="54"/>
  <c r="F76" i="54"/>
  <c r="C77" i="54"/>
  <c r="C24" i="54"/>
  <c r="L31" i="54"/>
  <c r="C32" i="54"/>
  <c r="C37" i="54"/>
  <c r="L36" i="54"/>
  <c r="C36" i="54" s="1"/>
  <c r="C56" i="54"/>
  <c r="C63" i="54"/>
  <c r="C88" i="54"/>
  <c r="C93" i="54"/>
  <c r="M83" i="54"/>
  <c r="C108" i="54"/>
  <c r="L122" i="54"/>
  <c r="C135" i="54"/>
  <c r="H130" i="54"/>
  <c r="C149" i="54"/>
  <c r="C170" i="54"/>
  <c r="G174" i="54"/>
  <c r="G173" i="54" s="1"/>
  <c r="O184" i="54"/>
  <c r="C202" i="54"/>
  <c r="C203" i="54"/>
  <c r="C209" i="54"/>
  <c r="C225" i="54"/>
  <c r="I233" i="54"/>
  <c r="C234" i="54"/>
  <c r="J231" i="54"/>
  <c r="J230" i="54" s="1"/>
  <c r="C258" i="54"/>
  <c r="M269" i="54"/>
  <c r="C282" i="54"/>
  <c r="F281" i="54"/>
  <c r="D20" i="54"/>
  <c r="G53" i="54"/>
  <c r="C85" i="54"/>
  <c r="I103" i="54"/>
  <c r="C114" i="54"/>
  <c r="C118" i="54"/>
  <c r="E130" i="54"/>
  <c r="D187" i="54"/>
  <c r="O188" i="54"/>
  <c r="O187" i="54" s="1"/>
  <c r="C197" i="54"/>
  <c r="C200" i="54"/>
  <c r="M195" i="54"/>
  <c r="H195" i="54"/>
  <c r="L264" i="54"/>
  <c r="C271" i="54"/>
  <c r="I270" i="54"/>
  <c r="K291" i="54"/>
  <c r="L58" i="54"/>
  <c r="C62" i="54"/>
  <c r="K53" i="54"/>
  <c r="C73" i="54"/>
  <c r="G76" i="54"/>
  <c r="M76" i="54"/>
  <c r="I76" i="54"/>
  <c r="K83" i="54"/>
  <c r="K75" i="54" s="1"/>
  <c r="K52" i="54" s="1"/>
  <c r="C94" i="54"/>
  <c r="C97" i="54"/>
  <c r="C107" i="54"/>
  <c r="C113" i="54"/>
  <c r="C117" i="54"/>
  <c r="C123" i="54"/>
  <c r="N130" i="54"/>
  <c r="O131" i="54"/>
  <c r="O160" i="54"/>
  <c r="C172" i="54"/>
  <c r="O174" i="54"/>
  <c r="O173" i="54" s="1"/>
  <c r="E173" i="54"/>
  <c r="C186" i="54"/>
  <c r="D204" i="54"/>
  <c r="J204" i="54"/>
  <c r="O205" i="54"/>
  <c r="O204" i="54" s="1"/>
  <c r="O195" i="54" s="1"/>
  <c r="C224" i="54"/>
  <c r="C243" i="54"/>
  <c r="C245" i="54"/>
  <c r="C257" i="54"/>
  <c r="C267" i="54"/>
  <c r="C268" i="54"/>
  <c r="O272" i="54"/>
  <c r="O270" i="54" s="1"/>
  <c r="O269" i="54" s="1"/>
  <c r="C280" i="54"/>
  <c r="L293" i="54"/>
  <c r="H292" i="54"/>
  <c r="H291" i="54" s="1"/>
  <c r="L21" i="54"/>
  <c r="L292" i="54" s="1"/>
  <c r="G20" i="54"/>
  <c r="H53" i="54"/>
  <c r="C61" i="54"/>
  <c r="C70" i="54"/>
  <c r="C71" i="54"/>
  <c r="N76" i="54"/>
  <c r="C82" i="54"/>
  <c r="G83" i="54"/>
  <c r="I84" i="54"/>
  <c r="L89" i="54"/>
  <c r="C101" i="54"/>
  <c r="C110" i="54"/>
  <c r="C111" i="54"/>
  <c r="C121" i="54"/>
  <c r="F122" i="54"/>
  <c r="I122" i="54"/>
  <c r="L136" i="54"/>
  <c r="L144" i="54"/>
  <c r="K130" i="54"/>
  <c r="C153" i="54"/>
  <c r="I160" i="54"/>
  <c r="O165" i="54"/>
  <c r="C178" i="54"/>
  <c r="C201" i="54"/>
  <c r="K204" i="54"/>
  <c r="K195" i="54" s="1"/>
  <c r="C213" i="54"/>
  <c r="C222" i="54"/>
  <c r="O231" i="54"/>
  <c r="G231" i="54"/>
  <c r="G230" i="54" s="1"/>
  <c r="L238" i="54"/>
  <c r="C244" i="54"/>
  <c r="M230" i="54"/>
  <c r="C256" i="54"/>
  <c r="L260" i="54"/>
  <c r="L259" i="54" s="1"/>
  <c r="I264" i="54"/>
  <c r="I259" i="54" s="1"/>
  <c r="L276" i="54"/>
  <c r="L270" i="54" s="1"/>
  <c r="L269" i="54" s="1"/>
  <c r="C287" i="54"/>
  <c r="O293" i="54"/>
  <c r="G130" i="54"/>
  <c r="G75" i="54"/>
  <c r="G52" i="54" s="1"/>
  <c r="M130" i="54"/>
  <c r="M75" i="54" s="1"/>
  <c r="E75" i="54"/>
  <c r="C155" i="54"/>
  <c r="D52" i="54"/>
  <c r="H75" i="54"/>
  <c r="I166" i="54"/>
  <c r="I165" i="54" s="1"/>
  <c r="C167" i="54"/>
  <c r="K50" i="55"/>
  <c r="K290" i="55"/>
  <c r="D289" i="55"/>
  <c r="C252" i="55"/>
  <c r="F251" i="55"/>
  <c r="C251" i="55" s="1"/>
  <c r="I231" i="55"/>
  <c r="C286" i="55"/>
  <c r="C131" i="55"/>
  <c r="F130" i="55"/>
  <c r="C130" i="55" s="1"/>
  <c r="O230" i="55"/>
  <c r="O289" i="55" s="1"/>
  <c r="F204" i="55"/>
  <c r="C205" i="55"/>
  <c r="C198" i="55"/>
  <c r="N194" i="55"/>
  <c r="N51" i="55" s="1"/>
  <c r="C116" i="55"/>
  <c r="I20" i="55"/>
  <c r="M289" i="55"/>
  <c r="I75" i="55"/>
  <c r="I52" i="55" s="1"/>
  <c r="F292" i="55"/>
  <c r="C21" i="55"/>
  <c r="F20" i="55"/>
  <c r="H51" i="55"/>
  <c r="C26" i="55"/>
  <c r="C293" i="55"/>
  <c r="I204" i="55"/>
  <c r="I195" i="55" s="1"/>
  <c r="C216" i="55"/>
  <c r="C196" i="55"/>
  <c r="F269" i="55"/>
  <c r="C269" i="55" s="1"/>
  <c r="C270" i="55"/>
  <c r="C166" i="55"/>
  <c r="F165" i="55"/>
  <c r="C165" i="55" s="1"/>
  <c r="C89" i="55"/>
  <c r="F76" i="55"/>
  <c r="C77" i="55"/>
  <c r="H289" i="55"/>
  <c r="C264" i="55"/>
  <c r="F259" i="55"/>
  <c r="G51" i="55"/>
  <c r="L291" i="55"/>
  <c r="C54" i="55"/>
  <c r="I259" i="55"/>
  <c r="L204" i="55"/>
  <c r="L195" i="55" s="1"/>
  <c r="L194" i="55" s="1"/>
  <c r="F231" i="55"/>
  <c r="C175" i="55"/>
  <c r="F174" i="55"/>
  <c r="F83" i="55"/>
  <c r="C83" i="55" s="1"/>
  <c r="C84" i="55"/>
  <c r="C260" i="55"/>
  <c r="L187" i="55"/>
  <c r="C187" i="55" s="1"/>
  <c r="C188" i="55"/>
  <c r="F67" i="55"/>
  <c r="C67" i="55" s="1"/>
  <c r="C69" i="55"/>
  <c r="O52" i="55"/>
  <c r="E290" i="55"/>
  <c r="E50" i="55"/>
  <c r="O292" i="54"/>
  <c r="O291" i="54" s="1"/>
  <c r="O54" i="54"/>
  <c r="O53" i="54" s="1"/>
  <c r="I53" i="54"/>
  <c r="L54" i="54"/>
  <c r="C55" i="54"/>
  <c r="J20" i="54"/>
  <c r="C31" i="54"/>
  <c r="L26" i="54"/>
  <c r="F21" i="54"/>
  <c r="F58" i="54"/>
  <c r="C58" i="54" s="1"/>
  <c r="L84" i="54"/>
  <c r="F103" i="54"/>
  <c r="C128" i="54"/>
  <c r="C134" i="54"/>
  <c r="F131" i="54"/>
  <c r="F141" i="54"/>
  <c r="C142" i="54"/>
  <c r="C161" i="54"/>
  <c r="F160" i="54"/>
  <c r="C160" i="54" s="1"/>
  <c r="G292" i="54"/>
  <c r="G291" i="54" s="1"/>
  <c r="I43" i="54"/>
  <c r="C43" i="54" s="1"/>
  <c r="C66" i="54"/>
  <c r="C86" i="54"/>
  <c r="C87" i="54"/>
  <c r="F84" i="54"/>
  <c r="C90" i="54"/>
  <c r="O95" i="54"/>
  <c r="C102" i="54"/>
  <c r="C106" i="54"/>
  <c r="C127" i="54"/>
  <c r="C138" i="54"/>
  <c r="F136" i="54"/>
  <c r="C146" i="54"/>
  <c r="F144" i="54"/>
  <c r="C191" i="54"/>
  <c r="C192" i="54"/>
  <c r="C207" i="54"/>
  <c r="F205" i="54"/>
  <c r="L231" i="54"/>
  <c r="M292" i="54"/>
  <c r="M291" i="54" s="1"/>
  <c r="C115" i="54"/>
  <c r="F112" i="54"/>
  <c r="C119" i="54"/>
  <c r="F116" i="54"/>
  <c r="C285" i="54"/>
  <c r="F284" i="54"/>
  <c r="K20" i="54"/>
  <c r="F67" i="54"/>
  <c r="L103" i="54"/>
  <c r="C125" i="54"/>
  <c r="C240" i="54"/>
  <c r="I238" i="54"/>
  <c r="C301" i="54"/>
  <c r="E20" i="54"/>
  <c r="L69" i="54"/>
  <c r="L67" i="54" s="1"/>
  <c r="C74" i="54"/>
  <c r="C78" i="54"/>
  <c r="C79" i="54"/>
  <c r="L80" i="54"/>
  <c r="C80" i="54" s="1"/>
  <c r="J83" i="54"/>
  <c r="N83" i="54"/>
  <c r="N75" i="54" s="1"/>
  <c r="I89" i="54"/>
  <c r="I83" i="54" s="1"/>
  <c r="L95" i="54"/>
  <c r="F95" i="54"/>
  <c r="L112" i="54"/>
  <c r="L116" i="54"/>
  <c r="O122" i="54"/>
  <c r="L166" i="54"/>
  <c r="L165" i="54" s="1"/>
  <c r="L187" i="54"/>
  <c r="C217" i="54"/>
  <c r="L216" i="54"/>
  <c r="J130" i="54"/>
  <c r="C148" i="54"/>
  <c r="I151" i="54"/>
  <c r="I130" i="54" s="1"/>
  <c r="I75" i="54" s="1"/>
  <c r="C152" i="54"/>
  <c r="C168" i="54"/>
  <c r="C169" i="54"/>
  <c r="F166" i="54"/>
  <c r="F175" i="54"/>
  <c r="C177" i="54"/>
  <c r="F179" i="54"/>
  <c r="C181" i="54"/>
  <c r="F184" i="54"/>
  <c r="C184" i="54" s="1"/>
  <c r="C185" i="54"/>
  <c r="F188" i="54"/>
  <c r="C189" i="54"/>
  <c r="L196" i="54"/>
  <c r="C198" i="54"/>
  <c r="J195" i="54"/>
  <c r="J194" i="54" s="1"/>
  <c r="I205" i="54"/>
  <c r="C206" i="54"/>
  <c r="C219" i="54"/>
  <c r="C233" i="54"/>
  <c r="C265" i="54"/>
  <c r="F264" i="54"/>
  <c r="C264" i="54" s="1"/>
  <c r="C132" i="54"/>
  <c r="C133" i="54"/>
  <c r="C137" i="54"/>
  <c r="O136" i="54"/>
  <c r="O141" i="54"/>
  <c r="C145" i="54"/>
  <c r="O144" i="54"/>
  <c r="L151" i="54"/>
  <c r="C157" i="54"/>
  <c r="C164" i="54"/>
  <c r="I175" i="54"/>
  <c r="I174" i="54" s="1"/>
  <c r="I173" i="54" s="1"/>
  <c r="C176" i="54"/>
  <c r="I179" i="54"/>
  <c r="C180" i="54"/>
  <c r="C193" i="54"/>
  <c r="D195" i="54"/>
  <c r="D194" i="54" s="1"/>
  <c r="L205" i="54"/>
  <c r="C212" i="54"/>
  <c r="C218" i="54"/>
  <c r="I216" i="54"/>
  <c r="C241" i="54"/>
  <c r="F238" i="54"/>
  <c r="C248" i="54"/>
  <c r="I246" i="54"/>
  <c r="L252" i="54"/>
  <c r="L251" i="54" s="1"/>
  <c r="I269" i="54"/>
  <c r="C277" i="54"/>
  <c r="F276" i="54"/>
  <c r="C288" i="54"/>
  <c r="G195" i="54"/>
  <c r="G194" i="54" s="1"/>
  <c r="G51" i="54" s="1"/>
  <c r="F196" i="54"/>
  <c r="C199" i="54"/>
  <c r="C215" i="54"/>
  <c r="C253" i="54"/>
  <c r="F252" i="54"/>
  <c r="E259" i="54"/>
  <c r="E230" i="54" s="1"/>
  <c r="C261" i="54"/>
  <c r="F260" i="54"/>
  <c r="O259" i="54"/>
  <c r="O230" i="54" s="1"/>
  <c r="C273" i="54"/>
  <c r="F272" i="54"/>
  <c r="C211" i="54"/>
  <c r="F216" i="54"/>
  <c r="C223" i="54"/>
  <c r="K231" i="54"/>
  <c r="K230" i="54" s="1"/>
  <c r="I235" i="54"/>
  <c r="C235" i="54" s="1"/>
  <c r="C236" i="54"/>
  <c r="C247" i="54"/>
  <c r="C249" i="54"/>
  <c r="F246" i="54"/>
  <c r="C255" i="54"/>
  <c r="C263" i="54"/>
  <c r="C275" i="54"/>
  <c r="C281" i="54"/>
  <c r="C295" i="54"/>
  <c r="C296" i="54"/>
  <c r="C297" i="54"/>
  <c r="F293" i="54"/>
  <c r="C293" i="54" s="1"/>
  <c r="J290" i="55" l="1"/>
  <c r="J50" i="55"/>
  <c r="N194" i="54"/>
  <c r="O83" i="54"/>
  <c r="L76" i="54"/>
  <c r="C76" i="54" s="1"/>
  <c r="H194" i="54"/>
  <c r="M51" i="55"/>
  <c r="C246" i="54"/>
  <c r="L53" i="54"/>
  <c r="O194" i="55"/>
  <c r="O51" i="55" s="1"/>
  <c r="L291" i="54"/>
  <c r="I292" i="54"/>
  <c r="I291" i="54" s="1"/>
  <c r="K194" i="54"/>
  <c r="C259" i="55"/>
  <c r="D51" i="55"/>
  <c r="I230" i="55"/>
  <c r="I194" i="55" s="1"/>
  <c r="I51" i="55" s="1"/>
  <c r="L52" i="55"/>
  <c r="L51" i="55" s="1"/>
  <c r="L50" i="55" s="1"/>
  <c r="M52" i="54"/>
  <c r="M51" i="54" s="1"/>
  <c r="M50" i="54" s="1"/>
  <c r="M289" i="54"/>
  <c r="M194" i="54"/>
  <c r="C95" i="54"/>
  <c r="L230" i="54"/>
  <c r="E52" i="54"/>
  <c r="C276" i="54"/>
  <c r="L130" i="54"/>
  <c r="O130" i="54"/>
  <c r="C122" i="54"/>
  <c r="C141" i="54"/>
  <c r="L20" i="54"/>
  <c r="H289" i="54"/>
  <c r="J75" i="54"/>
  <c r="J52" i="54" s="1"/>
  <c r="J51" i="54" s="1"/>
  <c r="J50" i="54" s="1"/>
  <c r="D51" i="54"/>
  <c r="D50" i="54" s="1"/>
  <c r="H52" i="54"/>
  <c r="H51" i="54" s="1"/>
  <c r="H290" i="54" s="1"/>
  <c r="C174" i="55"/>
  <c r="F173" i="55"/>
  <c r="C173" i="55" s="1"/>
  <c r="F53" i="55"/>
  <c r="L290" i="55"/>
  <c r="C292" i="55"/>
  <c r="F291" i="55"/>
  <c r="C291" i="55" s="1"/>
  <c r="C204" i="55"/>
  <c r="F195" i="55"/>
  <c r="H290" i="55"/>
  <c r="H50" i="55"/>
  <c r="C231" i="55"/>
  <c r="F230" i="55"/>
  <c r="C230" i="55" s="1"/>
  <c r="N50" i="55"/>
  <c r="N290" i="55"/>
  <c r="G290" i="55"/>
  <c r="G50" i="55"/>
  <c r="C20" i="55"/>
  <c r="I289" i="55"/>
  <c r="L289" i="55"/>
  <c r="F75" i="55"/>
  <c r="C75" i="55" s="1"/>
  <c r="C76" i="55"/>
  <c r="E194" i="54"/>
  <c r="E289" i="54"/>
  <c r="G50" i="54"/>
  <c r="G290" i="54"/>
  <c r="N52" i="54"/>
  <c r="N51" i="54" s="1"/>
  <c r="N289" i="54"/>
  <c r="D290" i="54"/>
  <c r="O75" i="54"/>
  <c r="O289" i="54" s="1"/>
  <c r="I231" i="54"/>
  <c r="I230" i="54" s="1"/>
  <c r="C151" i="54"/>
  <c r="C252" i="54"/>
  <c r="F251" i="54"/>
  <c r="C251" i="54" s="1"/>
  <c r="F174" i="54"/>
  <c r="C175" i="54"/>
  <c r="I20" i="54"/>
  <c r="D289" i="54"/>
  <c r="O194" i="54"/>
  <c r="J289" i="54"/>
  <c r="F270" i="54"/>
  <c r="C272" i="54"/>
  <c r="C260" i="54"/>
  <c r="F259" i="54"/>
  <c r="C259" i="54" s="1"/>
  <c r="K289" i="54"/>
  <c r="C238" i="54"/>
  <c r="F231" i="54"/>
  <c r="I204" i="54"/>
  <c r="I195" i="54" s="1"/>
  <c r="F165" i="54"/>
  <c r="C165" i="54" s="1"/>
  <c r="C166" i="54"/>
  <c r="F130" i="54"/>
  <c r="C131" i="54"/>
  <c r="L83" i="54"/>
  <c r="L75" i="54" s="1"/>
  <c r="L52" i="54" s="1"/>
  <c r="F292" i="54"/>
  <c r="C21" i="54"/>
  <c r="F20" i="54"/>
  <c r="C69" i="54"/>
  <c r="H50" i="54"/>
  <c r="G289" i="54"/>
  <c r="K51" i="54"/>
  <c r="C112" i="54"/>
  <c r="C144" i="54"/>
  <c r="C103" i="54"/>
  <c r="C216" i="54"/>
  <c r="C196" i="54"/>
  <c r="L204" i="54"/>
  <c r="L195" i="54" s="1"/>
  <c r="C188" i="54"/>
  <c r="F187" i="54"/>
  <c r="C187" i="54" s="1"/>
  <c r="C179" i="54"/>
  <c r="C67" i="54"/>
  <c r="C284" i="54"/>
  <c r="F283" i="54"/>
  <c r="C283" i="54" s="1"/>
  <c r="C116" i="54"/>
  <c r="F204" i="54"/>
  <c r="C204" i="54" s="1"/>
  <c r="C205" i="54"/>
  <c r="C136" i="54"/>
  <c r="F83" i="54"/>
  <c r="C84" i="54"/>
  <c r="C26" i="54"/>
  <c r="F54" i="54"/>
  <c r="I52" i="54"/>
  <c r="C89" i="54"/>
  <c r="O50" i="55" l="1"/>
  <c r="O290" i="55"/>
  <c r="M50" i="55"/>
  <c r="M290" i="55"/>
  <c r="D290" i="55"/>
  <c r="D50" i="55"/>
  <c r="C130" i="54"/>
  <c r="I289" i="54"/>
  <c r="E51" i="54"/>
  <c r="E290" i="54" s="1"/>
  <c r="M290" i="54"/>
  <c r="J290" i="54"/>
  <c r="O52" i="54"/>
  <c r="O51" i="54" s="1"/>
  <c r="O290" i="54" s="1"/>
  <c r="F289" i="55"/>
  <c r="C289" i="55" s="1"/>
  <c r="C195" i="55"/>
  <c r="F194" i="55"/>
  <c r="C194" i="55" s="1"/>
  <c r="I290" i="55"/>
  <c r="I50" i="55"/>
  <c r="F52" i="55"/>
  <c r="C53" i="55"/>
  <c r="L194" i="54"/>
  <c r="L51" i="54" s="1"/>
  <c r="L289" i="54"/>
  <c r="C292" i="54"/>
  <c r="F291" i="54"/>
  <c r="C291" i="54" s="1"/>
  <c r="C54" i="54"/>
  <c r="F53" i="54"/>
  <c r="C83" i="54"/>
  <c r="F75" i="54"/>
  <c r="C75" i="54" s="1"/>
  <c r="F195" i="54"/>
  <c r="K50" i="54"/>
  <c r="K290" i="54"/>
  <c r="F269" i="54"/>
  <c r="C270" i="54"/>
  <c r="N50" i="54"/>
  <c r="N290" i="54"/>
  <c r="C20" i="54"/>
  <c r="I194" i="54"/>
  <c r="I51" i="54" s="1"/>
  <c r="O50" i="54"/>
  <c r="F230" i="54"/>
  <c r="C230" i="54" s="1"/>
  <c r="C231" i="54"/>
  <c r="F173" i="54"/>
  <c r="C173" i="54" s="1"/>
  <c r="C174" i="54"/>
  <c r="E50" i="54" l="1"/>
  <c r="F51" i="55"/>
  <c r="C52" i="55"/>
  <c r="L50" i="54"/>
  <c r="L290" i="54"/>
  <c r="F52" i="54"/>
  <c r="C53" i="54"/>
  <c r="I290" i="54"/>
  <c r="I50" i="54"/>
  <c r="F194" i="54"/>
  <c r="C194" i="54" s="1"/>
  <c r="C195" i="54"/>
  <c r="C269" i="54"/>
  <c r="F289" i="54"/>
  <c r="C289" i="54" s="1"/>
  <c r="F290" i="55" l="1"/>
  <c r="C290" i="55" s="1"/>
  <c r="C51" i="55"/>
  <c r="F50" i="55"/>
  <c r="C50" i="55" s="1"/>
  <c r="F51" i="54"/>
  <c r="C52" i="54"/>
  <c r="F290" i="54" l="1"/>
  <c r="C290" i="54" s="1"/>
  <c r="C51" i="54"/>
  <c r="F50" i="54"/>
  <c r="C50" i="54" s="1"/>
  <c r="O301" i="53" l="1"/>
  <c r="L301" i="53"/>
  <c r="I301" i="53"/>
  <c r="F301" i="53"/>
  <c r="O300" i="53"/>
  <c r="L300" i="53"/>
  <c r="I300" i="53"/>
  <c r="F300" i="53"/>
  <c r="O299" i="53"/>
  <c r="L299" i="53"/>
  <c r="I299" i="53"/>
  <c r="F299" i="53"/>
  <c r="O298" i="53"/>
  <c r="L298" i="53"/>
  <c r="I298" i="53"/>
  <c r="F298" i="53"/>
  <c r="C298" i="53" s="1"/>
  <c r="O297" i="53"/>
  <c r="L297" i="53"/>
  <c r="I297" i="53"/>
  <c r="F297" i="53"/>
  <c r="O296" i="53"/>
  <c r="L296" i="53"/>
  <c r="I296" i="53"/>
  <c r="F296" i="53"/>
  <c r="O295" i="53"/>
  <c r="L295" i="53"/>
  <c r="I295" i="53"/>
  <c r="F295" i="53"/>
  <c r="O294" i="53"/>
  <c r="O293" i="53" s="1"/>
  <c r="L294" i="53"/>
  <c r="I294" i="53"/>
  <c r="F294" i="53"/>
  <c r="F293" i="53" s="1"/>
  <c r="N293" i="53"/>
  <c r="M293" i="53"/>
  <c r="K293" i="53"/>
  <c r="J293" i="53"/>
  <c r="I293" i="53"/>
  <c r="H293" i="53"/>
  <c r="G293" i="53"/>
  <c r="E293" i="53"/>
  <c r="D293" i="53"/>
  <c r="O288" i="53"/>
  <c r="L288" i="53"/>
  <c r="I288" i="53"/>
  <c r="F288" i="53"/>
  <c r="O287" i="53"/>
  <c r="L287" i="53"/>
  <c r="I287" i="53"/>
  <c r="F287" i="53"/>
  <c r="O286" i="53"/>
  <c r="N286" i="53"/>
  <c r="M286" i="53"/>
  <c r="K286" i="53"/>
  <c r="J286" i="53"/>
  <c r="H286" i="53"/>
  <c r="G286" i="53"/>
  <c r="F286" i="53"/>
  <c r="E286" i="53"/>
  <c r="D286" i="53"/>
  <c r="O285" i="53"/>
  <c r="L285" i="53"/>
  <c r="L284" i="53" s="1"/>
  <c r="L283" i="53" s="1"/>
  <c r="I285" i="53"/>
  <c r="F285" i="53"/>
  <c r="O284" i="53"/>
  <c r="O283" i="53" s="1"/>
  <c r="N284" i="53"/>
  <c r="M284" i="53"/>
  <c r="M283" i="53" s="1"/>
  <c r="K284" i="53"/>
  <c r="J284" i="53"/>
  <c r="J283" i="53" s="1"/>
  <c r="I284" i="53"/>
  <c r="I283" i="53" s="1"/>
  <c r="H284" i="53"/>
  <c r="G284" i="53"/>
  <c r="F284" i="53"/>
  <c r="E284" i="53"/>
  <c r="E283" i="53" s="1"/>
  <c r="D284" i="53"/>
  <c r="N283" i="53"/>
  <c r="K283" i="53"/>
  <c r="H283" i="53"/>
  <c r="G283" i="53"/>
  <c r="D283" i="53"/>
  <c r="O282" i="53"/>
  <c r="O281" i="53" s="1"/>
  <c r="L282" i="53"/>
  <c r="L281" i="53" s="1"/>
  <c r="I282" i="53"/>
  <c r="F282" i="53"/>
  <c r="F281" i="53" s="1"/>
  <c r="N281" i="53"/>
  <c r="M281" i="53"/>
  <c r="K281" i="53"/>
  <c r="J281" i="53"/>
  <c r="I281" i="53"/>
  <c r="H281" i="53"/>
  <c r="G281" i="53"/>
  <c r="E281" i="53"/>
  <c r="D281" i="53"/>
  <c r="O280" i="53"/>
  <c r="L280" i="53"/>
  <c r="I280" i="53"/>
  <c r="F280" i="53"/>
  <c r="C280" i="53" s="1"/>
  <c r="O279" i="53"/>
  <c r="L279" i="53"/>
  <c r="I279" i="53"/>
  <c r="F279" i="53"/>
  <c r="C279" i="53" s="1"/>
  <c r="O278" i="53"/>
  <c r="L278" i="53"/>
  <c r="I278" i="53"/>
  <c r="F278" i="53"/>
  <c r="O277" i="53"/>
  <c r="L277" i="53"/>
  <c r="I277" i="53"/>
  <c r="I276" i="53" s="1"/>
  <c r="F277" i="53"/>
  <c r="F276" i="53" s="1"/>
  <c r="N276" i="53"/>
  <c r="M276" i="53"/>
  <c r="K276" i="53"/>
  <c r="J276" i="53"/>
  <c r="H276" i="53"/>
  <c r="G276" i="53"/>
  <c r="E276" i="53"/>
  <c r="D276" i="53"/>
  <c r="O275" i="53"/>
  <c r="L275" i="53"/>
  <c r="I275" i="53"/>
  <c r="F275" i="53"/>
  <c r="O274" i="53"/>
  <c r="L274" i="53"/>
  <c r="I274" i="53"/>
  <c r="F274" i="53"/>
  <c r="O273" i="53"/>
  <c r="L273" i="53"/>
  <c r="I273" i="53"/>
  <c r="I272" i="53" s="1"/>
  <c r="F273" i="53"/>
  <c r="N272" i="53"/>
  <c r="N270" i="53" s="1"/>
  <c r="N269" i="53" s="1"/>
  <c r="M272" i="53"/>
  <c r="L272" i="53"/>
  <c r="K272" i="53"/>
  <c r="J272" i="53"/>
  <c r="H272" i="53"/>
  <c r="G272" i="53"/>
  <c r="G270" i="53" s="1"/>
  <c r="G269" i="53" s="1"/>
  <c r="E272" i="53"/>
  <c r="E270" i="53" s="1"/>
  <c r="D272" i="53"/>
  <c r="O271" i="53"/>
  <c r="L271" i="53"/>
  <c r="I271" i="53"/>
  <c r="F271" i="53"/>
  <c r="K270" i="53"/>
  <c r="K269" i="53" s="1"/>
  <c r="H270" i="53"/>
  <c r="H269" i="53" s="1"/>
  <c r="D270" i="53"/>
  <c r="D269" i="53" s="1"/>
  <c r="E269" i="53"/>
  <c r="O268" i="53"/>
  <c r="L268" i="53"/>
  <c r="I268" i="53"/>
  <c r="F268" i="53"/>
  <c r="O267" i="53"/>
  <c r="L267" i="53"/>
  <c r="I267" i="53"/>
  <c r="F267" i="53"/>
  <c r="O266" i="53"/>
  <c r="L266" i="53"/>
  <c r="I266" i="53"/>
  <c r="F266" i="53"/>
  <c r="O265" i="53"/>
  <c r="L265" i="53"/>
  <c r="I265" i="53"/>
  <c r="F265" i="53"/>
  <c r="N264" i="53"/>
  <c r="M264" i="53"/>
  <c r="K264" i="53"/>
  <c r="J264" i="53"/>
  <c r="I264" i="53"/>
  <c r="H264" i="53"/>
  <c r="G264" i="53"/>
  <c r="F264" i="53"/>
  <c r="E264" i="53"/>
  <c r="D264" i="53"/>
  <c r="O263" i="53"/>
  <c r="L263" i="53"/>
  <c r="I263" i="53"/>
  <c r="F263" i="53"/>
  <c r="O262" i="53"/>
  <c r="L262" i="53"/>
  <c r="I262" i="53"/>
  <c r="F262" i="53"/>
  <c r="C262" i="53"/>
  <c r="O261" i="53"/>
  <c r="L261" i="53"/>
  <c r="I261" i="53"/>
  <c r="F261" i="53"/>
  <c r="C261" i="53" s="1"/>
  <c r="N260" i="53"/>
  <c r="N259" i="53" s="1"/>
  <c r="M260" i="53"/>
  <c r="M259" i="53" s="1"/>
  <c r="K260" i="53"/>
  <c r="J260" i="53"/>
  <c r="J259" i="53" s="1"/>
  <c r="I260" i="53"/>
  <c r="I259" i="53" s="1"/>
  <c r="H260" i="53"/>
  <c r="G260" i="53"/>
  <c r="F260" i="53"/>
  <c r="F259" i="53" s="1"/>
  <c r="E260" i="53"/>
  <c r="E259" i="53" s="1"/>
  <c r="D260" i="53"/>
  <c r="K259" i="53"/>
  <c r="H259" i="53"/>
  <c r="G259" i="53"/>
  <c r="D259" i="53"/>
  <c r="O258" i="53"/>
  <c r="L258" i="53"/>
  <c r="I258" i="53"/>
  <c r="F258" i="53"/>
  <c r="C258" i="53" s="1"/>
  <c r="O257" i="53"/>
  <c r="L257" i="53"/>
  <c r="I257" i="53"/>
  <c r="F257" i="53"/>
  <c r="O256" i="53"/>
  <c r="L256" i="53"/>
  <c r="I256" i="53"/>
  <c r="F256" i="53"/>
  <c r="O255" i="53"/>
  <c r="L255" i="53"/>
  <c r="I255" i="53"/>
  <c r="F255" i="53"/>
  <c r="O254" i="53"/>
  <c r="L254" i="53"/>
  <c r="I254" i="53"/>
  <c r="F254" i="53"/>
  <c r="O253" i="53"/>
  <c r="L253" i="53"/>
  <c r="I253" i="53"/>
  <c r="F253" i="53"/>
  <c r="N252" i="53"/>
  <c r="N251" i="53" s="1"/>
  <c r="M252" i="53"/>
  <c r="M251" i="53" s="1"/>
  <c r="K252" i="53"/>
  <c r="J252" i="53"/>
  <c r="I252" i="53"/>
  <c r="I251" i="53" s="1"/>
  <c r="H252" i="53"/>
  <c r="G252" i="53"/>
  <c r="E252" i="53"/>
  <c r="E251" i="53" s="1"/>
  <c r="D252" i="53"/>
  <c r="D251" i="53" s="1"/>
  <c r="K251" i="53"/>
  <c r="J251" i="53"/>
  <c r="H251" i="53"/>
  <c r="G251" i="53"/>
  <c r="O250" i="53"/>
  <c r="L250" i="53"/>
  <c r="I250" i="53"/>
  <c r="F250" i="53"/>
  <c r="O249" i="53"/>
  <c r="L249" i="53"/>
  <c r="I249" i="53"/>
  <c r="F249" i="53"/>
  <c r="O248" i="53"/>
  <c r="L248" i="53"/>
  <c r="I248" i="53"/>
  <c r="F248" i="53"/>
  <c r="O247" i="53"/>
  <c r="L247" i="53"/>
  <c r="I247" i="53"/>
  <c r="F247" i="53"/>
  <c r="O246" i="53"/>
  <c r="N246" i="53"/>
  <c r="M246" i="53"/>
  <c r="K246" i="53"/>
  <c r="J246" i="53"/>
  <c r="H246" i="53"/>
  <c r="G246" i="53"/>
  <c r="E246" i="53"/>
  <c r="D246" i="53"/>
  <c r="O245" i="53"/>
  <c r="L245" i="53"/>
  <c r="I245" i="53"/>
  <c r="F245" i="53"/>
  <c r="O244" i="53"/>
  <c r="L244" i="53"/>
  <c r="I244" i="53"/>
  <c r="F244" i="53"/>
  <c r="O243" i="53"/>
  <c r="L243" i="53"/>
  <c r="I243" i="53"/>
  <c r="F243" i="53"/>
  <c r="O242" i="53"/>
  <c r="L242" i="53"/>
  <c r="I242" i="53"/>
  <c r="F242" i="53"/>
  <c r="O241" i="53"/>
  <c r="L241" i="53"/>
  <c r="I241" i="53"/>
  <c r="F241" i="53"/>
  <c r="O240" i="53"/>
  <c r="L240" i="53"/>
  <c r="I240" i="53"/>
  <c r="F240" i="53"/>
  <c r="O239" i="53"/>
  <c r="L239" i="53"/>
  <c r="L238" i="53" s="1"/>
  <c r="I239" i="53"/>
  <c r="F239" i="53"/>
  <c r="C239" i="53"/>
  <c r="N238" i="53"/>
  <c r="M238" i="53"/>
  <c r="K238" i="53"/>
  <c r="J238" i="53"/>
  <c r="H238" i="53"/>
  <c r="G238" i="53"/>
  <c r="E238" i="53"/>
  <c r="D238" i="53"/>
  <c r="O237" i="53"/>
  <c r="L237" i="53"/>
  <c r="I237" i="53"/>
  <c r="F237" i="53"/>
  <c r="C237" i="53" s="1"/>
  <c r="O236" i="53"/>
  <c r="L236" i="53"/>
  <c r="L235" i="53" s="1"/>
  <c r="I236" i="53"/>
  <c r="I235" i="53" s="1"/>
  <c r="F236" i="53"/>
  <c r="C236" i="53" s="1"/>
  <c r="O235" i="53"/>
  <c r="N235" i="53"/>
  <c r="M235" i="53"/>
  <c r="K235" i="53"/>
  <c r="J235" i="53"/>
  <c r="H235" i="53"/>
  <c r="G235" i="53"/>
  <c r="F235" i="53"/>
  <c r="C235" i="53" s="1"/>
  <c r="E235" i="53"/>
  <c r="D235" i="53"/>
  <c r="O234" i="53"/>
  <c r="O233" i="53" s="1"/>
  <c r="L234" i="53"/>
  <c r="C234" i="53" s="1"/>
  <c r="I234" i="53"/>
  <c r="F234" i="53"/>
  <c r="F233" i="53" s="1"/>
  <c r="N233" i="53"/>
  <c r="M233" i="53"/>
  <c r="M231" i="53" s="1"/>
  <c r="K233" i="53"/>
  <c r="J233" i="53"/>
  <c r="I233" i="53"/>
  <c r="H233" i="53"/>
  <c r="G233" i="53"/>
  <c r="E233" i="53"/>
  <c r="E231" i="53" s="1"/>
  <c r="D233" i="53"/>
  <c r="O232" i="53"/>
  <c r="L232" i="53"/>
  <c r="I232" i="53"/>
  <c r="F232" i="53"/>
  <c r="N231" i="53"/>
  <c r="O229" i="53"/>
  <c r="L229" i="53"/>
  <c r="I229" i="53"/>
  <c r="F229" i="53"/>
  <c r="O228" i="53"/>
  <c r="L228" i="53"/>
  <c r="L227" i="53" s="1"/>
  <c r="I228" i="53"/>
  <c r="F228" i="53"/>
  <c r="O227" i="53"/>
  <c r="N227" i="53"/>
  <c r="M227" i="53"/>
  <c r="K227" i="53"/>
  <c r="J227" i="53"/>
  <c r="H227" i="53"/>
  <c r="G227" i="53"/>
  <c r="F227" i="53"/>
  <c r="E227" i="53"/>
  <c r="D227" i="53"/>
  <c r="O226" i="53"/>
  <c r="L226" i="53"/>
  <c r="I226" i="53"/>
  <c r="F226" i="53"/>
  <c r="O225" i="53"/>
  <c r="L225" i="53"/>
  <c r="I225" i="53"/>
  <c r="E225" i="53"/>
  <c r="F225" i="53" s="1"/>
  <c r="O224" i="53"/>
  <c r="L224" i="53"/>
  <c r="I224" i="53"/>
  <c r="F224" i="53"/>
  <c r="E224" i="53"/>
  <c r="O223" i="53"/>
  <c r="L223" i="53"/>
  <c r="I223" i="53"/>
  <c r="F223" i="53"/>
  <c r="O222" i="53"/>
  <c r="L222" i="53"/>
  <c r="I222" i="53"/>
  <c r="F222" i="53"/>
  <c r="O221" i="53"/>
  <c r="L221" i="53"/>
  <c r="I221" i="53"/>
  <c r="F221" i="53"/>
  <c r="O220" i="53"/>
  <c r="L220" i="53"/>
  <c r="I220" i="53"/>
  <c r="F220" i="53"/>
  <c r="O219" i="53"/>
  <c r="L219" i="53"/>
  <c r="I219" i="53"/>
  <c r="F219" i="53"/>
  <c r="O218" i="53"/>
  <c r="L218" i="53"/>
  <c r="I218" i="53"/>
  <c r="F218" i="53"/>
  <c r="O217" i="53"/>
  <c r="L217" i="53"/>
  <c r="I217" i="53"/>
  <c r="F217" i="53"/>
  <c r="N216" i="53"/>
  <c r="M216" i="53"/>
  <c r="K216" i="53"/>
  <c r="J216" i="53"/>
  <c r="I216" i="53"/>
  <c r="H216" i="53"/>
  <c r="G216" i="53"/>
  <c r="E216" i="53"/>
  <c r="D216" i="53"/>
  <c r="O215" i="53"/>
  <c r="L215" i="53"/>
  <c r="I215" i="53"/>
  <c r="F215" i="53"/>
  <c r="O214" i="53"/>
  <c r="L214" i="53"/>
  <c r="I214" i="53"/>
  <c r="F214" i="53"/>
  <c r="O213" i="53"/>
  <c r="L213" i="53"/>
  <c r="I213" i="53"/>
  <c r="F213" i="53"/>
  <c r="O212" i="53"/>
  <c r="L212" i="53"/>
  <c r="I212" i="53"/>
  <c r="F212" i="53"/>
  <c r="O211" i="53"/>
  <c r="L211" i="53"/>
  <c r="I211" i="53"/>
  <c r="F211" i="53"/>
  <c r="O210" i="53"/>
  <c r="L210" i="53"/>
  <c r="I210" i="53"/>
  <c r="F210" i="53"/>
  <c r="O209" i="53"/>
  <c r="L209" i="53"/>
  <c r="I209" i="53"/>
  <c r="F209" i="53"/>
  <c r="C209" i="53" s="1"/>
  <c r="O208" i="53"/>
  <c r="L208" i="53"/>
  <c r="I208" i="53"/>
  <c r="F208" i="53"/>
  <c r="O207" i="53"/>
  <c r="L207" i="53"/>
  <c r="I207" i="53"/>
  <c r="F207" i="53"/>
  <c r="O206" i="53"/>
  <c r="O205" i="53" s="1"/>
  <c r="L206" i="53"/>
  <c r="L205" i="53" s="1"/>
  <c r="I206" i="53"/>
  <c r="F206" i="53"/>
  <c r="C206" i="53" s="1"/>
  <c r="N205" i="53"/>
  <c r="M205" i="53"/>
  <c r="K205" i="53"/>
  <c r="J205" i="53"/>
  <c r="H205" i="53"/>
  <c r="H204" i="53" s="1"/>
  <c r="G205" i="53"/>
  <c r="E205" i="53"/>
  <c r="D205" i="53"/>
  <c r="O203" i="53"/>
  <c r="L203" i="53"/>
  <c r="I203" i="53"/>
  <c r="F203" i="53"/>
  <c r="O202" i="53"/>
  <c r="L202" i="53"/>
  <c r="I202" i="53"/>
  <c r="F202" i="53"/>
  <c r="O201" i="53"/>
  <c r="L201" i="53"/>
  <c r="I201" i="53"/>
  <c r="F201" i="53"/>
  <c r="O200" i="53"/>
  <c r="L200" i="53"/>
  <c r="I200" i="53"/>
  <c r="F200" i="53"/>
  <c r="O199" i="53"/>
  <c r="L199" i="53"/>
  <c r="L198" i="53" s="1"/>
  <c r="I199" i="53"/>
  <c r="F199" i="53"/>
  <c r="O198" i="53"/>
  <c r="N198" i="53"/>
  <c r="N196" i="53" s="1"/>
  <c r="M198" i="53"/>
  <c r="K198" i="53"/>
  <c r="K196" i="53" s="1"/>
  <c r="J198" i="53"/>
  <c r="J196" i="53" s="1"/>
  <c r="H198" i="53"/>
  <c r="H196" i="53" s="1"/>
  <c r="G198" i="53"/>
  <c r="G196" i="53" s="1"/>
  <c r="F198" i="53"/>
  <c r="E198" i="53"/>
  <c r="E196" i="53" s="1"/>
  <c r="D198" i="53"/>
  <c r="D196" i="53" s="1"/>
  <c r="O197" i="53"/>
  <c r="O196" i="53" s="1"/>
  <c r="L197" i="53"/>
  <c r="I197" i="53"/>
  <c r="F197" i="53"/>
  <c r="M196" i="53"/>
  <c r="O193" i="53"/>
  <c r="O192" i="53" s="1"/>
  <c r="O191" i="53" s="1"/>
  <c r="L193" i="53"/>
  <c r="L192" i="53" s="1"/>
  <c r="L191" i="53" s="1"/>
  <c r="I193" i="53"/>
  <c r="C193" i="53" s="1"/>
  <c r="F193" i="53"/>
  <c r="F192" i="53" s="1"/>
  <c r="N192" i="53"/>
  <c r="M192" i="53"/>
  <c r="M191" i="53" s="1"/>
  <c r="K192" i="53"/>
  <c r="K191" i="53" s="1"/>
  <c r="J192" i="53"/>
  <c r="I192" i="53"/>
  <c r="I191" i="53" s="1"/>
  <c r="H192" i="53"/>
  <c r="H191" i="53" s="1"/>
  <c r="G192" i="53"/>
  <c r="G191" i="53" s="1"/>
  <c r="E192" i="53"/>
  <c r="D192" i="53"/>
  <c r="D191" i="53" s="1"/>
  <c r="N191" i="53"/>
  <c r="J191" i="53"/>
  <c r="E191" i="53"/>
  <c r="O190" i="53"/>
  <c r="L190" i="53"/>
  <c r="I190" i="53"/>
  <c r="F190" i="53"/>
  <c r="O189" i="53"/>
  <c r="O188" i="53" s="1"/>
  <c r="L189" i="53"/>
  <c r="I189" i="53"/>
  <c r="F189" i="53"/>
  <c r="N188" i="53"/>
  <c r="N187" i="53" s="1"/>
  <c r="M188" i="53"/>
  <c r="K188" i="53"/>
  <c r="J188" i="53"/>
  <c r="I188" i="53"/>
  <c r="H188" i="53"/>
  <c r="G188" i="53"/>
  <c r="F188" i="53"/>
  <c r="E188" i="53"/>
  <c r="D188" i="53"/>
  <c r="O186" i="53"/>
  <c r="L186" i="53"/>
  <c r="I186" i="53"/>
  <c r="F186" i="53"/>
  <c r="O185" i="53"/>
  <c r="O184" i="53" s="1"/>
  <c r="L185" i="53"/>
  <c r="I185" i="53"/>
  <c r="I184" i="53" s="1"/>
  <c r="F185" i="53"/>
  <c r="N184" i="53"/>
  <c r="M184" i="53"/>
  <c r="K184" i="53"/>
  <c r="J184" i="53"/>
  <c r="H184" i="53"/>
  <c r="G184" i="53"/>
  <c r="E184" i="53"/>
  <c r="D184" i="53"/>
  <c r="O183" i="53"/>
  <c r="L183" i="53"/>
  <c r="I183" i="53"/>
  <c r="F183" i="53"/>
  <c r="O182" i="53"/>
  <c r="L182" i="53"/>
  <c r="I182" i="53"/>
  <c r="F182" i="53"/>
  <c r="O181" i="53"/>
  <c r="O179" i="53" s="1"/>
  <c r="L181" i="53"/>
  <c r="I181" i="53"/>
  <c r="C181" i="53" s="1"/>
  <c r="F181" i="53"/>
  <c r="O180" i="53"/>
  <c r="L180" i="53"/>
  <c r="I180" i="53"/>
  <c r="F180" i="53"/>
  <c r="N179" i="53"/>
  <c r="M179" i="53"/>
  <c r="K179" i="53"/>
  <c r="J179" i="53"/>
  <c r="H179" i="53"/>
  <c r="G179" i="53"/>
  <c r="E179" i="53"/>
  <c r="D179" i="53"/>
  <c r="O178" i="53"/>
  <c r="L178" i="53"/>
  <c r="I178" i="53"/>
  <c r="F178" i="53"/>
  <c r="O177" i="53"/>
  <c r="L177" i="53"/>
  <c r="I177" i="53"/>
  <c r="F177" i="53"/>
  <c r="O176" i="53"/>
  <c r="L176" i="53"/>
  <c r="L175" i="53" s="1"/>
  <c r="I176" i="53"/>
  <c r="F176" i="53"/>
  <c r="O175" i="53"/>
  <c r="N175" i="53"/>
  <c r="N174" i="53" s="1"/>
  <c r="N173" i="53" s="1"/>
  <c r="M175" i="53"/>
  <c r="K175" i="53"/>
  <c r="J175" i="53"/>
  <c r="I175" i="53"/>
  <c r="H175" i="53"/>
  <c r="G175" i="53"/>
  <c r="G174" i="53" s="1"/>
  <c r="G173" i="53" s="1"/>
  <c r="E175" i="53"/>
  <c r="E174" i="53" s="1"/>
  <c r="E173" i="53" s="1"/>
  <c r="D175" i="53"/>
  <c r="J174" i="53"/>
  <c r="J173" i="53" s="1"/>
  <c r="H174" i="53"/>
  <c r="H173" i="53" s="1"/>
  <c r="D174" i="53"/>
  <c r="D173" i="53" s="1"/>
  <c r="O172" i="53"/>
  <c r="L172" i="53"/>
  <c r="I172" i="53"/>
  <c r="F172" i="53"/>
  <c r="O171" i="53"/>
  <c r="L171" i="53"/>
  <c r="I171" i="53"/>
  <c r="F171" i="53"/>
  <c r="O170" i="53"/>
  <c r="L170" i="53"/>
  <c r="I170" i="53"/>
  <c r="F170" i="53"/>
  <c r="O169" i="53"/>
  <c r="L169" i="53"/>
  <c r="I169" i="53"/>
  <c r="F169" i="53"/>
  <c r="O168" i="53"/>
  <c r="L168" i="53"/>
  <c r="I168" i="53"/>
  <c r="F168" i="53"/>
  <c r="O167" i="53"/>
  <c r="L167" i="53"/>
  <c r="L166" i="53" s="1"/>
  <c r="L165" i="53" s="1"/>
  <c r="I167" i="53"/>
  <c r="I166" i="53" s="1"/>
  <c r="I165" i="53" s="1"/>
  <c r="F167" i="53"/>
  <c r="N166" i="53"/>
  <c r="N165" i="53" s="1"/>
  <c r="M166" i="53"/>
  <c r="M165" i="53" s="1"/>
  <c r="K166" i="53"/>
  <c r="K165" i="53" s="1"/>
  <c r="J166" i="53"/>
  <c r="J165" i="53" s="1"/>
  <c r="H166" i="53"/>
  <c r="G166" i="53"/>
  <c r="G165" i="53" s="1"/>
  <c r="E166" i="53"/>
  <c r="E165" i="53" s="1"/>
  <c r="D166" i="53"/>
  <c r="H165" i="53"/>
  <c r="D165" i="53"/>
  <c r="O164" i="53"/>
  <c r="L164" i="53"/>
  <c r="I164" i="53"/>
  <c r="F164" i="53"/>
  <c r="O163" i="53"/>
  <c r="L163" i="53"/>
  <c r="I163" i="53"/>
  <c r="F163" i="53"/>
  <c r="O162" i="53"/>
  <c r="L162" i="53"/>
  <c r="I162" i="53"/>
  <c r="F162" i="53"/>
  <c r="O161" i="53"/>
  <c r="O160" i="53" s="1"/>
  <c r="L161" i="53"/>
  <c r="I161" i="53"/>
  <c r="I160" i="53" s="1"/>
  <c r="F161" i="53"/>
  <c r="N160" i="53"/>
  <c r="M160" i="53"/>
  <c r="K160" i="53"/>
  <c r="J160" i="53"/>
  <c r="H160" i="53"/>
  <c r="G160" i="53"/>
  <c r="F160" i="53"/>
  <c r="E160" i="53"/>
  <c r="D160" i="53"/>
  <c r="O159" i="53"/>
  <c r="L159" i="53"/>
  <c r="I159" i="53"/>
  <c r="F159" i="53"/>
  <c r="O158" i="53"/>
  <c r="L158" i="53"/>
  <c r="I158" i="53"/>
  <c r="F158" i="53"/>
  <c r="O157" i="53"/>
  <c r="L157" i="53"/>
  <c r="I157" i="53"/>
  <c r="F157" i="53"/>
  <c r="O156" i="53"/>
  <c r="L156" i="53"/>
  <c r="I156" i="53"/>
  <c r="F156" i="53"/>
  <c r="O155" i="53"/>
  <c r="L155" i="53"/>
  <c r="I155" i="53"/>
  <c r="F155" i="53"/>
  <c r="O154" i="53"/>
  <c r="L154" i="53"/>
  <c r="C154" i="53" s="1"/>
  <c r="I154" i="53"/>
  <c r="F154" i="53"/>
  <c r="O153" i="53"/>
  <c r="L153" i="53"/>
  <c r="I153" i="53"/>
  <c r="F153" i="53"/>
  <c r="O152" i="53"/>
  <c r="L152" i="53"/>
  <c r="I152" i="53"/>
  <c r="F152" i="53"/>
  <c r="N151" i="53"/>
  <c r="M151" i="53"/>
  <c r="K151" i="53"/>
  <c r="J151" i="53"/>
  <c r="H151" i="53"/>
  <c r="G151" i="53"/>
  <c r="E151" i="53"/>
  <c r="D151" i="53"/>
  <c r="O150" i="53"/>
  <c r="L150" i="53"/>
  <c r="I150" i="53"/>
  <c r="F150" i="53"/>
  <c r="O149" i="53"/>
  <c r="L149" i="53"/>
  <c r="I149" i="53"/>
  <c r="F149" i="53"/>
  <c r="O148" i="53"/>
  <c r="L148" i="53"/>
  <c r="I148" i="53"/>
  <c r="F148" i="53"/>
  <c r="O147" i="53"/>
  <c r="L147" i="53"/>
  <c r="I147" i="53"/>
  <c r="F147" i="53"/>
  <c r="O146" i="53"/>
  <c r="L146" i="53"/>
  <c r="I146" i="53"/>
  <c r="F146" i="53"/>
  <c r="C146" i="53" s="1"/>
  <c r="O145" i="53"/>
  <c r="L145" i="53"/>
  <c r="I145" i="53"/>
  <c r="F145" i="53"/>
  <c r="N144" i="53"/>
  <c r="M144" i="53"/>
  <c r="K144" i="53"/>
  <c r="J144" i="53"/>
  <c r="H144" i="53"/>
  <c r="G144" i="53"/>
  <c r="E144" i="53"/>
  <c r="D144" i="53"/>
  <c r="O143" i="53"/>
  <c r="L143" i="53"/>
  <c r="I143" i="53"/>
  <c r="F143" i="53"/>
  <c r="O142" i="53"/>
  <c r="L142" i="53"/>
  <c r="I142" i="53"/>
  <c r="F142" i="53"/>
  <c r="F141" i="53" s="1"/>
  <c r="O141" i="53"/>
  <c r="N141" i="53"/>
  <c r="M141" i="53"/>
  <c r="K141" i="53"/>
  <c r="J141" i="53"/>
  <c r="H141" i="53"/>
  <c r="G141" i="53"/>
  <c r="E141" i="53"/>
  <c r="D141" i="53"/>
  <c r="O140" i="53"/>
  <c r="L140" i="53"/>
  <c r="I140" i="53"/>
  <c r="F140" i="53"/>
  <c r="O139" i="53"/>
  <c r="L139" i="53"/>
  <c r="I139" i="53"/>
  <c r="F139" i="53"/>
  <c r="O138" i="53"/>
  <c r="L138" i="53"/>
  <c r="I138" i="53"/>
  <c r="F138" i="53"/>
  <c r="C138" i="53" s="1"/>
  <c r="O137" i="53"/>
  <c r="L137" i="53"/>
  <c r="L136" i="53" s="1"/>
  <c r="I137" i="53"/>
  <c r="I136" i="53" s="1"/>
  <c r="F137" i="53"/>
  <c r="N136" i="53"/>
  <c r="M136" i="53"/>
  <c r="K136" i="53"/>
  <c r="J136" i="53"/>
  <c r="H136" i="53"/>
  <c r="G136" i="53"/>
  <c r="E136" i="53"/>
  <c r="D136" i="53"/>
  <c r="O135" i="53"/>
  <c r="L135" i="53"/>
  <c r="I135" i="53"/>
  <c r="C135" i="53" s="1"/>
  <c r="F135" i="53"/>
  <c r="O134" i="53"/>
  <c r="L134" i="53"/>
  <c r="I134" i="53"/>
  <c r="F134" i="53"/>
  <c r="O133" i="53"/>
  <c r="L133" i="53"/>
  <c r="I133" i="53"/>
  <c r="E133" i="53"/>
  <c r="E131" i="53" s="1"/>
  <c r="O132" i="53"/>
  <c r="O131" i="53" s="1"/>
  <c r="L132" i="53"/>
  <c r="I132" i="53"/>
  <c r="F132" i="53"/>
  <c r="N131" i="53"/>
  <c r="M131" i="53"/>
  <c r="L131" i="53"/>
  <c r="K131" i="53"/>
  <c r="J131" i="53"/>
  <c r="H131" i="53"/>
  <c r="H130" i="53" s="1"/>
  <c r="G131" i="53"/>
  <c r="D131" i="53"/>
  <c r="D130" i="53" s="1"/>
  <c r="O129" i="53"/>
  <c r="L129" i="53"/>
  <c r="L128" i="53" s="1"/>
  <c r="I129" i="53"/>
  <c r="I128" i="53" s="1"/>
  <c r="F129" i="53"/>
  <c r="O128" i="53"/>
  <c r="N128" i="53"/>
  <c r="M128" i="53"/>
  <c r="K128" i="53"/>
  <c r="J128" i="53"/>
  <c r="H128" i="53"/>
  <c r="G128" i="53"/>
  <c r="F128" i="53"/>
  <c r="E128" i="53"/>
  <c r="D128" i="53"/>
  <c r="O127" i="53"/>
  <c r="L127" i="53"/>
  <c r="I127" i="53"/>
  <c r="F127" i="53"/>
  <c r="O126" i="53"/>
  <c r="L126" i="53"/>
  <c r="I126" i="53"/>
  <c r="F126" i="53"/>
  <c r="O125" i="53"/>
  <c r="L125" i="53"/>
  <c r="I125" i="53"/>
  <c r="F125" i="53"/>
  <c r="O124" i="53"/>
  <c r="L124" i="53"/>
  <c r="I124" i="53"/>
  <c r="F124" i="53"/>
  <c r="O123" i="53"/>
  <c r="L123" i="53"/>
  <c r="I123" i="53"/>
  <c r="F123" i="53"/>
  <c r="N122" i="53"/>
  <c r="M122" i="53"/>
  <c r="K122" i="53"/>
  <c r="J122" i="53"/>
  <c r="I122" i="53"/>
  <c r="H122" i="53"/>
  <c r="G122" i="53"/>
  <c r="E122" i="53"/>
  <c r="D122" i="53"/>
  <c r="O121" i="53"/>
  <c r="L121" i="53"/>
  <c r="I121" i="53"/>
  <c r="F121" i="53"/>
  <c r="O120" i="53"/>
  <c r="L120" i="53"/>
  <c r="I120" i="53"/>
  <c r="F120" i="53"/>
  <c r="O119" i="53"/>
  <c r="L119" i="53"/>
  <c r="I119" i="53"/>
  <c r="F119" i="53"/>
  <c r="O118" i="53"/>
  <c r="L118" i="53"/>
  <c r="I118" i="53"/>
  <c r="F118" i="53"/>
  <c r="O117" i="53"/>
  <c r="L117" i="53"/>
  <c r="I117" i="53"/>
  <c r="I116" i="53" s="1"/>
  <c r="F117" i="53"/>
  <c r="C117" i="53" s="1"/>
  <c r="N116" i="53"/>
  <c r="M116" i="53"/>
  <c r="K116" i="53"/>
  <c r="J116" i="53"/>
  <c r="H116" i="53"/>
  <c r="G116" i="53"/>
  <c r="E116" i="53"/>
  <c r="D116" i="53"/>
  <c r="O115" i="53"/>
  <c r="L115" i="53"/>
  <c r="I115" i="53"/>
  <c r="F115" i="53"/>
  <c r="C115" i="53" s="1"/>
  <c r="O114" i="53"/>
  <c r="L114" i="53"/>
  <c r="I114" i="53"/>
  <c r="F114" i="53"/>
  <c r="O113" i="53"/>
  <c r="L113" i="53"/>
  <c r="L112" i="53" s="1"/>
  <c r="I113" i="53"/>
  <c r="F113" i="53"/>
  <c r="O112" i="53"/>
  <c r="N112" i="53"/>
  <c r="M112" i="53"/>
  <c r="K112" i="53"/>
  <c r="J112" i="53"/>
  <c r="I112" i="53"/>
  <c r="H112" i="53"/>
  <c r="G112" i="53"/>
  <c r="E112" i="53"/>
  <c r="D112" i="53"/>
  <c r="O111" i="53"/>
  <c r="L111" i="53"/>
  <c r="C111" i="53" s="1"/>
  <c r="I111" i="53"/>
  <c r="F111" i="53"/>
  <c r="O110" i="53"/>
  <c r="L110" i="53"/>
  <c r="I110" i="53"/>
  <c r="F110" i="53"/>
  <c r="O109" i="53"/>
  <c r="L109" i="53"/>
  <c r="I109" i="53"/>
  <c r="F109" i="53"/>
  <c r="O108" i="53"/>
  <c r="L108" i="53"/>
  <c r="I108" i="53"/>
  <c r="F108" i="53"/>
  <c r="O107" i="53"/>
  <c r="L107" i="53"/>
  <c r="I107" i="53"/>
  <c r="E107" i="53"/>
  <c r="F107" i="53" s="1"/>
  <c r="O106" i="53"/>
  <c r="L106" i="53"/>
  <c r="I106" i="53"/>
  <c r="F106" i="53"/>
  <c r="O105" i="53"/>
  <c r="L105" i="53"/>
  <c r="I105" i="53"/>
  <c r="F105" i="53"/>
  <c r="C105" i="53" s="1"/>
  <c r="O104" i="53"/>
  <c r="L104" i="53"/>
  <c r="I104" i="53"/>
  <c r="F104" i="53"/>
  <c r="N103" i="53"/>
  <c r="M103" i="53"/>
  <c r="K103" i="53"/>
  <c r="J103" i="53"/>
  <c r="I103" i="53"/>
  <c r="H103" i="53"/>
  <c r="G103" i="53"/>
  <c r="E103" i="53"/>
  <c r="D103" i="53"/>
  <c r="O102" i="53"/>
  <c r="L102" i="53"/>
  <c r="I102" i="53"/>
  <c r="F102" i="53"/>
  <c r="O101" i="53"/>
  <c r="L101" i="53"/>
  <c r="I101" i="53"/>
  <c r="C101" i="53" s="1"/>
  <c r="F101" i="53"/>
  <c r="O100" i="53"/>
  <c r="L100" i="53"/>
  <c r="I100" i="53"/>
  <c r="F100" i="53"/>
  <c r="O99" i="53"/>
  <c r="L99" i="53"/>
  <c r="I99" i="53"/>
  <c r="C99" i="53" s="1"/>
  <c r="F99" i="53"/>
  <c r="O98" i="53"/>
  <c r="L98" i="53"/>
  <c r="I98" i="53"/>
  <c r="F98" i="53"/>
  <c r="O97" i="53"/>
  <c r="L97" i="53"/>
  <c r="I97" i="53"/>
  <c r="F97" i="53"/>
  <c r="O96" i="53"/>
  <c r="L96" i="53"/>
  <c r="I96" i="53"/>
  <c r="F96" i="53"/>
  <c r="N95" i="53"/>
  <c r="M95" i="53"/>
  <c r="K95" i="53"/>
  <c r="J95" i="53"/>
  <c r="H95" i="53"/>
  <c r="G95" i="53"/>
  <c r="E95" i="53"/>
  <c r="D95" i="53"/>
  <c r="O94" i="53"/>
  <c r="L94" i="53"/>
  <c r="I94" i="53"/>
  <c r="F94" i="53"/>
  <c r="O93" i="53"/>
  <c r="L93" i="53"/>
  <c r="I93" i="53"/>
  <c r="F93" i="53"/>
  <c r="O92" i="53"/>
  <c r="L92" i="53"/>
  <c r="I92" i="53"/>
  <c r="F92" i="53"/>
  <c r="C92" i="53" s="1"/>
  <c r="O91" i="53"/>
  <c r="L91" i="53"/>
  <c r="I91" i="53"/>
  <c r="F91" i="53"/>
  <c r="O90" i="53"/>
  <c r="L90" i="53"/>
  <c r="I90" i="53"/>
  <c r="I89" i="53" s="1"/>
  <c r="F90" i="53"/>
  <c r="N89" i="53"/>
  <c r="M89" i="53"/>
  <c r="K89" i="53"/>
  <c r="J89" i="53"/>
  <c r="H89" i="53"/>
  <c r="G89" i="53"/>
  <c r="E89" i="53"/>
  <c r="D89" i="53"/>
  <c r="O88" i="53"/>
  <c r="L88" i="53"/>
  <c r="I88" i="53"/>
  <c r="F88" i="53"/>
  <c r="O87" i="53"/>
  <c r="L87" i="53"/>
  <c r="I87" i="53"/>
  <c r="F87" i="53"/>
  <c r="C87" i="53" s="1"/>
  <c r="O86" i="53"/>
  <c r="L86" i="53"/>
  <c r="I86" i="53"/>
  <c r="F86" i="53"/>
  <c r="O85" i="53"/>
  <c r="L85" i="53"/>
  <c r="L84" i="53" s="1"/>
  <c r="I85" i="53"/>
  <c r="F85" i="53"/>
  <c r="N84" i="53"/>
  <c r="M84" i="53"/>
  <c r="K84" i="53"/>
  <c r="K83" i="53" s="1"/>
  <c r="J84" i="53"/>
  <c r="H84" i="53"/>
  <c r="G84" i="53"/>
  <c r="E84" i="53"/>
  <c r="E83" i="53" s="1"/>
  <c r="D84" i="53"/>
  <c r="O82" i="53"/>
  <c r="L82" i="53"/>
  <c r="I82" i="53"/>
  <c r="F82" i="53"/>
  <c r="O81" i="53"/>
  <c r="L81" i="53"/>
  <c r="I81" i="53"/>
  <c r="I80" i="53" s="1"/>
  <c r="F81" i="53"/>
  <c r="O80" i="53"/>
  <c r="N80" i="53"/>
  <c r="M80" i="53"/>
  <c r="K80" i="53"/>
  <c r="J80" i="53"/>
  <c r="H80" i="53"/>
  <c r="G80" i="53"/>
  <c r="F80" i="53"/>
  <c r="E80" i="53"/>
  <c r="D80" i="53"/>
  <c r="O79" i="53"/>
  <c r="L79" i="53"/>
  <c r="I79" i="53"/>
  <c r="F79" i="53"/>
  <c r="O78" i="53"/>
  <c r="L78" i="53"/>
  <c r="L77" i="53" s="1"/>
  <c r="I78" i="53"/>
  <c r="I77" i="53" s="1"/>
  <c r="F78" i="53"/>
  <c r="N77" i="53"/>
  <c r="M77" i="53"/>
  <c r="K77" i="53"/>
  <c r="K76" i="53" s="1"/>
  <c r="J77" i="53"/>
  <c r="H77" i="53"/>
  <c r="H76" i="53" s="1"/>
  <c r="G77" i="53"/>
  <c r="E77" i="53"/>
  <c r="E76" i="53" s="1"/>
  <c r="D77" i="53"/>
  <c r="N76" i="53"/>
  <c r="J76" i="53"/>
  <c r="O74" i="53"/>
  <c r="L74" i="53"/>
  <c r="I74" i="53"/>
  <c r="F74" i="53"/>
  <c r="O73" i="53"/>
  <c r="L73" i="53"/>
  <c r="I73" i="53"/>
  <c r="F73" i="53"/>
  <c r="O72" i="53"/>
  <c r="L72" i="53"/>
  <c r="I72" i="53"/>
  <c r="F72" i="53"/>
  <c r="O71" i="53"/>
  <c r="L71" i="53"/>
  <c r="I71" i="53"/>
  <c r="F71" i="53"/>
  <c r="O70" i="53"/>
  <c r="L70" i="53"/>
  <c r="I70" i="53"/>
  <c r="F70" i="53"/>
  <c r="O69" i="53"/>
  <c r="N69" i="53"/>
  <c r="N67" i="53" s="1"/>
  <c r="M69" i="53"/>
  <c r="M67" i="53" s="1"/>
  <c r="K69" i="53"/>
  <c r="J69" i="53"/>
  <c r="J67" i="53" s="1"/>
  <c r="H69" i="53"/>
  <c r="H67" i="53" s="1"/>
  <c r="G69" i="53"/>
  <c r="G67" i="53" s="1"/>
  <c r="E69" i="53"/>
  <c r="D69" i="53"/>
  <c r="O68" i="53"/>
  <c r="O67" i="53" s="1"/>
  <c r="L68" i="53"/>
  <c r="I68" i="53"/>
  <c r="F68" i="53"/>
  <c r="K67" i="53"/>
  <c r="E67" i="53"/>
  <c r="D67" i="53"/>
  <c r="O66" i="53"/>
  <c r="L66" i="53"/>
  <c r="I66" i="53"/>
  <c r="F66" i="53"/>
  <c r="O65" i="53"/>
  <c r="L65" i="53"/>
  <c r="I65" i="53"/>
  <c r="F65" i="53"/>
  <c r="O64" i="53"/>
  <c r="L64" i="53"/>
  <c r="I64" i="53"/>
  <c r="F64" i="53"/>
  <c r="O63" i="53"/>
  <c r="L63" i="53"/>
  <c r="I63" i="53"/>
  <c r="F63" i="53"/>
  <c r="O62" i="53"/>
  <c r="L62" i="53"/>
  <c r="I62" i="53"/>
  <c r="F62" i="53"/>
  <c r="O61" i="53"/>
  <c r="L61" i="53"/>
  <c r="I61" i="53"/>
  <c r="F61" i="53"/>
  <c r="O60" i="53"/>
  <c r="L60" i="53"/>
  <c r="I60" i="53"/>
  <c r="F60" i="53"/>
  <c r="O59" i="53"/>
  <c r="O58" i="53" s="1"/>
  <c r="L59" i="53"/>
  <c r="I59" i="53"/>
  <c r="F59" i="53"/>
  <c r="N58" i="53"/>
  <c r="M58" i="53"/>
  <c r="K58" i="53"/>
  <c r="J58" i="53"/>
  <c r="H58" i="53"/>
  <c r="G58" i="53"/>
  <c r="E58" i="53"/>
  <c r="D58" i="53"/>
  <c r="O57" i="53"/>
  <c r="L57" i="53"/>
  <c r="I57" i="53"/>
  <c r="F57" i="53"/>
  <c r="O56" i="53"/>
  <c r="L56" i="53"/>
  <c r="I56" i="53"/>
  <c r="F56" i="53"/>
  <c r="N55" i="53"/>
  <c r="N54" i="53" s="1"/>
  <c r="N53" i="53" s="1"/>
  <c r="M55" i="53"/>
  <c r="K55" i="53"/>
  <c r="K54" i="53" s="1"/>
  <c r="J55" i="53"/>
  <c r="I55" i="53"/>
  <c r="H55" i="53"/>
  <c r="H54" i="53" s="1"/>
  <c r="G55" i="53"/>
  <c r="E55" i="53"/>
  <c r="E54" i="53" s="1"/>
  <c r="E53" i="53" s="1"/>
  <c r="D55" i="53"/>
  <c r="D54" i="53" s="1"/>
  <c r="D53" i="53" s="1"/>
  <c r="J54" i="53"/>
  <c r="O47" i="53"/>
  <c r="C47" i="53" s="1"/>
  <c r="O46" i="53"/>
  <c r="N45" i="53"/>
  <c r="M45" i="53"/>
  <c r="L44" i="53"/>
  <c r="L43" i="53" s="1"/>
  <c r="I44" i="53"/>
  <c r="I43" i="53" s="1"/>
  <c r="F44" i="53"/>
  <c r="F43" i="53" s="1"/>
  <c r="C43" i="53" s="1"/>
  <c r="K43" i="53"/>
  <c r="J43" i="53"/>
  <c r="H43" i="53"/>
  <c r="G43" i="53"/>
  <c r="E43" i="53"/>
  <c r="D43" i="53"/>
  <c r="F42" i="53"/>
  <c r="E41" i="53"/>
  <c r="D41" i="53"/>
  <c r="L40" i="53"/>
  <c r="C40" i="53" s="1"/>
  <c r="L39" i="53"/>
  <c r="C39" i="53" s="1"/>
  <c r="L38" i="53"/>
  <c r="C38" i="53" s="1"/>
  <c r="L37" i="53"/>
  <c r="C37" i="53" s="1"/>
  <c r="K36" i="53"/>
  <c r="J36" i="53"/>
  <c r="L35" i="53"/>
  <c r="C35" i="53" s="1"/>
  <c r="L34" i="53"/>
  <c r="C34" i="53" s="1"/>
  <c r="K33" i="53"/>
  <c r="J33" i="53"/>
  <c r="L32" i="53"/>
  <c r="K31" i="53"/>
  <c r="J31" i="53"/>
  <c r="L30" i="53"/>
  <c r="C30" i="53" s="1"/>
  <c r="L29" i="53"/>
  <c r="C29" i="53" s="1"/>
  <c r="L28" i="53"/>
  <c r="L27" i="53" s="1"/>
  <c r="C27" i="53" s="1"/>
  <c r="C28" i="53"/>
  <c r="K27" i="53"/>
  <c r="J27" i="53"/>
  <c r="F25" i="53"/>
  <c r="C25" i="53" s="1"/>
  <c r="I24" i="53"/>
  <c r="O23" i="53"/>
  <c r="L23" i="53"/>
  <c r="I23" i="53"/>
  <c r="F23" i="53"/>
  <c r="O22" i="53"/>
  <c r="O21" i="53" s="1"/>
  <c r="L22" i="53"/>
  <c r="I22" i="53"/>
  <c r="I21" i="53" s="1"/>
  <c r="I20" i="53" s="1"/>
  <c r="F22" i="53"/>
  <c r="F21" i="53" s="1"/>
  <c r="N21" i="53"/>
  <c r="N292" i="53" s="1"/>
  <c r="N291" i="53" s="1"/>
  <c r="M21" i="53"/>
  <c r="M292" i="53" s="1"/>
  <c r="M291" i="53" s="1"/>
  <c r="K21" i="53"/>
  <c r="K292" i="53" s="1"/>
  <c r="K291" i="53" s="1"/>
  <c r="J21" i="53"/>
  <c r="J292" i="53" s="1"/>
  <c r="J291" i="53" s="1"/>
  <c r="H21" i="53"/>
  <c r="G21" i="53"/>
  <c r="G292" i="53" s="1"/>
  <c r="G291" i="53" s="1"/>
  <c r="E21" i="53"/>
  <c r="E292" i="53" s="1"/>
  <c r="E291" i="53" s="1"/>
  <c r="D21" i="53"/>
  <c r="M20" i="53"/>
  <c r="C59" i="53" l="1"/>
  <c r="C64" i="53"/>
  <c r="C71" i="53"/>
  <c r="I76" i="53"/>
  <c r="C93" i="53"/>
  <c r="C96" i="53"/>
  <c r="C110" i="53"/>
  <c r="C139" i="53"/>
  <c r="C143" i="53"/>
  <c r="C153" i="53"/>
  <c r="C161" i="53"/>
  <c r="C162" i="53"/>
  <c r="C178" i="53"/>
  <c r="C180" i="53"/>
  <c r="J187" i="53"/>
  <c r="C210" i="53"/>
  <c r="C222" i="53"/>
  <c r="C223" i="53"/>
  <c r="C224" i="53"/>
  <c r="C226" i="53"/>
  <c r="C243" i="53"/>
  <c r="C266" i="53"/>
  <c r="C274" i="53"/>
  <c r="C275" i="53"/>
  <c r="C57" i="53"/>
  <c r="C73" i="53"/>
  <c r="G76" i="53"/>
  <c r="M76" i="53"/>
  <c r="C86" i="53"/>
  <c r="O95" i="53"/>
  <c r="C132" i="53"/>
  <c r="L144" i="53"/>
  <c r="C158" i="53"/>
  <c r="I179" i="53"/>
  <c r="L216" i="53"/>
  <c r="O260" i="53"/>
  <c r="C271" i="53"/>
  <c r="N20" i="53"/>
  <c r="K53" i="53"/>
  <c r="M187" i="53"/>
  <c r="C201" i="53"/>
  <c r="C214" i="53"/>
  <c r="C255" i="53"/>
  <c r="C257" i="53"/>
  <c r="C295" i="53"/>
  <c r="E20" i="53"/>
  <c r="O103" i="53"/>
  <c r="C124" i="53"/>
  <c r="C126" i="53"/>
  <c r="C145" i="53"/>
  <c r="C171" i="53"/>
  <c r="O187" i="53"/>
  <c r="C197" i="53"/>
  <c r="C218" i="53"/>
  <c r="L204" i="53"/>
  <c r="G54" i="53"/>
  <c r="G53" i="53" s="1"/>
  <c r="C65" i="53"/>
  <c r="C70" i="53"/>
  <c r="O77" i="53"/>
  <c r="O76" i="53" s="1"/>
  <c r="H83" i="53"/>
  <c r="H75" i="53" s="1"/>
  <c r="C98" i="53"/>
  <c r="L103" i="53"/>
  <c r="C108" i="53"/>
  <c r="C119" i="53"/>
  <c r="C125" i="53"/>
  <c r="C149" i="53"/>
  <c r="K130" i="53"/>
  <c r="I151" i="53"/>
  <c r="C157" i="53"/>
  <c r="C164" i="53"/>
  <c r="C169" i="53"/>
  <c r="C177" i="53"/>
  <c r="K174" i="53"/>
  <c r="K173" i="53" s="1"/>
  <c r="E187" i="53"/>
  <c r="C211" i="53"/>
  <c r="C215" i="53"/>
  <c r="M204" i="53"/>
  <c r="M195" i="53" s="1"/>
  <c r="C219" i="53"/>
  <c r="L233" i="53"/>
  <c r="C242" i="53"/>
  <c r="C247" i="53"/>
  <c r="L260" i="53"/>
  <c r="C265" i="53"/>
  <c r="O264" i="53"/>
  <c r="C278" i="53"/>
  <c r="C300" i="53"/>
  <c r="C301" i="53"/>
  <c r="K26" i="53"/>
  <c r="L33" i="53"/>
  <c r="C33" i="53" s="1"/>
  <c r="M54" i="53"/>
  <c r="L55" i="53"/>
  <c r="F58" i="53"/>
  <c r="C63" i="53"/>
  <c r="I69" i="53"/>
  <c r="I67" i="53" s="1"/>
  <c r="C74" i="53"/>
  <c r="C78" i="53"/>
  <c r="D76" i="53"/>
  <c r="C81" i="53"/>
  <c r="D83" i="53"/>
  <c r="O84" i="53"/>
  <c r="C88" i="53"/>
  <c r="M83" i="53"/>
  <c r="C97" i="53"/>
  <c r="O116" i="53"/>
  <c r="L122" i="53"/>
  <c r="G130" i="53"/>
  <c r="M130" i="53"/>
  <c r="E130" i="53"/>
  <c r="C147" i="53"/>
  <c r="C155" i="53"/>
  <c r="C163" i="53"/>
  <c r="C183" i="53"/>
  <c r="C186" i="53"/>
  <c r="G187" i="53"/>
  <c r="E204" i="53"/>
  <c r="E195" i="53" s="1"/>
  <c r="J231" i="53"/>
  <c r="I238" i="53"/>
  <c r="O259" i="53"/>
  <c r="L293" i="53"/>
  <c r="G20" i="53"/>
  <c r="C182" i="53"/>
  <c r="C185" i="53"/>
  <c r="C190" i="53"/>
  <c r="L196" i="53"/>
  <c r="L195" i="53" s="1"/>
  <c r="C225" i="53"/>
  <c r="N204" i="53"/>
  <c r="N195" i="53" s="1"/>
  <c r="K231" i="53"/>
  <c r="K230" i="53" s="1"/>
  <c r="C250" i="53"/>
  <c r="C256" i="53"/>
  <c r="O272" i="53"/>
  <c r="I286" i="53"/>
  <c r="C299" i="53"/>
  <c r="C23" i="53"/>
  <c r="H53" i="53"/>
  <c r="O55" i="53"/>
  <c r="O54" i="53" s="1"/>
  <c r="O53" i="53" s="1"/>
  <c r="J53" i="53"/>
  <c r="C72" i="53"/>
  <c r="G83" i="53"/>
  <c r="I84" i="53"/>
  <c r="C91" i="53"/>
  <c r="O89" i="53"/>
  <c r="C100" i="53"/>
  <c r="C106" i="53"/>
  <c r="C107" i="53"/>
  <c r="C109" i="53"/>
  <c r="C114" i="53"/>
  <c r="C120" i="53"/>
  <c r="F122" i="53"/>
  <c r="O122" i="53"/>
  <c r="C127" i="53"/>
  <c r="C134" i="53"/>
  <c r="C137" i="53"/>
  <c r="C142" i="53"/>
  <c r="C150" i="53"/>
  <c r="C152" i="53"/>
  <c r="O151" i="53"/>
  <c r="C159" i="53"/>
  <c r="O166" i="53"/>
  <c r="O165" i="53" s="1"/>
  <c r="O174" i="53"/>
  <c r="O173" i="53" s="1"/>
  <c r="L184" i="53"/>
  <c r="K187" i="53"/>
  <c r="I187" i="53"/>
  <c r="C200" i="53"/>
  <c r="C213" i="53"/>
  <c r="C221" i="53"/>
  <c r="J204" i="53"/>
  <c r="J195" i="53" s="1"/>
  <c r="G231" i="53"/>
  <c r="G230" i="53" s="1"/>
  <c r="I246" i="53"/>
  <c r="L252" i="53"/>
  <c r="L251" i="53" s="1"/>
  <c r="L264" i="53"/>
  <c r="I270" i="53"/>
  <c r="I269" i="53" s="1"/>
  <c r="L276" i="53"/>
  <c r="L270" i="53" s="1"/>
  <c r="L269" i="53" s="1"/>
  <c r="C281" i="53"/>
  <c r="C297" i="53"/>
  <c r="C32" i="53"/>
  <c r="L31" i="53"/>
  <c r="C31" i="53" s="1"/>
  <c r="C42" i="53"/>
  <c r="F41" i="53"/>
  <c r="C41" i="53" s="1"/>
  <c r="C68" i="53"/>
  <c r="C22" i="53"/>
  <c r="O83" i="53"/>
  <c r="H292" i="53"/>
  <c r="H291" i="53" s="1"/>
  <c r="H20" i="53"/>
  <c r="L21" i="53"/>
  <c r="F292" i="53"/>
  <c r="F291" i="53" s="1"/>
  <c r="J26" i="53"/>
  <c r="M53" i="53"/>
  <c r="K75" i="53"/>
  <c r="K52" i="53" s="1"/>
  <c r="C192" i="53"/>
  <c r="F191" i="53"/>
  <c r="C191" i="53" s="1"/>
  <c r="F55" i="53"/>
  <c r="C56" i="53"/>
  <c r="C60" i="53"/>
  <c r="L58" i="53"/>
  <c r="L54" i="53" s="1"/>
  <c r="O292" i="53"/>
  <c r="O291" i="53" s="1"/>
  <c r="O20" i="53"/>
  <c r="C46" i="53"/>
  <c r="O45" i="53"/>
  <c r="D292" i="53"/>
  <c r="D291" i="53" s="1"/>
  <c r="K20" i="53"/>
  <c r="L36" i="53"/>
  <c r="C36" i="53" s="1"/>
  <c r="C61" i="53"/>
  <c r="I58" i="53"/>
  <c r="C58" i="53" s="1"/>
  <c r="F69" i="53"/>
  <c r="G75" i="53"/>
  <c r="G52" i="53" s="1"/>
  <c r="E75" i="53"/>
  <c r="E52" i="53" s="1"/>
  <c r="C122" i="53"/>
  <c r="C128" i="53"/>
  <c r="C118" i="53"/>
  <c r="I227" i="53"/>
  <c r="C227" i="53" s="1"/>
  <c r="C228" i="53"/>
  <c r="F67" i="53"/>
  <c r="L80" i="53"/>
  <c r="L76" i="53" s="1"/>
  <c r="L89" i="53"/>
  <c r="F166" i="53"/>
  <c r="C202" i="53"/>
  <c r="G204" i="53"/>
  <c r="G195" i="53" s="1"/>
  <c r="H231" i="53"/>
  <c r="H230" i="53" s="1"/>
  <c r="C264" i="53"/>
  <c r="C79" i="53"/>
  <c r="C85" i="53"/>
  <c r="F103" i="53"/>
  <c r="C103" i="53" s="1"/>
  <c r="C170" i="53"/>
  <c r="I174" i="53"/>
  <c r="I173" i="53" s="1"/>
  <c r="N230" i="53"/>
  <c r="C273" i="53"/>
  <c r="F272" i="53"/>
  <c r="I292" i="53"/>
  <c r="I291" i="53" s="1"/>
  <c r="F112" i="53"/>
  <c r="C112" i="53" s="1"/>
  <c r="I144" i="53"/>
  <c r="F175" i="53"/>
  <c r="F184" i="53"/>
  <c r="C184" i="53" s="1"/>
  <c r="C189" i="53"/>
  <c r="H195" i="53"/>
  <c r="F196" i="53"/>
  <c r="I198" i="53"/>
  <c r="I196" i="53" s="1"/>
  <c r="C199" i="53"/>
  <c r="C208" i="53"/>
  <c r="F205" i="53"/>
  <c r="C233" i="53"/>
  <c r="C254" i="53"/>
  <c r="F252" i="53"/>
  <c r="C260" i="53"/>
  <c r="C287" i="53"/>
  <c r="L286" i="53"/>
  <c r="C294" i="53"/>
  <c r="C44" i="53"/>
  <c r="C66" i="53"/>
  <c r="C82" i="53"/>
  <c r="J83" i="53"/>
  <c r="N83" i="53"/>
  <c r="F89" i="53"/>
  <c r="C89" i="53" s="1"/>
  <c r="C94" i="53"/>
  <c r="L95" i="53"/>
  <c r="C113" i="53"/>
  <c r="L116" i="53"/>
  <c r="J130" i="53"/>
  <c r="N130" i="53"/>
  <c r="N75" i="53" s="1"/>
  <c r="N52" i="53" s="1"/>
  <c r="I131" i="53"/>
  <c r="F133" i="53"/>
  <c r="F136" i="53"/>
  <c r="C140" i="53"/>
  <c r="L141" i="53"/>
  <c r="F144" i="53"/>
  <c r="C148" i="53"/>
  <c r="L151" i="53"/>
  <c r="L160" i="53"/>
  <c r="C160" i="53" s="1"/>
  <c r="C167" i="53"/>
  <c r="C172" i="53"/>
  <c r="C176" i="53"/>
  <c r="L179" i="53"/>
  <c r="L174" i="53" s="1"/>
  <c r="L173" i="53" s="1"/>
  <c r="F187" i="53"/>
  <c r="C187" i="53" s="1"/>
  <c r="D187" i="53"/>
  <c r="H187" i="53"/>
  <c r="H52" i="53" s="1"/>
  <c r="L188" i="53"/>
  <c r="L187" i="53" s="1"/>
  <c r="C207" i="53"/>
  <c r="I205" i="53"/>
  <c r="I204" i="53" s="1"/>
  <c r="F216" i="53"/>
  <c r="C217" i="53"/>
  <c r="O238" i="53"/>
  <c r="O231" i="53" s="1"/>
  <c r="C263" i="53"/>
  <c r="C267" i="53"/>
  <c r="M270" i="53"/>
  <c r="M269" i="53" s="1"/>
  <c r="C293" i="53"/>
  <c r="C62" i="53"/>
  <c r="L69" i="53"/>
  <c r="L67" i="53" s="1"/>
  <c r="F77" i="53"/>
  <c r="F84" i="53"/>
  <c r="C90" i="53"/>
  <c r="I95" i="53"/>
  <c r="I83" i="53" s="1"/>
  <c r="F95" i="53"/>
  <c r="C102" i="53"/>
  <c r="C104" i="53"/>
  <c r="F116" i="53"/>
  <c r="C121" i="53"/>
  <c r="C123" i="53"/>
  <c r="C129" i="53"/>
  <c r="O136" i="53"/>
  <c r="I141" i="53"/>
  <c r="C141" i="53" s="1"/>
  <c r="O144" i="53"/>
  <c r="F151" i="53"/>
  <c r="C156" i="53"/>
  <c r="C168" i="53"/>
  <c r="M174" i="53"/>
  <c r="M173" i="53" s="1"/>
  <c r="F179" i="53"/>
  <c r="C203" i="53"/>
  <c r="D204" i="53"/>
  <c r="D195" i="53" s="1"/>
  <c r="C220" i="53"/>
  <c r="C229" i="53"/>
  <c r="I231" i="53"/>
  <c r="I230" i="53" s="1"/>
  <c r="E230" i="53"/>
  <c r="J230" i="53"/>
  <c r="C240" i="53"/>
  <c r="C241" i="53"/>
  <c r="F238" i="53"/>
  <c r="L246" i="53"/>
  <c r="L231" i="53" s="1"/>
  <c r="C277" i="53"/>
  <c r="O276" i="53"/>
  <c r="O270" i="53" s="1"/>
  <c r="O269" i="53" s="1"/>
  <c r="C282" i="53"/>
  <c r="C284" i="53"/>
  <c r="F283" i="53"/>
  <c r="C283" i="53" s="1"/>
  <c r="C288" i="53"/>
  <c r="C296" i="53"/>
  <c r="K204" i="53"/>
  <c r="K195" i="53" s="1"/>
  <c r="C212" i="53"/>
  <c r="O216" i="53"/>
  <c r="O204" i="53" s="1"/>
  <c r="O195" i="53" s="1"/>
  <c r="C232" i="53"/>
  <c r="D231" i="53"/>
  <c r="D230" i="53" s="1"/>
  <c r="M230" i="53"/>
  <c r="M194" i="53" s="1"/>
  <c r="C244" i="53"/>
  <c r="C245" i="53"/>
  <c r="C248" i="53"/>
  <c r="C249" i="53"/>
  <c r="F246" i="53"/>
  <c r="C253" i="53"/>
  <c r="O252" i="53"/>
  <c r="O251" i="53" s="1"/>
  <c r="C268" i="53"/>
  <c r="J270" i="53"/>
  <c r="J269" i="53" s="1"/>
  <c r="C285" i="53"/>
  <c r="H289" i="53" l="1"/>
  <c r="J194" i="53"/>
  <c r="M75" i="53"/>
  <c r="C95" i="53"/>
  <c r="L26" i="53"/>
  <c r="D75" i="53"/>
  <c r="D52" i="53" s="1"/>
  <c r="D51" i="53" s="1"/>
  <c r="G194" i="53"/>
  <c r="G51" i="53" s="1"/>
  <c r="G289" i="53"/>
  <c r="O230" i="53"/>
  <c r="E289" i="53"/>
  <c r="C179" i="53"/>
  <c r="C136" i="53"/>
  <c r="J75" i="53"/>
  <c r="H194" i="53"/>
  <c r="H51" i="53" s="1"/>
  <c r="C67" i="53"/>
  <c r="C188" i="53"/>
  <c r="L53" i="53"/>
  <c r="M52" i="53"/>
  <c r="M51" i="53" s="1"/>
  <c r="L259" i="53"/>
  <c r="C259" i="53" s="1"/>
  <c r="C144" i="53"/>
  <c r="N289" i="53"/>
  <c r="D194" i="53"/>
  <c r="L130" i="53"/>
  <c r="L75" i="53" s="1"/>
  <c r="L52" i="53" s="1"/>
  <c r="L83" i="53"/>
  <c r="C238" i="53"/>
  <c r="O130" i="53"/>
  <c r="O75" i="53" s="1"/>
  <c r="O52" i="53" s="1"/>
  <c r="C116" i="53"/>
  <c r="J52" i="53"/>
  <c r="J51" i="53" s="1"/>
  <c r="J50" i="53" s="1"/>
  <c r="J289" i="53"/>
  <c r="D289" i="53"/>
  <c r="K194" i="53"/>
  <c r="K51" i="53" s="1"/>
  <c r="K289" i="53"/>
  <c r="O194" i="53"/>
  <c r="F204" i="53"/>
  <c r="C204" i="53" s="1"/>
  <c r="C205" i="53"/>
  <c r="C175" i="53"/>
  <c r="F174" i="53"/>
  <c r="E194" i="53"/>
  <c r="E51" i="53" s="1"/>
  <c r="N194" i="53"/>
  <c r="N51" i="53" s="1"/>
  <c r="C252" i="53"/>
  <c r="F251" i="53"/>
  <c r="C251" i="53" s="1"/>
  <c r="C80" i="53"/>
  <c r="L292" i="53"/>
  <c r="L291" i="53" s="1"/>
  <c r="C291" i="53" s="1"/>
  <c r="L20" i="53"/>
  <c r="C246" i="53"/>
  <c r="C151" i="53"/>
  <c r="C216" i="53"/>
  <c r="I130" i="53"/>
  <c r="I75" i="53" s="1"/>
  <c r="F270" i="53"/>
  <c r="C272" i="53"/>
  <c r="F231" i="53"/>
  <c r="F165" i="53"/>
  <c r="C165" i="53" s="1"/>
  <c r="C166" i="53"/>
  <c r="C286" i="53"/>
  <c r="I54" i="53"/>
  <c r="I53" i="53" s="1"/>
  <c r="C45" i="53"/>
  <c r="F76" i="53"/>
  <c r="C77" i="53"/>
  <c r="C196" i="53"/>
  <c r="C26" i="53"/>
  <c r="M289" i="53"/>
  <c r="C133" i="53"/>
  <c r="F131" i="53"/>
  <c r="C276" i="53"/>
  <c r="J290" i="53"/>
  <c r="J20" i="53"/>
  <c r="F83" i="53"/>
  <c r="C83" i="53" s="1"/>
  <c r="C84" i="53"/>
  <c r="I195" i="53"/>
  <c r="I194" i="53" s="1"/>
  <c r="C198" i="53"/>
  <c r="C69" i="53"/>
  <c r="C55" i="53"/>
  <c r="F54" i="53"/>
  <c r="C21" i="53"/>
  <c r="O289" i="53" l="1"/>
  <c r="C292" i="53"/>
  <c r="H290" i="53"/>
  <c r="H50" i="53"/>
  <c r="G50" i="53"/>
  <c r="G290" i="53"/>
  <c r="O51" i="53"/>
  <c r="O50" i="53" s="1"/>
  <c r="L230" i="53"/>
  <c r="L194" i="53" s="1"/>
  <c r="L51" i="53" s="1"/>
  <c r="E290" i="53"/>
  <c r="E50" i="53"/>
  <c r="N50" i="53"/>
  <c r="N290" i="53"/>
  <c r="F130" i="53"/>
  <c r="C130" i="53" s="1"/>
  <c r="C131" i="53"/>
  <c r="I52" i="53"/>
  <c r="I51" i="53" s="1"/>
  <c r="K50" i="53"/>
  <c r="K290" i="53"/>
  <c r="C76" i="53"/>
  <c r="C54" i="53"/>
  <c r="F53" i="53"/>
  <c r="F195" i="53"/>
  <c r="F269" i="53"/>
  <c r="C270" i="53"/>
  <c r="F173" i="53"/>
  <c r="C173" i="53" s="1"/>
  <c r="C174" i="53"/>
  <c r="F230" i="53"/>
  <c r="C230" i="53" s="1"/>
  <c r="C231" i="53"/>
  <c r="M50" i="53"/>
  <c r="M290" i="53"/>
  <c r="D50" i="53"/>
  <c r="D24" i="53"/>
  <c r="D290" i="53" s="1"/>
  <c r="I289" i="53"/>
  <c r="L50" i="53" l="1"/>
  <c r="L290" i="53"/>
  <c r="F75" i="53"/>
  <c r="C75" i="53" s="1"/>
  <c r="O290" i="53"/>
  <c r="L289" i="53"/>
  <c r="C195" i="53"/>
  <c r="F194" i="53"/>
  <c r="C194" i="53" s="1"/>
  <c r="C53" i="53"/>
  <c r="F24" i="53"/>
  <c r="D20" i="53"/>
  <c r="C269" i="53"/>
  <c r="I290" i="53"/>
  <c r="I50" i="53"/>
  <c r="F289" i="53" l="1"/>
  <c r="C289" i="53" s="1"/>
  <c r="F52" i="53"/>
  <c r="C52" i="53" s="1"/>
  <c r="F51" i="53"/>
  <c r="C24" i="53"/>
  <c r="F20" i="53"/>
  <c r="C20" i="53" s="1"/>
  <c r="F290" i="53" l="1"/>
  <c r="C290" i="53" s="1"/>
  <c r="F50" i="53"/>
  <c r="C50" i="53" s="1"/>
  <c r="C51" i="53"/>
  <c r="O301" i="52" l="1"/>
  <c r="L301" i="52"/>
  <c r="I301" i="52"/>
  <c r="F301" i="52"/>
  <c r="O300" i="52"/>
  <c r="L300" i="52"/>
  <c r="I300" i="52"/>
  <c r="F300" i="52"/>
  <c r="C300" i="52" s="1"/>
  <c r="O299" i="52"/>
  <c r="L299" i="52"/>
  <c r="I299" i="52"/>
  <c r="F299" i="52"/>
  <c r="O298" i="52"/>
  <c r="L298" i="52"/>
  <c r="I298" i="52"/>
  <c r="F298" i="52"/>
  <c r="C298" i="52" s="1"/>
  <c r="O297" i="52"/>
  <c r="L297" i="52"/>
  <c r="I297" i="52"/>
  <c r="F297" i="52"/>
  <c r="O296" i="52"/>
  <c r="L296" i="52"/>
  <c r="I296" i="52"/>
  <c r="F296" i="52"/>
  <c r="O295" i="52"/>
  <c r="L295" i="52"/>
  <c r="I295" i="52"/>
  <c r="F295" i="52"/>
  <c r="O294" i="52"/>
  <c r="O293" i="52" s="1"/>
  <c r="L294" i="52"/>
  <c r="I294" i="52"/>
  <c r="F294" i="52"/>
  <c r="N293" i="52"/>
  <c r="M293" i="52"/>
  <c r="K293" i="52"/>
  <c r="J293" i="52"/>
  <c r="H293" i="52"/>
  <c r="G293" i="52"/>
  <c r="E293" i="52"/>
  <c r="D293" i="52"/>
  <c r="O288" i="52"/>
  <c r="L288" i="52"/>
  <c r="I288" i="52"/>
  <c r="F288" i="52"/>
  <c r="O287" i="52"/>
  <c r="L287" i="52"/>
  <c r="I287" i="52"/>
  <c r="F287" i="52"/>
  <c r="O286" i="52"/>
  <c r="N286" i="52"/>
  <c r="M286" i="52"/>
  <c r="K286" i="52"/>
  <c r="J286" i="52"/>
  <c r="H286" i="52"/>
  <c r="G286" i="52"/>
  <c r="F286" i="52"/>
  <c r="E286" i="52"/>
  <c r="D286" i="52"/>
  <c r="O285" i="52"/>
  <c r="L285" i="52"/>
  <c r="L284" i="52" s="1"/>
  <c r="L283" i="52" s="1"/>
  <c r="I285" i="52"/>
  <c r="F285" i="52"/>
  <c r="F284" i="52" s="1"/>
  <c r="O284" i="52"/>
  <c r="O283" i="52" s="1"/>
  <c r="N284" i="52"/>
  <c r="N283" i="52" s="1"/>
  <c r="M284" i="52"/>
  <c r="M283" i="52" s="1"/>
  <c r="K284" i="52"/>
  <c r="J284" i="52"/>
  <c r="J283" i="52" s="1"/>
  <c r="I284" i="52"/>
  <c r="I283" i="52" s="1"/>
  <c r="H284" i="52"/>
  <c r="H283" i="52" s="1"/>
  <c r="G284" i="52"/>
  <c r="G283" i="52" s="1"/>
  <c r="E284" i="52"/>
  <c r="E283" i="52" s="1"/>
  <c r="D284" i="52"/>
  <c r="K283" i="52"/>
  <c r="D283" i="52"/>
  <c r="O282" i="52"/>
  <c r="O281" i="52" s="1"/>
  <c r="L282" i="52"/>
  <c r="I282" i="52"/>
  <c r="F282" i="52"/>
  <c r="N281" i="52"/>
  <c r="M281" i="52"/>
  <c r="L281" i="52"/>
  <c r="K281" i="52"/>
  <c r="J281" i="52"/>
  <c r="I281" i="52"/>
  <c r="H281" i="52"/>
  <c r="G281" i="52"/>
  <c r="E281" i="52"/>
  <c r="D281" i="52"/>
  <c r="O280" i="52"/>
  <c r="L280" i="52"/>
  <c r="I280" i="52"/>
  <c r="F280" i="52"/>
  <c r="O279" i="52"/>
  <c r="L279" i="52"/>
  <c r="I279" i="52"/>
  <c r="F279" i="52"/>
  <c r="O278" i="52"/>
  <c r="L278" i="52"/>
  <c r="I278" i="52"/>
  <c r="F278" i="52"/>
  <c r="O277" i="52"/>
  <c r="L277" i="52"/>
  <c r="I277" i="52"/>
  <c r="I276" i="52" s="1"/>
  <c r="F277" i="52"/>
  <c r="N276" i="52"/>
  <c r="M276" i="52"/>
  <c r="K276" i="52"/>
  <c r="J276" i="52"/>
  <c r="H276" i="52"/>
  <c r="G276" i="52"/>
  <c r="F276" i="52"/>
  <c r="E276" i="52"/>
  <c r="D276" i="52"/>
  <c r="O275" i="52"/>
  <c r="L275" i="52"/>
  <c r="I275" i="52"/>
  <c r="F275" i="52"/>
  <c r="O274" i="52"/>
  <c r="L274" i="52"/>
  <c r="I274" i="52"/>
  <c r="F274" i="52"/>
  <c r="O273" i="52"/>
  <c r="L273" i="52"/>
  <c r="L272" i="52" s="1"/>
  <c r="I273" i="52"/>
  <c r="I272" i="52" s="1"/>
  <c r="F273" i="52"/>
  <c r="N272" i="52"/>
  <c r="M272" i="52"/>
  <c r="K272" i="52"/>
  <c r="J272" i="52"/>
  <c r="H272" i="52"/>
  <c r="G272" i="52"/>
  <c r="G270" i="52" s="1"/>
  <c r="G269" i="52" s="1"/>
  <c r="E272" i="52"/>
  <c r="E270" i="52" s="1"/>
  <c r="E269" i="52" s="1"/>
  <c r="D272" i="52"/>
  <c r="O271" i="52"/>
  <c r="L271" i="52"/>
  <c r="I271" i="52"/>
  <c r="F271" i="52"/>
  <c r="C271" i="52" s="1"/>
  <c r="K270" i="52"/>
  <c r="K269" i="52" s="1"/>
  <c r="O268" i="52"/>
  <c r="L268" i="52"/>
  <c r="I268" i="52"/>
  <c r="F268" i="52"/>
  <c r="O267" i="52"/>
  <c r="L267" i="52"/>
  <c r="I267" i="52"/>
  <c r="F267" i="52"/>
  <c r="O266" i="52"/>
  <c r="L266" i="52"/>
  <c r="I266" i="52"/>
  <c r="C266" i="52" s="1"/>
  <c r="F266" i="52"/>
  <c r="O265" i="52"/>
  <c r="L265" i="52"/>
  <c r="I265" i="52"/>
  <c r="F265" i="52"/>
  <c r="N264" i="52"/>
  <c r="M264" i="52"/>
  <c r="K264" i="52"/>
  <c r="J264" i="52"/>
  <c r="H264" i="52"/>
  <c r="G264" i="52"/>
  <c r="F264" i="52"/>
  <c r="E264" i="52"/>
  <c r="D264" i="52"/>
  <c r="O263" i="52"/>
  <c r="L263" i="52"/>
  <c r="I263" i="52"/>
  <c r="F263" i="52"/>
  <c r="O262" i="52"/>
  <c r="O260" i="52" s="1"/>
  <c r="L262" i="52"/>
  <c r="I262" i="52"/>
  <c r="F262" i="52"/>
  <c r="C262" i="52"/>
  <c r="O261" i="52"/>
  <c r="L261" i="52"/>
  <c r="I261" i="52"/>
  <c r="F261" i="52"/>
  <c r="C261" i="52" s="1"/>
  <c r="N260" i="52"/>
  <c r="N259" i="52" s="1"/>
  <c r="M260" i="52"/>
  <c r="K260" i="52"/>
  <c r="J260" i="52"/>
  <c r="J259" i="52" s="1"/>
  <c r="I260" i="52"/>
  <c r="H260" i="52"/>
  <c r="G260" i="52"/>
  <c r="F260" i="52"/>
  <c r="F259" i="52" s="1"/>
  <c r="E260" i="52"/>
  <c r="E259" i="52" s="1"/>
  <c r="D260" i="52"/>
  <c r="D259" i="52" s="1"/>
  <c r="K259" i="52"/>
  <c r="H259" i="52"/>
  <c r="O258" i="52"/>
  <c r="L258" i="52"/>
  <c r="I258" i="52"/>
  <c r="F258" i="52"/>
  <c r="C258" i="52" s="1"/>
  <c r="O257" i="52"/>
  <c r="L257" i="52"/>
  <c r="I257" i="52"/>
  <c r="F257" i="52"/>
  <c r="O256" i="52"/>
  <c r="L256" i="52"/>
  <c r="I256" i="52"/>
  <c r="F256" i="52"/>
  <c r="O255" i="52"/>
  <c r="L255" i="52"/>
  <c r="I255" i="52"/>
  <c r="F255" i="52"/>
  <c r="O254" i="52"/>
  <c r="L254" i="52"/>
  <c r="I254" i="52"/>
  <c r="F254" i="52"/>
  <c r="O253" i="52"/>
  <c r="L253" i="52"/>
  <c r="I253" i="52"/>
  <c r="I252" i="52" s="1"/>
  <c r="I251" i="52" s="1"/>
  <c r="F253" i="52"/>
  <c r="N252" i="52"/>
  <c r="N251" i="52" s="1"/>
  <c r="M252" i="52"/>
  <c r="M251" i="52" s="1"/>
  <c r="K252" i="52"/>
  <c r="K251" i="52" s="1"/>
  <c r="J252" i="52"/>
  <c r="J251" i="52" s="1"/>
  <c r="H252" i="52"/>
  <c r="G252" i="52"/>
  <c r="G251" i="52" s="1"/>
  <c r="E252" i="52"/>
  <c r="E251" i="52" s="1"/>
  <c r="D252" i="52"/>
  <c r="H251" i="52"/>
  <c r="D251" i="52"/>
  <c r="O250" i="52"/>
  <c r="L250" i="52"/>
  <c r="I250" i="52"/>
  <c r="F250" i="52"/>
  <c r="O249" i="52"/>
  <c r="L249" i="52"/>
  <c r="I249" i="52"/>
  <c r="F249" i="52"/>
  <c r="O248" i="52"/>
  <c r="L248" i="52"/>
  <c r="I248" i="52"/>
  <c r="F248" i="52"/>
  <c r="O247" i="52"/>
  <c r="L247" i="52"/>
  <c r="I247" i="52"/>
  <c r="F247" i="52"/>
  <c r="O246" i="52"/>
  <c r="N246" i="52"/>
  <c r="M246" i="52"/>
  <c r="K246" i="52"/>
  <c r="J246" i="52"/>
  <c r="H246" i="52"/>
  <c r="G246" i="52"/>
  <c r="E246" i="52"/>
  <c r="D246" i="52"/>
  <c r="O245" i="52"/>
  <c r="L245" i="52"/>
  <c r="I245" i="52"/>
  <c r="F245" i="52"/>
  <c r="O244" i="52"/>
  <c r="L244" i="52"/>
  <c r="I244" i="52"/>
  <c r="F244" i="52"/>
  <c r="O243" i="52"/>
  <c r="L243" i="52"/>
  <c r="I243" i="52"/>
  <c r="F243" i="52"/>
  <c r="O242" i="52"/>
  <c r="L242" i="52"/>
  <c r="I242" i="52"/>
  <c r="F242" i="52"/>
  <c r="O241" i="52"/>
  <c r="L241" i="52"/>
  <c r="I241" i="52"/>
  <c r="F241" i="52"/>
  <c r="O240" i="52"/>
  <c r="L240" i="52"/>
  <c r="I240" i="52"/>
  <c r="F240" i="52"/>
  <c r="O239" i="52"/>
  <c r="L239" i="52"/>
  <c r="I239" i="52"/>
  <c r="F239" i="52"/>
  <c r="N238" i="52"/>
  <c r="M238" i="52"/>
  <c r="L238" i="52"/>
  <c r="K238" i="52"/>
  <c r="J238" i="52"/>
  <c r="H238" i="52"/>
  <c r="G238" i="52"/>
  <c r="E238" i="52"/>
  <c r="D238" i="52"/>
  <c r="O237" i="52"/>
  <c r="L237" i="52"/>
  <c r="I237" i="52"/>
  <c r="F237" i="52"/>
  <c r="O236" i="52"/>
  <c r="L236" i="52"/>
  <c r="L235" i="52" s="1"/>
  <c r="I236" i="52"/>
  <c r="I235" i="52" s="1"/>
  <c r="F236" i="52"/>
  <c r="O235" i="52"/>
  <c r="N235" i="52"/>
  <c r="M235" i="52"/>
  <c r="K235" i="52"/>
  <c r="J235" i="52"/>
  <c r="H235" i="52"/>
  <c r="G235" i="52"/>
  <c r="F235" i="52"/>
  <c r="E235" i="52"/>
  <c r="D235" i="52"/>
  <c r="O234" i="52"/>
  <c r="O233" i="52" s="1"/>
  <c r="L234" i="52"/>
  <c r="I234" i="52"/>
  <c r="F234" i="52"/>
  <c r="F233" i="52" s="1"/>
  <c r="N233" i="52"/>
  <c r="M233" i="52"/>
  <c r="M231" i="52" s="1"/>
  <c r="L233" i="52"/>
  <c r="K233" i="52"/>
  <c r="J233" i="52"/>
  <c r="I233" i="52"/>
  <c r="H233" i="52"/>
  <c r="G233" i="52"/>
  <c r="E233" i="52"/>
  <c r="D233" i="52"/>
  <c r="O232" i="52"/>
  <c r="L232" i="52"/>
  <c r="I232" i="52"/>
  <c r="F232" i="52"/>
  <c r="N231" i="52"/>
  <c r="N230" i="52" s="1"/>
  <c r="O229" i="52"/>
  <c r="L229" i="52"/>
  <c r="I229" i="52"/>
  <c r="F229" i="52"/>
  <c r="O228" i="52"/>
  <c r="L228" i="52"/>
  <c r="L227" i="52" s="1"/>
  <c r="I228" i="52"/>
  <c r="I227" i="52" s="1"/>
  <c r="F228" i="52"/>
  <c r="O227" i="52"/>
  <c r="N227" i="52"/>
  <c r="M227" i="52"/>
  <c r="K227" i="52"/>
  <c r="J227" i="52"/>
  <c r="H227" i="52"/>
  <c r="G227" i="52"/>
  <c r="F227" i="52"/>
  <c r="C227" i="52" s="1"/>
  <c r="E227" i="52"/>
  <c r="D227" i="52"/>
  <c r="O226" i="52"/>
  <c r="L226" i="52"/>
  <c r="I226" i="52"/>
  <c r="F226" i="52"/>
  <c r="O225" i="52"/>
  <c r="L225" i="52"/>
  <c r="I225" i="52"/>
  <c r="F225" i="52"/>
  <c r="O224" i="52"/>
  <c r="L224" i="52"/>
  <c r="I224" i="52"/>
  <c r="F224" i="52"/>
  <c r="O223" i="52"/>
  <c r="L223" i="52"/>
  <c r="I223" i="52"/>
  <c r="F223" i="52"/>
  <c r="C223" i="52" s="1"/>
  <c r="O222" i="52"/>
  <c r="L222" i="52"/>
  <c r="I222" i="52"/>
  <c r="F222" i="52"/>
  <c r="O221" i="52"/>
  <c r="L221" i="52"/>
  <c r="I221" i="52"/>
  <c r="F221" i="52"/>
  <c r="O220" i="52"/>
  <c r="L220" i="52"/>
  <c r="I220" i="52"/>
  <c r="F220" i="52"/>
  <c r="O219" i="52"/>
  <c r="L219" i="52"/>
  <c r="I219" i="52"/>
  <c r="F219" i="52"/>
  <c r="O218" i="52"/>
  <c r="L218" i="52"/>
  <c r="I218" i="52"/>
  <c r="F218" i="52"/>
  <c r="C218" i="52" s="1"/>
  <c r="O217" i="52"/>
  <c r="L217" i="52"/>
  <c r="I217" i="52"/>
  <c r="F217" i="52"/>
  <c r="N216" i="52"/>
  <c r="M216" i="52"/>
  <c r="K216" i="52"/>
  <c r="J216" i="52"/>
  <c r="H216" i="52"/>
  <c r="G216" i="52"/>
  <c r="E216" i="52"/>
  <c r="D216" i="52"/>
  <c r="O215" i="52"/>
  <c r="L215" i="52"/>
  <c r="I215" i="52"/>
  <c r="F215" i="52"/>
  <c r="O214" i="52"/>
  <c r="L214" i="52"/>
  <c r="I214" i="52"/>
  <c r="F214" i="52"/>
  <c r="O213" i="52"/>
  <c r="L213" i="52"/>
  <c r="I213" i="52"/>
  <c r="F213" i="52"/>
  <c r="O212" i="52"/>
  <c r="L212" i="52"/>
  <c r="I212" i="52"/>
  <c r="F212" i="52"/>
  <c r="O211" i="52"/>
  <c r="L211" i="52"/>
  <c r="I211" i="52"/>
  <c r="F211" i="52"/>
  <c r="C211" i="52"/>
  <c r="O210" i="52"/>
  <c r="L210" i="52"/>
  <c r="I210" i="52"/>
  <c r="F210" i="52"/>
  <c r="C210" i="52" s="1"/>
  <c r="O209" i="52"/>
  <c r="L209" i="52"/>
  <c r="I209" i="52"/>
  <c r="F209" i="52"/>
  <c r="O208" i="52"/>
  <c r="L208" i="52"/>
  <c r="I208" i="52"/>
  <c r="F208" i="52"/>
  <c r="O207" i="52"/>
  <c r="L207" i="52"/>
  <c r="I207" i="52"/>
  <c r="F207" i="52"/>
  <c r="O206" i="52"/>
  <c r="L206" i="52"/>
  <c r="I206" i="52"/>
  <c r="F206" i="52"/>
  <c r="N205" i="52"/>
  <c r="M205" i="52"/>
  <c r="K205" i="52"/>
  <c r="J205" i="52"/>
  <c r="H205" i="52"/>
  <c r="H204" i="52" s="1"/>
  <c r="G205" i="52"/>
  <c r="E205" i="52"/>
  <c r="E204" i="52" s="1"/>
  <c r="D205" i="52"/>
  <c r="D204" i="52" s="1"/>
  <c r="N204" i="52"/>
  <c r="O203" i="52"/>
  <c r="L203" i="52"/>
  <c r="I203" i="52"/>
  <c r="F203" i="52"/>
  <c r="O202" i="52"/>
  <c r="L202" i="52"/>
  <c r="I202" i="52"/>
  <c r="F202" i="52"/>
  <c r="O201" i="52"/>
  <c r="L201" i="52"/>
  <c r="I201" i="52"/>
  <c r="F201" i="52"/>
  <c r="O200" i="52"/>
  <c r="L200" i="52"/>
  <c r="I200" i="52"/>
  <c r="F200" i="52"/>
  <c r="O199" i="52"/>
  <c r="L199" i="52"/>
  <c r="I199" i="52"/>
  <c r="F199" i="52"/>
  <c r="O198" i="52"/>
  <c r="N198" i="52"/>
  <c r="M198" i="52"/>
  <c r="K198" i="52"/>
  <c r="K196" i="52" s="1"/>
  <c r="J198" i="52"/>
  <c r="H198" i="52"/>
  <c r="H196" i="52" s="1"/>
  <c r="G198" i="52"/>
  <c r="G196" i="52" s="1"/>
  <c r="F198" i="52"/>
  <c r="E198" i="52"/>
  <c r="E196" i="52" s="1"/>
  <c r="D198" i="52"/>
  <c r="D196" i="52" s="1"/>
  <c r="O197" i="52"/>
  <c r="L197" i="52"/>
  <c r="I197" i="52"/>
  <c r="F197" i="52"/>
  <c r="N196" i="52"/>
  <c r="N195" i="52" s="1"/>
  <c r="M196" i="52"/>
  <c r="J196" i="52"/>
  <c r="F196" i="52"/>
  <c r="O193" i="52"/>
  <c r="O192" i="52" s="1"/>
  <c r="O191" i="52" s="1"/>
  <c r="L193" i="52"/>
  <c r="L192" i="52" s="1"/>
  <c r="L191" i="52" s="1"/>
  <c r="I193" i="52"/>
  <c r="F193" i="52"/>
  <c r="F192" i="52" s="1"/>
  <c r="C193" i="52"/>
  <c r="N192" i="52"/>
  <c r="M192" i="52"/>
  <c r="M191" i="52" s="1"/>
  <c r="K192" i="52"/>
  <c r="K191" i="52" s="1"/>
  <c r="J192" i="52"/>
  <c r="I192" i="52"/>
  <c r="I191" i="52" s="1"/>
  <c r="H192" i="52"/>
  <c r="H191" i="52" s="1"/>
  <c r="G192" i="52"/>
  <c r="G191" i="52" s="1"/>
  <c r="E192" i="52"/>
  <c r="E191" i="52" s="1"/>
  <c r="D192" i="52"/>
  <c r="D191" i="52" s="1"/>
  <c r="N191" i="52"/>
  <c r="J191" i="52"/>
  <c r="J187" i="52" s="1"/>
  <c r="F191" i="52"/>
  <c r="O190" i="52"/>
  <c r="L190" i="52"/>
  <c r="I190" i="52"/>
  <c r="F190" i="52"/>
  <c r="O189" i="52"/>
  <c r="L189" i="52"/>
  <c r="I189" i="52"/>
  <c r="F189" i="52"/>
  <c r="F188" i="52" s="1"/>
  <c r="O188" i="52"/>
  <c r="N188" i="52"/>
  <c r="M188" i="52"/>
  <c r="M187" i="52" s="1"/>
  <c r="K188" i="52"/>
  <c r="J188" i="52"/>
  <c r="H188" i="52"/>
  <c r="H187" i="52" s="1"/>
  <c r="G188" i="52"/>
  <c r="E188" i="52"/>
  <c r="D188" i="52"/>
  <c r="N187" i="52"/>
  <c r="O186" i="52"/>
  <c r="L186" i="52"/>
  <c r="I186" i="52"/>
  <c r="F186" i="52"/>
  <c r="O185" i="52"/>
  <c r="L185" i="52"/>
  <c r="I185" i="52"/>
  <c r="F185" i="52"/>
  <c r="F184" i="52" s="1"/>
  <c r="O184" i="52"/>
  <c r="N184" i="52"/>
  <c r="M184" i="52"/>
  <c r="K184" i="52"/>
  <c r="J184" i="52"/>
  <c r="H184" i="52"/>
  <c r="G184" i="52"/>
  <c r="E184" i="52"/>
  <c r="D184" i="52"/>
  <c r="O183" i="52"/>
  <c r="L183" i="52"/>
  <c r="I183" i="52"/>
  <c r="F183" i="52"/>
  <c r="O182" i="52"/>
  <c r="L182" i="52"/>
  <c r="I182" i="52"/>
  <c r="F182" i="52"/>
  <c r="O181" i="52"/>
  <c r="L181" i="52"/>
  <c r="I181" i="52"/>
  <c r="F181" i="52"/>
  <c r="O180" i="52"/>
  <c r="L180" i="52"/>
  <c r="I180" i="52"/>
  <c r="I179" i="52" s="1"/>
  <c r="F180" i="52"/>
  <c r="N179" i="52"/>
  <c r="M179" i="52"/>
  <c r="L179" i="52"/>
  <c r="K179" i="52"/>
  <c r="J179" i="52"/>
  <c r="H179" i="52"/>
  <c r="G179" i="52"/>
  <c r="E179" i="52"/>
  <c r="D179" i="52"/>
  <c r="O178" i="52"/>
  <c r="L178" i="52"/>
  <c r="I178" i="52"/>
  <c r="F178" i="52"/>
  <c r="O177" i="52"/>
  <c r="L177" i="52"/>
  <c r="I177" i="52"/>
  <c r="F177" i="52"/>
  <c r="O176" i="52"/>
  <c r="O175" i="52" s="1"/>
  <c r="L176" i="52"/>
  <c r="I176" i="52"/>
  <c r="C176" i="52" s="1"/>
  <c r="F176" i="52"/>
  <c r="N175" i="52"/>
  <c r="N174" i="52" s="1"/>
  <c r="N173" i="52" s="1"/>
  <c r="M175" i="52"/>
  <c r="K175" i="52"/>
  <c r="K174" i="52" s="1"/>
  <c r="K173" i="52" s="1"/>
  <c r="J175" i="52"/>
  <c r="J174" i="52" s="1"/>
  <c r="J173" i="52" s="1"/>
  <c r="H175" i="52"/>
  <c r="G175" i="52"/>
  <c r="F175" i="52"/>
  <c r="E175" i="52"/>
  <c r="D175" i="52"/>
  <c r="G174" i="52"/>
  <c r="G173" i="52" s="1"/>
  <c r="E174" i="52"/>
  <c r="O172" i="52"/>
  <c r="L172" i="52"/>
  <c r="I172" i="52"/>
  <c r="F172" i="52"/>
  <c r="O171" i="52"/>
  <c r="L171" i="52"/>
  <c r="I171" i="52"/>
  <c r="F171" i="52"/>
  <c r="O170" i="52"/>
  <c r="L170" i="52"/>
  <c r="I170" i="52"/>
  <c r="C170" i="52" s="1"/>
  <c r="F170" i="52"/>
  <c r="O169" i="52"/>
  <c r="L169" i="52"/>
  <c r="I169" i="52"/>
  <c r="F169" i="52"/>
  <c r="O168" i="52"/>
  <c r="L168" i="52"/>
  <c r="I168" i="52"/>
  <c r="F168" i="52"/>
  <c r="O167" i="52"/>
  <c r="L167" i="52"/>
  <c r="L166" i="52" s="1"/>
  <c r="L165" i="52" s="1"/>
  <c r="I167" i="52"/>
  <c r="F167" i="52"/>
  <c r="N166" i="52"/>
  <c r="N165" i="52" s="1"/>
  <c r="M166" i="52"/>
  <c r="M165" i="52" s="1"/>
  <c r="K166" i="52"/>
  <c r="J166" i="52"/>
  <c r="J165" i="52" s="1"/>
  <c r="I166" i="52"/>
  <c r="I165" i="52" s="1"/>
  <c r="H166" i="52"/>
  <c r="H165" i="52" s="1"/>
  <c r="G166" i="52"/>
  <c r="G165" i="52" s="1"/>
  <c r="E166" i="52"/>
  <c r="E165" i="52" s="1"/>
  <c r="D166" i="52"/>
  <c r="D165" i="52" s="1"/>
  <c r="K165" i="52"/>
  <c r="O164" i="52"/>
  <c r="L164" i="52"/>
  <c r="I164" i="52"/>
  <c r="F164" i="52"/>
  <c r="O163" i="52"/>
  <c r="L163" i="52"/>
  <c r="I163" i="52"/>
  <c r="E163" i="52"/>
  <c r="F163" i="52" s="1"/>
  <c r="O162" i="52"/>
  <c r="L162" i="52"/>
  <c r="I162" i="52"/>
  <c r="F162" i="52"/>
  <c r="C162" i="52" s="1"/>
  <c r="O161" i="52"/>
  <c r="L161" i="52"/>
  <c r="I161" i="52"/>
  <c r="I160" i="52" s="1"/>
  <c r="F161" i="52"/>
  <c r="N160" i="52"/>
  <c r="M160" i="52"/>
  <c r="K160" i="52"/>
  <c r="J160" i="52"/>
  <c r="H160" i="52"/>
  <c r="G160" i="52"/>
  <c r="E160" i="52"/>
  <c r="D160" i="52"/>
  <c r="O159" i="52"/>
  <c r="L159" i="52"/>
  <c r="I159" i="52"/>
  <c r="F159" i="52"/>
  <c r="O158" i="52"/>
  <c r="L158" i="52"/>
  <c r="I158" i="52"/>
  <c r="F158" i="52"/>
  <c r="O157" i="52"/>
  <c r="L157" i="52"/>
  <c r="I157" i="52"/>
  <c r="F157" i="52"/>
  <c r="O156" i="52"/>
  <c r="L156" i="52"/>
  <c r="I156" i="52"/>
  <c r="F156" i="52"/>
  <c r="O155" i="52"/>
  <c r="L155" i="52"/>
  <c r="I155" i="52"/>
  <c r="F155" i="52"/>
  <c r="O154" i="52"/>
  <c r="L154" i="52"/>
  <c r="I154" i="52"/>
  <c r="F154" i="52"/>
  <c r="O153" i="52"/>
  <c r="L153" i="52"/>
  <c r="I153" i="52"/>
  <c r="F153" i="52"/>
  <c r="O152" i="52"/>
  <c r="L152" i="52"/>
  <c r="L151" i="52" s="1"/>
  <c r="I152" i="52"/>
  <c r="F152" i="52"/>
  <c r="N151" i="52"/>
  <c r="M151" i="52"/>
  <c r="K151" i="52"/>
  <c r="J151" i="52"/>
  <c r="H151" i="52"/>
  <c r="G151" i="52"/>
  <c r="E151" i="52"/>
  <c r="D151" i="52"/>
  <c r="O150" i="52"/>
  <c r="L150" i="52"/>
  <c r="I150" i="52"/>
  <c r="F150" i="52"/>
  <c r="O149" i="52"/>
  <c r="L149" i="52"/>
  <c r="I149" i="52"/>
  <c r="F149" i="52"/>
  <c r="C149" i="52" s="1"/>
  <c r="O148" i="52"/>
  <c r="L148" i="52"/>
  <c r="I148" i="52"/>
  <c r="F148" i="52"/>
  <c r="O147" i="52"/>
  <c r="L147" i="52"/>
  <c r="I147" i="52"/>
  <c r="F147" i="52"/>
  <c r="O146" i="52"/>
  <c r="L146" i="52"/>
  <c r="I146" i="52"/>
  <c r="F146" i="52"/>
  <c r="O145" i="52"/>
  <c r="L145" i="52"/>
  <c r="I145" i="52"/>
  <c r="F145" i="52"/>
  <c r="F144" i="52" s="1"/>
  <c r="N144" i="52"/>
  <c r="M144" i="52"/>
  <c r="K144" i="52"/>
  <c r="J144" i="52"/>
  <c r="H144" i="52"/>
  <c r="G144" i="52"/>
  <c r="E144" i="52"/>
  <c r="D144" i="52"/>
  <c r="O143" i="52"/>
  <c r="L143" i="52"/>
  <c r="I143" i="52"/>
  <c r="F143" i="52"/>
  <c r="O142" i="52"/>
  <c r="O141" i="52" s="1"/>
  <c r="L142" i="52"/>
  <c r="I142" i="52"/>
  <c r="C142" i="52" s="1"/>
  <c r="F142" i="52"/>
  <c r="F141" i="52" s="1"/>
  <c r="N141" i="52"/>
  <c r="M141" i="52"/>
  <c r="K141" i="52"/>
  <c r="J141" i="52"/>
  <c r="H141" i="52"/>
  <c r="G141" i="52"/>
  <c r="E141" i="52"/>
  <c r="D141" i="52"/>
  <c r="O140" i="52"/>
  <c r="L140" i="52"/>
  <c r="I140" i="52"/>
  <c r="F140" i="52"/>
  <c r="O139" i="52"/>
  <c r="L139" i="52"/>
  <c r="I139" i="52"/>
  <c r="F139" i="52"/>
  <c r="O138" i="52"/>
  <c r="L138" i="52"/>
  <c r="I138" i="52"/>
  <c r="F138" i="52"/>
  <c r="O137" i="52"/>
  <c r="O136" i="52" s="1"/>
  <c r="L137" i="52"/>
  <c r="I137" i="52"/>
  <c r="F137" i="52"/>
  <c r="C137" i="52" s="1"/>
  <c r="N136" i="52"/>
  <c r="M136" i="52"/>
  <c r="K136" i="52"/>
  <c r="J136" i="52"/>
  <c r="H136" i="52"/>
  <c r="G136" i="52"/>
  <c r="F136" i="52"/>
  <c r="E136" i="52"/>
  <c r="D136" i="52"/>
  <c r="O135" i="52"/>
  <c r="L135" i="52"/>
  <c r="I135" i="52"/>
  <c r="F135" i="52"/>
  <c r="O134" i="52"/>
  <c r="L134" i="52"/>
  <c r="I134" i="52"/>
  <c r="F134" i="52"/>
  <c r="O133" i="52"/>
  <c r="L133" i="52"/>
  <c r="I133" i="52"/>
  <c r="E133" i="52"/>
  <c r="E131" i="52" s="1"/>
  <c r="O132" i="52"/>
  <c r="L132" i="52"/>
  <c r="I132" i="52"/>
  <c r="F132" i="52"/>
  <c r="N131" i="52"/>
  <c r="M131" i="52"/>
  <c r="K131" i="52"/>
  <c r="K130" i="52" s="1"/>
  <c r="J131" i="52"/>
  <c r="H131" i="52"/>
  <c r="G131" i="52"/>
  <c r="D131" i="52"/>
  <c r="D130" i="52" s="1"/>
  <c r="G130" i="52"/>
  <c r="O129" i="52"/>
  <c r="L129" i="52"/>
  <c r="L128" i="52" s="1"/>
  <c r="I129" i="52"/>
  <c r="I128" i="52" s="1"/>
  <c r="F129" i="52"/>
  <c r="O128" i="52"/>
  <c r="N128" i="52"/>
  <c r="M128" i="52"/>
  <c r="K128" i="52"/>
  <c r="J128" i="52"/>
  <c r="H128" i="52"/>
  <c r="G128" i="52"/>
  <c r="F128" i="52"/>
  <c r="E128" i="52"/>
  <c r="D128" i="52"/>
  <c r="O127" i="52"/>
  <c r="L127" i="52"/>
  <c r="I127" i="52"/>
  <c r="F127" i="52"/>
  <c r="O126" i="52"/>
  <c r="L126" i="52"/>
  <c r="I126" i="52"/>
  <c r="F126" i="52"/>
  <c r="O125" i="52"/>
  <c r="L125" i="52"/>
  <c r="I125" i="52"/>
  <c r="F125" i="52"/>
  <c r="O124" i="52"/>
  <c r="L124" i="52"/>
  <c r="I124" i="52"/>
  <c r="F124" i="52"/>
  <c r="O123" i="52"/>
  <c r="L123" i="52"/>
  <c r="I123" i="52"/>
  <c r="F123" i="52"/>
  <c r="O122" i="52"/>
  <c r="N122" i="52"/>
  <c r="M122" i="52"/>
  <c r="K122" i="52"/>
  <c r="J122" i="52"/>
  <c r="H122" i="52"/>
  <c r="G122" i="52"/>
  <c r="E122" i="52"/>
  <c r="D122" i="52"/>
  <c r="O121" i="52"/>
  <c r="L121" i="52"/>
  <c r="I121" i="52"/>
  <c r="F121" i="52"/>
  <c r="C121" i="52" s="1"/>
  <c r="O120" i="52"/>
  <c r="L120" i="52"/>
  <c r="I120" i="52"/>
  <c r="F120" i="52"/>
  <c r="C120" i="52" s="1"/>
  <c r="O119" i="52"/>
  <c r="L119" i="52"/>
  <c r="I119" i="52"/>
  <c r="F119" i="52"/>
  <c r="O118" i="52"/>
  <c r="L118" i="52"/>
  <c r="I118" i="52"/>
  <c r="F118" i="52"/>
  <c r="O117" i="52"/>
  <c r="L117" i="52"/>
  <c r="L116" i="52" s="1"/>
  <c r="I117" i="52"/>
  <c r="F117" i="52"/>
  <c r="N116" i="52"/>
  <c r="M116" i="52"/>
  <c r="K116" i="52"/>
  <c r="J116" i="52"/>
  <c r="H116" i="52"/>
  <c r="G116" i="52"/>
  <c r="E116" i="52"/>
  <c r="D116" i="52"/>
  <c r="O115" i="52"/>
  <c r="L115" i="52"/>
  <c r="I115" i="52"/>
  <c r="F115" i="52"/>
  <c r="O114" i="52"/>
  <c r="L114" i="52"/>
  <c r="I114" i="52"/>
  <c r="F114" i="52"/>
  <c r="C114" i="52" s="1"/>
  <c r="O113" i="52"/>
  <c r="L113" i="52"/>
  <c r="I113" i="52"/>
  <c r="F113" i="52"/>
  <c r="N112" i="52"/>
  <c r="M112" i="52"/>
  <c r="K112" i="52"/>
  <c r="J112" i="52"/>
  <c r="H112" i="52"/>
  <c r="G112" i="52"/>
  <c r="E112" i="52"/>
  <c r="D112" i="52"/>
  <c r="O111" i="52"/>
  <c r="L111" i="52"/>
  <c r="I111" i="52"/>
  <c r="F111" i="52"/>
  <c r="O110" i="52"/>
  <c r="L110" i="52"/>
  <c r="I110" i="52"/>
  <c r="F110" i="52"/>
  <c r="O109" i="52"/>
  <c r="L109" i="52"/>
  <c r="I109" i="52"/>
  <c r="F109" i="52"/>
  <c r="O108" i="52"/>
  <c r="L108" i="52"/>
  <c r="I108" i="52"/>
  <c r="F108" i="52"/>
  <c r="O107" i="52"/>
  <c r="L107" i="52"/>
  <c r="I107" i="52"/>
  <c r="F107" i="52"/>
  <c r="C107" i="52" s="1"/>
  <c r="O106" i="52"/>
  <c r="L106" i="52"/>
  <c r="I106" i="52"/>
  <c r="E106" i="52"/>
  <c r="F106" i="52" s="1"/>
  <c r="C106" i="52" s="1"/>
  <c r="O105" i="52"/>
  <c r="L105" i="52"/>
  <c r="I105" i="52"/>
  <c r="F105" i="52"/>
  <c r="O104" i="52"/>
  <c r="L104" i="52"/>
  <c r="I104" i="52"/>
  <c r="F104" i="52"/>
  <c r="N103" i="52"/>
  <c r="M103" i="52"/>
  <c r="K103" i="52"/>
  <c r="J103" i="52"/>
  <c r="H103" i="52"/>
  <c r="G103" i="52"/>
  <c r="E103" i="52"/>
  <c r="D103" i="52"/>
  <c r="O102" i="52"/>
  <c r="L102" i="52"/>
  <c r="I102" i="52"/>
  <c r="F102" i="52"/>
  <c r="O101" i="52"/>
  <c r="L101" i="52"/>
  <c r="I101" i="52"/>
  <c r="F101" i="52"/>
  <c r="O100" i="52"/>
  <c r="L100" i="52"/>
  <c r="I100" i="52"/>
  <c r="F100" i="52"/>
  <c r="O99" i="52"/>
  <c r="L99" i="52"/>
  <c r="I99" i="52"/>
  <c r="F99" i="52"/>
  <c r="O98" i="52"/>
  <c r="L98" i="52"/>
  <c r="I98" i="52"/>
  <c r="F98" i="52"/>
  <c r="O97" i="52"/>
  <c r="L97" i="52"/>
  <c r="I97" i="52"/>
  <c r="F97" i="52"/>
  <c r="O96" i="52"/>
  <c r="L96" i="52"/>
  <c r="I96" i="52"/>
  <c r="C96" i="52" s="1"/>
  <c r="F96" i="52"/>
  <c r="N95" i="52"/>
  <c r="M95" i="52"/>
  <c r="L95" i="52"/>
  <c r="K95" i="52"/>
  <c r="J95" i="52"/>
  <c r="H95" i="52"/>
  <c r="G95" i="52"/>
  <c r="E95" i="52"/>
  <c r="D95" i="52"/>
  <c r="O94" i="52"/>
  <c r="L94" i="52"/>
  <c r="I94" i="52"/>
  <c r="F94" i="52"/>
  <c r="O93" i="52"/>
  <c r="L93" i="52"/>
  <c r="I93" i="52"/>
  <c r="F93" i="52"/>
  <c r="O92" i="52"/>
  <c r="L92" i="52"/>
  <c r="I92" i="52"/>
  <c r="F92" i="52"/>
  <c r="O91" i="52"/>
  <c r="L91" i="52"/>
  <c r="I91" i="52"/>
  <c r="F91" i="52"/>
  <c r="C91" i="52"/>
  <c r="O90" i="52"/>
  <c r="L90" i="52"/>
  <c r="I90" i="52"/>
  <c r="I89" i="52" s="1"/>
  <c r="F90" i="52"/>
  <c r="C90" i="52" s="1"/>
  <c r="N89" i="52"/>
  <c r="M89" i="52"/>
  <c r="K89" i="52"/>
  <c r="J89" i="52"/>
  <c r="H89" i="52"/>
  <c r="G89" i="52"/>
  <c r="F89" i="52"/>
  <c r="E89" i="52"/>
  <c r="D89" i="52"/>
  <c r="O88" i="52"/>
  <c r="L88" i="52"/>
  <c r="I88" i="52"/>
  <c r="F88" i="52"/>
  <c r="O87" i="52"/>
  <c r="L87" i="52"/>
  <c r="I87" i="52"/>
  <c r="F87" i="52"/>
  <c r="O86" i="52"/>
  <c r="L86" i="52"/>
  <c r="I86" i="52"/>
  <c r="F86" i="52"/>
  <c r="O85" i="52"/>
  <c r="L85" i="52"/>
  <c r="I85" i="52"/>
  <c r="F85" i="52"/>
  <c r="N84" i="52"/>
  <c r="N83" i="52" s="1"/>
  <c r="M84" i="52"/>
  <c r="K84" i="52"/>
  <c r="J84" i="52"/>
  <c r="H84" i="52"/>
  <c r="G84" i="52"/>
  <c r="E84" i="52"/>
  <c r="D84" i="52"/>
  <c r="D83" i="52" s="1"/>
  <c r="M83" i="52"/>
  <c r="O82" i="52"/>
  <c r="L82" i="52"/>
  <c r="I82" i="52"/>
  <c r="F82" i="52"/>
  <c r="O81" i="52"/>
  <c r="L81" i="52"/>
  <c r="L80" i="52" s="1"/>
  <c r="I81" i="52"/>
  <c r="I80" i="52" s="1"/>
  <c r="F81" i="52"/>
  <c r="O80" i="52"/>
  <c r="N80" i="52"/>
  <c r="M80" i="52"/>
  <c r="K80" i="52"/>
  <c r="J80" i="52"/>
  <c r="H80" i="52"/>
  <c r="G80" i="52"/>
  <c r="E80" i="52"/>
  <c r="D80" i="52"/>
  <c r="O79" i="52"/>
  <c r="L79" i="52"/>
  <c r="I79" i="52"/>
  <c r="F79" i="52"/>
  <c r="O78" i="52"/>
  <c r="L78" i="52"/>
  <c r="L77" i="52" s="1"/>
  <c r="I78" i="52"/>
  <c r="F78" i="52"/>
  <c r="O77" i="52"/>
  <c r="N77" i="52"/>
  <c r="N76" i="52" s="1"/>
  <c r="M77" i="52"/>
  <c r="K77" i="52"/>
  <c r="J77" i="52"/>
  <c r="H77" i="52"/>
  <c r="H76" i="52" s="1"/>
  <c r="G77" i="52"/>
  <c r="F77" i="52"/>
  <c r="E77" i="52"/>
  <c r="E76" i="52" s="1"/>
  <c r="D77" i="52"/>
  <c r="O76" i="52"/>
  <c r="K76" i="52"/>
  <c r="J76" i="52"/>
  <c r="O74" i="52"/>
  <c r="L74" i="52"/>
  <c r="I74" i="52"/>
  <c r="F74" i="52"/>
  <c r="O73" i="52"/>
  <c r="L73" i="52"/>
  <c r="I73" i="52"/>
  <c r="F73" i="52"/>
  <c r="O72" i="52"/>
  <c r="L72" i="52"/>
  <c r="I72" i="52"/>
  <c r="F72" i="52"/>
  <c r="O71" i="52"/>
  <c r="L71" i="52"/>
  <c r="I71" i="52"/>
  <c r="F71" i="52"/>
  <c r="O70" i="52"/>
  <c r="L70" i="52"/>
  <c r="I70" i="52"/>
  <c r="F70" i="52"/>
  <c r="N69" i="52"/>
  <c r="N67" i="52" s="1"/>
  <c r="M69" i="52"/>
  <c r="M67" i="52" s="1"/>
  <c r="K69" i="52"/>
  <c r="J69" i="52"/>
  <c r="J67" i="52" s="1"/>
  <c r="H69" i="52"/>
  <c r="H67" i="52" s="1"/>
  <c r="G69" i="52"/>
  <c r="G67" i="52" s="1"/>
  <c r="E69" i="52"/>
  <c r="E67" i="52" s="1"/>
  <c r="D69" i="52"/>
  <c r="O68" i="52"/>
  <c r="L68" i="52"/>
  <c r="I68" i="52"/>
  <c r="F68" i="52"/>
  <c r="K67" i="52"/>
  <c r="D67" i="52"/>
  <c r="O66" i="52"/>
  <c r="L66" i="52"/>
  <c r="I66" i="52"/>
  <c r="F66" i="52"/>
  <c r="O65" i="52"/>
  <c r="L65" i="52"/>
  <c r="I65" i="52"/>
  <c r="F65" i="52"/>
  <c r="O64" i="52"/>
  <c r="L64" i="52"/>
  <c r="I64" i="52"/>
  <c r="F64" i="52"/>
  <c r="O63" i="52"/>
  <c r="L63" i="52"/>
  <c r="I63" i="52"/>
  <c r="F63" i="52"/>
  <c r="C63" i="52"/>
  <c r="O62" i="52"/>
  <c r="L62" i="52"/>
  <c r="I62" i="52"/>
  <c r="F62" i="52"/>
  <c r="C62" i="52" s="1"/>
  <c r="O61" i="52"/>
  <c r="L61" i="52"/>
  <c r="I61" i="52"/>
  <c r="F61" i="52"/>
  <c r="C61" i="52" s="1"/>
  <c r="O60" i="52"/>
  <c r="L60" i="52"/>
  <c r="I60" i="52"/>
  <c r="F60" i="52"/>
  <c r="O59" i="52"/>
  <c r="L59" i="52"/>
  <c r="I59" i="52"/>
  <c r="F59" i="52"/>
  <c r="N58" i="52"/>
  <c r="M58" i="52"/>
  <c r="K58" i="52"/>
  <c r="J58" i="52"/>
  <c r="H58" i="52"/>
  <c r="G58" i="52"/>
  <c r="E58" i="52"/>
  <c r="D58" i="52"/>
  <c r="O57" i="52"/>
  <c r="L57" i="52"/>
  <c r="I57" i="52"/>
  <c r="F57" i="52"/>
  <c r="O56" i="52"/>
  <c r="L56" i="52"/>
  <c r="I56" i="52"/>
  <c r="F56" i="52"/>
  <c r="F55" i="52" s="1"/>
  <c r="O55" i="52"/>
  <c r="N55" i="52"/>
  <c r="M55" i="52"/>
  <c r="M54" i="52" s="1"/>
  <c r="K55" i="52"/>
  <c r="J55" i="52"/>
  <c r="H55" i="52"/>
  <c r="H54" i="52" s="1"/>
  <c r="G55" i="52"/>
  <c r="G54" i="52" s="1"/>
  <c r="E55" i="52"/>
  <c r="D55" i="52"/>
  <c r="N54" i="52"/>
  <c r="N53" i="52" s="1"/>
  <c r="J54" i="52"/>
  <c r="J53" i="52" s="1"/>
  <c r="D54" i="52"/>
  <c r="D53" i="52" s="1"/>
  <c r="O47" i="52"/>
  <c r="O46" i="52"/>
  <c r="C46" i="52" s="1"/>
  <c r="N45" i="52"/>
  <c r="M45" i="52"/>
  <c r="L44" i="52"/>
  <c r="L43" i="52" s="1"/>
  <c r="I44" i="52"/>
  <c r="I43" i="52" s="1"/>
  <c r="F44" i="52"/>
  <c r="K43" i="52"/>
  <c r="J43" i="52"/>
  <c r="H43" i="52"/>
  <c r="G43" i="52"/>
  <c r="E43" i="52"/>
  <c r="D43" i="52"/>
  <c r="F42" i="52"/>
  <c r="C42" i="52" s="1"/>
  <c r="E41" i="52"/>
  <c r="D41" i="52"/>
  <c r="L40" i="52"/>
  <c r="C40" i="52" s="1"/>
  <c r="L39" i="52"/>
  <c r="C39" i="52" s="1"/>
  <c r="L38" i="52"/>
  <c r="C38" i="52" s="1"/>
  <c r="L37" i="52"/>
  <c r="C37" i="52" s="1"/>
  <c r="K36" i="52"/>
  <c r="J36" i="52"/>
  <c r="L35" i="52"/>
  <c r="C35" i="52" s="1"/>
  <c r="L34" i="52"/>
  <c r="C34" i="52" s="1"/>
  <c r="K33" i="52"/>
  <c r="J33" i="52"/>
  <c r="L32" i="52"/>
  <c r="C32" i="52" s="1"/>
  <c r="L31" i="52"/>
  <c r="C31" i="52" s="1"/>
  <c r="K31" i="52"/>
  <c r="J31" i="52"/>
  <c r="L30" i="52"/>
  <c r="C30" i="52" s="1"/>
  <c r="L29" i="52"/>
  <c r="C29" i="52" s="1"/>
  <c r="L28" i="52"/>
  <c r="K27" i="52"/>
  <c r="J27" i="52"/>
  <c r="J26" i="52" s="1"/>
  <c r="F25" i="52"/>
  <c r="C25" i="52" s="1"/>
  <c r="O23" i="52"/>
  <c r="L23" i="52"/>
  <c r="I23" i="52"/>
  <c r="F23" i="52"/>
  <c r="O22" i="52"/>
  <c r="L22" i="52"/>
  <c r="I22" i="52"/>
  <c r="F22" i="52"/>
  <c r="F21" i="52" s="1"/>
  <c r="O21" i="52"/>
  <c r="N21" i="52"/>
  <c r="N292" i="52" s="1"/>
  <c r="N291" i="52" s="1"/>
  <c r="M21" i="52"/>
  <c r="M292" i="52" s="1"/>
  <c r="M291" i="52" s="1"/>
  <c r="K21" i="52"/>
  <c r="J21" i="52"/>
  <c r="J292" i="52" s="1"/>
  <c r="J291" i="52" s="1"/>
  <c r="H21" i="52"/>
  <c r="H292" i="52" s="1"/>
  <c r="H291" i="52" s="1"/>
  <c r="G21" i="52"/>
  <c r="E21" i="52"/>
  <c r="E292" i="52" s="1"/>
  <c r="E291" i="52" s="1"/>
  <c r="D21" i="52"/>
  <c r="D292" i="52" s="1"/>
  <c r="D291" i="52" s="1"/>
  <c r="H20" i="52"/>
  <c r="K26" i="52" l="1"/>
  <c r="E54" i="52"/>
  <c r="E53" i="52" s="1"/>
  <c r="C59" i="52"/>
  <c r="C72" i="52"/>
  <c r="C88" i="52"/>
  <c r="O103" i="52"/>
  <c r="C128" i="52"/>
  <c r="C129" i="52"/>
  <c r="O166" i="52"/>
  <c r="O165" i="52" s="1"/>
  <c r="O196" i="52"/>
  <c r="C239" i="52"/>
  <c r="C243" i="52"/>
  <c r="C255" i="52"/>
  <c r="C257" i="52"/>
  <c r="H53" i="52"/>
  <c r="F133" i="52"/>
  <c r="M130" i="52"/>
  <c r="C155" i="52"/>
  <c r="C159" i="52"/>
  <c r="C203" i="52"/>
  <c r="M204" i="52"/>
  <c r="G259" i="52"/>
  <c r="L276" i="52"/>
  <c r="C294" i="52"/>
  <c r="C118" i="52"/>
  <c r="C127" i="52"/>
  <c r="C134" i="52"/>
  <c r="L160" i="52"/>
  <c r="C172" i="52"/>
  <c r="C214" i="52"/>
  <c r="C234" i="52"/>
  <c r="J231" i="52"/>
  <c r="C274" i="52"/>
  <c r="D270" i="52"/>
  <c r="D269" i="52" s="1"/>
  <c r="H270" i="52"/>
  <c r="H269" i="52" s="1"/>
  <c r="L33" i="52"/>
  <c r="C33" i="52" s="1"/>
  <c r="O89" i="52"/>
  <c r="C108" i="52"/>
  <c r="C148" i="52"/>
  <c r="C226" i="52"/>
  <c r="C279" i="52"/>
  <c r="H83" i="52"/>
  <c r="E83" i="52"/>
  <c r="C163" i="52"/>
  <c r="G204" i="52"/>
  <c r="I264" i="52"/>
  <c r="M53" i="52"/>
  <c r="L58" i="52"/>
  <c r="C66" i="52"/>
  <c r="C73" i="52"/>
  <c r="J83" i="52"/>
  <c r="O84" i="52"/>
  <c r="C94" i="52"/>
  <c r="C97" i="52"/>
  <c r="C115" i="52"/>
  <c r="C126" i="52"/>
  <c r="C135" i="52"/>
  <c r="C140" i="52"/>
  <c r="I141" i="52"/>
  <c r="C143" i="52"/>
  <c r="C147" i="52"/>
  <c r="I151" i="52"/>
  <c r="C158" i="52"/>
  <c r="C168" i="52"/>
  <c r="C171" i="52"/>
  <c r="M174" i="52"/>
  <c r="M173" i="52" s="1"/>
  <c r="C182" i="52"/>
  <c r="C186" i="52"/>
  <c r="O187" i="52"/>
  <c r="C202" i="52"/>
  <c r="I205" i="52"/>
  <c r="C212" i="52"/>
  <c r="C213" i="52"/>
  <c r="E231" i="52"/>
  <c r="K231" i="52"/>
  <c r="C236" i="52"/>
  <c r="C237" i="52"/>
  <c r="C250" i="52"/>
  <c r="C256" i="52"/>
  <c r="L264" i="52"/>
  <c r="C278" i="52"/>
  <c r="I293" i="52"/>
  <c r="C295" i="52"/>
  <c r="L293" i="52"/>
  <c r="L36" i="52"/>
  <c r="C36" i="52" s="1"/>
  <c r="E20" i="52"/>
  <c r="C65" i="52"/>
  <c r="O69" i="52"/>
  <c r="O67" i="52" s="1"/>
  <c r="D76" i="52"/>
  <c r="D75" i="52" s="1"/>
  <c r="C93" i="52"/>
  <c r="C101" i="52"/>
  <c r="C111" i="52"/>
  <c r="O112" i="52"/>
  <c r="O131" i="52"/>
  <c r="C139" i="52"/>
  <c r="E130" i="52"/>
  <c r="E75" i="52" s="1"/>
  <c r="C146" i="52"/>
  <c r="O151" i="52"/>
  <c r="C157" i="52"/>
  <c r="C178" i="52"/>
  <c r="C181" i="52"/>
  <c r="C185" i="52"/>
  <c r="K187" i="52"/>
  <c r="E187" i="52"/>
  <c r="D187" i="52"/>
  <c r="C207" i="52"/>
  <c r="J204" i="52"/>
  <c r="J195" i="52" s="1"/>
  <c r="C217" i="52"/>
  <c r="G231" i="52"/>
  <c r="G230" i="52" s="1"/>
  <c r="I246" i="52"/>
  <c r="L252" i="52"/>
  <c r="L251" i="52" s="1"/>
  <c r="M259" i="52"/>
  <c r="C265" i="52"/>
  <c r="O264" i="52"/>
  <c r="O259" i="52" s="1"/>
  <c r="N270" i="52"/>
  <c r="N269" i="52" s="1"/>
  <c r="N194" i="52" s="1"/>
  <c r="C275" i="52"/>
  <c r="C280" i="52"/>
  <c r="C299" i="52"/>
  <c r="G53" i="52"/>
  <c r="M20" i="52"/>
  <c r="F41" i="52"/>
  <c r="C41" i="52" s="1"/>
  <c r="K54" i="52"/>
  <c r="K53" i="52" s="1"/>
  <c r="C64" i="52"/>
  <c r="I69" i="52"/>
  <c r="I67" i="52" s="1"/>
  <c r="G76" i="52"/>
  <c r="M76" i="52"/>
  <c r="M75" i="52" s="1"/>
  <c r="C79" i="52"/>
  <c r="G83" i="52"/>
  <c r="L84" i="52"/>
  <c r="C92" i="52"/>
  <c r="C100" i="52"/>
  <c r="C102" i="52"/>
  <c r="C110" i="52"/>
  <c r="I112" i="52"/>
  <c r="O116" i="52"/>
  <c r="L131" i="52"/>
  <c r="C138" i="52"/>
  <c r="C150" i="52"/>
  <c r="C153" i="52"/>
  <c r="C156" i="52"/>
  <c r="C164" i="52"/>
  <c r="C177" i="52"/>
  <c r="G187" i="52"/>
  <c r="C197" i="52"/>
  <c r="D195" i="52"/>
  <c r="C206" i="52"/>
  <c r="C215" i="52"/>
  <c r="F216" i="52"/>
  <c r="C222" i="52"/>
  <c r="K204" i="52"/>
  <c r="K195" i="52" s="1"/>
  <c r="C242" i="52"/>
  <c r="C247" i="52"/>
  <c r="L260" i="52"/>
  <c r="L259" i="52" s="1"/>
  <c r="O272" i="52"/>
  <c r="I286" i="52"/>
  <c r="F293" i="52"/>
  <c r="C297" i="52"/>
  <c r="K292" i="52"/>
  <c r="K291" i="52" s="1"/>
  <c r="K20" i="52"/>
  <c r="C57" i="52"/>
  <c r="I55" i="52"/>
  <c r="C180" i="52"/>
  <c r="F179" i="52"/>
  <c r="C301" i="52"/>
  <c r="G292" i="52"/>
  <c r="G291" i="52" s="1"/>
  <c r="I21" i="52"/>
  <c r="C23" i="52"/>
  <c r="C28" i="52"/>
  <c r="L27" i="52"/>
  <c r="C82" i="52"/>
  <c r="F80" i="52"/>
  <c r="C80" i="52" s="1"/>
  <c r="C87" i="52"/>
  <c r="F84" i="52"/>
  <c r="C99" i="52"/>
  <c r="I95" i="52"/>
  <c r="C113" i="52"/>
  <c r="F112" i="52"/>
  <c r="N130" i="52"/>
  <c r="N75" i="52" s="1"/>
  <c r="C154" i="52"/>
  <c r="F151" i="52"/>
  <c r="C151" i="52" s="1"/>
  <c r="C169" i="52"/>
  <c r="F166" i="52"/>
  <c r="L198" i="52"/>
  <c r="L196" i="52" s="1"/>
  <c r="C199" i="52"/>
  <c r="L216" i="52"/>
  <c r="C219" i="52"/>
  <c r="C273" i="52"/>
  <c r="F272" i="52"/>
  <c r="C22" i="52"/>
  <c r="L21" i="52"/>
  <c r="C44" i="52"/>
  <c r="F43" i="52"/>
  <c r="C43" i="52" s="1"/>
  <c r="N20" i="52"/>
  <c r="I77" i="52"/>
  <c r="I76" i="52" s="1"/>
  <c r="L76" i="52"/>
  <c r="K83" i="52"/>
  <c r="K75" i="52" s="1"/>
  <c r="I84" i="52"/>
  <c r="C85" i="52"/>
  <c r="I116" i="52"/>
  <c r="I122" i="52"/>
  <c r="C124" i="52"/>
  <c r="J130" i="52"/>
  <c r="J75" i="52" s="1"/>
  <c r="J52" i="52" s="1"/>
  <c r="H130" i="52"/>
  <c r="L141" i="52"/>
  <c r="C141" i="52" s="1"/>
  <c r="F174" i="52"/>
  <c r="C192" i="52"/>
  <c r="L270" i="52"/>
  <c r="L269" i="52" s="1"/>
  <c r="I270" i="52"/>
  <c r="I269" i="52" s="1"/>
  <c r="F281" i="52"/>
  <c r="C281" i="52" s="1"/>
  <c r="C282" i="52"/>
  <c r="F292" i="52"/>
  <c r="C47" i="52"/>
  <c r="O45" i="52"/>
  <c r="C60" i="52"/>
  <c r="F58" i="52"/>
  <c r="C71" i="52"/>
  <c r="F69" i="52"/>
  <c r="H75" i="52"/>
  <c r="L103" i="52"/>
  <c r="C104" i="52"/>
  <c r="C161" i="52"/>
  <c r="F160" i="52"/>
  <c r="L188" i="52"/>
  <c r="L187" i="52" s="1"/>
  <c r="C189" i="52"/>
  <c r="J20" i="52"/>
  <c r="K52" i="52"/>
  <c r="C56" i="52"/>
  <c r="L55" i="52"/>
  <c r="L54" i="52" s="1"/>
  <c r="O292" i="52"/>
  <c r="O291" i="52" s="1"/>
  <c r="O20" i="52"/>
  <c r="I58" i="52"/>
  <c r="O95" i="52"/>
  <c r="O83" i="52" s="1"/>
  <c r="C105" i="52"/>
  <c r="I103" i="52"/>
  <c r="C119" i="52"/>
  <c r="F116" i="52"/>
  <c r="C116" i="52" s="1"/>
  <c r="L122" i="52"/>
  <c r="C123" i="52"/>
  <c r="I131" i="52"/>
  <c r="C132" i="52"/>
  <c r="C133" i="52"/>
  <c r="F131" i="52"/>
  <c r="C190" i="52"/>
  <c r="I188" i="52"/>
  <c r="I216" i="52"/>
  <c r="I204" i="52" s="1"/>
  <c r="C235" i="52"/>
  <c r="K230" i="52"/>
  <c r="C240" i="52"/>
  <c r="I238" i="52"/>
  <c r="I231" i="52" s="1"/>
  <c r="I230" i="52" s="1"/>
  <c r="I259" i="52"/>
  <c r="C259" i="52" s="1"/>
  <c r="L69" i="52"/>
  <c r="L67" i="52" s="1"/>
  <c r="O144" i="52"/>
  <c r="G195" i="52"/>
  <c r="G194" i="52" s="1"/>
  <c r="H231" i="52"/>
  <c r="H230" i="52" s="1"/>
  <c r="C254" i="52"/>
  <c r="F252" i="52"/>
  <c r="C260" i="52"/>
  <c r="O58" i="52"/>
  <c r="O54" i="52" s="1"/>
  <c r="O53" i="52" s="1"/>
  <c r="C68" i="52"/>
  <c r="L136" i="52"/>
  <c r="C293" i="52"/>
  <c r="F95" i="52"/>
  <c r="C145" i="52"/>
  <c r="E173" i="52"/>
  <c r="C191" i="52"/>
  <c r="O205" i="52"/>
  <c r="C233" i="52"/>
  <c r="C264" i="52"/>
  <c r="C287" i="52"/>
  <c r="L286" i="52"/>
  <c r="C286" i="52" s="1"/>
  <c r="C74" i="52"/>
  <c r="F76" i="52"/>
  <c r="C78" i="52"/>
  <c r="C98" i="52"/>
  <c r="F103" i="52"/>
  <c r="C109" i="52"/>
  <c r="L112" i="52"/>
  <c r="C117" i="52"/>
  <c r="F122" i="52"/>
  <c r="L144" i="52"/>
  <c r="C152" i="52"/>
  <c r="C167" i="52"/>
  <c r="D174" i="52"/>
  <c r="D173" i="52" s="1"/>
  <c r="D52" i="52" s="1"/>
  <c r="H174" i="52"/>
  <c r="H173" i="52" s="1"/>
  <c r="L175" i="52"/>
  <c r="L174" i="52" s="1"/>
  <c r="C183" i="52"/>
  <c r="L184" i="52"/>
  <c r="F187" i="52"/>
  <c r="L205" i="52"/>
  <c r="L204" i="52" s="1"/>
  <c r="F205" i="52"/>
  <c r="O238" i="52"/>
  <c r="O231" i="52" s="1"/>
  <c r="C263" i="52"/>
  <c r="C267" i="52"/>
  <c r="M270" i="52"/>
  <c r="M269" i="52" s="1"/>
  <c r="C70" i="52"/>
  <c r="C81" i="52"/>
  <c r="C86" i="52"/>
  <c r="L89" i="52"/>
  <c r="C89" i="52" s="1"/>
  <c r="C125" i="52"/>
  <c r="I136" i="52"/>
  <c r="C136" i="52" s="1"/>
  <c r="I144" i="52"/>
  <c r="O160" i="52"/>
  <c r="I175" i="52"/>
  <c r="I174" i="52" s="1"/>
  <c r="O179" i="52"/>
  <c r="O174" i="52" s="1"/>
  <c r="O173" i="52" s="1"/>
  <c r="I184" i="52"/>
  <c r="E195" i="52"/>
  <c r="M195" i="52"/>
  <c r="C200" i="52"/>
  <c r="I198" i="52"/>
  <c r="O216" i="52"/>
  <c r="C224" i="52"/>
  <c r="C225" i="52"/>
  <c r="C228" i="52"/>
  <c r="C229" i="52"/>
  <c r="E230" i="52"/>
  <c r="J230" i="52"/>
  <c r="C241" i="52"/>
  <c r="F238" i="52"/>
  <c r="L246" i="52"/>
  <c r="L231" i="52" s="1"/>
  <c r="L230" i="52" s="1"/>
  <c r="C277" i="52"/>
  <c r="O276" i="52"/>
  <c r="O270" i="52" s="1"/>
  <c r="O269" i="52" s="1"/>
  <c r="C284" i="52"/>
  <c r="F283" i="52"/>
  <c r="C283" i="52" s="1"/>
  <c r="C288" i="52"/>
  <c r="C296" i="52"/>
  <c r="H195" i="52"/>
  <c r="H194" i="52" s="1"/>
  <c r="C201" i="52"/>
  <c r="C208" i="52"/>
  <c r="C209" i="52"/>
  <c r="C220" i="52"/>
  <c r="C221" i="52"/>
  <c r="C232" i="52"/>
  <c r="D231" i="52"/>
  <c r="D230" i="52" s="1"/>
  <c r="D194" i="52" s="1"/>
  <c r="M230" i="52"/>
  <c r="C244" i="52"/>
  <c r="C245" i="52"/>
  <c r="C248" i="52"/>
  <c r="C249" i="52"/>
  <c r="F246" i="52"/>
  <c r="C253" i="52"/>
  <c r="O252" i="52"/>
  <c r="O251" i="52" s="1"/>
  <c r="C268" i="52"/>
  <c r="J270" i="52"/>
  <c r="J269" i="52" s="1"/>
  <c r="C285" i="52"/>
  <c r="O230" i="52" l="1"/>
  <c r="D51" i="52"/>
  <c r="I83" i="52"/>
  <c r="O130" i="52"/>
  <c r="G75" i="52"/>
  <c r="G289" i="52" s="1"/>
  <c r="E289" i="52"/>
  <c r="E52" i="52"/>
  <c r="N52" i="52"/>
  <c r="N51" i="52" s="1"/>
  <c r="N289" i="52"/>
  <c r="J194" i="52"/>
  <c r="J51" i="52" s="1"/>
  <c r="L130" i="52"/>
  <c r="G52" i="52"/>
  <c r="G51" i="52" s="1"/>
  <c r="O204" i="52"/>
  <c r="O195" i="52" s="1"/>
  <c r="O194" i="52" s="1"/>
  <c r="K289" i="52"/>
  <c r="O75" i="52"/>
  <c r="O52" i="52" s="1"/>
  <c r="C160" i="52"/>
  <c r="H52" i="52"/>
  <c r="H51" i="52" s="1"/>
  <c r="H290" i="52" s="1"/>
  <c r="C184" i="52"/>
  <c r="C144" i="52"/>
  <c r="L173" i="52"/>
  <c r="L83" i="52"/>
  <c r="H289" i="52"/>
  <c r="C69" i="52"/>
  <c r="M52" i="52"/>
  <c r="O289" i="52"/>
  <c r="N50" i="52"/>
  <c r="N290" i="52"/>
  <c r="J289" i="52"/>
  <c r="D50" i="52"/>
  <c r="D24" i="52"/>
  <c r="C175" i="52"/>
  <c r="L195" i="52"/>
  <c r="L194" i="52" s="1"/>
  <c r="I292" i="52"/>
  <c r="I291" i="52" s="1"/>
  <c r="C21" i="52"/>
  <c r="D289" i="52"/>
  <c r="C216" i="52"/>
  <c r="I130" i="52"/>
  <c r="I75" i="52" s="1"/>
  <c r="L292" i="52"/>
  <c r="L291" i="52" s="1"/>
  <c r="F83" i="52"/>
  <c r="C83" i="52" s="1"/>
  <c r="C84" i="52"/>
  <c r="C27" i="52"/>
  <c r="L26" i="52"/>
  <c r="C276" i="52"/>
  <c r="C55" i="52"/>
  <c r="I54" i="52"/>
  <c r="I53" i="52" s="1"/>
  <c r="K194" i="52"/>
  <c r="K51" i="52" s="1"/>
  <c r="C238" i="52"/>
  <c r="M194" i="52"/>
  <c r="I173" i="52"/>
  <c r="C122" i="52"/>
  <c r="C103" i="52"/>
  <c r="C252" i="52"/>
  <c r="F251" i="52"/>
  <c r="C251" i="52" s="1"/>
  <c r="F231" i="52"/>
  <c r="F130" i="52"/>
  <c r="C131" i="52"/>
  <c r="C77" i="52"/>
  <c r="C58" i="52"/>
  <c r="F54" i="52"/>
  <c r="C45" i="52"/>
  <c r="C179" i="52"/>
  <c r="C198" i="52"/>
  <c r="I196" i="52"/>
  <c r="C112" i="52"/>
  <c r="C76" i="52"/>
  <c r="C95" i="52"/>
  <c r="C246" i="52"/>
  <c r="E194" i="52"/>
  <c r="E51" i="52" s="1"/>
  <c r="F67" i="52"/>
  <c r="C67" i="52" s="1"/>
  <c r="M289" i="52"/>
  <c r="C205" i="52"/>
  <c r="F204" i="52"/>
  <c r="C188" i="52"/>
  <c r="I187" i="52"/>
  <c r="C187" i="52" s="1"/>
  <c r="L53" i="52"/>
  <c r="F173" i="52"/>
  <c r="C174" i="52"/>
  <c r="L75" i="52"/>
  <c r="F270" i="52"/>
  <c r="C272" i="52"/>
  <c r="C166" i="52"/>
  <c r="F165" i="52"/>
  <c r="C165" i="52" s="1"/>
  <c r="F291" i="52"/>
  <c r="L289" i="52" l="1"/>
  <c r="O51" i="52"/>
  <c r="O50" i="52"/>
  <c r="O290" i="52"/>
  <c r="G24" i="52"/>
  <c r="I24" i="52" s="1"/>
  <c r="I20" i="52" s="1"/>
  <c r="G50" i="52"/>
  <c r="H50" i="52"/>
  <c r="C173" i="52"/>
  <c r="F75" i="52"/>
  <c r="C75" i="52" s="1"/>
  <c r="M51" i="52"/>
  <c r="K50" i="52"/>
  <c r="K290" i="52"/>
  <c r="I52" i="52"/>
  <c r="F24" i="52"/>
  <c r="D20" i="52"/>
  <c r="J50" i="52"/>
  <c r="J290" i="52"/>
  <c r="C204" i="52"/>
  <c r="F195" i="52"/>
  <c r="C291" i="52"/>
  <c r="F269" i="52"/>
  <c r="C270" i="52"/>
  <c r="L52" i="52"/>
  <c r="L51" i="52" s="1"/>
  <c r="L50" i="52" s="1"/>
  <c r="I195" i="52"/>
  <c r="C196" i="52"/>
  <c r="M50" i="52"/>
  <c r="M290" i="52"/>
  <c r="C292" i="52"/>
  <c r="E290" i="52"/>
  <c r="E50" i="52"/>
  <c r="F230" i="52"/>
  <c r="C230" i="52" s="1"/>
  <c r="C231" i="52"/>
  <c r="C26" i="52"/>
  <c r="L20" i="52"/>
  <c r="C54" i="52"/>
  <c r="F53" i="52"/>
  <c r="C130" i="52"/>
  <c r="D290" i="52"/>
  <c r="G290" i="52"/>
  <c r="G20" i="52" l="1"/>
  <c r="L290" i="52"/>
  <c r="C269" i="52"/>
  <c r="F289" i="52"/>
  <c r="C24" i="52"/>
  <c r="F20" i="52"/>
  <c r="C20" i="52" s="1"/>
  <c r="F52" i="52"/>
  <c r="C53" i="52"/>
  <c r="I194" i="52"/>
  <c r="I51" i="52" s="1"/>
  <c r="I289" i="52"/>
  <c r="F194" i="52"/>
  <c r="C195" i="52"/>
  <c r="I290" i="52" l="1"/>
  <c r="I50" i="52"/>
  <c r="C194" i="52"/>
  <c r="F51" i="52"/>
  <c r="C52" i="52"/>
  <c r="C289" i="52"/>
  <c r="F290" i="52" l="1"/>
  <c r="C290" i="52" s="1"/>
  <c r="F50" i="52"/>
  <c r="C50" i="52" s="1"/>
  <c r="C51" i="52"/>
  <c r="O301" i="51" l="1"/>
  <c r="L301" i="51"/>
  <c r="I301" i="51"/>
  <c r="F301" i="51"/>
  <c r="O300" i="51"/>
  <c r="L300" i="51"/>
  <c r="I300" i="51"/>
  <c r="F300" i="51"/>
  <c r="O299" i="51"/>
  <c r="L299" i="51"/>
  <c r="I299" i="51"/>
  <c r="F299" i="51"/>
  <c r="O298" i="51"/>
  <c r="L298" i="51"/>
  <c r="I298" i="51"/>
  <c r="F298" i="51"/>
  <c r="C298" i="51" s="1"/>
  <c r="O297" i="51"/>
  <c r="L297" i="51"/>
  <c r="I297" i="51"/>
  <c r="F297" i="51"/>
  <c r="O296" i="51"/>
  <c r="L296" i="51"/>
  <c r="I296" i="51"/>
  <c r="F296" i="51"/>
  <c r="O295" i="51"/>
  <c r="L295" i="51"/>
  <c r="I295" i="51"/>
  <c r="F295" i="51"/>
  <c r="O294" i="51"/>
  <c r="L294" i="51"/>
  <c r="I294" i="51"/>
  <c r="I293" i="51" s="1"/>
  <c r="F294" i="51"/>
  <c r="N293" i="51"/>
  <c r="M293" i="51"/>
  <c r="K293" i="51"/>
  <c r="J293" i="51"/>
  <c r="H293" i="51"/>
  <c r="G293" i="51"/>
  <c r="E293" i="51"/>
  <c r="D293" i="51"/>
  <c r="O288" i="51"/>
  <c r="L288" i="51"/>
  <c r="I288" i="51"/>
  <c r="F288" i="51"/>
  <c r="O287" i="51"/>
  <c r="L287" i="51"/>
  <c r="L286" i="51" s="1"/>
  <c r="I287" i="51"/>
  <c r="F287" i="51"/>
  <c r="F286" i="51" s="1"/>
  <c r="O286" i="51"/>
  <c r="N286" i="51"/>
  <c r="M286" i="51"/>
  <c r="K286" i="51"/>
  <c r="J286" i="51"/>
  <c r="H286" i="51"/>
  <c r="G286" i="51"/>
  <c r="E286" i="51"/>
  <c r="D286" i="51"/>
  <c r="O285" i="51"/>
  <c r="L285" i="51"/>
  <c r="L284" i="51" s="1"/>
  <c r="L283" i="51" s="1"/>
  <c r="I285" i="51"/>
  <c r="F285" i="51"/>
  <c r="O284" i="51"/>
  <c r="O283" i="51" s="1"/>
  <c r="N284" i="51"/>
  <c r="M284" i="51"/>
  <c r="M283" i="51" s="1"/>
  <c r="K284" i="51"/>
  <c r="K283" i="51" s="1"/>
  <c r="J284" i="51"/>
  <c r="I284" i="51"/>
  <c r="I283" i="51" s="1"/>
  <c r="H284" i="51"/>
  <c r="G284" i="51"/>
  <c r="G283" i="51" s="1"/>
  <c r="E284" i="51"/>
  <c r="E283" i="51" s="1"/>
  <c r="D284" i="51"/>
  <c r="N283" i="51"/>
  <c r="J283" i="51"/>
  <c r="H283" i="51"/>
  <c r="D283" i="51"/>
  <c r="O282" i="51"/>
  <c r="O281" i="51" s="1"/>
  <c r="L282" i="51"/>
  <c r="I282" i="51"/>
  <c r="I281" i="51" s="1"/>
  <c r="F282" i="51"/>
  <c r="N281" i="51"/>
  <c r="M281" i="51"/>
  <c r="L281" i="51"/>
  <c r="K281" i="51"/>
  <c r="J281" i="51"/>
  <c r="H281" i="51"/>
  <c r="G281" i="51"/>
  <c r="F281" i="51"/>
  <c r="E281" i="51"/>
  <c r="D281" i="51"/>
  <c r="O280" i="51"/>
  <c r="L280" i="51"/>
  <c r="I280" i="51"/>
  <c r="F280" i="51"/>
  <c r="O279" i="51"/>
  <c r="L279" i="51"/>
  <c r="I279" i="51"/>
  <c r="F279" i="51"/>
  <c r="C279" i="51" s="1"/>
  <c r="O278" i="51"/>
  <c r="L278" i="51"/>
  <c r="I278" i="51"/>
  <c r="F278" i="51"/>
  <c r="C278" i="51" s="1"/>
  <c r="O277" i="51"/>
  <c r="L277" i="51"/>
  <c r="L276" i="51" s="1"/>
  <c r="I277" i="51"/>
  <c r="I276" i="51" s="1"/>
  <c r="F277" i="51"/>
  <c r="N276" i="51"/>
  <c r="M276" i="51"/>
  <c r="K276" i="51"/>
  <c r="J276" i="51"/>
  <c r="H276" i="51"/>
  <c r="G276" i="51"/>
  <c r="E276" i="51"/>
  <c r="D276" i="51"/>
  <c r="O275" i="51"/>
  <c r="L275" i="51"/>
  <c r="I275" i="51"/>
  <c r="F275" i="51"/>
  <c r="O274" i="51"/>
  <c r="L274" i="51"/>
  <c r="I274" i="51"/>
  <c r="F274" i="51"/>
  <c r="C274" i="51" s="1"/>
  <c r="O273" i="51"/>
  <c r="L273" i="51"/>
  <c r="L272" i="51" s="1"/>
  <c r="I273" i="51"/>
  <c r="F273" i="51"/>
  <c r="N272" i="51"/>
  <c r="M272" i="51"/>
  <c r="K272" i="51"/>
  <c r="J272" i="51"/>
  <c r="I272" i="51"/>
  <c r="H272" i="51"/>
  <c r="G272" i="51"/>
  <c r="E272" i="51"/>
  <c r="E270" i="51" s="1"/>
  <c r="E269" i="51" s="1"/>
  <c r="D272" i="51"/>
  <c r="O271" i="51"/>
  <c r="L271" i="51"/>
  <c r="I271" i="51"/>
  <c r="F271" i="51"/>
  <c r="N270" i="51"/>
  <c r="K270" i="51"/>
  <c r="K269" i="51" s="1"/>
  <c r="J270" i="51"/>
  <c r="J269" i="51" s="1"/>
  <c r="H270" i="51"/>
  <c r="G270" i="51"/>
  <c r="G269" i="51" s="1"/>
  <c r="D270" i="51"/>
  <c r="N269" i="51"/>
  <c r="H269" i="51"/>
  <c r="O268" i="51"/>
  <c r="L268" i="51"/>
  <c r="I268" i="51"/>
  <c r="F268" i="51"/>
  <c r="O267" i="51"/>
  <c r="L267" i="51"/>
  <c r="I267" i="51"/>
  <c r="F267" i="51"/>
  <c r="O266" i="51"/>
  <c r="L266" i="51"/>
  <c r="I266" i="51"/>
  <c r="F266" i="51"/>
  <c r="O265" i="51"/>
  <c r="L265" i="51"/>
  <c r="I265" i="51"/>
  <c r="F265" i="51"/>
  <c r="N264" i="51"/>
  <c r="M264" i="51"/>
  <c r="K264" i="51"/>
  <c r="J264" i="51"/>
  <c r="H264" i="51"/>
  <c r="G264" i="51"/>
  <c r="E264" i="51"/>
  <c r="D264" i="51"/>
  <c r="O263" i="51"/>
  <c r="L263" i="51"/>
  <c r="I263" i="51"/>
  <c r="F263" i="51"/>
  <c r="O262" i="51"/>
  <c r="L262" i="51"/>
  <c r="I262" i="51"/>
  <c r="F262" i="51"/>
  <c r="O261" i="51"/>
  <c r="L261" i="51"/>
  <c r="I261" i="51"/>
  <c r="I260" i="51" s="1"/>
  <c r="F261" i="51"/>
  <c r="N260" i="51"/>
  <c r="M260" i="51"/>
  <c r="K260" i="51"/>
  <c r="K259" i="51" s="1"/>
  <c r="J260" i="51"/>
  <c r="H260" i="51"/>
  <c r="G260" i="51"/>
  <c r="G259" i="51" s="1"/>
  <c r="E260" i="51"/>
  <c r="E259" i="51" s="1"/>
  <c r="D260" i="51"/>
  <c r="N259" i="51"/>
  <c r="J259" i="51"/>
  <c r="H259" i="51"/>
  <c r="D259" i="51"/>
  <c r="O258" i="51"/>
  <c r="L258" i="51"/>
  <c r="I258" i="51"/>
  <c r="F258" i="51"/>
  <c r="O257" i="51"/>
  <c r="L257" i="51"/>
  <c r="I257" i="51"/>
  <c r="F257" i="51"/>
  <c r="O256" i="51"/>
  <c r="L256" i="51"/>
  <c r="I256" i="51"/>
  <c r="F256" i="51"/>
  <c r="O255" i="51"/>
  <c r="L255" i="51"/>
  <c r="I255" i="51"/>
  <c r="F255" i="51"/>
  <c r="O254" i="51"/>
  <c r="L254" i="51"/>
  <c r="I254" i="51"/>
  <c r="I252" i="51" s="1"/>
  <c r="I251" i="51" s="1"/>
  <c r="F254" i="51"/>
  <c r="C254" i="51" s="1"/>
  <c r="O253" i="51"/>
  <c r="L253" i="51"/>
  <c r="I253" i="51"/>
  <c r="F253" i="51"/>
  <c r="N252" i="51"/>
  <c r="M252" i="51"/>
  <c r="M251" i="51" s="1"/>
  <c r="K252" i="51"/>
  <c r="K251" i="51" s="1"/>
  <c r="J252" i="51"/>
  <c r="H252" i="51"/>
  <c r="H251" i="51" s="1"/>
  <c r="G252" i="51"/>
  <c r="G251" i="51" s="1"/>
  <c r="E252" i="51"/>
  <c r="E251" i="51" s="1"/>
  <c r="D252" i="51"/>
  <c r="N251" i="51"/>
  <c r="J251" i="51"/>
  <c r="D251" i="51"/>
  <c r="O250" i="51"/>
  <c r="L250" i="51"/>
  <c r="I250" i="51"/>
  <c r="F250" i="51"/>
  <c r="O249" i="51"/>
  <c r="L249" i="51"/>
  <c r="I249" i="51"/>
  <c r="F249" i="51"/>
  <c r="O248" i="51"/>
  <c r="L248" i="51"/>
  <c r="I248" i="51"/>
  <c r="F248" i="51"/>
  <c r="O247" i="51"/>
  <c r="L247" i="51"/>
  <c r="L246" i="51" s="1"/>
  <c r="I247" i="51"/>
  <c r="F247" i="51"/>
  <c r="O246" i="51"/>
  <c r="N246" i="51"/>
  <c r="M246" i="51"/>
  <c r="K246" i="51"/>
  <c r="J246" i="51"/>
  <c r="H246" i="51"/>
  <c r="G246" i="51"/>
  <c r="E246" i="51"/>
  <c r="D246" i="51"/>
  <c r="O245" i="51"/>
  <c r="L245" i="51"/>
  <c r="I245" i="51"/>
  <c r="F245" i="51"/>
  <c r="C245" i="51" s="1"/>
  <c r="O244" i="51"/>
  <c r="L244" i="51"/>
  <c r="I244" i="51"/>
  <c r="F244" i="51"/>
  <c r="O243" i="51"/>
  <c r="L243" i="51"/>
  <c r="I243" i="51"/>
  <c r="F243" i="51"/>
  <c r="O242" i="51"/>
  <c r="L242" i="51"/>
  <c r="I242" i="51"/>
  <c r="F242" i="51"/>
  <c r="C242" i="51" s="1"/>
  <c r="O241" i="51"/>
  <c r="L241" i="51"/>
  <c r="I241" i="51"/>
  <c r="F241" i="51"/>
  <c r="O240" i="51"/>
  <c r="L240" i="51"/>
  <c r="I240" i="51"/>
  <c r="F240" i="51"/>
  <c r="O239" i="51"/>
  <c r="L239" i="51"/>
  <c r="L238" i="51" s="1"/>
  <c r="I239" i="51"/>
  <c r="F239" i="51"/>
  <c r="O238" i="51"/>
  <c r="N238" i="51"/>
  <c r="M238" i="51"/>
  <c r="K238" i="51"/>
  <c r="J238" i="51"/>
  <c r="H238" i="51"/>
  <c r="G238" i="51"/>
  <c r="E238" i="51"/>
  <c r="D238" i="51"/>
  <c r="O237" i="51"/>
  <c r="L237" i="51"/>
  <c r="I237" i="51"/>
  <c r="F237" i="51"/>
  <c r="O236" i="51"/>
  <c r="O235" i="51" s="1"/>
  <c r="L236" i="51"/>
  <c r="I236" i="51"/>
  <c r="I235" i="51" s="1"/>
  <c r="F236" i="51"/>
  <c r="N235" i="51"/>
  <c r="M235" i="51"/>
  <c r="L235" i="51"/>
  <c r="K235" i="51"/>
  <c r="J235" i="51"/>
  <c r="H235" i="51"/>
  <c r="G235" i="51"/>
  <c r="F235" i="51"/>
  <c r="E235" i="51"/>
  <c r="D235" i="51"/>
  <c r="O234" i="51"/>
  <c r="O233" i="51" s="1"/>
  <c r="L234" i="51"/>
  <c r="I234" i="51"/>
  <c r="I233" i="51" s="1"/>
  <c r="F234" i="51"/>
  <c r="C234" i="51"/>
  <c r="N233" i="51"/>
  <c r="M233" i="51"/>
  <c r="L233" i="51"/>
  <c r="K233" i="51"/>
  <c r="J233" i="51"/>
  <c r="H233" i="51"/>
  <c r="H231" i="51" s="1"/>
  <c r="G233" i="51"/>
  <c r="F233" i="51"/>
  <c r="E233" i="51"/>
  <c r="D233" i="51"/>
  <c r="D231" i="51" s="1"/>
  <c r="D230" i="51" s="1"/>
  <c r="O232" i="51"/>
  <c r="L232" i="51"/>
  <c r="I232" i="51"/>
  <c r="F232" i="51"/>
  <c r="M231" i="51"/>
  <c r="J231" i="51"/>
  <c r="J230" i="51" s="1"/>
  <c r="E231" i="51"/>
  <c r="O229" i="51"/>
  <c r="L229" i="51"/>
  <c r="I229" i="51"/>
  <c r="F229" i="51"/>
  <c r="O228" i="51"/>
  <c r="L228" i="51"/>
  <c r="I228" i="51"/>
  <c r="I227" i="51" s="1"/>
  <c r="F228" i="51"/>
  <c r="O227" i="51"/>
  <c r="N227" i="51"/>
  <c r="M227" i="51"/>
  <c r="L227" i="51"/>
  <c r="K227" i="51"/>
  <c r="J227" i="51"/>
  <c r="H227" i="51"/>
  <c r="G227" i="51"/>
  <c r="F227" i="51"/>
  <c r="C227" i="51" s="1"/>
  <c r="E227" i="51"/>
  <c r="D227" i="51"/>
  <c r="O226" i="51"/>
  <c r="L226" i="51"/>
  <c r="I226" i="51"/>
  <c r="F226" i="51"/>
  <c r="O225" i="51"/>
  <c r="L225" i="51"/>
  <c r="I225" i="51"/>
  <c r="F225" i="51"/>
  <c r="O224" i="51"/>
  <c r="L224" i="51"/>
  <c r="I224" i="51"/>
  <c r="F224" i="51"/>
  <c r="O223" i="51"/>
  <c r="L223" i="51"/>
  <c r="I223" i="51"/>
  <c r="F223" i="51"/>
  <c r="O222" i="51"/>
  <c r="L222" i="51"/>
  <c r="I222" i="51"/>
  <c r="F222" i="51"/>
  <c r="C222" i="51" s="1"/>
  <c r="O221" i="51"/>
  <c r="L221" i="51"/>
  <c r="I221" i="51"/>
  <c r="F221" i="51"/>
  <c r="O220" i="51"/>
  <c r="L220" i="51"/>
  <c r="I220" i="51"/>
  <c r="F220" i="51"/>
  <c r="O219" i="51"/>
  <c r="L219" i="51"/>
  <c r="I219" i="51"/>
  <c r="F219" i="51"/>
  <c r="O218" i="51"/>
  <c r="L218" i="51"/>
  <c r="I218" i="51"/>
  <c r="F218" i="51"/>
  <c r="O217" i="51"/>
  <c r="L217" i="51"/>
  <c r="I217" i="51"/>
  <c r="F217" i="51"/>
  <c r="N216" i="51"/>
  <c r="M216" i="51"/>
  <c r="K216" i="51"/>
  <c r="J216" i="51"/>
  <c r="I216" i="51"/>
  <c r="H216" i="51"/>
  <c r="G216" i="51"/>
  <c r="E216" i="51"/>
  <c r="D216" i="51"/>
  <c r="O215" i="51"/>
  <c r="L215" i="51"/>
  <c r="I215" i="51"/>
  <c r="F215" i="51"/>
  <c r="O214" i="51"/>
  <c r="L214" i="51"/>
  <c r="I214" i="51"/>
  <c r="F214" i="51"/>
  <c r="O213" i="51"/>
  <c r="L213" i="51"/>
  <c r="I213" i="51"/>
  <c r="F213" i="51"/>
  <c r="O212" i="51"/>
  <c r="L212" i="51"/>
  <c r="I212" i="51"/>
  <c r="F212" i="51"/>
  <c r="O211" i="51"/>
  <c r="L211" i="51"/>
  <c r="I211" i="51"/>
  <c r="F211" i="51"/>
  <c r="O210" i="51"/>
  <c r="L210" i="51"/>
  <c r="C210" i="51" s="1"/>
  <c r="I210" i="51"/>
  <c r="F210" i="51"/>
  <c r="O209" i="51"/>
  <c r="L209" i="51"/>
  <c r="I209" i="51"/>
  <c r="F209" i="51"/>
  <c r="O208" i="51"/>
  <c r="L208" i="51"/>
  <c r="I208" i="51"/>
  <c r="F208" i="51"/>
  <c r="O207" i="51"/>
  <c r="L207" i="51"/>
  <c r="I207" i="51"/>
  <c r="F207" i="51"/>
  <c r="O206" i="51"/>
  <c r="O205" i="51" s="1"/>
  <c r="L206" i="51"/>
  <c r="C206" i="51" s="1"/>
  <c r="I206" i="51"/>
  <c r="F206" i="51"/>
  <c r="N205" i="51"/>
  <c r="M205" i="51"/>
  <c r="K205" i="51"/>
  <c r="K204" i="51" s="1"/>
  <c r="J205" i="51"/>
  <c r="H205" i="51"/>
  <c r="H204" i="51" s="1"/>
  <c r="G205" i="51"/>
  <c r="E205" i="51"/>
  <c r="D205" i="51"/>
  <c r="D204" i="51" s="1"/>
  <c r="M204" i="51"/>
  <c r="G204" i="51"/>
  <c r="O203" i="51"/>
  <c r="L203" i="51"/>
  <c r="I203" i="51"/>
  <c r="F203" i="51"/>
  <c r="O202" i="51"/>
  <c r="L202" i="51"/>
  <c r="I202" i="51"/>
  <c r="C202" i="51" s="1"/>
  <c r="F202" i="51"/>
  <c r="O201" i="51"/>
  <c r="L201" i="51"/>
  <c r="I201" i="51"/>
  <c r="F201" i="51"/>
  <c r="O200" i="51"/>
  <c r="L200" i="51"/>
  <c r="I200" i="51"/>
  <c r="F200" i="51"/>
  <c r="O199" i="51"/>
  <c r="L199" i="51"/>
  <c r="L198" i="51" s="1"/>
  <c r="I199" i="51"/>
  <c r="F199" i="51"/>
  <c r="O198" i="51"/>
  <c r="N198" i="51"/>
  <c r="M198" i="51"/>
  <c r="K198" i="51"/>
  <c r="K196" i="51" s="1"/>
  <c r="J198" i="51"/>
  <c r="H198" i="51"/>
  <c r="G198" i="51"/>
  <c r="G196" i="51" s="1"/>
  <c r="G195" i="51" s="1"/>
  <c r="F198" i="51"/>
  <c r="E198" i="51"/>
  <c r="D198" i="51"/>
  <c r="O197" i="51"/>
  <c r="L197" i="51"/>
  <c r="I197" i="51"/>
  <c r="F197" i="51"/>
  <c r="N196" i="51"/>
  <c r="M196" i="51"/>
  <c r="M195" i="51" s="1"/>
  <c r="J196" i="51"/>
  <c r="H196" i="51"/>
  <c r="E196" i="51"/>
  <c r="D196" i="51"/>
  <c r="O193" i="51"/>
  <c r="L193" i="51"/>
  <c r="I193" i="51"/>
  <c r="F193" i="51"/>
  <c r="O192" i="51"/>
  <c r="N192" i="51"/>
  <c r="N191" i="51" s="1"/>
  <c r="M192" i="51"/>
  <c r="M191" i="51" s="1"/>
  <c r="L192" i="51"/>
  <c r="L191" i="51" s="1"/>
  <c r="K192" i="51"/>
  <c r="J192" i="51"/>
  <c r="J191" i="51" s="1"/>
  <c r="I192" i="51"/>
  <c r="I191" i="51" s="1"/>
  <c r="H192" i="51"/>
  <c r="G192" i="51"/>
  <c r="E192" i="51"/>
  <c r="E191" i="51" s="1"/>
  <c r="D192" i="51"/>
  <c r="D191" i="51" s="1"/>
  <c r="O191" i="51"/>
  <c r="K191" i="51"/>
  <c r="H191" i="51"/>
  <c r="G191" i="51"/>
  <c r="O190" i="51"/>
  <c r="L190" i="51"/>
  <c r="I190" i="51"/>
  <c r="F190" i="51"/>
  <c r="O189" i="51"/>
  <c r="O188" i="51" s="1"/>
  <c r="O187" i="51" s="1"/>
  <c r="L189" i="51"/>
  <c r="L188" i="51" s="1"/>
  <c r="I189" i="51"/>
  <c r="I188" i="51" s="1"/>
  <c r="F189" i="51"/>
  <c r="N188" i="51"/>
  <c r="M188" i="51"/>
  <c r="K188" i="51"/>
  <c r="K187" i="51" s="1"/>
  <c r="J188" i="51"/>
  <c r="H188" i="51"/>
  <c r="G188" i="51"/>
  <c r="G187" i="51" s="1"/>
  <c r="F188" i="51"/>
  <c r="E188" i="51"/>
  <c r="D188" i="51"/>
  <c r="O186" i="51"/>
  <c r="L186" i="51"/>
  <c r="I186" i="51"/>
  <c r="F186" i="51"/>
  <c r="O185" i="51"/>
  <c r="L185" i="51"/>
  <c r="I185" i="51"/>
  <c r="I184" i="51" s="1"/>
  <c r="F185" i="51"/>
  <c r="O184" i="51"/>
  <c r="N184" i="51"/>
  <c r="M184" i="51"/>
  <c r="K184" i="51"/>
  <c r="J184" i="51"/>
  <c r="H184" i="51"/>
  <c r="G184" i="51"/>
  <c r="F184" i="51"/>
  <c r="E184" i="51"/>
  <c r="D184" i="51"/>
  <c r="O183" i="51"/>
  <c r="L183" i="51"/>
  <c r="I183" i="51"/>
  <c r="F183" i="51"/>
  <c r="O182" i="51"/>
  <c r="L182" i="51"/>
  <c r="I182" i="51"/>
  <c r="F182" i="51"/>
  <c r="O181" i="51"/>
  <c r="L181" i="51"/>
  <c r="C181" i="51" s="1"/>
  <c r="I181" i="51"/>
  <c r="F181" i="51"/>
  <c r="O180" i="51"/>
  <c r="L180" i="51"/>
  <c r="I180" i="51"/>
  <c r="F180" i="51"/>
  <c r="N179" i="51"/>
  <c r="M179" i="51"/>
  <c r="K179" i="51"/>
  <c r="J179" i="51"/>
  <c r="H179" i="51"/>
  <c r="G179" i="51"/>
  <c r="E179" i="51"/>
  <c r="D179" i="51"/>
  <c r="O178" i="51"/>
  <c r="L178" i="51"/>
  <c r="I178" i="51"/>
  <c r="F178" i="51"/>
  <c r="O177" i="51"/>
  <c r="L177" i="51"/>
  <c r="I177" i="51"/>
  <c r="F177" i="51"/>
  <c r="O176" i="51"/>
  <c r="L176" i="51"/>
  <c r="L175" i="51" s="1"/>
  <c r="I176" i="51"/>
  <c r="F176" i="51"/>
  <c r="N175" i="51"/>
  <c r="M175" i="51"/>
  <c r="K175" i="51"/>
  <c r="J175" i="51"/>
  <c r="H175" i="51"/>
  <c r="G175" i="51"/>
  <c r="G174" i="51" s="1"/>
  <c r="G173" i="51" s="1"/>
  <c r="E175" i="51"/>
  <c r="D175" i="51"/>
  <c r="N174" i="51"/>
  <c r="N173" i="51" s="1"/>
  <c r="M174" i="51"/>
  <c r="M173" i="51" s="1"/>
  <c r="O172" i="51"/>
  <c r="L172" i="51"/>
  <c r="I172" i="51"/>
  <c r="F172" i="51"/>
  <c r="O171" i="51"/>
  <c r="L171" i="51"/>
  <c r="I171" i="51"/>
  <c r="F171" i="51"/>
  <c r="O170" i="51"/>
  <c r="L170" i="51"/>
  <c r="I170" i="51"/>
  <c r="F170" i="51"/>
  <c r="O169" i="51"/>
  <c r="L169" i="51"/>
  <c r="I169" i="51"/>
  <c r="F169" i="51"/>
  <c r="O168" i="51"/>
  <c r="L168" i="51"/>
  <c r="I168" i="51"/>
  <c r="F168" i="51"/>
  <c r="O167" i="51"/>
  <c r="O166" i="51" s="1"/>
  <c r="O165" i="51" s="1"/>
  <c r="L167" i="51"/>
  <c r="I167" i="51"/>
  <c r="F167" i="51"/>
  <c r="N166" i="51"/>
  <c r="N165" i="51" s="1"/>
  <c r="M166" i="51"/>
  <c r="M165" i="51" s="1"/>
  <c r="K166" i="51"/>
  <c r="K165" i="51" s="1"/>
  <c r="J166" i="51"/>
  <c r="J165" i="51" s="1"/>
  <c r="H166" i="51"/>
  <c r="H165" i="51" s="1"/>
  <c r="G166" i="51"/>
  <c r="G165" i="51" s="1"/>
  <c r="E166" i="51"/>
  <c r="E165" i="51" s="1"/>
  <c r="D166" i="51"/>
  <c r="D165" i="51" s="1"/>
  <c r="O164" i="51"/>
  <c r="L164" i="51"/>
  <c r="I164" i="51"/>
  <c r="F164" i="51"/>
  <c r="O163" i="51"/>
  <c r="L163" i="51"/>
  <c r="I163" i="51"/>
  <c r="F163" i="51"/>
  <c r="O162" i="51"/>
  <c r="L162" i="51"/>
  <c r="I162" i="51"/>
  <c r="F162" i="51"/>
  <c r="O161" i="51"/>
  <c r="O160" i="51" s="1"/>
  <c r="L161" i="51"/>
  <c r="C161" i="51" s="1"/>
  <c r="I161" i="51"/>
  <c r="I160" i="51" s="1"/>
  <c r="F161" i="51"/>
  <c r="N160" i="51"/>
  <c r="M160" i="51"/>
  <c r="K160" i="51"/>
  <c r="J160" i="51"/>
  <c r="H160" i="51"/>
  <c r="G160" i="51"/>
  <c r="F160" i="51"/>
  <c r="E160" i="51"/>
  <c r="D160" i="51"/>
  <c r="O159" i="51"/>
  <c r="L159" i="51"/>
  <c r="I159" i="51"/>
  <c r="F159" i="51"/>
  <c r="O158" i="51"/>
  <c r="L158" i="51"/>
  <c r="I158" i="51"/>
  <c r="F158" i="51"/>
  <c r="O157" i="51"/>
  <c r="L157" i="51"/>
  <c r="I157" i="51"/>
  <c r="F157" i="51"/>
  <c r="O156" i="51"/>
  <c r="L156" i="51"/>
  <c r="I156" i="51"/>
  <c r="F156" i="51"/>
  <c r="O155" i="51"/>
  <c r="L155" i="51"/>
  <c r="I155" i="51"/>
  <c r="F155" i="51"/>
  <c r="O154" i="51"/>
  <c r="L154" i="51"/>
  <c r="I154" i="51"/>
  <c r="F154" i="51"/>
  <c r="O153" i="51"/>
  <c r="L153" i="51"/>
  <c r="I153" i="51"/>
  <c r="F153" i="51"/>
  <c r="O152" i="51"/>
  <c r="L152" i="51"/>
  <c r="I152" i="51"/>
  <c r="F152" i="51"/>
  <c r="N151" i="51"/>
  <c r="M151" i="51"/>
  <c r="K151" i="51"/>
  <c r="J151" i="51"/>
  <c r="I151" i="51"/>
  <c r="H151" i="51"/>
  <c r="G151" i="51"/>
  <c r="E151" i="51"/>
  <c r="D151" i="51"/>
  <c r="O150" i="51"/>
  <c r="L150" i="51"/>
  <c r="I150" i="51"/>
  <c r="F150" i="51"/>
  <c r="C150" i="51" s="1"/>
  <c r="O149" i="51"/>
  <c r="L149" i="51"/>
  <c r="I149" i="51"/>
  <c r="F149" i="51"/>
  <c r="O148" i="51"/>
  <c r="L148" i="51"/>
  <c r="I148" i="51"/>
  <c r="F148" i="51"/>
  <c r="C148" i="51" s="1"/>
  <c r="O147" i="51"/>
  <c r="L147" i="51"/>
  <c r="I147" i="51"/>
  <c r="F147" i="51"/>
  <c r="O146" i="51"/>
  <c r="L146" i="51"/>
  <c r="I146" i="51"/>
  <c r="F146" i="51"/>
  <c r="O145" i="51"/>
  <c r="L145" i="51"/>
  <c r="I145" i="51"/>
  <c r="I144" i="51" s="1"/>
  <c r="F145" i="51"/>
  <c r="O144" i="51"/>
  <c r="N144" i="51"/>
  <c r="M144" i="51"/>
  <c r="K144" i="51"/>
  <c r="J144" i="51"/>
  <c r="H144" i="51"/>
  <c r="G144" i="51"/>
  <c r="E144" i="51"/>
  <c r="D144" i="51"/>
  <c r="O143" i="51"/>
  <c r="L143" i="51"/>
  <c r="I143" i="51"/>
  <c r="F143" i="51"/>
  <c r="O142" i="51"/>
  <c r="L142" i="51"/>
  <c r="L141" i="51" s="1"/>
  <c r="I142" i="51"/>
  <c r="I141" i="51" s="1"/>
  <c r="F142" i="51"/>
  <c r="O141" i="51"/>
  <c r="N141" i="51"/>
  <c r="M141" i="51"/>
  <c r="K141" i="51"/>
  <c r="J141" i="51"/>
  <c r="H141" i="51"/>
  <c r="G141" i="51"/>
  <c r="F141" i="51"/>
  <c r="E141" i="51"/>
  <c r="D141" i="51"/>
  <c r="O140" i="51"/>
  <c r="L140" i="51"/>
  <c r="I140" i="51"/>
  <c r="F140" i="51"/>
  <c r="O139" i="51"/>
  <c r="L139" i="51"/>
  <c r="I139" i="51"/>
  <c r="F139" i="51"/>
  <c r="O138" i="51"/>
  <c r="L138" i="51"/>
  <c r="I138" i="51"/>
  <c r="F138" i="51"/>
  <c r="O137" i="51"/>
  <c r="L137" i="51"/>
  <c r="I137" i="51"/>
  <c r="I136" i="51" s="1"/>
  <c r="F137" i="51"/>
  <c r="O136" i="51"/>
  <c r="N136" i="51"/>
  <c r="M136" i="51"/>
  <c r="K136" i="51"/>
  <c r="J136" i="51"/>
  <c r="H136" i="51"/>
  <c r="G136" i="51"/>
  <c r="E136" i="51"/>
  <c r="D136" i="51"/>
  <c r="O135" i="51"/>
  <c r="L135" i="51"/>
  <c r="I135" i="51"/>
  <c r="F135" i="51"/>
  <c r="O134" i="51"/>
  <c r="L134" i="51"/>
  <c r="I134" i="51"/>
  <c r="F134" i="51"/>
  <c r="O133" i="51"/>
  <c r="L133" i="51"/>
  <c r="I133" i="51"/>
  <c r="F133" i="51"/>
  <c r="O132" i="51"/>
  <c r="O131" i="51" s="1"/>
  <c r="L132" i="51"/>
  <c r="I132" i="51"/>
  <c r="F132" i="51"/>
  <c r="C132" i="51" s="1"/>
  <c r="N131" i="51"/>
  <c r="M131" i="51"/>
  <c r="K131" i="51"/>
  <c r="J131" i="51"/>
  <c r="I131" i="51"/>
  <c r="H131" i="51"/>
  <c r="G131" i="51"/>
  <c r="G130" i="51" s="1"/>
  <c r="E131" i="51"/>
  <c r="D131" i="51"/>
  <c r="M130" i="51"/>
  <c r="J130" i="51"/>
  <c r="E130" i="51"/>
  <c r="O129" i="51"/>
  <c r="L129" i="51"/>
  <c r="I129" i="51"/>
  <c r="I128" i="51" s="1"/>
  <c r="F129" i="51"/>
  <c r="O128" i="51"/>
  <c r="N128" i="51"/>
  <c r="M128" i="51"/>
  <c r="K128" i="51"/>
  <c r="J128" i="51"/>
  <c r="H128" i="51"/>
  <c r="G128" i="51"/>
  <c r="F128" i="51"/>
  <c r="E128" i="51"/>
  <c r="D128" i="51"/>
  <c r="O127" i="51"/>
  <c r="L127" i="51"/>
  <c r="I127" i="51"/>
  <c r="F127" i="51"/>
  <c r="O126" i="51"/>
  <c r="L126" i="51"/>
  <c r="I126" i="51"/>
  <c r="F126" i="51"/>
  <c r="O125" i="51"/>
  <c r="L125" i="51"/>
  <c r="I125" i="51"/>
  <c r="F125" i="51"/>
  <c r="C125" i="51"/>
  <c r="O124" i="51"/>
  <c r="L124" i="51"/>
  <c r="I124" i="51"/>
  <c r="F124" i="51"/>
  <c r="C124" i="51" s="1"/>
  <c r="O123" i="51"/>
  <c r="L123" i="51"/>
  <c r="I123" i="51"/>
  <c r="I122" i="51" s="1"/>
  <c r="F123" i="51"/>
  <c r="N122" i="51"/>
  <c r="M122" i="51"/>
  <c r="K122" i="51"/>
  <c r="J122" i="51"/>
  <c r="H122" i="51"/>
  <c r="G122" i="51"/>
  <c r="E122" i="51"/>
  <c r="D122" i="51"/>
  <c r="O121" i="51"/>
  <c r="L121" i="51"/>
  <c r="I121" i="51"/>
  <c r="F121" i="51"/>
  <c r="O120" i="51"/>
  <c r="L120" i="51"/>
  <c r="I120" i="51"/>
  <c r="F120" i="51"/>
  <c r="O119" i="51"/>
  <c r="L119" i="51"/>
  <c r="I119" i="51"/>
  <c r="F119" i="51"/>
  <c r="O118" i="51"/>
  <c r="L118" i="51"/>
  <c r="I118" i="51"/>
  <c r="F118" i="51"/>
  <c r="O117" i="51"/>
  <c r="O116" i="51" s="1"/>
  <c r="L117" i="51"/>
  <c r="I117" i="51"/>
  <c r="I116" i="51" s="1"/>
  <c r="F117" i="51"/>
  <c r="C117" i="51" s="1"/>
  <c r="N116" i="51"/>
  <c r="M116" i="51"/>
  <c r="L116" i="51"/>
  <c r="K116" i="51"/>
  <c r="J116" i="51"/>
  <c r="H116" i="51"/>
  <c r="G116" i="51"/>
  <c r="E116" i="51"/>
  <c r="D116" i="51"/>
  <c r="O115" i="51"/>
  <c r="L115" i="51"/>
  <c r="I115" i="51"/>
  <c r="F115" i="51"/>
  <c r="O114" i="51"/>
  <c r="L114" i="51"/>
  <c r="I114" i="51"/>
  <c r="F114" i="51"/>
  <c r="O113" i="51"/>
  <c r="O112" i="51" s="1"/>
  <c r="L113" i="51"/>
  <c r="I113" i="51"/>
  <c r="I112" i="51" s="1"/>
  <c r="F113" i="51"/>
  <c r="N112" i="51"/>
  <c r="M112" i="51"/>
  <c r="L112" i="51"/>
  <c r="K112" i="51"/>
  <c r="J112" i="51"/>
  <c r="H112" i="51"/>
  <c r="G112" i="51"/>
  <c r="E112" i="51"/>
  <c r="D112" i="51"/>
  <c r="O111" i="51"/>
  <c r="L111" i="51"/>
  <c r="I111" i="51"/>
  <c r="F111" i="51"/>
  <c r="O110" i="51"/>
  <c r="L110" i="51"/>
  <c r="I110" i="51"/>
  <c r="F110" i="51"/>
  <c r="O109" i="51"/>
  <c r="L109" i="51"/>
  <c r="I109" i="51"/>
  <c r="F109" i="51"/>
  <c r="O108" i="51"/>
  <c r="L108" i="51"/>
  <c r="I108" i="51"/>
  <c r="F108" i="51"/>
  <c r="O107" i="51"/>
  <c r="L107" i="51"/>
  <c r="I107" i="51"/>
  <c r="F107" i="51"/>
  <c r="O106" i="51"/>
  <c r="L106" i="51"/>
  <c r="I106" i="51"/>
  <c r="F106" i="51"/>
  <c r="O105" i="51"/>
  <c r="L105" i="51"/>
  <c r="I105" i="51"/>
  <c r="F105" i="51"/>
  <c r="O104" i="51"/>
  <c r="L104" i="51"/>
  <c r="I104" i="51"/>
  <c r="I103" i="51" s="1"/>
  <c r="F104" i="51"/>
  <c r="N103" i="51"/>
  <c r="M103" i="51"/>
  <c r="K103" i="51"/>
  <c r="J103" i="51"/>
  <c r="H103" i="51"/>
  <c r="G103" i="51"/>
  <c r="E103" i="51"/>
  <c r="D103" i="51"/>
  <c r="O102" i="51"/>
  <c r="L102" i="51"/>
  <c r="I102" i="51"/>
  <c r="F102" i="51"/>
  <c r="O101" i="51"/>
  <c r="L101" i="51"/>
  <c r="I101" i="51"/>
  <c r="F101" i="51"/>
  <c r="O100" i="51"/>
  <c r="L100" i="51"/>
  <c r="I100" i="51"/>
  <c r="F100" i="51"/>
  <c r="O99" i="51"/>
  <c r="L99" i="51"/>
  <c r="I99" i="51"/>
  <c r="F99" i="51"/>
  <c r="O98" i="51"/>
  <c r="L98" i="51"/>
  <c r="I98" i="51"/>
  <c r="F98" i="51"/>
  <c r="O97" i="51"/>
  <c r="L97" i="51"/>
  <c r="I97" i="51"/>
  <c r="C97" i="51" s="1"/>
  <c r="F97" i="51"/>
  <c r="O96" i="51"/>
  <c r="L96" i="51"/>
  <c r="L95" i="51" s="1"/>
  <c r="I96" i="51"/>
  <c r="F96" i="51"/>
  <c r="N95" i="51"/>
  <c r="M95" i="51"/>
  <c r="K95" i="51"/>
  <c r="J95" i="51"/>
  <c r="H95" i="51"/>
  <c r="G95" i="51"/>
  <c r="E95" i="51"/>
  <c r="D95" i="51"/>
  <c r="O94" i="51"/>
  <c r="L94" i="51"/>
  <c r="I94" i="51"/>
  <c r="F94" i="51"/>
  <c r="O93" i="51"/>
  <c r="L93" i="51"/>
  <c r="I93" i="51"/>
  <c r="C93" i="51" s="1"/>
  <c r="F93" i="51"/>
  <c r="O92" i="51"/>
  <c r="L92" i="51"/>
  <c r="I92" i="51"/>
  <c r="F92" i="51"/>
  <c r="O91" i="51"/>
  <c r="L91" i="51"/>
  <c r="I91" i="51"/>
  <c r="F91" i="51"/>
  <c r="O90" i="51"/>
  <c r="L90" i="51"/>
  <c r="I90" i="51"/>
  <c r="F90" i="51"/>
  <c r="F89" i="51" s="1"/>
  <c r="N89" i="51"/>
  <c r="M89" i="51"/>
  <c r="K89" i="51"/>
  <c r="J89" i="51"/>
  <c r="H89" i="51"/>
  <c r="G89" i="51"/>
  <c r="E89" i="51"/>
  <c r="D89" i="51"/>
  <c r="O88" i="51"/>
  <c r="L88" i="51"/>
  <c r="I88" i="51"/>
  <c r="F88" i="51"/>
  <c r="O87" i="51"/>
  <c r="L87" i="51"/>
  <c r="I87" i="51"/>
  <c r="F87" i="51"/>
  <c r="O86" i="51"/>
  <c r="L86" i="51"/>
  <c r="I86" i="51"/>
  <c r="F86" i="51"/>
  <c r="O85" i="51"/>
  <c r="O84" i="51" s="1"/>
  <c r="L85" i="51"/>
  <c r="I85" i="51"/>
  <c r="I84" i="51" s="1"/>
  <c r="F85" i="51"/>
  <c r="C85" i="51" s="1"/>
  <c r="N84" i="51"/>
  <c r="N83" i="51" s="1"/>
  <c r="M84" i="51"/>
  <c r="K84" i="51"/>
  <c r="J84" i="51"/>
  <c r="J83" i="51" s="1"/>
  <c r="H84" i="51"/>
  <c r="H83" i="51" s="1"/>
  <c r="G84" i="51"/>
  <c r="E84" i="51"/>
  <c r="D84" i="51"/>
  <c r="D83" i="51" s="1"/>
  <c r="O82" i="51"/>
  <c r="L82" i="51"/>
  <c r="I82" i="51"/>
  <c r="F82" i="51"/>
  <c r="O81" i="51"/>
  <c r="O80" i="51" s="1"/>
  <c r="L81" i="51"/>
  <c r="I81" i="51"/>
  <c r="I80" i="51" s="1"/>
  <c r="F81" i="51"/>
  <c r="C81" i="51"/>
  <c r="N80" i="51"/>
  <c r="M80" i="51"/>
  <c r="K80" i="51"/>
  <c r="J80" i="51"/>
  <c r="H80" i="51"/>
  <c r="G80" i="51"/>
  <c r="F80" i="51"/>
  <c r="E80" i="51"/>
  <c r="D80" i="51"/>
  <c r="O79" i="51"/>
  <c r="L79" i="51"/>
  <c r="I79" i="51"/>
  <c r="F79" i="51"/>
  <c r="O78" i="51"/>
  <c r="L78" i="51"/>
  <c r="L77" i="51" s="1"/>
  <c r="I78" i="51"/>
  <c r="F78" i="51"/>
  <c r="F77" i="51" s="1"/>
  <c r="O77" i="51"/>
  <c r="N77" i="51"/>
  <c r="M77" i="51"/>
  <c r="M76" i="51" s="1"/>
  <c r="K77" i="51"/>
  <c r="K76" i="51" s="1"/>
  <c r="J77" i="51"/>
  <c r="H77" i="51"/>
  <c r="H76" i="51" s="1"/>
  <c r="G77" i="51"/>
  <c r="G76" i="51" s="1"/>
  <c r="E77" i="51"/>
  <c r="E76" i="51" s="1"/>
  <c r="D77" i="51"/>
  <c r="N76" i="51"/>
  <c r="J76" i="51"/>
  <c r="D76" i="51"/>
  <c r="O74" i="51"/>
  <c r="L74" i="51"/>
  <c r="I74" i="51"/>
  <c r="F74" i="51"/>
  <c r="O73" i="51"/>
  <c r="L73" i="51"/>
  <c r="I73" i="51"/>
  <c r="F73" i="51"/>
  <c r="O72" i="51"/>
  <c r="L72" i="51"/>
  <c r="I72" i="51"/>
  <c r="F72" i="51"/>
  <c r="O71" i="51"/>
  <c r="L71" i="51"/>
  <c r="I71" i="51"/>
  <c r="F71" i="51"/>
  <c r="O70" i="51"/>
  <c r="L70" i="51"/>
  <c r="I70" i="51"/>
  <c r="I69" i="51" s="1"/>
  <c r="I67" i="51" s="1"/>
  <c r="F70" i="51"/>
  <c r="N69" i="51"/>
  <c r="N67" i="51" s="1"/>
  <c r="M69" i="51"/>
  <c r="M67" i="51" s="1"/>
  <c r="K69" i="51"/>
  <c r="J69" i="51"/>
  <c r="J67" i="51" s="1"/>
  <c r="H69" i="51"/>
  <c r="H67" i="51" s="1"/>
  <c r="G69" i="51"/>
  <c r="G67" i="51" s="1"/>
  <c r="E69" i="51"/>
  <c r="D69" i="51"/>
  <c r="O68" i="51"/>
  <c r="L68" i="51"/>
  <c r="I68" i="51"/>
  <c r="F68" i="51"/>
  <c r="K67" i="51"/>
  <c r="E67" i="51"/>
  <c r="D67" i="51"/>
  <c r="O66" i="51"/>
  <c r="L66" i="51"/>
  <c r="I66" i="51"/>
  <c r="F66" i="51"/>
  <c r="O65" i="51"/>
  <c r="L65" i="51"/>
  <c r="I65" i="51"/>
  <c r="F65" i="51"/>
  <c r="O64" i="51"/>
  <c r="L64" i="51"/>
  <c r="I64" i="51"/>
  <c r="F64" i="51"/>
  <c r="O63" i="51"/>
  <c r="L63" i="51"/>
  <c r="I63" i="51"/>
  <c r="F63" i="51"/>
  <c r="C63" i="51" s="1"/>
  <c r="O62" i="51"/>
  <c r="L62" i="51"/>
  <c r="I62" i="51"/>
  <c r="F62" i="51"/>
  <c r="O61" i="51"/>
  <c r="L61" i="51"/>
  <c r="I61" i="51"/>
  <c r="F61" i="51"/>
  <c r="C61" i="51" s="1"/>
  <c r="O60" i="51"/>
  <c r="L60" i="51"/>
  <c r="I60" i="51"/>
  <c r="F60" i="51"/>
  <c r="O59" i="51"/>
  <c r="L59" i="51"/>
  <c r="I59" i="51"/>
  <c r="I58" i="51" s="1"/>
  <c r="F59" i="51"/>
  <c r="N58" i="51"/>
  <c r="M58" i="51"/>
  <c r="L58" i="51"/>
  <c r="K58" i="51"/>
  <c r="J58" i="51"/>
  <c r="H58" i="51"/>
  <c r="G58" i="51"/>
  <c r="E58" i="51"/>
  <c r="D58" i="51"/>
  <c r="O57" i="51"/>
  <c r="L57" i="51"/>
  <c r="I57" i="51"/>
  <c r="F57" i="51"/>
  <c r="O56" i="51"/>
  <c r="L56" i="51"/>
  <c r="I56" i="51"/>
  <c r="I55" i="51" s="1"/>
  <c r="F56" i="51"/>
  <c r="N55" i="51"/>
  <c r="N54" i="51" s="1"/>
  <c r="M55" i="51"/>
  <c r="M54" i="51" s="1"/>
  <c r="K55" i="51"/>
  <c r="K54" i="51" s="1"/>
  <c r="J55" i="51"/>
  <c r="H55" i="51"/>
  <c r="G55" i="51"/>
  <c r="G54" i="51" s="1"/>
  <c r="E55" i="51"/>
  <c r="D55" i="51"/>
  <c r="J54" i="51"/>
  <c r="J53" i="51" s="1"/>
  <c r="H54" i="51"/>
  <c r="O47" i="51"/>
  <c r="C47" i="51" s="1"/>
  <c r="O46" i="51"/>
  <c r="C46" i="51" s="1"/>
  <c r="N45" i="51"/>
  <c r="M45" i="51"/>
  <c r="L44" i="51"/>
  <c r="I44" i="51"/>
  <c r="I43" i="51" s="1"/>
  <c r="F44" i="51"/>
  <c r="C44" i="51" s="1"/>
  <c r="L43" i="51"/>
  <c r="K43" i="51"/>
  <c r="J43" i="51"/>
  <c r="H43" i="51"/>
  <c r="G43" i="51"/>
  <c r="E43" i="51"/>
  <c r="D43" i="51"/>
  <c r="F42" i="51"/>
  <c r="C42" i="51" s="1"/>
  <c r="E41" i="51"/>
  <c r="D41" i="51"/>
  <c r="L40" i="51"/>
  <c r="C40" i="51" s="1"/>
  <c r="L39" i="51"/>
  <c r="C39" i="51" s="1"/>
  <c r="L38" i="51"/>
  <c r="C38" i="51" s="1"/>
  <c r="L37" i="51"/>
  <c r="C37" i="51" s="1"/>
  <c r="K36" i="51"/>
  <c r="J36" i="51"/>
  <c r="L35" i="51"/>
  <c r="C35" i="51" s="1"/>
  <c r="L34" i="51"/>
  <c r="C34" i="51" s="1"/>
  <c r="K33" i="51"/>
  <c r="J33" i="51"/>
  <c r="L32" i="51"/>
  <c r="C32" i="51" s="1"/>
  <c r="K31" i="51"/>
  <c r="J31" i="51"/>
  <c r="L30" i="51"/>
  <c r="C30" i="51" s="1"/>
  <c r="L29" i="51"/>
  <c r="C29" i="51" s="1"/>
  <c r="L28" i="51"/>
  <c r="C28" i="51" s="1"/>
  <c r="K27" i="51"/>
  <c r="K26" i="51" s="1"/>
  <c r="J27" i="51"/>
  <c r="J26" i="51" s="1"/>
  <c r="F25" i="51"/>
  <c r="C25" i="51" s="1"/>
  <c r="I24" i="51"/>
  <c r="O23" i="51"/>
  <c r="L23" i="51"/>
  <c r="I23" i="51"/>
  <c r="F23" i="51"/>
  <c r="O22" i="51"/>
  <c r="L22" i="51"/>
  <c r="L21" i="51" s="1"/>
  <c r="I22" i="51"/>
  <c r="I21" i="51" s="1"/>
  <c r="I20" i="51" s="1"/>
  <c r="F22" i="51"/>
  <c r="O21" i="51"/>
  <c r="O292" i="51" s="1"/>
  <c r="N21" i="51"/>
  <c r="M21" i="51"/>
  <c r="M292" i="51" s="1"/>
  <c r="M291" i="51" s="1"/>
  <c r="K21" i="51"/>
  <c r="K292" i="51" s="1"/>
  <c r="K291" i="51" s="1"/>
  <c r="J21" i="51"/>
  <c r="H21" i="51"/>
  <c r="H292" i="51" s="1"/>
  <c r="H291" i="51" s="1"/>
  <c r="G21" i="51"/>
  <c r="G292" i="51" s="1"/>
  <c r="G291" i="51" s="1"/>
  <c r="F21" i="51"/>
  <c r="E21" i="51"/>
  <c r="E292" i="51" s="1"/>
  <c r="E291" i="51" s="1"/>
  <c r="D21" i="51"/>
  <c r="D292" i="51" s="1"/>
  <c r="D291" i="51" s="1"/>
  <c r="M20" i="51"/>
  <c r="C73" i="51" l="1"/>
  <c r="C121" i="51"/>
  <c r="C177" i="51"/>
  <c r="J174" i="51"/>
  <c r="J173" i="51" s="1"/>
  <c r="C199" i="51"/>
  <c r="C201" i="51"/>
  <c r="C207" i="51"/>
  <c r="C208" i="51"/>
  <c r="C214" i="51"/>
  <c r="H230" i="51"/>
  <c r="C21" i="51"/>
  <c r="E54" i="51"/>
  <c r="E53" i="51" s="1"/>
  <c r="C101" i="51"/>
  <c r="C105" i="51"/>
  <c r="C109" i="51"/>
  <c r="C153" i="51"/>
  <c r="H187" i="51"/>
  <c r="D187" i="51"/>
  <c r="M187" i="51"/>
  <c r="C218" i="51"/>
  <c r="C219" i="51"/>
  <c r="C220" i="51"/>
  <c r="C221" i="51"/>
  <c r="C255" i="51"/>
  <c r="C258" i="51"/>
  <c r="C262" i="51"/>
  <c r="C263" i="51"/>
  <c r="C282" i="51"/>
  <c r="C113" i="51"/>
  <c r="L187" i="51"/>
  <c r="E187" i="51"/>
  <c r="C226" i="51"/>
  <c r="O276" i="51"/>
  <c r="C294" i="51"/>
  <c r="C57" i="51"/>
  <c r="C140" i="51"/>
  <c r="C152" i="51"/>
  <c r="C156" i="51"/>
  <c r="L166" i="51"/>
  <c r="L165" i="51" s="1"/>
  <c r="C189" i="51"/>
  <c r="C250" i="51"/>
  <c r="C266" i="51"/>
  <c r="C188" i="51"/>
  <c r="L55" i="51"/>
  <c r="C60" i="51"/>
  <c r="C71" i="51"/>
  <c r="C74" i="51"/>
  <c r="C92" i="51"/>
  <c r="O89" i="51"/>
  <c r="C135" i="51"/>
  <c r="C143" i="51"/>
  <c r="C149" i="51"/>
  <c r="C154" i="51"/>
  <c r="C155" i="51"/>
  <c r="L160" i="51"/>
  <c r="C164" i="51"/>
  <c r="C172" i="51"/>
  <c r="D174" i="51"/>
  <c r="L179" i="51"/>
  <c r="N231" i="51"/>
  <c r="N230" i="51" s="1"/>
  <c r="C244" i="51"/>
  <c r="C247" i="51"/>
  <c r="L260" i="51"/>
  <c r="I264" i="51"/>
  <c r="C271" i="51"/>
  <c r="I270" i="51"/>
  <c r="I269" i="51" s="1"/>
  <c r="D269" i="51"/>
  <c r="C296" i="51"/>
  <c r="C299" i="51"/>
  <c r="E20" i="51"/>
  <c r="G20" i="51"/>
  <c r="L54" i="51"/>
  <c r="C62" i="51"/>
  <c r="K53" i="51"/>
  <c r="M53" i="51"/>
  <c r="L69" i="51"/>
  <c r="L67" i="51" s="1"/>
  <c r="L53" i="51" s="1"/>
  <c r="F76" i="51"/>
  <c r="L80" i="51"/>
  <c r="C87" i="51"/>
  <c r="K83" i="51"/>
  <c r="C108" i="51"/>
  <c r="C129" i="51"/>
  <c r="C159" i="51"/>
  <c r="I166" i="51"/>
  <c r="I165" i="51" s="1"/>
  <c r="E174" i="51"/>
  <c r="E173" i="51" s="1"/>
  <c r="K174" i="51"/>
  <c r="I179" i="51"/>
  <c r="I187" i="51"/>
  <c r="C213" i="51"/>
  <c r="C225" i="51"/>
  <c r="C229" i="51"/>
  <c r="C236" i="51"/>
  <c r="C237" i="51"/>
  <c r="L252" i="51"/>
  <c r="L251" i="51" s="1"/>
  <c r="O260" i="51"/>
  <c r="L264" i="51"/>
  <c r="O272" i="51"/>
  <c r="O270" i="51" s="1"/>
  <c r="O269" i="51" s="1"/>
  <c r="C280" i="51"/>
  <c r="L293" i="51"/>
  <c r="H20" i="51"/>
  <c r="H53" i="51"/>
  <c r="O55" i="51"/>
  <c r="O69" i="51"/>
  <c r="O67" i="51" s="1"/>
  <c r="L84" i="51"/>
  <c r="E83" i="51"/>
  <c r="E75" i="51" s="1"/>
  <c r="C98" i="51"/>
  <c r="C100" i="51"/>
  <c r="C120" i="51"/>
  <c r="N130" i="51"/>
  <c r="I130" i="51"/>
  <c r="L174" i="51"/>
  <c r="K173" i="51"/>
  <c r="J187" i="51"/>
  <c r="N187" i="51"/>
  <c r="H195" i="51"/>
  <c r="O231" i="51"/>
  <c r="O252" i="51"/>
  <c r="O251" i="51" s="1"/>
  <c r="O264" i="51"/>
  <c r="D54" i="51"/>
  <c r="D53" i="51" s="1"/>
  <c r="C65" i="51"/>
  <c r="C72" i="51"/>
  <c r="M83" i="51"/>
  <c r="C99" i="51"/>
  <c r="C102" i="51"/>
  <c r="O122" i="51"/>
  <c r="L122" i="51"/>
  <c r="C157" i="51"/>
  <c r="C168" i="51"/>
  <c r="C169" i="51"/>
  <c r="I175" i="51"/>
  <c r="K195" i="51"/>
  <c r="D195" i="51"/>
  <c r="L205" i="51"/>
  <c r="E204" i="51"/>
  <c r="J204" i="51"/>
  <c r="J195" i="51" s="1"/>
  <c r="J194" i="51" s="1"/>
  <c r="N204" i="51"/>
  <c r="N195" i="51" s="1"/>
  <c r="N194" i="51" s="1"/>
  <c r="G231" i="51"/>
  <c r="G230" i="51" s="1"/>
  <c r="C256" i="51"/>
  <c r="C257" i="51"/>
  <c r="M52" i="51"/>
  <c r="M75" i="51"/>
  <c r="L292" i="51"/>
  <c r="L291" i="51" s="1"/>
  <c r="G53" i="51"/>
  <c r="L76" i="51"/>
  <c r="C137" i="51"/>
  <c r="L136" i="51"/>
  <c r="C145" i="51"/>
  <c r="L144" i="51"/>
  <c r="C253" i="51"/>
  <c r="F252" i="51"/>
  <c r="C301" i="51"/>
  <c r="K20" i="51"/>
  <c r="C22" i="51"/>
  <c r="L27" i="51"/>
  <c r="L31" i="51"/>
  <c r="C31" i="51" s="1"/>
  <c r="F41" i="51"/>
  <c r="C41" i="51" s="1"/>
  <c r="O45" i="51"/>
  <c r="I54" i="51"/>
  <c r="I53" i="51" s="1"/>
  <c r="C64" i="51"/>
  <c r="J75" i="51"/>
  <c r="J52" i="51" s="1"/>
  <c r="J51" i="51" s="1"/>
  <c r="J50" i="51" s="1"/>
  <c r="O76" i="51"/>
  <c r="C82" i="51"/>
  <c r="G83" i="51"/>
  <c r="C91" i="51"/>
  <c r="I89" i="51"/>
  <c r="C94" i="51"/>
  <c r="I95" i="51"/>
  <c r="C104" i="51"/>
  <c r="F103" i="51"/>
  <c r="O103" i="51"/>
  <c r="K130" i="51"/>
  <c r="C141" i="51"/>
  <c r="H174" i="51"/>
  <c r="H173" i="51" s="1"/>
  <c r="I174" i="51"/>
  <c r="I173" i="51" s="1"/>
  <c r="F179" i="51"/>
  <c r="C180" i="51"/>
  <c r="F292" i="51"/>
  <c r="C80" i="51"/>
  <c r="C23" i="51"/>
  <c r="L33" i="51"/>
  <c r="C33" i="51" s="1"/>
  <c r="F43" i="51"/>
  <c r="C43" i="51" s="1"/>
  <c r="F58" i="51"/>
  <c r="C59" i="51"/>
  <c r="O58" i="51"/>
  <c r="O54" i="51" s="1"/>
  <c r="O53" i="51" s="1"/>
  <c r="C66" i="51"/>
  <c r="F69" i="51"/>
  <c r="C69" i="51" s="1"/>
  <c r="C70" i="51"/>
  <c r="K75" i="51"/>
  <c r="K52" i="51" s="1"/>
  <c r="C86" i="51"/>
  <c r="C88" i="51"/>
  <c r="F84" i="51"/>
  <c r="L89" i="51"/>
  <c r="C96" i="51"/>
  <c r="F95" i="51"/>
  <c r="O95" i="51"/>
  <c r="O83" i="51" s="1"/>
  <c r="C106" i="51"/>
  <c r="C107" i="51"/>
  <c r="C160" i="51"/>
  <c r="C185" i="51"/>
  <c r="L184" i="51"/>
  <c r="L173" i="51" s="1"/>
  <c r="C193" i="51"/>
  <c r="F192" i="51"/>
  <c r="J290" i="51"/>
  <c r="L36" i="51"/>
  <c r="C36" i="51" s="1"/>
  <c r="E52" i="51"/>
  <c r="J292" i="51"/>
  <c r="J291" i="51" s="1"/>
  <c r="J20" i="51"/>
  <c r="N292" i="51"/>
  <c r="N291" i="51" s="1"/>
  <c r="N20" i="51"/>
  <c r="N53" i="51"/>
  <c r="C56" i="51"/>
  <c r="F55" i="51"/>
  <c r="C68" i="51"/>
  <c r="F67" i="51"/>
  <c r="N75" i="51"/>
  <c r="N289" i="51" s="1"/>
  <c r="G75" i="51"/>
  <c r="C79" i="51"/>
  <c r="I77" i="51"/>
  <c r="L103" i="51"/>
  <c r="C133" i="51"/>
  <c r="L131" i="51"/>
  <c r="F175" i="51"/>
  <c r="C176" i="51"/>
  <c r="C78" i="51"/>
  <c r="C90" i="51"/>
  <c r="C110" i="51"/>
  <c r="C111" i="51"/>
  <c r="C114" i="51"/>
  <c r="C115" i="51"/>
  <c r="F112" i="51"/>
  <c r="C112" i="51" s="1"/>
  <c r="C118" i="51"/>
  <c r="C119" i="51"/>
  <c r="F116" i="51"/>
  <c r="C116" i="51" s="1"/>
  <c r="F122" i="51"/>
  <c r="C122" i="51" s="1"/>
  <c r="C123" i="51"/>
  <c r="H130" i="51"/>
  <c r="H75" i="51" s="1"/>
  <c r="F131" i="51"/>
  <c r="F166" i="51"/>
  <c r="C167" i="51"/>
  <c r="D173" i="51"/>
  <c r="C178" i="51"/>
  <c r="C182" i="51"/>
  <c r="C183" i="51"/>
  <c r="C190" i="51"/>
  <c r="E195" i="51"/>
  <c r="D130" i="51"/>
  <c r="D75" i="51" s="1"/>
  <c r="C134" i="51"/>
  <c r="C138" i="51"/>
  <c r="C139" i="51"/>
  <c r="F136" i="51"/>
  <c r="C136" i="51" s="1"/>
  <c r="C142" i="51"/>
  <c r="C146" i="51"/>
  <c r="C147" i="51"/>
  <c r="F144" i="51"/>
  <c r="O151" i="51"/>
  <c r="O130" i="51" s="1"/>
  <c r="C158" i="51"/>
  <c r="C186" i="51"/>
  <c r="C217" i="51"/>
  <c r="F216" i="51"/>
  <c r="C235" i="51"/>
  <c r="C126" i="51"/>
  <c r="C127" i="51"/>
  <c r="L128" i="51"/>
  <c r="C128" i="51" s="1"/>
  <c r="L151" i="51"/>
  <c r="F151" i="51"/>
  <c r="C162" i="51"/>
  <c r="C163" i="51"/>
  <c r="C170" i="51"/>
  <c r="C171" i="51"/>
  <c r="O175" i="51"/>
  <c r="O179" i="51"/>
  <c r="O196" i="51"/>
  <c r="C209" i="51"/>
  <c r="F205" i="51"/>
  <c r="C261" i="51"/>
  <c r="F260" i="51"/>
  <c r="C249" i="51"/>
  <c r="F246" i="51"/>
  <c r="J289" i="51"/>
  <c r="C273" i="51"/>
  <c r="F272" i="51"/>
  <c r="C288" i="51"/>
  <c r="I286" i="51"/>
  <c r="I292" i="51" s="1"/>
  <c r="I291" i="51" s="1"/>
  <c r="C300" i="51"/>
  <c r="C197" i="51"/>
  <c r="F196" i="51"/>
  <c r="C200" i="51"/>
  <c r="I198" i="51"/>
  <c r="C203" i="51"/>
  <c r="H194" i="51"/>
  <c r="I205" i="51"/>
  <c r="I204" i="51" s="1"/>
  <c r="C211" i="51"/>
  <c r="C212" i="51"/>
  <c r="C223" i="51"/>
  <c r="C224" i="51"/>
  <c r="C228" i="51"/>
  <c r="E230" i="51"/>
  <c r="E289" i="51" s="1"/>
  <c r="L231" i="51"/>
  <c r="K231" i="51"/>
  <c r="K230" i="51" s="1"/>
  <c r="K194" i="51" s="1"/>
  <c r="C239" i="51"/>
  <c r="C241" i="51"/>
  <c r="F238" i="51"/>
  <c r="F231" i="51" s="1"/>
  <c r="C248" i="51"/>
  <c r="I246" i="51"/>
  <c r="M259" i="51"/>
  <c r="M230" i="51" s="1"/>
  <c r="C265" i="51"/>
  <c r="F264" i="51"/>
  <c r="C264" i="51" s="1"/>
  <c r="L270" i="51"/>
  <c r="L269" i="51" s="1"/>
  <c r="C275" i="51"/>
  <c r="C281" i="51"/>
  <c r="C285" i="51"/>
  <c r="F284" i="51"/>
  <c r="O293" i="51"/>
  <c r="O291" i="51" s="1"/>
  <c r="L196" i="51"/>
  <c r="D194" i="51"/>
  <c r="C215" i="51"/>
  <c r="O216" i="51"/>
  <c r="O204" i="51" s="1"/>
  <c r="L216" i="51"/>
  <c r="L204" i="51" s="1"/>
  <c r="C232" i="51"/>
  <c r="C233" i="51"/>
  <c r="C240" i="51"/>
  <c r="I238" i="51"/>
  <c r="C243" i="51"/>
  <c r="I259" i="51"/>
  <c r="L259" i="51"/>
  <c r="C267" i="51"/>
  <c r="C268" i="51"/>
  <c r="M270" i="51"/>
  <c r="M269" i="51" s="1"/>
  <c r="C277" i="51"/>
  <c r="F276" i="51"/>
  <c r="C276" i="51" s="1"/>
  <c r="C295" i="51"/>
  <c r="C297" i="51"/>
  <c r="F293" i="51"/>
  <c r="C287" i="51"/>
  <c r="I231" i="51" l="1"/>
  <c r="D52" i="51"/>
  <c r="D51" i="51" s="1"/>
  <c r="M194" i="51"/>
  <c r="G194" i="51"/>
  <c r="G289" i="51"/>
  <c r="K289" i="51"/>
  <c r="C151" i="51"/>
  <c r="C286" i="51"/>
  <c r="L83" i="51"/>
  <c r="K51" i="51"/>
  <c r="K50" i="51" s="1"/>
  <c r="C89" i="51"/>
  <c r="C67" i="51"/>
  <c r="M289" i="51"/>
  <c r="C246" i="51"/>
  <c r="C95" i="51"/>
  <c r="O259" i="51"/>
  <c r="O230" i="51" s="1"/>
  <c r="D24" i="51"/>
  <c r="D290" i="51" s="1"/>
  <c r="D50" i="51"/>
  <c r="C231" i="51"/>
  <c r="D289" i="51"/>
  <c r="H289" i="51"/>
  <c r="H52" i="51"/>
  <c r="H51" i="51" s="1"/>
  <c r="K290" i="51"/>
  <c r="I230" i="51"/>
  <c r="F191" i="51"/>
  <c r="C192" i="51"/>
  <c r="O75" i="51"/>
  <c r="C27" i="51"/>
  <c r="L26" i="51"/>
  <c r="M51" i="51"/>
  <c r="C293" i="51"/>
  <c r="C198" i="51"/>
  <c r="I196" i="51"/>
  <c r="I195" i="51" s="1"/>
  <c r="C216" i="51"/>
  <c r="E194" i="51"/>
  <c r="E51" i="51" s="1"/>
  <c r="C131" i="51"/>
  <c r="F130" i="51"/>
  <c r="C175" i="51"/>
  <c r="F174" i="51"/>
  <c r="I76" i="51"/>
  <c r="C77" i="51"/>
  <c r="C179" i="51"/>
  <c r="C45" i="51"/>
  <c r="O20" i="51"/>
  <c r="C252" i="51"/>
  <c r="F251" i="51"/>
  <c r="C251" i="51" s="1"/>
  <c r="O195" i="51"/>
  <c r="C166" i="51"/>
  <c r="F165" i="51"/>
  <c r="C165" i="51" s="1"/>
  <c r="F54" i="51"/>
  <c r="C55" i="51"/>
  <c r="L195" i="51"/>
  <c r="C205" i="51"/>
  <c r="F204" i="51"/>
  <c r="C204" i="51" s="1"/>
  <c r="L130" i="51"/>
  <c r="N52" i="51"/>
  <c r="N51" i="51" s="1"/>
  <c r="C58" i="51"/>
  <c r="C292" i="51"/>
  <c r="C284" i="51"/>
  <c r="F283" i="51"/>
  <c r="C283" i="51" s="1"/>
  <c r="C260" i="51"/>
  <c r="F259" i="51"/>
  <c r="C259" i="51" s="1"/>
  <c r="C238" i="51"/>
  <c r="L230" i="51"/>
  <c r="C196" i="51"/>
  <c r="F195" i="51"/>
  <c r="F270" i="51"/>
  <c r="C272" i="51"/>
  <c r="O174" i="51"/>
  <c r="O173" i="51" s="1"/>
  <c r="C144" i="51"/>
  <c r="C84" i="51"/>
  <c r="F83" i="51"/>
  <c r="C184" i="51"/>
  <c r="C103" i="51"/>
  <c r="F291" i="51"/>
  <c r="C291" i="51" s="1"/>
  <c r="G52" i="51"/>
  <c r="G51" i="51" s="1"/>
  <c r="I83" i="51"/>
  <c r="O52" i="51" l="1"/>
  <c r="L75" i="51"/>
  <c r="L52" i="51"/>
  <c r="L289" i="51"/>
  <c r="E290" i="51"/>
  <c r="E50" i="51"/>
  <c r="M50" i="51"/>
  <c r="M290" i="51"/>
  <c r="G290" i="51"/>
  <c r="G50" i="51"/>
  <c r="C83" i="51"/>
  <c r="F75" i="51"/>
  <c r="C75" i="51" s="1"/>
  <c r="F53" i="51"/>
  <c r="C54" i="51"/>
  <c r="C130" i="51"/>
  <c r="I194" i="51"/>
  <c r="C26" i="51"/>
  <c r="L20" i="51"/>
  <c r="C191" i="51"/>
  <c r="F187" i="51"/>
  <c r="C187" i="51" s="1"/>
  <c r="C195" i="51"/>
  <c r="O194" i="51"/>
  <c r="O51" i="51" s="1"/>
  <c r="O289" i="51"/>
  <c r="F269" i="51"/>
  <c r="C270" i="51"/>
  <c r="N50" i="51"/>
  <c r="N290" i="51"/>
  <c r="L194" i="51"/>
  <c r="I75" i="51"/>
  <c r="C76" i="51"/>
  <c r="H290" i="51"/>
  <c r="H50" i="51"/>
  <c r="F230" i="51"/>
  <c r="C230" i="51" s="1"/>
  <c r="F24" i="51"/>
  <c r="D20" i="51"/>
  <c r="C174" i="51"/>
  <c r="F173" i="51"/>
  <c r="C173" i="51" s="1"/>
  <c r="O50" i="51" l="1"/>
  <c r="O290" i="51"/>
  <c r="C53" i="51"/>
  <c r="F52" i="51"/>
  <c r="I52" i="51"/>
  <c r="I51" i="51" s="1"/>
  <c r="I289" i="51"/>
  <c r="L51" i="51"/>
  <c r="C24" i="51"/>
  <c r="F20" i="51"/>
  <c r="C20" i="51" s="1"/>
  <c r="C269" i="51"/>
  <c r="F289" i="51"/>
  <c r="C289" i="51" s="1"/>
  <c r="F194" i="51"/>
  <c r="C194" i="51" s="1"/>
  <c r="C52" i="51" l="1"/>
  <c r="F51" i="51"/>
  <c r="L50" i="51"/>
  <c r="L290" i="51"/>
  <c r="I290" i="51"/>
  <c r="I50" i="51"/>
  <c r="F290" i="51" l="1"/>
  <c r="C290" i="51" s="1"/>
  <c r="C51" i="51"/>
  <c r="F50" i="51"/>
  <c r="C50" i="51" s="1"/>
  <c r="F85" i="50" l="1"/>
  <c r="F84" i="50" s="1"/>
  <c r="E84" i="50"/>
  <c r="D84" i="50"/>
  <c r="F79" i="50"/>
  <c r="F78" i="50"/>
  <c r="F77" i="50"/>
  <c r="F76" i="50"/>
  <c r="F75" i="50"/>
  <c r="F74" i="50"/>
  <c r="E73" i="50"/>
  <c r="F73" i="50" s="1"/>
  <c r="F72" i="50"/>
  <c r="F71" i="50"/>
  <c r="F70" i="50"/>
  <c r="F69" i="50"/>
  <c r="F68" i="50"/>
  <c r="F67" i="50"/>
  <c r="F66" i="50"/>
  <c r="F65" i="50"/>
  <c r="E64" i="50"/>
  <c r="D64" i="50"/>
  <c r="F59" i="50"/>
  <c r="F58" i="50"/>
  <c r="F57" i="50"/>
  <c r="F56" i="50"/>
  <c r="F55" i="50"/>
  <c r="F54" i="50"/>
  <c r="F53" i="50"/>
  <c r="F52" i="50"/>
  <c r="F51" i="50"/>
  <c r="F50" i="50"/>
  <c r="F49" i="50"/>
  <c r="F48" i="50"/>
  <c r="F47" i="50"/>
  <c r="F46" i="50"/>
  <c r="F45" i="50"/>
  <c r="F44" i="50"/>
  <c r="F43" i="50"/>
  <c r="F41" i="50"/>
  <c r="F40" i="50"/>
  <c r="F39" i="50"/>
  <c r="E37" i="50"/>
  <c r="D37" i="50"/>
  <c r="F32" i="50"/>
  <c r="F31" i="50"/>
  <c r="F30" i="50"/>
  <c r="F29" i="50"/>
  <c r="F28" i="50"/>
  <c r="F27" i="50"/>
  <c r="F26" i="50"/>
  <c r="E25" i="50"/>
  <c r="E11" i="50" s="1"/>
  <c r="F24" i="50"/>
  <c r="F23" i="50"/>
  <c r="D22" i="50"/>
  <c r="F22" i="50" s="1"/>
  <c r="F21" i="50"/>
  <c r="F20" i="50"/>
  <c r="F19" i="50"/>
  <c r="F18" i="50"/>
  <c r="F17" i="50"/>
  <c r="F16" i="50"/>
  <c r="F14" i="50"/>
  <c r="F13" i="50"/>
  <c r="F12" i="50"/>
  <c r="D11" i="50" l="1"/>
  <c r="F25" i="50"/>
  <c r="F11" i="50" s="1"/>
  <c r="F37" i="50"/>
  <c r="F64" i="50"/>
  <c r="O301" i="49"/>
  <c r="L301" i="49"/>
  <c r="I301" i="49"/>
  <c r="F301" i="49"/>
  <c r="O300" i="49"/>
  <c r="L300" i="49"/>
  <c r="I300" i="49"/>
  <c r="F300" i="49"/>
  <c r="O299" i="49"/>
  <c r="L299" i="49"/>
  <c r="I299" i="49"/>
  <c r="F299" i="49"/>
  <c r="O298" i="49"/>
  <c r="L298" i="49"/>
  <c r="I298" i="49"/>
  <c r="F298" i="49"/>
  <c r="O297" i="49"/>
  <c r="L297" i="49"/>
  <c r="I297" i="49"/>
  <c r="F297" i="49"/>
  <c r="O296" i="49"/>
  <c r="L296" i="49"/>
  <c r="I296" i="49"/>
  <c r="F296" i="49"/>
  <c r="O295" i="49"/>
  <c r="L295" i="49"/>
  <c r="I295" i="49"/>
  <c r="F295" i="49"/>
  <c r="O294" i="49"/>
  <c r="O293" i="49" s="1"/>
  <c r="L294" i="49"/>
  <c r="I294" i="49"/>
  <c r="F294" i="49"/>
  <c r="N293" i="49"/>
  <c r="M293" i="49"/>
  <c r="K293" i="49"/>
  <c r="J293" i="49"/>
  <c r="H293" i="49"/>
  <c r="G293" i="49"/>
  <c r="E293" i="49"/>
  <c r="D293" i="49"/>
  <c r="O288" i="49"/>
  <c r="L288" i="49"/>
  <c r="I288" i="49"/>
  <c r="F288" i="49"/>
  <c r="O287" i="49"/>
  <c r="L287" i="49"/>
  <c r="L286" i="49" s="1"/>
  <c r="I287" i="49"/>
  <c r="I286" i="49" s="1"/>
  <c r="F287" i="49"/>
  <c r="F286" i="49" s="1"/>
  <c r="O286" i="49"/>
  <c r="N286" i="49"/>
  <c r="M286" i="49"/>
  <c r="K286" i="49"/>
  <c r="J286" i="49"/>
  <c r="H286" i="49"/>
  <c r="G286" i="49"/>
  <c r="E286" i="49"/>
  <c r="D286" i="49"/>
  <c r="O285" i="49"/>
  <c r="O284" i="49" s="1"/>
  <c r="O283" i="49" s="1"/>
  <c r="L285" i="49"/>
  <c r="L284" i="49" s="1"/>
  <c r="L283" i="49" s="1"/>
  <c r="I285" i="49"/>
  <c r="I284" i="49" s="1"/>
  <c r="I283" i="49" s="1"/>
  <c r="F285" i="49"/>
  <c r="N284" i="49"/>
  <c r="N283" i="49" s="1"/>
  <c r="M284" i="49"/>
  <c r="M283" i="49" s="1"/>
  <c r="K284" i="49"/>
  <c r="K283" i="49" s="1"/>
  <c r="J284" i="49"/>
  <c r="H284" i="49"/>
  <c r="H283" i="49" s="1"/>
  <c r="G284" i="49"/>
  <c r="G283" i="49" s="1"/>
  <c r="E284" i="49"/>
  <c r="E283" i="49" s="1"/>
  <c r="D284" i="49"/>
  <c r="D283" i="49" s="1"/>
  <c r="J283" i="49"/>
  <c r="O282" i="49"/>
  <c r="O281" i="49" s="1"/>
  <c r="L282" i="49"/>
  <c r="I282" i="49"/>
  <c r="I281" i="49" s="1"/>
  <c r="F282" i="49"/>
  <c r="F281" i="49" s="1"/>
  <c r="N281" i="49"/>
  <c r="M281" i="49"/>
  <c r="K281" i="49"/>
  <c r="J281" i="49"/>
  <c r="H281" i="49"/>
  <c r="G281" i="49"/>
  <c r="E281" i="49"/>
  <c r="D281" i="49"/>
  <c r="O280" i="49"/>
  <c r="L280" i="49"/>
  <c r="I280" i="49"/>
  <c r="F280" i="49"/>
  <c r="O279" i="49"/>
  <c r="L279" i="49"/>
  <c r="I279" i="49"/>
  <c r="F279" i="49"/>
  <c r="O278" i="49"/>
  <c r="L278" i="49"/>
  <c r="I278" i="49"/>
  <c r="F278" i="49"/>
  <c r="O277" i="49"/>
  <c r="O276" i="49" s="1"/>
  <c r="L277" i="49"/>
  <c r="I277" i="49"/>
  <c r="F277" i="49"/>
  <c r="F276" i="49" s="1"/>
  <c r="N276" i="49"/>
  <c r="M276" i="49"/>
  <c r="K276" i="49"/>
  <c r="J276" i="49"/>
  <c r="H276" i="49"/>
  <c r="G276" i="49"/>
  <c r="E276" i="49"/>
  <c r="D276" i="49"/>
  <c r="O275" i="49"/>
  <c r="L275" i="49"/>
  <c r="I275" i="49"/>
  <c r="F275" i="49"/>
  <c r="O274" i="49"/>
  <c r="L274" i="49"/>
  <c r="I274" i="49"/>
  <c r="F274" i="49"/>
  <c r="O273" i="49"/>
  <c r="O272" i="49" s="1"/>
  <c r="L273" i="49"/>
  <c r="I273" i="49"/>
  <c r="I272" i="49" s="1"/>
  <c r="F273" i="49"/>
  <c r="F272" i="49" s="1"/>
  <c r="N272" i="49"/>
  <c r="M272" i="49"/>
  <c r="M270" i="49" s="1"/>
  <c r="K272" i="49"/>
  <c r="K270" i="49" s="1"/>
  <c r="K269" i="49" s="1"/>
  <c r="J272" i="49"/>
  <c r="H272" i="49"/>
  <c r="G272" i="49"/>
  <c r="G270" i="49" s="1"/>
  <c r="E272" i="49"/>
  <c r="D272" i="49"/>
  <c r="O271" i="49"/>
  <c r="L271" i="49"/>
  <c r="I271" i="49"/>
  <c r="F271" i="49"/>
  <c r="O268" i="49"/>
  <c r="L268" i="49"/>
  <c r="I268" i="49"/>
  <c r="F268" i="49"/>
  <c r="O267" i="49"/>
  <c r="L267" i="49"/>
  <c r="I267" i="49"/>
  <c r="F267" i="49"/>
  <c r="O266" i="49"/>
  <c r="L266" i="49"/>
  <c r="I266" i="49"/>
  <c r="F266" i="49"/>
  <c r="O265" i="49"/>
  <c r="L265" i="49"/>
  <c r="L264" i="49" s="1"/>
  <c r="I265" i="49"/>
  <c r="I264" i="49" s="1"/>
  <c r="F265" i="49"/>
  <c r="N264" i="49"/>
  <c r="M264" i="49"/>
  <c r="K264" i="49"/>
  <c r="J264" i="49"/>
  <c r="H264" i="49"/>
  <c r="G264" i="49"/>
  <c r="E264" i="49"/>
  <c r="D264" i="49"/>
  <c r="O263" i="49"/>
  <c r="L263" i="49"/>
  <c r="I263" i="49"/>
  <c r="F263" i="49"/>
  <c r="O262" i="49"/>
  <c r="L262" i="49"/>
  <c r="I262" i="49"/>
  <c r="F262" i="49"/>
  <c r="O261" i="49"/>
  <c r="L261" i="49"/>
  <c r="L260" i="49" s="1"/>
  <c r="I261" i="49"/>
  <c r="I260" i="49" s="1"/>
  <c r="F261" i="49"/>
  <c r="N260" i="49"/>
  <c r="M260" i="49"/>
  <c r="K260" i="49"/>
  <c r="J260" i="49"/>
  <c r="J259" i="49" s="1"/>
  <c r="H260" i="49"/>
  <c r="G260" i="49"/>
  <c r="E260" i="49"/>
  <c r="D260" i="49"/>
  <c r="O258" i="49"/>
  <c r="L258" i="49"/>
  <c r="I258" i="49"/>
  <c r="F258" i="49"/>
  <c r="O257" i="49"/>
  <c r="L257" i="49"/>
  <c r="I257" i="49"/>
  <c r="F257" i="49"/>
  <c r="O256" i="49"/>
  <c r="L256" i="49"/>
  <c r="I256" i="49"/>
  <c r="F256" i="49"/>
  <c r="O255" i="49"/>
  <c r="L255" i="49"/>
  <c r="I255" i="49"/>
  <c r="F255" i="49"/>
  <c r="O254" i="49"/>
  <c r="L254" i="49"/>
  <c r="I254" i="49"/>
  <c r="F254" i="49"/>
  <c r="O253" i="49"/>
  <c r="O252" i="49" s="1"/>
  <c r="O251" i="49" s="1"/>
  <c r="L253" i="49"/>
  <c r="I253" i="49"/>
  <c r="F253" i="49"/>
  <c r="N252" i="49"/>
  <c r="M252" i="49"/>
  <c r="K252" i="49"/>
  <c r="J252" i="49"/>
  <c r="H252" i="49"/>
  <c r="H251" i="49" s="1"/>
  <c r="G252" i="49"/>
  <c r="G251" i="49" s="1"/>
  <c r="E252" i="49"/>
  <c r="E251" i="49" s="1"/>
  <c r="D252" i="49"/>
  <c r="D251" i="49" s="1"/>
  <c r="N251" i="49"/>
  <c r="M251" i="49"/>
  <c r="K251" i="49"/>
  <c r="J251" i="49"/>
  <c r="O250" i="49"/>
  <c r="L250" i="49"/>
  <c r="I250" i="49"/>
  <c r="F250" i="49"/>
  <c r="O249" i="49"/>
  <c r="L249" i="49"/>
  <c r="I249" i="49"/>
  <c r="F249" i="49"/>
  <c r="O248" i="49"/>
  <c r="L248" i="49"/>
  <c r="I248" i="49"/>
  <c r="F248" i="49"/>
  <c r="O247" i="49"/>
  <c r="L247" i="49"/>
  <c r="I247" i="49"/>
  <c r="F247" i="49"/>
  <c r="N246" i="49"/>
  <c r="M246" i="49"/>
  <c r="K246" i="49"/>
  <c r="J246" i="49"/>
  <c r="H246" i="49"/>
  <c r="G246" i="49"/>
  <c r="E246" i="49"/>
  <c r="D246" i="49"/>
  <c r="O245" i="49"/>
  <c r="L245" i="49"/>
  <c r="I245" i="49"/>
  <c r="F245" i="49"/>
  <c r="O244" i="49"/>
  <c r="L244" i="49"/>
  <c r="I244" i="49"/>
  <c r="F244" i="49"/>
  <c r="O243" i="49"/>
  <c r="L243" i="49"/>
  <c r="I243" i="49"/>
  <c r="F243" i="49"/>
  <c r="O242" i="49"/>
  <c r="L242" i="49"/>
  <c r="I242" i="49"/>
  <c r="F242" i="49"/>
  <c r="O241" i="49"/>
  <c r="L241" i="49"/>
  <c r="I241" i="49"/>
  <c r="F241" i="49"/>
  <c r="O240" i="49"/>
  <c r="L240" i="49"/>
  <c r="I240" i="49"/>
  <c r="F240" i="49"/>
  <c r="O239" i="49"/>
  <c r="L239" i="49"/>
  <c r="I239" i="49"/>
  <c r="I238" i="49" s="1"/>
  <c r="F239" i="49"/>
  <c r="N238" i="49"/>
  <c r="M238" i="49"/>
  <c r="K238" i="49"/>
  <c r="J238" i="49"/>
  <c r="H238" i="49"/>
  <c r="G238" i="49"/>
  <c r="E238" i="49"/>
  <c r="D238" i="49"/>
  <c r="O237" i="49"/>
  <c r="L237" i="49"/>
  <c r="I237" i="49"/>
  <c r="F237" i="49"/>
  <c r="O236" i="49"/>
  <c r="L236" i="49"/>
  <c r="I236" i="49"/>
  <c r="F236" i="49"/>
  <c r="F235" i="49" s="1"/>
  <c r="N235" i="49"/>
  <c r="M235" i="49"/>
  <c r="L235" i="49"/>
  <c r="K235" i="49"/>
  <c r="J235" i="49"/>
  <c r="H235" i="49"/>
  <c r="G235" i="49"/>
  <c r="E235" i="49"/>
  <c r="D235" i="49"/>
  <c r="O234" i="49"/>
  <c r="O233" i="49" s="1"/>
  <c r="L234" i="49"/>
  <c r="L233" i="49" s="1"/>
  <c r="I234" i="49"/>
  <c r="I233" i="49" s="1"/>
  <c r="F234" i="49"/>
  <c r="F233" i="49" s="1"/>
  <c r="N233" i="49"/>
  <c r="M233" i="49"/>
  <c r="K233" i="49"/>
  <c r="J233" i="49"/>
  <c r="H233" i="49"/>
  <c r="G233" i="49"/>
  <c r="E233" i="49"/>
  <c r="D233" i="49"/>
  <c r="O232" i="49"/>
  <c r="L232" i="49"/>
  <c r="I232" i="49"/>
  <c r="F232" i="49"/>
  <c r="O229" i="49"/>
  <c r="L229" i="49"/>
  <c r="I229" i="49"/>
  <c r="F229" i="49"/>
  <c r="O228" i="49"/>
  <c r="L228" i="49"/>
  <c r="L227" i="49" s="1"/>
  <c r="I228" i="49"/>
  <c r="F228" i="49"/>
  <c r="O227" i="49"/>
  <c r="N227" i="49"/>
  <c r="M227" i="49"/>
  <c r="K227" i="49"/>
  <c r="J227" i="49"/>
  <c r="I227" i="49"/>
  <c r="H227" i="49"/>
  <c r="G227" i="49"/>
  <c r="E227" i="49"/>
  <c r="D227" i="49"/>
  <c r="O226" i="49"/>
  <c r="L226" i="49"/>
  <c r="I226" i="49"/>
  <c r="F226" i="49"/>
  <c r="O225" i="49"/>
  <c r="L225" i="49"/>
  <c r="I225" i="49"/>
  <c r="F225" i="49"/>
  <c r="O224" i="49"/>
  <c r="L224" i="49"/>
  <c r="I224" i="49"/>
  <c r="F224" i="49"/>
  <c r="O223" i="49"/>
  <c r="L223" i="49"/>
  <c r="I223" i="49"/>
  <c r="F223" i="49"/>
  <c r="O222" i="49"/>
  <c r="L222" i="49"/>
  <c r="I222" i="49"/>
  <c r="F222" i="49"/>
  <c r="O221" i="49"/>
  <c r="L221" i="49"/>
  <c r="I221" i="49"/>
  <c r="F221" i="49"/>
  <c r="C221" i="49" s="1"/>
  <c r="O220" i="49"/>
  <c r="L220" i="49"/>
  <c r="I220" i="49"/>
  <c r="F220" i="49"/>
  <c r="O219" i="49"/>
  <c r="L219" i="49"/>
  <c r="I219" i="49"/>
  <c r="F219" i="49"/>
  <c r="O218" i="49"/>
  <c r="L218" i="49"/>
  <c r="I218" i="49"/>
  <c r="F218" i="49"/>
  <c r="O217" i="49"/>
  <c r="L217" i="49"/>
  <c r="I217" i="49"/>
  <c r="F217" i="49"/>
  <c r="N216" i="49"/>
  <c r="M216" i="49"/>
  <c r="K216" i="49"/>
  <c r="J216" i="49"/>
  <c r="H216" i="49"/>
  <c r="G216" i="49"/>
  <c r="E216" i="49"/>
  <c r="D216" i="49"/>
  <c r="O215" i="49"/>
  <c r="L215" i="49"/>
  <c r="I215" i="49"/>
  <c r="F215" i="49"/>
  <c r="O214" i="49"/>
  <c r="L214" i="49"/>
  <c r="I214" i="49"/>
  <c r="F214" i="49"/>
  <c r="O213" i="49"/>
  <c r="L213" i="49"/>
  <c r="I213" i="49"/>
  <c r="F213" i="49"/>
  <c r="O212" i="49"/>
  <c r="L212" i="49"/>
  <c r="I212" i="49"/>
  <c r="F212" i="49"/>
  <c r="O211" i="49"/>
  <c r="L211" i="49"/>
  <c r="I211" i="49"/>
  <c r="F211" i="49"/>
  <c r="O210" i="49"/>
  <c r="L210" i="49"/>
  <c r="I210" i="49"/>
  <c r="F210" i="49"/>
  <c r="O209" i="49"/>
  <c r="L209" i="49"/>
  <c r="I209" i="49"/>
  <c r="F209" i="49"/>
  <c r="O208" i="49"/>
  <c r="L208" i="49"/>
  <c r="I208" i="49"/>
  <c r="F208" i="49"/>
  <c r="O207" i="49"/>
  <c r="L207" i="49"/>
  <c r="I207" i="49"/>
  <c r="F207" i="49"/>
  <c r="O206" i="49"/>
  <c r="L206" i="49"/>
  <c r="I206" i="49"/>
  <c r="F206" i="49"/>
  <c r="N205" i="49"/>
  <c r="M205" i="49"/>
  <c r="K205" i="49"/>
  <c r="J205" i="49"/>
  <c r="H205" i="49"/>
  <c r="G205" i="49"/>
  <c r="E205" i="49"/>
  <c r="D205" i="49"/>
  <c r="O203" i="49"/>
  <c r="L203" i="49"/>
  <c r="I203" i="49"/>
  <c r="F203" i="49"/>
  <c r="O202" i="49"/>
  <c r="L202" i="49"/>
  <c r="I202" i="49"/>
  <c r="F202" i="49"/>
  <c r="O201" i="49"/>
  <c r="L201" i="49"/>
  <c r="I201" i="49"/>
  <c r="F201" i="49"/>
  <c r="O200" i="49"/>
  <c r="L200" i="49"/>
  <c r="I200" i="49"/>
  <c r="F200" i="49"/>
  <c r="O199" i="49"/>
  <c r="L199" i="49"/>
  <c r="L198" i="49" s="1"/>
  <c r="I199" i="49"/>
  <c r="F199" i="49"/>
  <c r="F198" i="49" s="1"/>
  <c r="O198" i="49"/>
  <c r="N198" i="49"/>
  <c r="N196" i="49" s="1"/>
  <c r="M198" i="49"/>
  <c r="M196" i="49" s="1"/>
  <c r="K198" i="49"/>
  <c r="K196" i="49" s="1"/>
  <c r="J198" i="49"/>
  <c r="J196" i="49" s="1"/>
  <c r="H198" i="49"/>
  <c r="H196" i="49" s="1"/>
  <c r="G198" i="49"/>
  <c r="G196" i="49" s="1"/>
  <c r="E198" i="49"/>
  <c r="E196" i="49" s="1"/>
  <c r="D198" i="49"/>
  <c r="D196" i="49" s="1"/>
  <c r="O197" i="49"/>
  <c r="L197" i="49"/>
  <c r="I197" i="49"/>
  <c r="F197" i="49"/>
  <c r="O193" i="49"/>
  <c r="O192" i="49" s="1"/>
  <c r="O191" i="49" s="1"/>
  <c r="L193" i="49"/>
  <c r="L192" i="49" s="1"/>
  <c r="L191" i="49" s="1"/>
  <c r="I193" i="49"/>
  <c r="F193" i="49"/>
  <c r="F192" i="49" s="1"/>
  <c r="F191" i="49" s="1"/>
  <c r="N192" i="49"/>
  <c r="N191" i="49" s="1"/>
  <c r="M192" i="49"/>
  <c r="K192" i="49"/>
  <c r="K191" i="49" s="1"/>
  <c r="J192" i="49"/>
  <c r="J191" i="49" s="1"/>
  <c r="I192" i="49"/>
  <c r="I191" i="49" s="1"/>
  <c r="H192" i="49"/>
  <c r="H191" i="49" s="1"/>
  <c r="G192" i="49"/>
  <c r="G191" i="49" s="1"/>
  <c r="E192" i="49"/>
  <c r="E191" i="49" s="1"/>
  <c r="D192" i="49"/>
  <c r="D191" i="49" s="1"/>
  <c r="M191" i="49"/>
  <c r="O190" i="49"/>
  <c r="L190" i="49"/>
  <c r="I190" i="49"/>
  <c r="F190" i="49"/>
  <c r="O189" i="49"/>
  <c r="O188" i="49" s="1"/>
  <c r="L189" i="49"/>
  <c r="I189" i="49"/>
  <c r="I188" i="49" s="1"/>
  <c r="I187" i="49" s="1"/>
  <c r="F189" i="49"/>
  <c r="F188" i="49" s="1"/>
  <c r="N188" i="49"/>
  <c r="M188" i="49"/>
  <c r="K188" i="49"/>
  <c r="J188" i="49"/>
  <c r="H188" i="49"/>
  <c r="G188" i="49"/>
  <c r="E188" i="49"/>
  <c r="D188" i="49"/>
  <c r="O186" i="49"/>
  <c r="L186" i="49"/>
  <c r="I186" i="49"/>
  <c r="F186" i="49"/>
  <c r="O185" i="49"/>
  <c r="L185" i="49"/>
  <c r="L184" i="49" s="1"/>
  <c r="I185" i="49"/>
  <c r="F185" i="49"/>
  <c r="F184" i="49" s="1"/>
  <c r="N184" i="49"/>
  <c r="M184" i="49"/>
  <c r="K184" i="49"/>
  <c r="J184" i="49"/>
  <c r="H184" i="49"/>
  <c r="G184" i="49"/>
  <c r="E184" i="49"/>
  <c r="D184" i="49"/>
  <c r="O183" i="49"/>
  <c r="L183" i="49"/>
  <c r="I183" i="49"/>
  <c r="F183" i="49"/>
  <c r="O182" i="49"/>
  <c r="L182" i="49"/>
  <c r="I182" i="49"/>
  <c r="F182" i="49"/>
  <c r="O181" i="49"/>
  <c r="L181" i="49"/>
  <c r="I181" i="49"/>
  <c r="F181" i="49"/>
  <c r="O180" i="49"/>
  <c r="L180" i="49"/>
  <c r="I180" i="49"/>
  <c r="I179" i="49" s="1"/>
  <c r="F180" i="49"/>
  <c r="F179" i="49" s="1"/>
  <c r="N179" i="49"/>
  <c r="M179" i="49"/>
  <c r="K179" i="49"/>
  <c r="J179" i="49"/>
  <c r="H179" i="49"/>
  <c r="G179" i="49"/>
  <c r="E179" i="49"/>
  <c r="D179" i="49"/>
  <c r="O178" i="49"/>
  <c r="L178" i="49"/>
  <c r="I178" i="49"/>
  <c r="F178" i="49"/>
  <c r="O177" i="49"/>
  <c r="L177" i="49"/>
  <c r="I177" i="49"/>
  <c r="F177" i="49"/>
  <c r="O176" i="49"/>
  <c r="L176" i="49"/>
  <c r="I176" i="49"/>
  <c r="I175" i="49" s="1"/>
  <c r="I174" i="49" s="1"/>
  <c r="F176" i="49"/>
  <c r="F175" i="49" s="1"/>
  <c r="F174" i="49" s="1"/>
  <c r="N175" i="49"/>
  <c r="N174" i="49" s="1"/>
  <c r="N173" i="49" s="1"/>
  <c r="M175" i="49"/>
  <c r="M174" i="49" s="1"/>
  <c r="K175" i="49"/>
  <c r="J175" i="49"/>
  <c r="H175" i="49"/>
  <c r="G175" i="49"/>
  <c r="G174" i="49" s="1"/>
  <c r="G173" i="49" s="1"/>
  <c r="E175" i="49"/>
  <c r="D175" i="49"/>
  <c r="K174" i="49"/>
  <c r="K173" i="49" s="1"/>
  <c r="O172" i="49"/>
  <c r="L172" i="49"/>
  <c r="I172" i="49"/>
  <c r="F172" i="49"/>
  <c r="O171" i="49"/>
  <c r="L171" i="49"/>
  <c r="I171" i="49"/>
  <c r="F171" i="49"/>
  <c r="O170" i="49"/>
  <c r="L170" i="49"/>
  <c r="I170" i="49"/>
  <c r="F170" i="49"/>
  <c r="O169" i="49"/>
  <c r="L169" i="49"/>
  <c r="I169" i="49"/>
  <c r="F169" i="49"/>
  <c r="O168" i="49"/>
  <c r="L168" i="49"/>
  <c r="I168" i="49"/>
  <c r="F168" i="49"/>
  <c r="O167" i="49"/>
  <c r="L167" i="49"/>
  <c r="L166" i="49" s="1"/>
  <c r="L165" i="49" s="1"/>
  <c r="I167" i="49"/>
  <c r="I166" i="49" s="1"/>
  <c r="F167" i="49"/>
  <c r="O166" i="49"/>
  <c r="O165" i="49" s="1"/>
  <c r="N166" i="49"/>
  <c r="N165" i="49" s="1"/>
  <c r="M166" i="49"/>
  <c r="K166" i="49"/>
  <c r="K165" i="49" s="1"/>
  <c r="J166" i="49"/>
  <c r="J165" i="49" s="1"/>
  <c r="H166" i="49"/>
  <c r="H165" i="49" s="1"/>
  <c r="G166" i="49"/>
  <c r="E166" i="49"/>
  <c r="D166" i="49"/>
  <c r="D165" i="49" s="1"/>
  <c r="M165" i="49"/>
  <c r="G165" i="49"/>
  <c r="E165" i="49"/>
  <c r="O164" i="49"/>
  <c r="L164" i="49"/>
  <c r="I164" i="49"/>
  <c r="F164" i="49"/>
  <c r="O163" i="49"/>
  <c r="L163" i="49"/>
  <c r="I163" i="49"/>
  <c r="F163" i="49"/>
  <c r="O162" i="49"/>
  <c r="L162" i="49"/>
  <c r="I162" i="49"/>
  <c r="F162" i="49"/>
  <c r="O161" i="49"/>
  <c r="L161" i="49"/>
  <c r="L160" i="49" s="1"/>
  <c r="I161" i="49"/>
  <c r="F161" i="49"/>
  <c r="O160" i="49"/>
  <c r="N160" i="49"/>
  <c r="M160" i="49"/>
  <c r="K160" i="49"/>
  <c r="J160" i="49"/>
  <c r="H160" i="49"/>
  <c r="G160" i="49"/>
  <c r="F160" i="49"/>
  <c r="E160" i="49"/>
  <c r="D160" i="49"/>
  <c r="O159" i="49"/>
  <c r="L159" i="49"/>
  <c r="I159" i="49"/>
  <c r="F159" i="49"/>
  <c r="O158" i="49"/>
  <c r="L158" i="49"/>
  <c r="I158" i="49"/>
  <c r="F158" i="49"/>
  <c r="O157" i="49"/>
  <c r="L157" i="49"/>
  <c r="I157" i="49"/>
  <c r="F157" i="49"/>
  <c r="O156" i="49"/>
  <c r="L156" i="49"/>
  <c r="I156" i="49"/>
  <c r="F156" i="49"/>
  <c r="O155" i="49"/>
  <c r="L155" i="49"/>
  <c r="I155" i="49"/>
  <c r="F155" i="49"/>
  <c r="O154" i="49"/>
  <c r="L154" i="49"/>
  <c r="I154" i="49"/>
  <c r="F154" i="49"/>
  <c r="O153" i="49"/>
  <c r="L153" i="49"/>
  <c r="I153" i="49"/>
  <c r="F153" i="49"/>
  <c r="O152" i="49"/>
  <c r="O151" i="49" s="1"/>
  <c r="L152" i="49"/>
  <c r="I152" i="49"/>
  <c r="F152" i="49"/>
  <c r="N151" i="49"/>
  <c r="M151" i="49"/>
  <c r="K151" i="49"/>
  <c r="J151" i="49"/>
  <c r="H151" i="49"/>
  <c r="G151" i="49"/>
  <c r="E151" i="49"/>
  <c r="D151" i="49"/>
  <c r="O150" i="49"/>
  <c r="L150" i="49"/>
  <c r="I150" i="49"/>
  <c r="F150" i="49"/>
  <c r="O149" i="49"/>
  <c r="L149" i="49"/>
  <c r="I149" i="49"/>
  <c r="F149" i="49"/>
  <c r="O148" i="49"/>
  <c r="L148" i="49"/>
  <c r="I148" i="49"/>
  <c r="F148" i="49"/>
  <c r="O147" i="49"/>
  <c r="L147" i="49"/>
  <c r="I147" i="49"/>
  <c r="F147" i="49"/>
  <c r="O146" i="49"/>
  <c r="L146" i="49"/>
  <c r="I146" i="49"/>
  <c r="F146" i="49"/>
  <c r="O145" i="49"/>
  <c r="L145" i="49"/>
  <c r="I145" i="49"/>
  <c r="F145" i="49"/>
  <c r="O144" i="49"/>
  <c r="N144" i="49"/>
  <c r="M144" i="49"/>
  <c r="K144" i="49"/>
  <c r="J144" i="49"/>
  <c r="H144" i="49"/>
  <c r="G144" i="49"/>
  <c r="E144" i="49"/>
  <c r="D144" i="49"/>
  <c r="O143" i="49"/>
  <c r="L143" i="49"/>
  <c r="I143" i="49"/>
  <c r="F143" i="49"/>
  <c r="O142" i="49"/>
  <c r="L142" i="49"/>
  <c r="L141" i="49" s="1"/>
  <c r="I142" i="49"/>
  <c r="I141" i="49" s="1"/>
  <c r="F142" i="49"/>
  <c r="N141" i="49"/>
  <c r="M141" i="49"/>
  <c r="K141" i="49"/>
  <c r="J141" i="49"/>
  <c r="H141" i="49"/>
  <c r="G141" i="49"/>
  <c r="E141" i="49"/>
  <c r="D141" i="49"/>
  <c r="O140" i="49"/>
  <c r="L140" i="49"/>
  <c r="I140" i="49"/>
  <c r="F140" i="49"/>
  <c r="O139" i="49"/>
  <c r="L139" i="49"/>
  <c r="I139" i="49"/>
  <c r="F139" i="49"/>
  <c r="O138" i="49"/>
  <c r="L138" i="49"/>
  <c r="I138" i="49"/>
  <c r="F138" i="49"/>
  <c r="O137" i="49"/>
  <c r="O136" i="49" s="1"/>
  <c r="L137" i="49"/>
  <c r="L136" i="49" s="1"/>
  <c r="I137" i="49"/>
  <c r="F137" i="49"/>
  <c r="N136" i="49"/>
  <c r="M136" i="49"/>
  <c r="K136" i="49"/>
  <c r="J136" i="49"/>
  <c r="H136" i="49"/>
  <c r="G136" i="49"/>
  <c r="E136" i="49"/>
  <c r="D136" i="49"/>
  <c r="O135" i="49"/>
  <c r="L135" i="49"/>
  <c r="I135" i="49"/>
  <c r="F135" i="49"/>
  <c r="O134" i="49"/>
  <c r="L134" i="49"/>
  <c r="I134" i="49"/>
  <c r="F134" i="49"/>
  <c r="O133" i="49"/>
  <c r="L133" i="49"/>
  <c r="I133" i="49"/>
  <c r="F133" i="49"/>
  <c r="O132" i="49"/>
  <c r="L132" i="49"/>
  <c r="I132" i="49"/>
  <c r="F132" i="49"/>
  <c r="O131" i="49"/>
  <c r="N131" i="49"/>
  <c r="M131" i="49"/>
  <c r="K131" i="49"/>
  <c r="J131" i="49"/>
  <c r="H131" i="49"/>
  <c r="G131" i="49"/>
  <c r="E131" i="49"/>
  <c r="D131" i="49"/>
  <c r="O129" i="49"/>
  <c r="O128" i="49" s="1"/>
  <c r="L129" i="49"/>
  <c r="L128" i="49" s="1"/>
  <c r="I129" i="49"/>
  <c r="F129" i="49"/>
  <c r="F128" i="49" s="1"/>
  <c r="N128" i="49"/>
  <c r="M128" i="49"/>
  <c r="K128" i="49"/>
  <c r="J128" i="49"/>
  <c r="H128" i="49"/>
  <c r="G128" i="49"/>
  <c r="E128" i="49"/>
  <c r="D128" i="49"/>
  <c r="O127" i="49"/>
  <c r="L127" i="49"/>
  <c r="I127" i="49"/>
  <c r="F127" i="49"/>
  <c r="O126" i="49"/>
  <c r="L126" i="49"/>
  <c r="I126" i="49"/>
  <c r="F126" i="49"/>
  <c r="O125" i="49"/>
  <c r="L125" i="49"/>
  <c r="I125" i="49"/>
  <c r="F125" i="49"/>
  <c r="O124" i="49"/>
  <c r="L124" i="49"/>
  <c r="I124" i="49"/>
  <c r="F124" i="49"/>
  <c r="O123" i="49"/>
  <c r="L123" i="49"/>
  <c r="L122" i="49" s="1"/>
  <c r="I123" i="49"/>
  <c r="I122" i="49" s="1"/>
  <c r="F123" i="49"/>
  <c r="N122" i="49"/>
  <c r="M122" i="49"/>
  <c r="K122" i="49"/>
  <c r="J122" i="49"/>
  <c r="H122" i="49"/>
  <c r="G122" i="49"/>
  <c r="E122" i="49"/>
  <c r="D122" i="49"/>
  <c r="O121" i="49"/>
  <c r="L121" i="49"/>
  <c r="I121" i="49"/>
  <c r="F121" i="49"/>
  <c r="O120" i="49"/>
  <c r="L120" i="49"/>
  <c r="I120" i="49"/>
  <c r="F120" i="49"/>
  <c r="O119" i="49"/>
  <c r="L119" i="49"/>
  <c r="I119" i="49"/>
  <c r="F119" i="49"/>
  <c r="O118" i="49"/>
  <c r="L118" i="49"/>
  <c r="I118" i="49"/>
  <c r="F118" i="49"/>
  <c r="O117" i="49"/>
  <c r="L117" i="49"/>
  <c r="L116" i="49" s="1"/>
  <c r="I117" i="49"/>
  <c r="F117" i="49"/>
  <c r="O116" i="49"/>
  <c r="N116" i="49"/>
  <c r="M116" i="49"/>
  <c r="K116" i="49"/>
  <c r="J116" i="49"/>
  <c r="H116" i="49"/>
  <c r="G116" i="49"/>
  <c r="E116" i="49"/>
  <c r="D116" i="49"/>
  <c r="O115" i="49"/>
  <c r="L115" i="49"/>
  <c r="I115" i="49"/>
  <c r="F115" i="49"/>
  <c r="O114" i="49"/>
  <c r="L114" i="49"/>
  <c r="I114" i="49"/>
  <c r="F114" i="49"/>
  <c r="O113" i="49"/>
  <c r="L113" i="49"/>
  <c r="L112" i="49" s="1"/>
  <c r="I113" i="49"/>
  <c r="F113" i="49"/>
  <c r="O112" i="49"/>
  <c r="N112" i="49"/>
  <c r="M112" i="49"/>
  <c r="K112" i="49"/>
  <c r="J112" i="49"/>
  <c r="H112" i="49"/>
  <c r="G112" i="49"/>
  <c r="E112" i="49"/>
  <c r="D112" i="49"/>
  <c r="O111" i="49"/>
  <c r="L111" i="49"/>
  <c r="I111" i="49"/>
  <c r="F111" i="49"/>
  <c r="O110" i="49"/>
  <c r="L110" i="49"/>
  <c r="I110" i="49"/>
  <c r="F110" i="49"/>
  <c r="O109" i="49"/>
  <c r="L109" i="49"/>
  <c r="I109" i="49"/>
  <c r="F109" i="49"/>
  <c r="O108" i="49"/>
  <c r="L108" i="49"/>
  <c r="I108" i="49"/>
  <c r="F108" i="49"/>
  <c r="O107" i="49"/>
  <c r="L107" i="49"/>
  <c r="I107" i="49"/>
  <c r="F107" i="49"/>
  <c r="O106" i="49"/>
  <c r="L106" i="49"/>
  <c r="I106" i="49"/>
  <c r="F106" i="49"/>
  <c r="O105" i="49"/>
  <c r="L105" i="49"/>
  <c r="I105" i="49"/>
  <c r="F105" i="49"/>
  <c r="O104" i="49"/>
  <c r="L104" i="49"/>
  <c r="I104" i="49"/>
  <c r="F104" i="49"/>
  <c r="N103" i="49"/>
  <c r="M103" i="49"/>
  <c r="K103" i="49"/>
  <c r="J103" i="49"/>
  <c r="H103" i="49"/>
  <c r="G103" i="49"/>
  <c r="E103" i="49"/>
  <c r="D103" i="49"/>
  <c r="O102" i="49"/>
  <c r="L102" i="49"/>
  <c r="I102" i="49"/>
  <c r="F102" i="49"/>
  <c r="O101" i="49"/>
  <c r="L101" i="49"/>
  <c r="I101" i="49"/>
  <c r="F101" i="49"/>
  <c r="O100" i="49"/>
  <c r="L100" i="49"/>
  <c r="I100" i="49"/>
  <c r="F100" i="49"/>
  <c r="O99" i="49"/>
  <c r="L99" i="49"/>
  <c r="I99" i="49"/>
  <c r="F99" i="49"/>
  <c r="O98" i="49"/>
  <c r="L98" i="49"/>
  <c r="I98" i="49"/>
  <c r="F98" i="49"/>
  <c r="O97" i="49"/>
  <c r="L97" i="49"/>
  <c r="I97" i="49"/>
  <c r="F97" i="49"/>
  <c r="O96" i="49"/>
  <c r="L96" i="49"/>
  <c r="I96" i="49"/>
  <c r="F96" i="49"/>
  <c r="O95" i="49"/>
  <c r="N95" i="49"/>
  <c r="M95" i="49"/>
  <c r="K95" i="49"/>
  <c r="J95" i="49"/>
  <c r="H95" i="49"/>
  <c r="G95" i="49"/>
  <c r="E95" i="49"/>
  <c r="D95" i="49"/>
  <c r="O94" i="49"/>
  <c r="L94" i="49"/>
  <c r="I94" i="49"/>
  <c r="F94" i="49"/>
  <c r="O93" i="49"/>
  <c r="L93" i="49"/>
  <c r="I93" i="49"/>
  <c r="F93" i="49"/>
  <c r="O92" i="49"/>
  <c r="L92" i="49"/>
  <c r="I92" i="49"/>
  <c r="F92" i="49"/>
  <c r="O91" i="49"/>
  <c r="L91" i="49"/>
  <c r="I91" i="49"/>
  <c r="F91" i="49"/>
  <c r="O90" i="49"/>
  <c r="L90" i="49"/>
  <c r="I90" i="49"/>
  <c r="I89" i="49" s="1"/>
  <c r="F90" i="49"/>
  <c r="N89" i="49"/>
  <c r="M89" i="49"/>
  <c r="K89" i="49"/>
  <c r="J89" i="49"/>
  <c r="H89" i="49"/>
  <c r="G89" i="49"/>
  <c r="E89" i="49"/>
  <c r="D89" i="49"/>
  <c r="O88" i="49"/>
  <c r="L88" i="49"/>
  <c r="I88" i="49"/>
  <c r="F88" i="49"/>
  <c r="O87" i="49"/>
  <c r="L87" i="49"/>
  <c r="I87" i="49"/>
  <c r="F87" i="49"/>
  <c r="O86" i="49"/>
  <c r="L86" i="49"/>
  <c r="I86" i="49"/>
  <c r="F86" i="49"/>
  <c r="O85" i="49"/>
  <c r="L85" i="49"/>
  <c r="L84" i="49" s="1"/>
  <c r="I85" i="49"/>
  <c r="F85" i="49"/>
  <c r="N84" i="49"/>
  <c r="M84" i="49"/>
  <c r="K84" i="49"/>
  <c r="J84" i="49"/>
  <c r="H84" i="49"/>
  <c r="G84" i="49"/>
  <c r="E84" i="49"/>
  <c r="D84" i="49"/>
  <c r="O82" i="49"/>
  <c r="L82" i="49"/>
  <c r="I82" i="49"/>
  <c r="F82" i="49"/>
  <c r="O81" i="49"/>
  <c r="L81" i="49"/>
  <c r="I81" i="49"/>
  <c r="I80" i="49" s="1"/>
  <c r="F81" i="49"/>
  <c r="O80" i="49"/>
  <c r="N80" i="49"/>
  <c r="M80" i="49"/>
  <c r="K80" i="49"/>
  <c r="J80" i="49"/>
  <c r="H80" i="49"/>
  <c r="G80" i="49"/>
  <c r="F80" i="49"/>
  <c r="E80" i="49"/>
  <c r="D80" i="49"/>
  <c r="O79" i="49"/>
  <c r="L79" i="49"/>
  <c r="I79" i="49"/>
  <c r="F79" i="49"/>
  <c r="O78" i="49"/>
  <c r="L78" i="49"/>
  <c r="I78" i="49"/>
  <c r="I77" i="49" s="1"/>
  <c r="F78" i="49"/>
  <c r="N77" i="49"/>
  <c r="M77" i="49"/>
  <c r="K77" i="49"/>
  <c r="J77" i="49"/>
  <c r="H77" i="49"/>
  <c r="H76" i="49" s="1"/>
  <c r="G77" i="49"/>
  <c r="E77" i="49"/>
  <c r="E76" i="49" s="1"/>
  <c r="D77" i="49"/>
  <c r="D76" i="49" s="1"/>
  <c r="O74" i="49"/>
  <c r="L74" i="49"/>
  <c r="I74" i="49"/>
  <c r="F74" i="49"/>
  <c r="O73" i="49"/>
  <c r="L73" i="49"/>
  <c r="I73" i="49"/>
  <c r="F73" i="49"/>
  <c r="O72" i="49"/>
  <c r="L72" i="49"/>
  <c r="I72" i="49"/>
  <c r="F72" i="49"/>
  <c r="O71" i="49"/>
  <c r="L71" i="49"/>
  <c r="I71" i="49"/>
  <c r="F71" i="49"/>
  <c r="O70" i="49"/>
  <c r="L70" i="49"/>
  <c r="I70" i="49"/>
  <c r="F70" i="49"/>
  <c r="N69" i="49"/>
  <c r="N67" i="49" s="1"/>
  <c r="M69" i="49"/>
  <c r="M67" i="49" s="1"/>
  <c r="K69" i="49"/>
  <c r="K67" i="49" s="1"/>
  <c r="J69" i="49"/>
  <c r="J67" i="49" s="1"/>
  <c r="H69" i="49"/>
  <c r="G69" i="49"/>
  <c r="G67" i="49" s="1"/>
  <c r="E69" i="49"/>
  <c r="E67" i="49" s="1"/>
  <c r="D69" i="49"/>
  <c r="D67" i="49" s="1"/>
  <c r="O68" i="49"/>
  <c r="L68" i="49"/>
  <c r="I68" i="49"/>
  <c r="F68" i="49"/>
  <c r="H67" i="49"/>
  <c r="O66" i="49"/>
  <c r="L66" i="49"/>
  <c r="I66" i="49"/>
  <c r="F66" i="49"/>
  <c r="O65" i="49"/>
  <c r="L65" i="49"/>
  <c r="I65" i="49"/>
  <c r="F65" i="49"/>
  <c r="O64" i="49"/>
  <c r="L64" i="49"/>
  <c r="I64" i="49"/>
  <c r="F64" i="49"/>
  <c r="O63" i="49"/>
  <c r="L63" i="49"/>
  <c r="I63" i="49"/>
  <c r="F63" i="49"/>
  <c r="O62" i="49"/>
  <c r="L62" i="49"/>
  <c r="I62" i="49"/>
  <c r="F62" i="49"/>
  <c r="O61" i="49"/>
  <c r="L61" i="49"/>
  <c r="I61" i="49"/>
  <c r="F61" i="49"/>
  <c r="O60" i="49"/>
  <c r="L60" i="49"/>
  <c r="I60" i="49"/>
  <c r="F60" i="49"/>
  <c r="O59" i="49"/>
  <c r="O58" i="49" s="1"/>
  <c r="L59" i="49"/>
  <c r="I59" i="49"/>
  <c r="F59" i="49"/>
  <c r="N58" i="49"/>
  <c r="M58" i="49"/>
  <c r="K58" i="49"/>
  <c r="J58" i="49"/>
  <c r="H58" i="49"/>
  <c r="G58" i="49"/>
  <c r="E58" i="49"/>
  <c r="D58" i="49"/>
  <c r="O57" i="49"/>
  <c r="L57" i="49"/>
  <c r="I57" i="49"/>
  <c r="F57" i="49"/>
  <c r="O56" i="49"/>
  <c r="O55" i="49" s="1"/>
  <c r="O54" i="49" s="1"/>
  <c r="L56" i="49"/>
  <c r="L55" i="49" s="1"/>
  <c r="I56" i="49"/>
  <c r="I55" i="49" s="1"/>
  <c r="F56" i="49"/>
  <c r="N55" i="49"/>
  <c r="M55" i="49"/>
  <c r="M54" i="49" s="1"/>
  <c r="K55" i="49"/>
  <c r="K54" i="49" s="1"/>
  <c r="J55" i="49"/>
  <c r="J54" i="49" s="1"/>
  <c r="H55" i="49"/>
  <c r="G55" i="49"/>
  <c r="E55" i="49"/>
  <c r="D55" i="49"/>
  <c r="O47" i="49"/>
  <c r="C47" i="49" s="1"/>
  <c r="O46" i="49"/>
  <c r="C46" i="49" s="1"/>
  <c r="N45" i="49"/>
  <c r="M45" i="49"/>
  <c r="L44" i="49"/>
  <c r="L43" i="49" s="1"/>
  <c r="I44" i="49"/>
  <c r="I43" i="49" s="1"/>
  <c r="F44" i="49"/>
  <c r="F43" i="49" s="1"/>
  <c r="K43" i="49"/>
  <c r="J43" i="49"/>
  <c r="H43" i="49"/>
  <c r="G43" i="49"/>
  <c r="E43" i="49"/>
  <c r="D43" i="49"/>
  <c r="F42" i="49"/>
  <c r="C42" i="49" s="1"/>
  <c r="E41" i="49"/>
  <c r="D41" i="49"/>
  <c r="L40" i="49"/>
  <c r="C40" i="49" s="1"/>
  <c r="L39" i="49"/>
  <c r="C39" i="49" s="1"/>
  <c r="L38" i="49"/>
  <c r="C38" i="49" s="1"/>
  <c r="L37" i="49"/>
  <c r="C37" i="49" s="1"/>
  <c r="K36" i="49"/>
  <c r="J36" i="49"/>
  <c r="L35" i="49"/>
  <c r="L34" i="49"/>
  <c r="C34" i="49" s="1"/>
  <c r="K33" i="49"/>
  <c r="J33" i="49"/>
  <c r="L32" i="49"/>
  <c r="L31" i="49" s="1"/>
  <c r="C31" i="49" s="1"/>
  <c r="K31" i="49"/>
  <c r="J31" i="49"/>
  <c r="L30" i="49"/>
  <c r="C30" i="49" s="1"/>
  <c r="L29" i="49"/>
  <c r="C29" i="49" s="1"/>
  <c r="L28" i="49"/>
  <c r="C28" i="49" s="1"/>
  <c r="K27" i="49"/>
  <c r="J27" i="49"/>
  <c r="F25" i="49"/>
  <c r="C25" i="49" s="1"/>
  <c r="I24" i="49"/>
  <c r="F24" i="49"/>
  <c r="C24" i="49" s="1"/>
  <c r="O23" i="49"/>
  <c r="L23" i="49"/>
  <c r="I23" i="49"/>
  <c r="F23" i="49"/>
  <c r="C23" i="49" s="1"/>
  <c r="O22" i="49"/>
  <c r="L22" i="49"/>
  <c r="L21" i="49" s="1"/>
  <c r="I22" i="49"/>
  <c r="I21" i="49" s="1"/>
  <c r="F22" i="49"/>
  <c r="N21" i="49"/>
  <c r="N292" i="49" s="1"/>
  <c r="M21" i="49"/>
  <c r="M292" i="49" s="1"/>
  <c r="K21" i="49"/>
  <c r="J21" i="49"/>
  <c r="H21" i="49"/>
  <c r="G21" i="49"/>
  <c r="E21" i="49"/>
  <c r="D21" i="49"/>
  <c r="C107" i="49" l="1"/>
  <c r="O270" i="49"/>
  <c r="F270" i="49"/>
  <c r="C249" i="49"/>
  <c r="C253" i="49"/>
  <c r="F58" i="49"/>
  <c r="I235" i="49"/>
  <c r="E83" i="49"/>
  <c r="C186" i="49"/>
  <c r="D187" i="49"/>
  <c r="F55" i="49"/>
  <c r="C55" i="49" s="1"/>
  <c r="C104" i="49"/>
  <c r="C106" i="49"/>
  <c r="C127" i="49"/>
  <c r="C152" i="49"/>
  <c r="C155" i="49"/>
  <c r="C159" i="49"/>
  <c r="N270" i="49"/>
  <c r="M53" i="49"/>
  <c r="O69" i="49"/>
  <c r="O67" i="49" s="1"/>
  <c r="O53" i="49" s="1"/>
  <c r="C79" i="49"/>
  <c r="K76" i="49"/>
  <c r="C206" i="49"/>
  <c r="C242" i="49"/>
  <c r="C245" i="49"/>
  <c r="C262" i="49"/>
  <c r="N259" i="49"/>
  <c r="C71" i="49"/>
  <c r="C197" i="49"/>
  <c r="G259" i="49"/>
  <c r="I259" i="49"/>
  <c r="E259" i="49"/>
  <c r="K292" i="49"/>
  <c r="K291" i="49" s="1"/>
  <c r="C22" i="49"/>
  <c r="E54" i="49"/>
  <c r="E53" i="49" s="1"/>
  <c r="K53" i="49"/>
  <c r="J76" i="49"/>
  <c r="K83" i="49"/>
  <c r="J270" i="49"/>
  <c r="J269" i="49" s="1"/>
  <c r="C273" i="49"/>
  <c r="O269" i="49"/>
  <c r="G269" i="49"/>
  <c r="N187" i="49"/>
  <c r="G20" i="49"/>
  <c r="I20" i="49"/>
  <c r="C68" i="49"/>
  <c r="E231" i="49"/>
  <c r="E230" i="49" s="1"/>
  <c r="C237" i="49"/>
  <c r="C266" i="49"/>
  <c r="C267" i="49"/>
  <c r="C268" i="49"/>
  <c r="C286" i="49"/>
  <c r="C297" i="49"/>
  <c r="C301" i="49"/>
  <c r="E292" i="49"/>
  <c r="E291" i="49" s="1"/>
  <c r="N20" i="49"/>
  <c r="C32" i="49"/>
  <c r="C60" i="49"/>
  <c r="C65" i="49"/>
  <c r="O89" i="49"/>
  <c r="C96" i="49"/>
  <c r="D130" i="49"/>
  <c r="N130" i="49"/>
  <c r="C148" i="49"/>
  <c r="C171" i="49"/>
  <c r="C172" i="49"/>
  <c r="C201" i="49"/>
  <c r="D204" i="49"/>
  <c r="C226" i="49"/>
  <c r="M231" i="49"/>
  <c r="C247" i="49"/>
  <c r="C248" i="49"/>
  <c r="O246" i="49"/>
  <c r="M269" i="49"/>
  <c r="C294" i="49"/>
  <c r="M20" i="49"/>
  <c r="D54" i="49"/>
  <c r="D53" i="49" s="1"/>
  <c r="H54" i="49"/>
  <c r="H53" i="49" s="1"/>
  <c r="C70" i="49"/>
  <c r="C87" i="49"/>
  <c r="C120" i="49"/>
  <c r="E130" i="49"/>
  <c r="E75" i="49" s="1"/>
  <c r="K130" i="49"/>
  <c r="C143" i="49"/>
  <c r="M173" i="49"/>
  <c r="L179" i="49"/>
  <c r="I184" i="49"/>
  <c r="I173" i="49" s="1"/>
  <c r="C214" i="49"/>
  <c r="C218" i="49"/>
  <c r="C220" i="49"/>
  <c r="H204" i="49"/>
  <c r="H231" i="49"/>
  <c r="L238" i="49"/>
  <c r="I246" i="49"/>
  <c r="I231" i="49" s="1"/>
  <c r="I230" i="49" s="1"/>
  <c r="C258" i="49"/>
  <c r="K259" i="49"/>
  <c r="C277" i="49"/>
  <c r="J187" i="49"/>
  <c r="C189" i="49"/>
  <c r="I252" i="49"/>
  <c r="I251" i="49" s="1"/>
  <c r="C57" i="49"/>
  <c r="N54" i="49"/>
  <c r="N53" i="49" s="1"/>
  <c r="C72" i="49"/>
  <c r="C74" i="49"/>
  <c r="C90" i="49"/>
  <c r="F89" i="49"/>
  <c r="C135" i="49"/>
  <c r="K75" i="49"/>
  <c r="G83" i="49"/>
  <c r="C121" i="49"/>
  <c r="C164" i="49"/>
  <c r="C169" i="49"/>
  <c r="F166" i="49"/>
  <c r="F165" i="49" s="1"/>
  <c r="N269" i="49"/>
  <c r="M83" i="49"/>
  <c r="F69" i="49"/>
  <c r="F67" i="49" s="1"/>
  <c r="J130" i="49"/>
  <c r="C35" i="49"/>
  <c r="L33" i="49"/>
  <c r="C33" i="49" s="1"/>
  <c r="C64" i="49"/>
  <c r="C78" i="49"/>
  <c r="O77" i="49"/>
  <c r="O76" i="49" s="1"/>
  <c r="H83" i="49"/>
  <c r="C100" i="49"/>
  <c r="C101" i="49"/>
  <c r="C111" i="49"/>
  <c r="C124" i="49"/>
  <c r="C125" i="49"/>
  <c r="C140" i="49"/>
  <c r="C147" i="49"/>
  <c r="H130" i="49"/>
  <c r="C178" i="49"/>
  <c r="C181" i="49"/>
  <c r="C182" i="49"/>
  <c r="L205" i="49"/>
  <c r="C210" i="49"/>
  <c r="C234" i="49"/>
  <c r="F246" i="49"/>
  <c r="C282" i="49"/>
  <c r="L281" i="49"/>
  <c r="C281" i="49" s="1"/>
  <c r="K204" i="49"/>
  <c r="K195" i="49" s="1"/>
  <c r="C209" i="49"/>
  <c r="C243" i="49"/>
  <c r="H259" i="49"/>
  <c r="H230" i="49" s="1"/>
  <c r="M291" i="49"/>
  <c r="J26" i="49"/>
  <c r="J20" i="49" s="1"/>
  <c r="K26" i="49"/>
  <c r="G54" i="49"/>
  <c r="G53" i="49" s="1"/>
  <c r="C63" i="49"/>
  <c r="C73" i="49"/>
  <c r="I76" i="49"/>
  <c r="N76" i="49"/>
  <c r="C81" i="49"/>
  <c r="D83" i="49"/>
  <c r="C88" i="49"/>
  <c r="C99" i="49"/>
  <c r="C115" i="49"/>
  <c r="C123" i="49"/>
  <c r="G130" i="49"/>
  <c r="C139" i="49"/>
  <c r="M130" i="49"/>
  <c r="C150" i="49"/>
  <c r="L151" i="49"/>
  <c r="C163" i="49"/>
  <c r="C170" i="49"/>
  <c r="D174" i="49"/>
  <c r="D173" i="49" s="1"/>
  <c r="H174" i="49"/>
  <c r="H173" i="49" s="1"/>
  <c r="L175" i="49"/>
  <c r="C200" i="49"/>
  <c r="G204" i="49"/>
  <c r="G195" i="49" s="1"/>
  <c r="I205" i="49"/>
  <c r="C213" i="49"/>
  <c r="D259" i="49"/>
  <c r="M259" i="49"/>
  <c r="H270" i="49"/>
  <c r="H269" i="49" s="1"/>
  <c r="C298" i="49"/>
  <c r="L196" i="49"/>
  <c r="C219" i="49"/>
  <c r="C225" i="49"/>
  <c r="C229" i="49"/>
  <c r="C244" i="49"/>
  <c r="L259" i="49"/>
  <c r="E20" i="49"/>
  <c r="J292" i="49"/>
  <c r="J291" i="49" s="1"/>
  <c r="N291" i="49"/>
  <c r="C61" i="49"/>
  <c r="J53" i="49"/>
  <c r="G76" i="49"/>
  <c r="M76" i="49"/>
  <c r="L77" i="49"/>
  <c r="C86" i="49"/>
  <c r="O84" i="49"/>
  <c r="C92" i="49"/>
  <c r="C102" i="49"/>
  <c r="O103" i="49"/>
  <c r="L103" i="49"/>
  <c r="C119" i="49"/>
  <c r="C126" i="49"/>
  <c r="C132" i="49"/>
  <c r="O141" i="49"/>
  <c r="O130" i="49" s="1"/>
  <c r="L144" i="49"/>
  <c r="C149" i="49"/>
  <c r="F151" i="49"/>
  <c r="C154" i="49"/>
  <c r="C168" i="49"/>
  <c r="E174" i="49"/>
  <c r="E173" i="49" s="1"/>
  <c r="J174" i="49"/>
  <c r="J173" i="49" s="1"/>
  <c r="C177" i="49"/>
  <c r="C190" i="49"/>
  <c r="O196" i="49"/>
  <c r="C217" i="49"/>
  <c r="J204" i="49"/>
  <c r="J195" i="49" s="1"/>
  <c r="N204" i="49"/>
  <c r="N195" i="49" s="1"/>
  <c r="D231" i="49"/>
  <c r="O235" i="49"/>
  <c r="C235" i="49" s="1"/>
  <c r="N231" i="49"/>
  <c r="O238" i="49"/>
  <c r="J231" i="49"/>
  <c r="J230" i="49" s="1"/>
  <c r="C250" i="49"/>
  <c r="C257" i="49"/>
  <c r="D270" i="49"/>
  <c r="D269" i="49" s="1"/>
  <c r="I276" i="49"/>
  <c r="I270" i="49" s="1"/>
  <c r="I269" i="49" s="1"/>
  <c r="C295" i="49"/>
  <c r="F173" i="49"/>
  <c r="C43" i="49"/>
  <c r="K20" i="49"/>
  <c r="F54" i="49"/>
  <c r="C193" i="49"/>
  <c r="L58" i="49"/>
  <c r="L54" i="49" s="1"/>
  <c r="L80" i="49"/>
  <c r="L95" i="49"/>
  <c r="C105" i="49"/>
  <c r="I103" i="49"/>
  <c r="C108" i="49"/>
  <c r="I128" i="49"/>
  <c r="C128" i="49" s="1"/>
  <c r="C129" i="49"/>
  <c r="C153" i="49"/>
  <c r="I151" i="49"/>
  <c r="C156" i="49"/>
  <c r="C192" i="49"/>
  <c r="L216" i="49"/>
  <c r="C222" i="49"/>
  <c r="C274" i="49"/>
  <c r="L272" i="49"/>
  <c r="D292" i="49"/>
  <c r="D291" i="49" s="1"/>
  <c r="D20" i="49"/>
  <c r="L292" i="49"/>
  <c r="C59" i="49"/>
  <c r="F103" i="49"/>
  <c r="F284" i="49"/>
  <c r="C285" i="49"/>
  <c r="I84" i="49"/>
  <c r="C85" i="49"/>
  <c r="L131" i="49"/>
  <c r="M187" i="49"/>
  <c r="C191" i="49"/>
  <c r="F187" i="49"/>
  <c r="F21" i="49"/>
  <c r="L36" i="49"/>
  <c r="C36" i="49" s="1"/>
  <c r="C44" i="49"/>
  <c r="I58" i="49"/>
  <c r="C66" i="49"/>
  <c r="C82" i="49"/>
  <c r="J83" i="49"/>
  <c r="N83" i="49"/>
  <c r="L89" i="49"/>
  <c r="C89" i="49" s="1"/>
  <c r="C94" i="49"/>
  <c r="F95" i="49"/>
  <c r="C98" i="49"/>
  <c r="C110" i="49"/>
  <c r="F112" i="49"/>
  <c r="C114" i="49"/>
  <c r="F116" i="49"/>
  <c r="C118" i="49"/>
  <c r="O122" i="49"/>
  <c r="F131" i="49"/>
  <c r="C134" i="49"/>
  <c r="F136" i="49"/>
  <c r="C138" i="49"/>
  <c r="F141" i="49"/>
  <c r="C142" i="49"/>
  <c r="F144" i="49"/>
  <c r="C146" i="49"/>
  <c r="C158" i="49"/>
  <c r="C162" i="49"/>
  <c r="C180" i="49"/>
  <c r="C185" i="49"/>
  <c r="O184" i="49"/>
  <c r="C207" i="49"/>
  <c r="C208" i="49"/>
  <c r="F205" i="49"/>
  <c r="E204" i="49"/>
  <c r="E195" i="49" s="1"/>
  <c r="C254" i="49"/>
  <c r="L252" i="49"/>
  <c r="L251" i="49" s="1"/>
  <c r="H20" i="49"/>
  <c r="H292" i="49"/>
  <c r="H291" i="49" s="1"/>
  <c r="C91" i="49"/>
  <c r="F269" i="49"/>
  <c r="I292" i="49"/>
  <c r="O21" i="49"/>
  <c r="L27" i="49"/>
  <c r="F41" i="49"/>
  <c r="C41" i="49" s="1"/>
  <c r="O45" i="49"/>
  <c r="C56" i="49"/>
  <c r="C62" i="49"/>
  <c r="I69" i="49"/>
  <c r="I67" i="49" s="1"/>
  <c r="L69" i="49"/>
  <c r="L67" i="49" s="1"/>
  <c r="F77" i="49"/>
  <c r="F84" i="49"/>
  <c r="C93" i="49"/>
  <c r="C97" i="49"/>
  <c r="I95" i="49"/>
  <c r="C109" i="49"/>
  <c r="I112" i="49"/>
  <c r="C113" i="49"/>
  <c r="I116" i="49"/>
  <c r="C117" i="49"/>
  <c r="F122" i="49"/>
  <c r="C133" i="49"/>
  <c r="I131" i="49"/>
  <c r="I136" i="49"/>
  <c r="C137" i="49"/>
  <c r="I144" i="49"/>
  <c r="C145" i="49"/>
  <c r="C157" i="49"/>
  <c r="I160" i="49"/>
  <c r="C160" i="49" s="1"/>
  <c r="C161" i="49"/>
  <c r="C176" i="49"/>
  <c r="E187" i="49"/>
  <c r="C167" i="49"/>
  <c r="C183" i="49"/>
  <c r="G187" i="49"/>
  <c r="K187" i="49"/>
  <c r="O187" i="49"/>
  <c r="M204" i="49"/>
  <c r="M195" i="49" s="1"/>
  <c r="C241" i="49"/>
  <c r="F238" i="49"/>
  <c r="F264" i="49"/>
  <c r="C265" i="49"/>
  <c r="E270" i="49"/>
  <c r="E269" i="49" s="1"/>
  <c r="C278" i="49"/>
  <c r="L276" i="49"/>
  <c r="G292" i="49"/>
  <c r="G291" i="49" s="1"/>
  <c r="C166" i="49"/>
  <c r="I165" i="49"/>
  <c r="C165" i="49" s="1"/>
  <c r="O175" i="49"/>
  <c r="O179" i="49"/>
  <c r="H187" i="49"/>
  <c r="L188" i="49"/>
  <c r="L187" i="49" s="1"/>
  <c r="H195" i="49"/>
  <c r="F196" i="49"/>
  <c r="I198" i="49"/>
  <c r="I196" i="49" s="1"/>
  <c r="C199" i="49"/>
  <c r="C202" i="49"/>
  <c r="O205" i="49"/>
  <c r="C215" i="49"/>
  <c r="I216" i="49"/>
  <c r="C228" i="49"/>
  <c r="F227" i="49"/>
  <c r="C227" i="49" s="1"/>
  <c r="C233" i="49"/>
  <c r="F260" i="49"/>
  <c r="C261" i="49"/>
  <c r="L293" i="49"/>
  <c r="C296" i="49"/>
  <c r="F293" i="49"/>
  <c r="D195" i="49"/>
  <c r="C212" i="49"/>
  <c r="O216" i="49"/>
  <c r="C223" i="49"/>
  <c r="C224" i="49"/>
  <c r="C232" i="49"/>
  <c r="G231" i="49"/>
  <c r="G230" i="49" s="1"/>
  <c r="K231" i="49"/>
  <c r="F252" i="49"/>
  <c r="C263" i="49"/>
  <c r="C272" i="49"/>
  <c r="I293" i="49"/>
  <c r="C203" i="49"/>
  <c r="C211" i="49"/>
  <c r="F216" i="49"/>
  <c r="C236" i="49"/>
  <c r="C239" i="49"/>
  <c r="C240" i="49"/>
  <c r="L246" i="49"/>
  <c r="C255" i="49"/>
  <c r="C256" i="49"/>
  <c r="O260" i="49"/>
  <c r="O264" i="49"/>
  <c r="C271" i="49"/>
  <c r="C275" i="49"/>
  <c r="C279" i="49"/>
  <c r="C280" i="49"/>
  <c r="C287" i="49"/>
  <c r="C288" i="49"/>
  <c r="C299" i="49"/>
  <c r="C300" i="49"/>
  <c r="K230" i="49" l="1"/>
  <c r="K289" i="49" s="1"/>
  <c r="I204" i="49"/>
  <c r="C116" i="49"/>
  <c r="N75" i="49"/>
  <c r="N52" i="49" s="1"/>
  <c r="C58" i="49"/>
  <c r="C103" i="49"/>
  <c r="N230" i="49"/>
  <c r="L174" i="49"/>
  <c r="L173" i="49" s="1"/>
  <c r="C246" i="49"/>
  <c r="C179" i="49"/>
  <c r="C184" i="49"/>
  <c r="L204" i="49"/>
  <c r="L195" i="49" s="1"/>
  <c r="L194" i="49" s="1"/>
  <c r="O231" i="49"/>
  <c r="D230" i="49"/>
  <c r="C276" i="49"/>
  <c r="I291" i="49"/>
  <c r="E194" i="49"/>
  <c r="C141" i="49"/>
  <c r="G75" i="49"/>
  <c r="G52" i="49" s="1"/>
  <c r="L231" i="49"/>
  <c r="C216" i="49"/>
  <c r="C175" i="49"/>
  <c r="O83" i="49"/>
  <c r="O75" i="49" s="1"/>
  <c r="L270" i="49"/>
  <c r="L269" i="49" s="1"/>
  <c r="C269" i="49" s="1"/>
  <c r="M230" i="49"/>
  <c r="M194" i="49" s="1"/>
  <c r="D75" i="49"/>
  <c r="D52" i="49" s="1"/>
  <c r="N194" i="49"/>
  <c r="K194" i="49"/>
  <c r="C187" i="49"/>
  <c r="E289" i="49"/>
  <c r="J75" i="49"/>
  <c r="J52" i="49" s="1"/>
  <c r="L230" i="49"/>
  <c r="C238" i="49"/>
  <c r="C151" i="49"/>
  <c r="L76" i="49"/>
  <c r="H75" i="49"/>
  <c r="H289" i="49" s="1"/>
  <c r="M75" i="49"/>
  <c r="M52" i="49" s="1"/>
  <c r="G289" i="49"/>
  <c r="G194" i="49"/>
  <c r="G51" i="49" s="1"/>
  <c r="C95" i="49"/>
  <c r="O259" i="49"/>
  <c r="O230" i="49" s="1"/>
  <c r="H194" i="49"/>
  <c r="K52" i="49"/>
  <c r="E52" i="49"/>
  <c r="C122" i="49"/>
  <c r="L83" i="49"/>
  <c r="L130" i="49"/>
  <c r="I54" i="49"/>
  <c r="I53" i="49" s="1"/>
  <c r="J194" i="49"/>
  <c r="N289" i="49"/>
  <c r="J289" i="49"/>
  <c r="F130" i="49"/>
  <c r="C131" i="49"/>
  <c r="C252" i="49"/>
  <c r="F251" i="49"/>
  <c r="C251" i="49" s="1"/>
  <c r="D194" i="49"/>
  <c r="D51" i="49" s="1"/>
  <c r="I195" i="49"/>
  <c r="I194" i="49" s="1"/>
  <c r="C188" i="49"/>
  <c r="O174" i="49"/>
  <c r="F83" i="49"/>
  <c r="C84" i="49"/>
  <c r="C112" i="49"/>
  <c r="I83" i="49"/>
  <c r="C284" i="49"/>
  <c r="F283" i="49"/>
  <c r="C283" i="49" s="1"/>
  <c r="D289" i="49"/>
  <c r="C67" i="49"/>
  <c r="F53" i="49"/>
  <c r="C260" i="49"/>
  <c r="F259" i="49"/>
  <c r="C45" i="49"/>
  <c r="C293" i="49"/>
  <c r="O204" i="49"/>
  <c r="O195" i="49" s="1"/>
  <c r="C264" i="49"/>
  <c r="I130" i="49"/>
  <c r="C77" i="49"/>
  <c r="F76" i="49"/>
  <c r="C27" i="49"/>
  <c r="L26" i="49"/>
  <c r="F204" i="49"/>
  <c r="C205" i="49"/>
  <c r="C198" i="49"/>
  <c r="C144" i="49"/>
  <c r="C136" i="49"/>
  <c r="L291" i="49"/>
  <c r="F231" i="49"/>
  <c r="L53" i="49"/>
  <c r="C69" i="49"/>
  <c r="C80" i="49"/>
  <c r="C196" i="49"/>
  <c r="O292" i="49"/>
  <c r="O291" i="49" s="1"/>
  <c r="O20" i="49"/>
  <c r="F292" i="49"/>
  <c r="C21" i="49"/>
  <c r="F20" i="49"/>
  <c r="N51" i="49" l="1"/>
  <c r="C259" i="49"/>
  <c r="C204" i="49"/>
  <c r="M51" i="49"/>
  <c r="M290" i="49" s="1"/>
  <c r="E51" i="49"/>
  <c r="F195" i="49"/>
  <c r="C270" i="49"/>
  <c r="K51" i="49"/>
  <c r="K290" i="49" s="1"/>
  <c r="J51" i="49"/>
  <c r="J290" i="49" s="1"/>
  <c r="C54" i="49"/>
  <c r="L75" i="49"/>
  <c r="L289" i="49" s="1"/>
  <c r="G50" i="49"/>
  <c r="G290" i="49"/>
  <c r="C130" i="49"/>
  <c r="H52" i="49"/>
  <c r="H51" i="49" s="1"/>
  <c r="M289" i="49"/>
  <c r="I75" i="49"/>
  <c r="I52" i="49" s="1"/>
  <c r="I51" i="49" s="1"/>
  <c r="C195" i="49"/>
  <c r="F75" i="49"/>
  <c r="C76" i="49"/>
  <c r="C292" i="49"/>
  <c r="F291" i="49"/>
  <c r="C291" i="49" s="1"/>
  <c r="O194" i="49"/>
  <c r="C83" i="49"/>
  <c r="C53" i="49"/>
  <c r="M50" i="49"/>
  <c r="C231" i="49"/>
  <c r="F230" i="49"/>
  <c r="C26" i="49"/>
  <c r="L20" i="49"/>
  <c r="C20" i="49" s="1"/>
  <c r="O173" i="49"/>
  <c r="C174" i="49"/>
  <c r="D290" i="49"/>
  <c r="D50" i="49"/>
  <c r="J50" i="49"/>
  <c r="N50" i="49"/>
  <c r="N290" i="49"/>
  <c r="K50" i="49" l="1"/>
  <c r="L52" i="49"/>
  <c r="L51" i="49" s="1"/>
  <c r="L50" i="49" s="1"/>
  <c r="I289" i="49"/>
  <c r="C75" i="49"/>
  <c r="E290" i="49"/>
  <c r="E50" i="49"/>
  <c r="F52" i="49"/>
  <c r="H50" i="49"/>
  <c r="H290" i="49"/>
  <c r="O52" i="49"/>
  <c r="O51" i="49" s="1"/>
  <c r="C173" i="49"/>
  <c r="C230" i="49"/>
  <c r="F289" i="49"/>
  <c r="F194" i="49"/>
  <c r="C194" i="49" s="1"/>
  <c r="I290" i="49"/>
  <c r="I50" i="49"/>
  <c r="O289" i="49"/>
  <c r="L290" i="49" l="1"/>
  <c r="C52" i="49"/>
  <c r="F51" i="49"/>
  <c r="C289" i="49"/>
  <c r="O50" i="49"/>
  <c r="O290" i="49"/>
  <c r="F290" i="49" l="1"/>
  <c r="C290" i="49" s="1"/>
  <c r="C51" i="49"/>
  <c r="F50" i="49"/>
  <c r="C50" i="49" s="1"/>
  <c r="O301" i="48" l="1"/>
  <c r="L301" i="48"/>
  <c r="I301" i="48"/>
  <c r="F301" i="48"/>
  <c r="O300" i="48"/>
  <c r="L300" i="48"/>
  <c r="I300" i="48"/>
  <c r="F300" i="48"/>
  <c r="C300" i="48" s="1"/>
  <c r="O299" i="48"/>
  <c r="L299" i="48"/>
  <c r="I299" i="48"/>
  <c r="F299" i="48"/>
  <c r="C299" i="48" s="1"/>
  <c r="O298" i="48"/>
  <c r="L298" i="48"/>
  <c r="I298" i="48"/>
  <c r="F298" i="48"/>
  <c r="C298" i="48" s="1"/>
  <c r="O297" i="48"/>
  <c r="L297" i="48"/>
  <c r="I297" i="48"/>
  <c r="F297" i="48"/>
  <c r="O296" i="48"/>
  <c r="L296" i="48"/>
  <c r="I296" i="48"/>
  <c r="F296" i="48"/>
  <c r="O295" i="48"/>
  <c r="L295" i="48"/>
  <c r="I295" i="48"/>
  <c r="F295" i="48"/>
  <c r="O294" i="48"/>
  <c r="L294" i="48"/>
  <c r="I294" i="48"/>
  <c r="F294" i="48"/>
  <c r="N293" i="48"/>
  <c r="M293" i="48"/>
  <c r="K293" i="48"/>
  <c r="J293" i="48"/>
  <c r="H293" i="48"/>
  <c r="G293" i="48"/>
  <c r="E293" i="48"/>
  <c r="D293" i="48"/>
  <c r="O288" i="48"/>
  <c r="L288" i="48"/>
  <c r="I288" i="48"/>
  <c r="F288" i="48"/>
  <c r="O287" i="48"/>
  <c r="L287" i="48"/>
  <c r="L286" i="48" s="1"/>
  <c r="I287" i="48"/>
  <c r="F287" i="48"/>
  <c r="O286" i="48"/>
  <c r="N286" i="48"/>
  <c r="M286" i="48"/>
  <c r="K286" i="48"/>
  <c r="J286" i="48"/>
  <c r="H286" i="48"/>
  <c r="G286" i="48"/>
  <c r="F286" i="48"/>
  <c r="E286" i="48"/>
  <c r="D286" i="48"/>
  <c r="O285" i="48"/>
  <c r="L285" i="48"/>
  <c r="L284" i="48" s="1"/>
  <c r="L283" i="48" s="1"/>
  <c r="I285" i="48"/>
  <c r="I284" i="48" s="1"/>
  <c r="I283" i="48" s="1"/>
  <c r="F285" i="48"/>
  <c r="O284" i="48"/>
  <c r="O283" i="48" s="1"/>
  <c r="N284" i="48"/>
  <c r="N283" i="48" s="1"/>
  <c r="M284" i="48"/>
  <c r="M283" i="48" s="1"/>
  <c r="K284" i="48"/>
  <c r="J284" i="48"/>
  <c r="J283" i="48" s="1"/>
  <c r="H284" i="48"/>
  <c r="H283" i="48" s="1"/>
  <c r="G284" i="48"/>
  <c r="E284" i="48"/>
  <c r="E283" i="48" s="1"/>
  <c r="D284" i="48"/>
  <c r="K283" i="48"/>
  <c r="G283" i="48"/>
  <c r="D283" i="48"/>
  <c r="O282" i="48"/>
  <c r="O281" i="48" s="1"/>
  <c r="L282" i="48"/>
  <c r="L281" i="48" s="1"/>
  <c r="I282" i="48"/>
  <c r="F282" i="48"/>
  <c r="N281" i="48"/>
  <c r="M281" i="48"/>
  <c r="K281" i="48"/>
  <c r="J281" i="48"/>
  <c r="H281" i="48"/>
  <c r="G281" i="48"/>
  <c r="F281" i="48"/>
  <c r="E281" i="48"/>
  <c r="D281" i="48"/>
  <c r="O280" i="48"/>
  <c r="L280" i="48"/>
  <c r="I280" i="48"/>
  <c r="F280" i="48"/>
  <c r="O279" i="48"/>
  <c r="L279" i="48"/>
  <c r="I279" i="48"/>
  <c r="F279" i="48"/>
  <c r="O278" i="48"/>
  <c r="L278" i="48"/>
  <c r="I278" i="48"/>
  <c r="F278" i="48"/>
  <c r="O277" i="48"/>
  <c r="L277" i="48"/>
  <c r="I277" i="48"/>
  <c r="F277" i="48"/>
  <c r="N276" i="48"/>
  <c r="M276" i="48"/>
  <c r="K276" i="48"/>
  <c r="J276" i="48"/>
  <c r="H276" i="48"/>
  <c r="G276" i="48"/>
  <c r="E276" i="48"/>
  <c r="D276" i="48"/>
  <c r="O275" i="48"/>
  <c r="L275" i="48"/>
  <c r="I275" i="48"/>
  <c r="F275" i="48"/>
  <c r="O274" i="48"/>
  <c r="L274" i="48"/>
  <c r="I274" i="48"/>
  <c r="F274" i="48"/>
  <c r="C274" i="48" s="1"/>
  <c r="O273" i="48"/>
  <c r="L273" i="48"/>
  <c r="L272" i="48" s="1"/>
  <c r="I273" i="48"/>
  <c r="F273" i="48"/>
  <c r="N272" i="48"/>
  <c r="M272" i="48"/>
  <c r="K272" i="48"/>
  <c r="K270" i="48" s="1"/>
  <c r="J272" i="48"/>
  <c r="H272" i="48"/>
  <c r="G272" i="48"/>
  <c r="E272" i="48"/>
  <c r="D272" i="48"/>
  <c r="O271" i="48"/>
  <c r="L271" i="48"/>
  <c r="I271" i="48"/>
  <c r="F271" i="48"/>
  <c r="N270" i="48"/>
  <c r="G270" i="48"/>
  <c r="G269" i="48" s="1"/>
  <c r="N269" i="48"/>
  <c r="O268" i="48"/>
  <c r="L268" i="48"/>
  <c r="I268" i="48"/>
  <c r="F268" i="48"/>
  <c r="O267" i="48"/>
  <c r="L267" i="48"/>
  <c r="I267" i="48"/>
  <c r="F267" i="48"/>
  <c r="O266" i="48"/>
  <c r="L266" i="48"/>
  <c r="I266" i="48"/>
  <c r="F266" i="48"/>
  <c r="O265" i="48"/>
  <c r="L265" i="48"/>
  <c r="I265" i="48"/>
  <c r="I264" i="48" s="1"/>
  <c r="F265" i="48"/>
  <c r="N264" i="48"/>
  <c r="M264" i="48"/>
  <c r="K264" i="48"/>
  <c r="J264" i="48"/>
  <c r="H264" i="48"/>
  <c r="G264" i="48"/>
  <c r="E264" i="48"/>
  <c r="D264" i="48"/>
  <c r="O263" i="48"/>
  <c r="L263" i="48"/>
  <c r="I263" i="48"/>
  <c r="F263" i="48"/>
  <c r="O262" i="48"/>
  <c r="L262" i="48"/>
  <c r="I262" i="48"/>
  <c r="F262" i="48"/>
  <c r="O261" i="48"/>
  <c r="L261" i="48"/>
  <c r="I261" i="48"/>
  <c r="I260" i="48" s="1"/>
  <c r="F261" i="48"/>
  <c r="N260" i="48"/>
  <c r="N259" i="48" s="1"/>
  <c r="M260" i="48"/>
  <c r="M259" i="48" s="1"/>
  <c r="K260" i="48"/>
  <c r="J260" i="48"/>
  <c r="H260" i="48"/>
  <c r="H259" i="48" s="1"/>
  <c r="G260" i="48"/>
  <c r="E260" i="48"/>
  <c r="D260" i="48"/>
  <c r="D259" i="48" s="1"/>
  <c r="J259" i="48"/>
  <c r="O258" i="48"/>
  <c r="L258" i="48"/>
  <c r="I258" i="48"/>
  <c r="F258" i="48"/>
  <c r="O257" i="48"/>
  <c r="L257" i="48"/>
  <c r="I257" i="48"/>
  <c r="F257" i="48"/>
  <c r="O256" i="48"/>
  <c r="L256" i="48"/>
  <c r="I256" i="48"/>
  <c r="F256" i="48"/>
  <c r="O255" i="48"/>
  <c r="L255" i="48"/>
  <c r="I255" i="48"/>
  <c r="F255" i="48"/>
  <c r="O254" i="48"/>
  <c r="L254" i="48"/>
  <c r="I254" i="48"/>
  <c r="F254" i="48"/>
  <c r="C254" i="48" s="1"/>
  <c r="O253" i="48"/>
  <c r="L253" i="48"/>
  <c r="I253" i="48"/>
  <c r="F253" i="48"/>
  <c r="N252" i="48"/>
  <c r="M252" i="48"/>
  <c r="M251" i="48" s="1"/>
  <c r="K252" i="48"/>
  <c r="J252" i="48"/>
  <c r="J251" i="48" s="1"/>
  <c r="H252" i="48"/>
  <c r="G252" i="48"/>
  <c r="G251" i="48" s="1"/>
  <c r="E252" i="48"/>
  <c r="E251" i="48" s="1"/>
  <c r="D252" i="48"/>
  <c r="D251" i="48" s="1"/>
  <c r="N251" i="48"/>
  <c r="K251" i="48"/>
  <c r="H251" i="48"/>
  <c r="O250" i="48"/>
  <c r="L250" i="48"/>
  <c r="I250" i="48"/>
  <c r="F250" i="48"/>
  <c r="O249" i="48"/>
  <c r="L249" i="48"/>
  <c r="I249" i="48"/>
  <c r="F249" i="48"/>
  <c r="O248" i="48"/>
  <c r="L248" i="48"/>
  <c r="I248" i="48"/>
  <c r="F248" i="48"/>
  <c r="O247" i="48"/>
  <c r="L247" i="48"/>
  <c r="I247" i="48"/>
  <c r="F247" i="48"/>
  <c r="O246" i="48"/>
  <c r="N246" i="48"/>
  <c r="M246" i="48"/>
  <c r="K246" i="48"/>
  <c r="J246" i="48"/>
  <c r="H246" i="48"/>
  <c r="G246" i="48"/>
  <c r="E246" i="48"/>
  <c r="D246" i="48"/>
  <c r="O245" i="48"/>
  <c r="L245" i="48"/>
  <c r="I245" i="48"/>
  <c r="F245" i="48"/>
  <c r="O244" i="48"/>
  <c r="L244" i="48"/>
  <c r="I244" i="48"/>
  <c r="F244" i="48"/>
  <c r="O243" i="48"/>
  <c r="L243" i="48"/>
  <c r="I243" i="48"/>
  <c r="F243" i="48"/>
  <c r="O242" i="48"/>
  <c r="L242" i="48"/>
  <c r="I242" i="48"/>
  <c r="F242" i="48"/>
  <c r="O241" i="48"/>
  <c r="L241" i="48"/>
  <c r="I241" i="48"/>
  <c r="F241" i="48"/>
  <c r="O240" i="48"/>
  <c r="L240" i="48"/>
  <c r="I240" i="48"/>
  <c r="F240" i="48"/>
  <c r="O239" i="48"/>
  <c r="L239" i="48"/>
  <c r="I239" i="48"/>
  <c r="F239" i="48"/>
  <c r="N238" i="48"/>
  <c r="M238" i="48"/>
  <c r="K238" i="48"/>
  <c r="J238" i="48"/>
  <c r="H238" i="48"/>
  <c r="G238" i="48"/>
  <c r="E238" i="48"/>
  <c r="D238" i="48"/>
  <c r="O237" i="48"/>
  <c r="L237" i="48"/>
  <c r="I237" i="48"/>
  <c r="F237" i="48"/>
  <c r="O236" i="48"/>
  <c r="L236" i="48"/>
  <c r="L235" i="48" s="1"/>
  <c r="I236" i="48"/>
  <c r="I235" i="48" s="1"/>
  <c r="F236" i="48"/>
  <c r="F235" i="48" s="1"/>
  <c r="O235" i="48"/>
  <c r="N235" i="48"/>
  <c r="M235" i="48"/>
  <c r="K235" i="48"/>
  <c r="J235" i="48"/>
  <c r="H235" i="48"/>
  <c r="G235" i="48"/>
  <c r="E235" i="48"/>
  <c r="D235" i="48"/>
  <c r="O234" i="48"/>
  <c r="O233" i="48" s="1"/>
  <c r="L234" i="48"/>
  <c r="L233" i="48" s="1"/>
  <c r="I234" i="48"/>
  <c r="I233" i="48" s="1"/>
  <c r="F234" i="48"/>
  <c r="N233" i="48"/>
  <c r="M233" i="48"/>
  <c r="K233" i="48"/>
  <c r="J233" i="48"/>
  <c r="H233" i="48"/>
  <c r="H231" i="48" s="1"/>
  <c r="G233" i="48"/>
  <c r="E233" i="48"/>
  <c r="D233" i="48"/>
  <c r="O232" i="48"/>
  <c r="L232" i="48"/>
  <c r="I232" i="48"/>
  <c r="F232" i="48"/>
  <c r="O229" i="48"/>
  <c r="L229" i="48"/>
  <c r="I229" i="48"/>
  <c r="F229" i="48"/>
  <c r="O228" i="48"/>
  <c r="L228" i="48"/>
  <c r="L227" i="48" s="1"/>
  <c r="I228" i="48"/>
  <c r="I227" i="48" s="1"/>
  <c r="F228" i="48"/>
  <c r="O227" i="48"/>
  <c r="N227" i="48"/>
  <c r="M227" i="48"/>
  <c r="K227" i="48"/>
  <c r="J227" i="48"/>
  <c r="H227" i="48"/>
  <c r="G227" i="48"/>
  <c r="E227" i="48"/>
  <c r="D227" i="48"/>
  <c r="O226" i="48"/>
  <c r="L226" i="48"/>
  <c r="I226" i="48"/>
  <c r="E226" i="48"/>
  <c r="F226" i="48" s="1"/>
  <c r="O225" i="48"/>
  <c r="L225" i="48"/>
  <c r="I225" i="48"/>
  <c r="F225" i="48"/>
  <c r="O224" i="48"/>
  <c r="L224" i="48"/>
  <c r="I224" i="48"/>
  <c r="F224" i="48"/>
  <c r="O223" i="48"/>
  <c r="L223" i="48"/>
  <c r="I223" i="48"/>
  <c r="F223" i="48"/>
  <c r="C223" i="48" s="1"/>
  <c r="O222" i="48"/>
  <c r="L222" i="48"/>
  <c r="I222" i="48"/>
  <c r="F222" i="48"/>
  <c r="O221" i="48"/>
  <c r="L221" i="48"/>
  <c r="I221" i="48"/>
  <c r="F221" i="48"/>
  <c r="O220" i="48"/>
  <c r="L220" i="48"/>
  <c r="I220" i="48"/>
  <c r="F220" i="48"/>
  <c r="O219" i="48"/>
  <c r="L219" i="48"/>
  <c r="I219" i="48"/>
  <c r="F219" i="48"/>
  <c r="O218" i="48"/>
  <c r="L218" i="48"/>
  <c r="I218" i="48"/>
  <c r="F218" i="48"/>
  <c r="O217" i="48"/>
  <c r="L217" i="48"/>
  <c r="I217" i="48"/>
  <c r="F217" i="48"/>
  <c r="N216" i="48"/>
  <c r="M216" i="48"/>
  <c r="K216" i="48"/>
  <c r="J216" i="48"/>
  <c r="H216" i="48"/>
  <c r="G216" i="48"/>
  <c r="E216" i="48"/>
  <c r="D216" i="48"/>
  <c r="O215" i="48"/>
  <c r="L215" i="48"/>
  <c r="I215" i="48"/>
  <c r="F215" i="48"/>
  <c r="O214" i="48"/>
  <c r="L214" i="48"/>
  <c r="I214" i="48"/>
  <c r="F214" i="48"/>
  <c r="O213" i="48"/>
  <c r="L213" i="48"/>
  <c r="I213" i="48"/>
  <c r="F213" i="48"/>
  <c r="O212" i="48"/>
  <c r="L212" i="48"/>
  <c r="I212" i="48"/>
  <c r="F212" i="48"/>
  <c r="O211" i="48"/>
  <c r="L211" i="48"/>
  <c r="I211" i="48"/>
  <c r="F211" i="48"/>
  <c r="O210" i="48"/>
  <c r="L210" i="48"/>
  <c r="I210" i="48"/>
  <c r="F210" i="48"/>
  <c r="O209" i="48"/>
  <c r="L209" i="48"/>
  <c r="I209" i="48"/>
  <c r="F209" i="48"/>
  <c r="O208" i="48"/>
  <c r="L208" i="48"/>
  <c r="I208" i="48"/>
  <c r="F208" i="48"/>
  <c r="O207" i="48"/>
  <c r="L207" i="48"/>
  <c r="I207" i="48"/>
  <c r="F207" i="48"/>
  <c r="O206" i="48"/>
  <c r="L206" i="48"/>
  <c r="I206" i="48"/>
  <c r="F206" i="48"/>
  <c r="N205" i="48"/>
  <c r="M205" i="48"/>
  <c r="M204" i="48" s="1"/>
  <c r="K205" i="48"/>
  <c r="J205" i="48"/>
  <c r="H205" i="48"/>
  <c r="G205" i="48"/>
  <c r="E205" i="48"/>
  <c r="D205" i="48"/>
  <c r="D204" i="48" s="1"/>
  <c r="H204" i="48"/>
  <c r="G204" i="48"/>
  <c r="O203" i="48"/>
  <c r="L203" i="48"/>
  <c r="I203" i="48"/>
  <c r="F203" i="48"/>
  <c r="O202" i="48"/>
  <c r="L202" i="48"/>
  <c r="I202" i="48"/>
  <c r="F202" i="48"/>
  <c r="O201" i="48"/>
  <c r="L201" i="48"/>
  <c r="I201" i="48"/>
  <c r="F201" i="48"/>
  <c r="O200" i="48"/>
  <c r="L200" i="48"/>
  <c r="I200" i="48"/>
  <c r="F200" i="48"/>
  <c r="O199" i="48"/>
  <c r="O198" i="48" s="1"/>
  <c r="L199" i="48"/>
  <c r="L198" i="48" s="1"/>
  <c r="I199" i="48"/>
  <c r="I198" i="48" s="1"/>
  <c r="F199" i="48"/>
  <c r="N198" i="48"/>
  <c r="N196" i="48" s="1"/>
  <c r="M198" i="48"/>
  <c r="M196" i="48" s="1"/>
  <c r="K198" i="48"/>
  <c r="J198" i="48"/>
  <c r="J196" i="48" s="1"/>
  <c r="H198" i="48"/>
  <c r="H196" i="48" s="1"/>
  <c r="H195" i="48" s="1"/>
  <c r="G198" i="48"/>
  <c r="G196" i="48" s="1"/>
  <c r="G195" i="48" s="1"/>
  <c r="F198" i="48"/>
  <c r="E198" i="48"/>
  <c r="E196" i="48" s="1"/>
  <c r="D198" i="48"/>
  <c r="D196" i="48" s="1"/>
  <c r="O197" i="48"/>
  <c r="L197" i="48"/>
  <c r="I197" i="48"/>
  <c r="F197" i="48"/>
  <c r="K196" i="48"/>
  <c r="O193" i="48"/>
  <c r="O192" i="48" s="1"/>
  <c r="L193" i="48"/>
  <c r="L192" i="48" s="1"/>
  <c r="L191" i="48" s="1"/>
  <c r="I193" i="48"/>
  <c r="I192" i="48" s="1"/>
  <c r="I191" i="48" s="1"/>
  <c r="F193" i="48"/>
  <c r="F192" i="48" s="1"/>
  <c r="F191" i="48" s="1"/>
  <c r="N192" i="48"/>
  <c r="N191" i="48" s="1"/>
  <c r="M192" i="48"/>
  <c r="M191" i="48" s="1"/>
  <c r="K192" i="48"/>
  <c r="K191" i="48" s="1"/>
  <c r="J192" i="48"/>
  <c r="J191" i="48" s="1"/>
  <c r="H192" i="48"/>
  <c r="H191" i="48" s="1"/>
  <c r="G192" i="48"/>
  <c r="G191" i="48" s="1"/>
  <c r="E192" i="48"/>
  <c r="E191" i="48" s="1"/>
  <c r="D192" i="48"/>
  <c r="D191" i="48" s="1"/>
  <c r="O190" i="48"/>
  <c r="L190" i="48"/>
  <c r="I190" i="48"/>
  <c r="F190" i="48"/>
  <c r="O189" i="48"/>
  <c r="O188" i="48" s="1"/>
  <c r="L189" i="48"/>
  <c r="I189" i="48"/>
  <c r="F189" i="48"/>
  <c r="N188" i="48"/>
  <c r="M188" i="48"/>
  <c r="K188" i="48"/>
  <c r="J188" i="48"/>
  <c r="H188" i="48"/>
  <c r="G188" i="48"/>
  <c r="E188" i="48"/>
  <c r="D188" i="48"/>
  <c r="O186" i="48"/>
  <c r="L186" i="48"/>
  <c r="I186" i="48"/>
  <c r="F186" i="48"/>
  <c r="O185" i="48"/>
  <c r="L185" i="48"/>
  <c r="L184" i="48" s="1"/>
  <c r="I185" i="48"/>
  <c r="I184" i="48" s="1"/>
  <c r="F185" i="48"/>
  <c r="N184" i="48"/>
  <c r="M184" i="48"/>
  <c r="K184" i="48"/>
  <c r="J184" i="48"/>
  <c r="H184" i="48"/>
  <c r="G184" i="48"/>
  <c r="F184" i="48"/>
  <c r="E184" i="48"/>
  <c r="D184" i="48"/>
  <c r="O183" i="48"/>
  <c r="L183" i="48"/>
  <c r="I183" i="48"/>
  <c r="F183" i="48"/>
  <c r="O182" i="48"/>
  <c r="L182" i="48"/>
  <c r="I182" i="48"/>
  <c r="F182" i="48"/>
  <c r="O181" i="48"/>
  <c r="L181" i="48"/>
  <c r="I181" i="48"/>
  <c r="F181" i="48"/>
  <c r="O180" i="48"/>
  <c r="L180" i="48"/>
  <c r="I180" i="48"/>
  <c r="I179" i="48" s="1"/>
  <c r="F180" i="48"/>
  <c r="N179" i="48"/>
  <c r="M179" i="48"/>
  <c r="K179" i="48"/>
  <c r="J179" i="48"/>
  <c r="H179" i="48"/>
  <c r="G179" i="48"/>
  <c r="E179" i="48"/>
  <c r="D179" i="48"/>
  <c r="O178" i="48"/>
  <c r="L178" i="48"/>
  <c r="I178" i="48"/>
  <c r="F178" i="48"/>
  <c r="O177" i="48"/>
  <c r="L177" i="48"/>
  <c r="I177" i="48"/>
  <c r="F177" i="48"/>
  <c r="O176" i="48"/>
  <c r="L176" i="48"/>
  <c r="I176" i="48"/>
  <c r="I175" i="48" s="1"/>
  <c r="F176" i="48"/>
  <c r="N175" i="48"/>
  <c r="M175" i="48"/>
  <c r="M174" i="48" s="1"/>
  <c r="K175" i="48"/>
  <c r="K174" i="48" s="1"/>
  <c r="K173" i="48" s="1"/>
  <c r="J175" i="48"/>
  <c r="H175" i="48"/>
  <c r="G175" i="48"/>
  <c r="G174" i="48" s="1"/>
  <c r="G173" i="48" s="1"/>
  <c r="E175" i="48"/>
  <c r="D175" i="48"/>
  <c r="H174" i="48"/>
  <c r="D174" i="48"/>
  <c r="O172" i="48"/>
  <c r="L172" i="48"/>
  <c r="I172" i="48"/>
  <c r="F172" i="48"/>
  <c r="O171" i="48"/>
  <c r="L171" i="48"/>
  <c r="I171" i="48"/>
  <c r="F171" i="48"/>
  <c r="O170" i="48"/>
  <c r="L170" i="48"/>
  <c r="I170" i="48"/>
  <c r="F170" i="48"/>
  <c r="O169" i="48"/>
  <c r="L169" i="48"/>
  <c r="I169" i="48"/>
  <c r="F169" i="48"/>
  <c r="O168" i="48"/>
  <c r="L168" i="48"/>
  <c r="I168" i="48"/>
  <c r="F168" i="48"/>
  <c r="O167" i="48"/>
  <c r="L167" i="48"/>
  <c r="I167" i="48"/>
  <c r="I166" i="48" s="1"/>
  <c r="F167" i="48"/>
  <c r="N166" i="48"/>
  <c r="N165" i="48" s="1"/>
  <c r="M166" i="48"/>
  <c r="M165" i="48" s="1"/>
  <c r="K166" i="48"/>
  <c r="K165" i="48" s="1"/>
  <c r="J166" i="48"/>
  <c r="J165" i="48" s="1"/>
  <c r="H166" i="48"/>
  <c r="H165" i="48" s="1"/>
  <c r="G166" i="48"/>
  <c r="E166" i="48"/>
  <c r="E165" i="48" s="1"/>
  <c r="D166" i="48"/>
  <c r="D165" i="48" s="1"/>
  <c r="G165" i="48"/>
  <c r="O164" i="48"/>
  <c r="L164" i="48"/>
  <c r="I164" i="48"/>
  <c r="F164" i="48"/>
  <c r="O163" i="48"/>
  <c r="L163" i="48"/>
  <c r="I163" i="48"/>
  <c r="F163" i="48"/>
  <c r="O162" i="48"/>
  <c r="L162" i="48"/>
  <c r="I162" i="48"/>
  <c r="F162" i="48"/>
  <c r="O161" i="48"/>
  <c r="O160" i="48" s="1"/>
  <c r="L161" i="48"/>
  <c r="L160" i="48" s="1"/>
  <c r="I161" i="48"/>
  <c r="F161" i="48"/>
  <c r="N160" i="48"/>
  <c r="M160" i="48"/>
  <c r="K160" i="48"/>
  <c r="J160" i="48"/>
  <c r="H160" i="48"/>
  <c r="G160" i="48"/>
  <c r="F160" i="48"/>
  <c r="E160" i="48"/>
  <c r="D160" i="48"/>
  <c r="O159" i="48"/>
  <c r="L159" i="48"/>
  <c r="I159" i="48"/>
  <c r="F159" i="48"/>
  <c r="O158" i="48"/>
  <c r="L158" i="48"/>
  <c r="I158" i="48"/>
  <c r="F158" i="48"/>
  <c r="O157" i="48"/>
  <c r="L157" i="48"/>
  <c r="I157" i="48"/>
  <c r="F157" i="48"/>
  <c r="O156" i="48"/>
  <c r="L156" i="48"/>
  <c r="I156" i="48"/>
  <c r="F156" i="48"/>
  <c r="O155" i="48"/>
  <c r="L155" i="48"/>
  <c r="I155" i="48"/>
  <c r="F155" i="48"/>
  <c r="O154" i="48"/>
  <c r="L154" i="48"/>
  <c r="I154" i="48"/>
  <c r="F154" i="48"/>
  <c r="O153" i="48"/>
  <c r="L153" i="48"/>
  <c r="I153" i="48"/>
  <c r="F153" i="48"/>
  <c r="O152" i="48"/>
  <c r="O151" i="48" s="1"/>
  <c r="L152" i="48"/>
  <c r="I152" i="48"/>
  <c r="F152" i="48"/>
  <c r="N151" i="48"/>
  <c r="M151" i="48"/>
  <c r="K151" i="48"/>
  <c r="J151" i="48"/>
  <c r="I151" i="48"/>
  <c r="H151" i="48"/>
  <c r="G151" i="48"/>
  <c r="E151" i="48"/>
  <c r="D151" i="48"/>
  <c r="O150" i="48"/>
  <c r="L150" i="48"/>
  <c r="I150" i="48"/>
  <c r="F150" i="48"/>
  <c r="O149" i="48"/>
  <c r="L149" i="48"/>
  <c r="I149" i="48"/>
  <c r="F149" i="48"/>
  <c r="O148" i="48"/>
  <c r="L148" i="48"/>
  <c r="I148" i="48"/>
  <c r="F148" i="48"/>
  <c r="O147" i="48"/>
  <c r="L147" i="48"/>
  <c r="I147" i="48"/>
  <c r="F147" i="48"/>
  <c r="O146" i="48"/>
  <c r="L146" i="48"/>
  <c r="I146" i="48"/>
  <c r="F146" i="48"/>
  <c r="O145" i="48"/>
  <c r="L145" i="48"/>
  <c r="L144" i="48" s="1"/>
  <c r="I145" i="48"/>
  <c r="F145" i="48"/>
  <c r="N144" i="48"/>
  <c r="M144" i="48"/>
  <c r="K144" i="48"/>
  <c r="J144" i="48"/>
  <c r="H144" i="48"/>
  <c r="G144" i="48"/>
  <c r="E144" i="48"/>
  <c r="D144" i="48"/>
  <c r="O143" i="48"/>
  <c r="L143" i="48"/>
  <c r="I143" i="48"/>
  <c r="F143" i="48"/>
  <c r="O142" i="48"/>
  <c r="O141" i="48" s="1"/>
  <c r="L142" i="48"/>
  <c r="I142" i="48"/>
  <c r="F142" i="48"/>
  <c r="F141" i="48" s="1"/>
  <c r="N141" i="48"/>
  <c r="M141" i="48"/>
  <c r="K141" i="48"/>
  <c r="J141" i="48"/>
  <c r="H141" i="48"/>
  <c r="G141" i="48"/>
  <c r="E141" i="48"/>
  <c r="D141" i="48"/>
  <c r="O140" i="48"/>
  <c r="L140" i="48"/>
  <c r="I140" i="48"/>
  <c r="F140" i="48"/>
  <c r="O139" i="48"/>
  <c r="L139" i="48"/>
  <c r="I139" i="48"/>
  <c r="F139" i="48"/>
  <c r="O138" i="48"/>
  <c r="L138" i="48"/>
  <c r="I138" i="48"/>
  <c r="F138" i="48"/>
  <c r="O137" i="48"/>
  <c r="O136" i="48" s="1"/>
  <c r="L137" i="48"/>
  <c r="I137" i="48"/>
  <c r="F137" i="48"/>
  <c r="F136" i="48" s="1"/>
  <c r="N136" i="48"/>
  <c r="M136" i="48"/>
  <c r="K136" i="48"/>
  <c r="J136" i="48"/>
  <c r="H136" i="48"/>
  <c r="G136" i="48"/>
  <c r="E136" i="48"/>
  <c r="D136" i="48"/>
  <c r="O135" i="48"/>
  <c r="L135" i="48"/>
  <c r="I135" i="48"/>
  <c r="F135" i="48"/>
  <c r="O134" i="48"/>
  <c r="L134" i="48"/>
  <c r="I134" i="48"/>
  <c r="F134" i="48"/>
  <c r="O133" i="48"/>
  <c r="L133" i="48"/>
  <c r="I133" i="48"/>
  <c r="F133" i="48"/>
  <c r="O132" i="48"/>
  <c r="L132" i="48"/>
  <c r="I132" i="48"/>
  <c r="F132" i="48"/>
  <c r="N131" i="48"/>
  <c r="M131" i="48"/>
  <c r="K131" i="48"/>
  <c r="J131" i="48"/>
  <c r="H131" i="48"/>
  <c r="G131" i="48"/>
  <c r="E131" i="48"/>
  <c r="D131" i="48"/>
  <c r="O129" i="48"/>
  <c r="O128" i="48" s="1"/>
  <c r="L129" i="48"/>
  <c r="L128" i="48" s="1"/>
  <c r="I129" i="48"/>
  <c r="I128" i="48" s="1"/>
  <c r="F129" i="48"/>
  <c r="N128" i="48"/>
  <c r="M128" i="48"/>
  <c r="K128" i="48"/>
  <c r="J128" i="48"/>
  <c r="H128" i="48"/>
  <c r="G128" i="48"/>
  <c r="F128" i="48"/>
  <c r="E128" i="48"/>
  <c r="D128" i="48"/>
  <c r="O127" i="48"/>
  <c r="L127" i="48"/>
  <c r="I127" i="48"/>
  <c r="F127" i="48"/>
  <c r="O126" i="48"/>
  <c r="L126" i="48"/>
  <c r="I126" i="48"/>
  <c r="F126" i="48"/>
  <c r="O125" i="48"/>
  <c r="L125" i="48"/>
  <c r="I125" i="48"/>
  <c r="F125" i="48"/>
  <c r="O124" i="48"/>
  <c r="L124" i="48"/>
  <c r="I124" i="48"/>
  <c r="F124" i="48"/>
  <c r="O123" i="48"/>
  <c r="L123" i="48"/>
  <c r="I123" i="48"/>
  <c r="F123" i="48"/>
  <c r="F122" i="48" s="1"/>
  <c r="N122" i="48"/>
  <c r="M122" i="48"/>
  <c r="K122" i="48"/>
  <c r="J122" i="48"/>
  <c r="H122" i="48"/>
  <c r="G122" i="48"/>
  <c r="E122" i="48"/>
  <c r="D122" i="48"/>
  <c r="O121" i="48"/>
  <c r="L121" i="48"/>
  <c r="I121" i="48"/>
  <c r="F121" i="48"/>
  <c r="O120" i="48"/>
  <c r="L120" i="48"/>
  <c r="I120" i="48"/>
  <c r="F120" i="48"/>
  <c r="O119" i="48"/>
  <c r="L119" i="48"/>
  <c r="I119" i="48"/>
  <c r="F119" i="48"/>
  <c r="O118" i="48"/>
  <c r="L118" i="48"/>
  <c r="I118" i="48"/>
  <c r="F118" i="48"/>
  <c r="O117" i="48"/>
  <c r="L117" i="48"/>
  <c r="L116" i="48" s="1"/>
  <c r="I117" i="48"/>
  <c r="F117" i="48"/>
  <c r="N116" i="48"/>
  <c r="M116" i="48"/>
  <c r="K116" i="48"/>
  <c r="J116" i="48"/>
  <c r="H116" i="48"/>
  <c r="G116" i="48"/>
  <c r="E116" i="48"/>
  <c r="D116" i="48"/>
  <c r="O115" i="48"/>
  <c r="L115" i="48"/>
  <c r="I115" i="48"/>
  <c r="F115" i="48"/>
  <c r="O114" i="48"/>
  <c r="L114" i="48"/>
  <c r="I114" i="48"/>
  <c r="F114" i="48"/>
  <c r="O113" i="48"/>
  <c r="O112" i="48" s="1"/>
  <c r="L113" i="48"/>
  <c r="I113" i="48"/>
  <c r="F113" i="48"/>
  <c r="N112" i="48"/>
  <c r="M112" i="48"/>
  <c r="K112" i="48"/>
  <c r="J112" i="48"/>
  <c r="H112" i="48"/>
  <c r="G112" i="48"/>
  <c r="E112" i="48"/>
  <c r="D112" i="48"/>
  <c r="O111" i="48"/>
  <c r="L111" i="48"/>
  <c r="I111" i="48"/>
  <c r="F111" i="48"/>
  <c r="O110" i="48"/>
  <c r="L110" i="48"/>
  <c r="I110" i="48"/>
  <c r="F110" i="48"/>
  <c r="O109" i="48"/>
  <c r="L109" i="48"/>
  <c r="I109" i="48"/>
  <c r="F109" i="48"/>
  <c r="O108" i="48"/>
  <c r="L108" i="48"/>
  <c r="I108" i="48"/>
  <c r="F108" i="48"/>
  <c r="O107" i="48"/>
  <c r="L107" i="48"/>
  <c r="I107" i="48"/>
  <c r="F107" i="48"/>
  <c r="O106" i="48"/>
  <c r="L106" i="48"/>
  <c r="I106" i="48"/>
  <c r="F106" i="48"/>
  <c r="O105" i="48"/>
  <c r="L105" i="48"/>
  <c r="I105" i="48"/>
  <c r="F105" i="48"/>
  <c r="O104" i="48"/>
  <c r="L104" i="48"/>
  <c r="I104" i="48"/>
  <c r="E104" i="48"/>
  <c r="F104" i="48" s="1"/>
  <c r="N103" i="48"/>
  <c r="M103" i="48"/>
  <c r="K103" i="48"/>
  <c r="J103" i="48"/>
  <c r="H103" i="48"/>
  <c r="G103" i="48"/>
  <c r="E103" i="48"/>
  <c r="D103" i="48"/>
  <c r="O102" i="48"/>
  <c r="L102" i="48"/>
  <c r="I102" i="48"/>
  <c r="F102" i="48"/>
  <c r="O101" i="48"/>
  <c r="L101" i="48"/>
  <c r="I101" i="48"/>
  <c r="F101" i="48"/>
  <c r="O100" i="48"/>
  <c r="L100" i="48"/>
  <c r="I100" i="48"/>
  <c r="F100" i="48"/>
  <c r="O99" i="48"/>
  <c r="L99" i="48"/>
  <c r="I99" i="48"/>
  <c r="F99" i="48"/>
  <c r="O98" i="48"/>
  <c r="L98" i="48"/>
  <c r="I98" i="48"/>
  <c r="F98" i="48"/>
  <c r="O97" i="48"/>
  <c r="L97" i="48"/>
  <c r="I97" i="48"/>
  <c r="F97" i="48"/>
  <c r="O96" i="48"/>
  <c r="L96" i="48"/>
  <c r="I96" i="48"/>
  <c r="F96" i="48"/>
  <c r="N95" i="48"/>
  <c r="M95" i="48"/>
  <c r="K95" i="48"/>
  <c r="J95" i="48"/>
  <c r="H95" i="48"/>
  <c r="G95" i="48"/>
  <c r="E95" i="48"/>
  <c r="D95" i="48"/>
  <c r="O94" i="48"/>
  <c r="L94" i="48"/>
  <c r="I94" i="48"/>
  <c r="F94" i="48"/>
  <c r="O93" i="48"/>
  <c r="L93" i="48"/>
  <c r="I93" i="48"/>
  <c r="F93" i="48"/>
  <c r="O92" i="48"/>
  <c r="L92" i="48"/>
  <c r="I92" i="48"/>
  <c r="F92" i="48"/>
  <c r="O91" i="48"/>
  <c r="L91" i="48"/>
  <c r="I91" i="48"/>
  <c r="F91" i="48"/>
  <c r="O90" i="48"/>
  <c r="L90" i="48"/>
  <c r="I90" i="48"/>
  <c r="F90" i="48"/>
  <c r="F89" i="48" s="1"/>
  <c r="N89" i="48"/>
  <c r="M89" i="48"/>
  <c r="K89" i="48"/>
  <c r="J89" i="48"/>
  <c r="H89" i="48"/>
  <c r="G89" i="48"/>
  <c r="E89" i="48"/>
  <c r="D89" i="48"/>
  <c r="O88" i="48"/>
  <c r="L88" i="48"/>
  <c r="I88" i="48"/>
  <c r="F88" i="48"/>
  <c r="O87" i="48"/>
  <c r="L87" i="48"/>
  <c r="I87" i="48"/>
  <c r="F87" i="48"/>
  <c r="O86" i="48"/>
  <c r="L86" i="48"/>
  <c r="I86" i="48"/>
  <c r="F86" i="48"/>
  <c r="O85" i="48"/>
  <c r="L85" i="48"/>
  <c r="I85" i="48"/>
  <c r="F85" i="48"/>
  <c r="O84" i="48"/>
  <c r="N84" i="48"/>
  <c r="M84" i="48"/>
  <c r="K84" i="48"/>
  <c r="J84" i="48"/>
  <c r="H84" i="48"/>
  <c r="G84" i="48"/>
  <c r="E84" i="48"/>
  <c r="D84" i="48"/>
  <c r="O82" i="48"/>
  <c r="L82" i="48"/>
  <c r="I82" i="48"/>
  <c r="F82" i="48"/>
  <c r="O81" i="48"/>
  <c r="L81" i="48"/>
  <c r="L80" i="48" s="1"/>
  <c r="I81" i="48"/>
  <c r="F81" i="48"/>
  <c r="N80" i="48"/>
  <c r="M80" i="48"/>
  <c r="K80" i="48"/>
  <c r="J80" i="48"/>
  <c r="H80" i="48"/>
  <c r="G80" i="48"/>
  <c r="E80" i="48"/>
  <c r="D80" i="48"/>
  <c r="O79" i="48"/>
  <c r="L79" i="48"/>
  <c r="I79" i="48"/>
  <c r="F79" i="48"/>
  <c r="O78" i="48"/>
  <c r="O77" i="48" s="1"/>
  <c r="L78" i="48"/>
  <c r="L77" i="48" s="1"/>
  <c r="L76" i="48" s="1"/>
  <c r="I78" i="48"/>
  <c r="I77" i="48" s="1"/>
  <c r="F78" i="48"/>
  <c r="N77" i="48"/>
  <c r="M77" i="48"/>
  <c r="M76" i="48" s="1"/>
  <c r="K77" i="48"/>
  <c r="J77" i="48"/>
  <c r="H77" i="48"/>
  <c r="H76" i="48" s="1"/>
  <c r="G77" i="48"/>
  <c r="E77" i="48"/>
  <c r="D77" i="48"/>
  <c r="D76" i="48" s="1"/>
  <c r="N76" i="48"/>
  <c r="J76" i="48"/>
  <c r="O74" i="48"/>
  <c r="L74" i="48"/>
  <c r="I74" i="48"/>
  <c r="F74" i="48"/>
  <c r="O73" i="48"/>
  <c r="L73" i="48"/>
  <c r="I73" i="48"/>
  <c r="F73" i="48"/>
  <c r="O72" i="48"/>
  <c r="L72" i="48"/>
  <c r="I72" i="48"/>
  <c r="F72" i="48"/>
  <c r="O71" i="48"/>
  <c r="L71" i="48"/>
  <c r="I71" i="48"/>
  <c r="F71" i="48"/>
  <c r="O70" i="48"/>
  <c r="O69" i="48" s="1"/>
  <c r="L70" i="48"/>
  <c r="I70" i="48"/>
  <c r="F70" i="48"/>
  <c r="F69" i="48" s="1"/>
  <c r="N69" i="48"/>
  <c r="M69" i="48"/>
  <c r="M67" i="48" s="1"/>
  <c r="K69" i="48"/>
  <c r="K67" i="48" s="1"/>
  <c r="J69" i="48"/>
  <c r="J67" i="48" s="1"/>
  <c r="H69" i="48"/>
  <c r="H67" i="48" s="1"/>
  <c r="G69" i="48"/>
  <c r="E69" i="48"/>
  <c r="E67" i="48" s="1"/>
  <c r="D69" i="48"/>
  <c r="D67" i="48" s="1"/>
  <c r="O68" i="48"/>
  <c r="L68" i="48"/>
  <c r="I68" i="48"/>
  <c r="F68" i="48"/>
  <c r="N67" i="48"/>
  <c r="G67" i="48"/>
  <c r="F67" i="48"/>
  <c r="O66" i="48"/>
  <c r="L66" i="48"/>
  <c r="I66" i="48"/>
  <c r="F66" i="48"/>
  <c r="C66" i="48" s="1"/>
  <c r="O65" i="48"/>
  <c r="L65" i="48"/>
  <c r="I65" i="48"/>
  <c r="F65" i="48"/>
  <c r="O64" i="48"/>
  <c r="L64" i="48"/>
  <c r="I64" i="48"/>
  <c r="F64" i="48"/>
  <c r="O63" i="48"/>
  <c r="L63" i="48"/>
  <c r="I63" i="48"/>
  <c r="F63" i="48"/>
  <c r="O62" i="48"/>
  <c r="L62" i="48"/>
  <c r="I62" i="48"/>
  <c r="F62" i="48"/>
  <c r="C62" i="48" s="1"/>
  <c r="O61" i="48"/>
  <c r="L61" i="48"/>
  <c r="I61" i="48"/>
  <c r="F61" i="48"/>
  <c r="O60" i="48"/>
  <c r="L60" i="48"/>
  <c r="I60" i="48"/>
  <c r="F60" i="48"/>
  <c r="O59" i="48"/>
  <c r="O58" i="48" s="1"/>
  <c r="L59" i="48"/>
  <c r="I59" i="48"/>
  <c r="I58" i="48" s="1"/>
  <c r="F59" i="48"/>
  <c r="N58" i="48"/>
  <c r="M58" i="48"/>
  <c r="K58" i="48"/>
  <c r="J58" i="48"/>
  <c r="H58" i="48"/>
  <c r="G58" i="48"/>
  <c r="E58" i="48"/>
  <c r="D58" i="48"/>
  <c r="O57" i="48"/>
  <c r="L57" i="48"/>
  <c r="I57" i="48"/>
  <c r="F57" i="48"/>
  <c r="O56" i="48"/>
  <c r="L56" i="48"/>
  <c r="L55" i="48" s="1"/>
  <c r="I56" i="48"/>
  <c r="F56" i="48"/>
  <c r="F55" i="48" s="1"/>
  <c r="O55" i="48"/>
  <c r="N55" i="48"/>
  <c r="N54" i="48" s="1"/>
  <c r="M55" i="48"/>
  <c r="K55" i="48"/>
  <c r="K54" i="48" s="1"/>
  <c r="J55" i="48"/>
  <c r="H55" i="48"/>
  <c r="G55" i="48"/>
  <c r="E55" i="48"/>
  <c r="D55" i="48"/>
  <c r="O47" i="48"/>
  <c r="C47" i="48" s="1"/>
  <c r="O46" i="48"/>
  <c r="C46" i="48" s="1"/>
  <c r="N45" i="48"/>
  <c r="M45" i="48"/>
  <c r="L44" i="48"/>
  <c r="L43" i="48" s="1"/>
  <c r="I44" i="48"/>
  <c r="F44" i="48"/>
  <c r="K43" i="48"/>
  <c r="J43" i="48"/>
  <c r="I43" i="48"/>
  <c r="H43" i="48"/>
  <c r="G43" i="48"/>
  <c r="E43" i="48"/>
  <c r="D43" i="48"/>
  <c r="F42" i="48"/>
  <c r="F41" i="48" s="1"/>
  <c r="C41" i="48" s="1"/>
  <c r="E41" i="48"/>
  <c r="D41" i="48"/>
  <c r="L40" i="48"/>
  <c r="C40" i="48" s="1"/>
  <c r="L39" i="48"/>
  <c r="C39" i="48" s="1"/>
  <c r="L38" i="48"/>
  <c r="C38" i="48" s="1"/>
  <c r="L37" i="48"/>
  <c r="K36" i="48"/>
  <c r="J36" i="48"/>
  <c r="L35" i="48"/>
  <c r="C35" i="48" s="1"/>
  <c r="L34" i="48"/>
  <c r="K33" i="48"/>
  <c r="J33" i="48"/>
  <c r="L32" i="48"/>
  <c r="C32" i="48" s="1"/>
  <c r="K31" i="48"/>
  <c r="J31" i="48"/>
  <c r="L30" i="48"/>
  <c r="C30" i="48" s="1"/>
  <c r="L29" i="48"/>
  <c r="C29" i="48" s="1"/>
  <c r="L28" i="48"/>
  <c r="C28" i="48" s="1"/>
  <c r="K27" i="48"/>
  <c r="J27" i="48"/>
  <c r="F25" i="48"/>
  <c r="C25" i="48" s="1"/>
  <c r="I24" i="48"/>
  <c r="E24" i="48"/>
  <c r="O23" i="48"/>
  <c r="L23" i="48"/>
  <c r="I23" i="48"/>
  <c r="F23" i="48"/>
  <c r="O22" i="48"/>
  <c r="L22" i="48"/>
  <c r="I22" i="48"/>
  <c r="F22" i="48"/>
  <c r="N21" i="48"/>
  <c r="N292" i="48" s="1"/>
  <c r="N291" i="48" s="1"/>
  <c r="M21" i="48"/>
  <c r="M292" i="48" s="1"/>
  <c r="K21" i="48"/>
  <c r="J21" i="48"/>
  <c r="J292" i="48" s="1"/>
  <c r="I21" i="48"/>
  <c r="H21" i="48"/>
  <c r="H292" i="48" s="1"/>
  <c r="G21" i="48"/>
  <c r="E21" i="48"/>
  <c r="D21" i="48"/>
  <c r="D292" i="48" s="1"/>
  <c r="L33" i="48" l="1"/>
  <c r="C33" i="48" s="1"/>
  <c r="C113" i="48"/>
  <c r="C117" i="48"/>
  <c r="C121" i="48"/>
  <c r="C128" i="48"/>
  <c r="C137" i="48"/>
  <c r="C189" i="48"/>
  <c r="D270" i="48"/>
  <c r="D269" i="48" s="1"/>
  <c r="J291" i="48"/>
  <c r="C94" i="48"/>
  <c r="C98" i="48"/>
  <c r="C105" i="48"/>
  <c r="F112" i="48"/>
  <c r="K187" i="48"/>
  <c r="C207" i="48"/>
  <c r="K204" i="48"/>
  <c r="K195" i="48" s="1"/>
  <c r="K269" i="48"/>
  <c r="J187" i="48"/>
  <c r="K26" i="48"/>
  <c r="J26" i="48"/>
  <c r="J174" i="48"/>
  <c r="C181" i="48"/>
  <c r="M187" i="48"/>
  <c r="N231" i="48"/>
  <c r="L21" i="48"/>
  <c r="L292" i="48" s="1"/>
  <c r="L31" i="48"/>
  <c r="C31" i="48" s="1"/>
  <c r="C34" i="48"/>
  <c r="C44" i="48"/>
  <c r="C82" i="48"/>
  <c r="C153" i="48"/>
  <c r="C203" i="48"/>
  <c r="C234" i="48"/>
  <c r="J231" i="48"/>
  <c r="L260" i="48"/>
  <c r="O272" i="48"/>
  <c r="C282" i="48"/>
  <c r="D195" i="48"/>
  <c r="M195" i="48"/>
  <c r="C200" i="48"/>
  <c r="C211" i="48"/>
  <c r="C212" i="48"/>
  <c r="H230" i="48"/>
  <c r="I272" i="48"/>
  <c r="C278" i="48"/>
  <c r="C280" i="48"/>
  <c r="I281" i="48"/>
  <c r="C281" i="48" s="1"/>
  <c r="C294" i="48"/>
  <c r="K53" i="48"/>
  <c r="I136" i="48"/>
  <c r="G292" i="48"/>
  <c r="G291" i="48" s="1"/>
  <c r="C22" i="48"/>
  <c r="C23" i="48"/>
  <c r="N83" i="48"/>
  <c r="C145" i="48"/>
  <c r="N130" i="48"/>
  <c r="C161" i="48"/>
  <c r="C169" i="48"/>
  <c r="O184" i="48"/>
  <c r="C184" i="48" s="1"/>
  <c r="F188" i="48"/>
  <c r="F187" i="48" s="1"/>
  <c r="N20" i="48"/>
  <c r="G54" i="48"/>
  <c r="G53" i="48" s="1"/>
  <c r="C70" i="48"/>
  <c r="L69" i="48"/>
  <c r="C86" i="48"/>
  <c r="C102" i="48"/>
  <c r="C109" i="48"/>
  <c r="C125" i="48"/>
  <c r="J130" i="48"/>
  <c r="I144" i="48"/>
  <c r="C185" i="48"/>
  <c r="O205" i="48"/>
  <c r="C228" i="48"/>
  <c r="C229" i="48"/>
  <c r="D231" i="48"/>
  <c r="D230" i="48" s="1"/>
  <c r="D194" i="48" s="1"/>
  <c r="M231" i="48"/>
  <c r="C242" i="48"/>
  <c r="C244" i="48"/>
  <c r="C245" i="48"/>
  <c r="O252" i="48"/>
  <c r="C262" i="48"/>
  <c r="C266" i="48"/>
  <c r="C267" i="48"/>
  <c r="C268" i="48"/>
  <c r="L293" i="48"/>
  <c r="L95" i="48"/>
  <c r="L151" i="48"/>
  <c r="I174" i="48"/>
  <c r="I173" i="48" s="1"/>
  <c r="E187" i="48"/>
  <c r="K20" i="48"/>
  <c r="G83" i="48"/>
  <c r="C90" i="48"/>
  <c r="C133" i="48"/>
  <c r="C149" i="48"/>
  <c r="M173" i="48"/>
  <c r="D291" i="48"/>
  <c r="E54" i="48"/>
  <c r="E53" i="48" s="1"/>
  <c r="J54" i="48"/>
  <c r="J53" i="48" s="1"/>
  <c r="D83" i="48"/>
  <c r="C157" i="48"/>
  <c r="C158" i="48"/>
  <c r="I160" i="48"/>
  <c r="C160" i="48" s="1"/>
  <c r="C177" i="48"/>
  <c r="N174" i="48"/>
  <c r="N173" i="48" s="1"/>
  <c r="N187" i="48"/>
  <c r="E204" i="48"/>
  <c r="E195" i="48" s="1"/>
  <c r="I205" i="48"/>
  <c r="C215" i="48"/>
  <c r="C219" i="48"/>
  <c r="C222" i="48"/>
  <c r="E231" i="48"/>
  <c r="K231" i="48"/>
  <c r="I238" i="48"/>
  <c r="C250" i="48"/>
  <c r="C258" i="48"/>
  <c r="G259" i="48"/>
  <c r="K259" i="48"/>
  <c r="J270" i="48"/>
  <c r="J269" i="48" s="1"/>
  <c r="H270" i="48"/>
  <c r="H269" i="48" s="1"/>
  <c r="O276" i="48"/>
  <c r="O270" i="48" s="1"/>
  <c r="O269" i="48" s="1"/>
  <c r="C288" i="48"/>
  <c r="J230" i="48"/>
  <c r="C104" i="48"/>
  <c r="F103" i="48"/>
  <c r="M291" i="48"/>
  <c r="I293" i="48"/>
  <c r="G20" i="48"/>
  <c r="L291" i="48"/>
  <c r="F43" i="48"/>
  <c r="C43" i="48" s="1"/>
  <c r="H54" i="48"/>
  <c r="H53" i="48" s="1"/>
  <c r="O67" i="48"/>
  <c r="E83" i="48"/>
  <c r="K83" i="48"/>
  <c r="C92" i="48"/>
  <c r="C96" i="48"/>
  <c r="O95" i="48"/>
  <c r="O103" i="48"/>
  <c r="C110" i="48"/>
  <c r="C124" i="48"/>
  <c r="O122" i="48"/>
  <c r="C129" i="48"/>
  <c r="E130" i="48"/>
  <c r="C135" i="48"/>
  <c r="D130" i="48"/>
  <c r="D75" i="48" s="1"/>
  <c r="K130" i="48"/>
  <c r="C162" i="48"/>
  <c r="C167" i="48"/>
  <c r="O166" i="48"/>
  <c r="O165" i="48" s="1"/>
  <c r="O179" i="48"/>
  <c r="I188" i="48"/>
  <c r="C199" i="48"/>
  <c r="C210" i="48"/>
  <c r="C221" i="48"/>
  <c r="C226" i="48"/>
  <c r="N230" i="48"/>
  <c r="G231" i="48"/>
  <c r="C257" i="48"/>
  <c r="O260" i="48"/>
  <c r="I276" i="48"/>
  <c r="I270" i="48" s="1"/>
  <c r="C287" i="48"/>
  <c r="I286" i="48"/>
  <c r="C286" i="48" s="1"/>
  <c r="I259" i="48"/>
  <c r="H20" i="48"/>
  <c r="M20" i="48"/>
  <c r="C56" i="48"/>
  <c r="C57" i="48"/>
  <c r="D54" i="48"/>
  <c r="D53" i="48" s="1"/>
  <c r="C59" i="48"/>
  <c r="O54" i="48"/>
  <c r="L58" i="48"/>
  <c r="L54" i="48" s="1"/>
  <c r="C74" i="48"/>
  <c r="E76" i="48"/>
  <c r="E75" i="48" s="1"/>
  <c r="O80" i="48"/>
  <c r="O76" i="48" s="1"/>
  <c r="M83" i="48"/>
  <c r="L89" i="48"/>
  <c r="C101" i="48"/>
  <c r="C108" i="48"/>
  <c r="I131" i="48"/>
  <c r="G130" i="48"/>
  <c r="C156" i="48"/>
  <c r="C172" i="48"/>
  <c r="C183" i="48"/>
  <c r="D173" i="48"/>
  <c r="H173" i="48"/>
  <c r="C186" i="48"/>
  <c r="D187" i="48"/>
  <c r="H187" i="48"/>
  <c r="L188" i="48"/>
  <c r="L187" i="48" s="1"/>
  <c r="C193" i="48"/>
  <c r="C202" i="48"/>
  <c r="C209" i="48"/>
  <c r="C214" i="48"/>
  <c r="N204" i="48"/>
  <c r="F233" i="48"/>
  <c r="C243" i="48"/>
  <c r="C256" i="48"/>
  <c r="L264" i="48"/>
  <c r="M270" i="48"/>
  <c r="M269" i="48" s="1"/>
  <c r="L259" i="48"/>
  <c r="F21" i="48"/>
  <c r="O21" i="48"/>
  <c r="O292" i="48" s="1"/>
  <c r="L36" i="48"/>
  <c r="C36" i="48" s="1"/>
  <c r="O45" i="48"/>
  <c r="C45" i="48" s="1"/>
  <c r="M54" i="48"/>
  <c r="M53" i="48" s="1"/>
  <c r="C60" i="48"/>
  <c r="I69" i="48"/>
  <c r="G76" i="48"/>
  <c r="K76" i="48"/>
  <c r="C79" i="48"/>
  <c r="O89" i="48"/>
  <c r="C118" i="48"/>
  <c r="C127" i="48"/>
  <c r="C140" i="48"/>
  <c r="C146" i="48"/>
  <c r="C164" i="48"/>
  <c r="J173" i="48"/>
  <c r="O175" i="48"/>
  <c r="C201" i="48"/>
  <c r="C213" i="48"/>
  <c r="J204" i="48"/>
  <c r="J195" i="48" s="1"/>
  <c r="O216" i="48"/>
  <c r="C224" i="48"/>
  <c r="F227" i="48"/>
  <c r="C227" i="48" s="1"/>
  <c r="C236" i="48"/>
  <c r="C237" i="48"/>
  <c r="O238" i="48"/>
  <c r="O231" i="48" s="1"/>
  <c r="O264" i="48"/>
  <c r="O259" i="48" s="1"/>
  <c r="C275" i="48"/>
  <c r="C295" i="48"/>
  <c r="C61" i="48"/>
  <c r="F58" i="48"/>
  <c r="C58" i="48" s="1"/>
  <c r="C119" i="48"/>
  <c r="I116" i="48"/>
  <c r="L122" i="48"/>
  <c r="C126" i="48"/>
  <c r="L175" i="48"/>
  <c r="C178" i="48"/>
  <c r="C301" i="48"/>
  <c r="I55" i="48"/>
  <c r="I54" i="48" s="1"/>
  <c r="C63" i="48"/>
  <c r="C71" i="48"/>
  <c r="C85" i="48"/>
  <c r="F84" i="48"/>
  <c r="C97" i="48"/>
  <c r="F95" i="48"/>
  <c r="H130" i="48"/>
  <c r="C138" i="48"/>
  <c r="L136" i="48"/>
  <c r="C136" i="48" s="1"/>
  <c r="L166" i="48"/>
  <c r="L165" i="48" s="1"/>
  <c r="C170" i="48"/>
  <c r="I187" i="48"/>
  <c r="C192" i="48"/>
  <c r="O191" i="48"/>
  <c r="O187" i="48" s="1"/>
  <c r="J20" i="48"/>
  <c r="C37" i="48"/>
  <c r="N53" i="48"/>
  <c r="C64" i="48"/>
  <c r="C65" i="48"/>
  <c r="C68" i="48"/>
  <c r="C72" i="48"/>
  <c r="C73" i="48"/>
  <c r="C78" i="48"/>
  <c r="F77" i="48"/>
  <c r="H83" i="48"/>
  <c r="M130" i="48"/>
  <c r="M75" i="48" s="1"/>
  <c r="M52" i="48" s="1"/>
  <c r="C168" i="48"/>
  <c r="F166" i="48"/>
  <c r="C235" i="48"/>
  <c r="F292" i="48"/>
  <c r="L103" i="48"/>
  <c r="C106" i="48"/>
  <c r="L27" i="48"/>
  <c r="E292" i="48"/>
  <c r="E291" i="48" s="1"/>
  <c r="E20" i="48"/>
  <c r="I20" i="48"/>
  <c r="C42" i="48"/>
  <c r="I67" i="48"/>
  <c r="I80" i="48"/>
  <c r="I76" i="48" s="1"/>
  <c r="I84" i="48"/>
  <c r="C88" i="48"/>
  <c r="J83" i="48"/>
  <c r="J75" i="48" s="1"/>
  <c r="C114" i="48"/>
  <c r="L112" i="48"/>
  <c r="C120" i="48"/>
  <c r="F116" i="48"/>
  <c r="C142" i="48"/>
  <c r="L141" i="48"/>
  <c r="C147" i="48"/>
  <c r="C148" i="48"/>
  <c r="F144" i="48"/>
  <c r="C154" i="48"/>
  <c r="C159" i="48"/>
  <c r="C163" i="48"/>
  <c r="C180" i="48"/>
  <c r="F179" i="48"/>
  <c r="I196" i="48"/>
  <c r="C197" i="48"/>
  <c r="C218" i="48"/>
  <c r="F216" i="48"/>
  <c r="K292" i="48"/>
  <c r="K291" i="48" s="1"/>
  <c r="C87" i="48"/>
  <c r="C91" i="48"/>
  <c r="I95" i="48"/>
  <c r="C99" i="48"/>
  <c r="C100" i="48"/>
  <c r="C107" i="48"/>
  <c r="O131" i="48"/>
  <c r="L131" i="48"/>
  <c r="C134" i="48"/>
  <c r="C150" i="48"/>
  <c r="C152" i="48"/>
  <c r="F151" i="48"/>
  <c r="I165" i="48"/>
  <c r="C171" i="48"/>
  <c r="E174" i="48"/>
  <c r="E173" i="48" s="1"/>
  <c r="E52" i="48" s="1"/>
  <c r="C176" i="48"/>
  <c r="F175" i="48"/>
  <c r="G187" i="48"/>
  <c r="C190" i="48"/>
  <c r="C206" i="48"/>
  <c r="F205" i="48"/>
  <c r="O204" i="48"/>
  <c r="H291" i="48"/>
  <c r="C81" i="48"/>
  <c r="F80" i="48"/>
  <c r="L84" i="48"/>
  <c r="I89" i="48"/>
  <c r="C93" i="48"/>
  <c r="I103" i="48"/>
  <c r="C111" i="48"/>
  <c r="C115" i="48"/>
  <c r="I112" i="48"/>
  <c r="O116" i="48"/>
  <c r="I122" i="48"/>
  <c r="C123" i="48"/>
  <c r="C132" i="48"/>
  <c r="F131" i="48"/>
  <c r="C139" i="48"/>
  <c r="C143" i="48"/>
  <c r="I141" i="48"/>
  <c r="O144" i="48"/>
  <c r="C155" i="48"/>
  <c r="L179" i="48"/>
  <c r="C182" i="48"/>
  <c r="C247" i="48"/>
  <c r="L246" i="48"/>
  <c r="C277" i="48"/>
  <c r="F276" i="48"/>
  <c r="L196" i="48"/>
  <c r="C198" i="48"/>
  <c r="I216" i="48"/>
  <c r="I204" i="48" s="1"/>
  <c r="C217" i="48"/>
  <c r="C220" i="48"/>
  <c r="C239" i="48"/>
  <c r="L238" i="48"/>
  <c r="M230" i="48"/>
  <c r="E259" i="48"/>
  <c r="E230" i="48" s="1"/>
  <c r="C261" i="48"/>
  <c r="F260" i="48"/>
  <c r="C279" i="48"/>
  <c r="C285" i="48"/>
  <c r="F284" i="48"/>
  <c r="F196" i="48"/>
  <c r="N195" i="48"/>
  <c r="N194" i="48" s="1"/>
  <c r="O196" i="48"/>
  <c r="O195" i="48" s="1"/>
  <c r="C225" i="48"/>
  <c r="C232" i="48"/>
  <c r="C233" i="48"/>
  <c r="C249" i="48"/>
  <c r="F246" i="48"/>
  <c r="I252" i="48"/>
  <c r="I251" i="48" s="1"/>
  <c r="L252" i="48"/>
  <c r="L251" i="48" s="1"/>
  <c r="C255" i="48"/>
  <c r="C263" i="48"/>
  <c r="E270" i="48"/>
  <c r="E269" i="48" s="1"/>
  <c r="C273" i="48"/>
  <c r="F272" i="48"/>
  <c r="L276" i="48"/>
  <c r="O293" i="48"/>
  <c r="L205" i="48"/>
  <c r="C208" i="48"/>
  <c r="L216" i="48"/>
  <c r="C240" i="48"/>
  <c r="C241" i="48"/>
  <c r="F238" i="48"/>
  <c r="C248" i="48"/>
  <c r="I246" i="48"/>
  <c r="I231" i="48" s="1"/>
  <c r="C253" i="48"/>
  <c r="F252" i="48"/>
  <c r="O251" i="48"/>
  <c r="C265" i="48"/>
  <c r="F264" i="48"/>
  <c r="C271" i="48"/>
  <c r="L270" i="48"/>
  <c r="L269" i="48" s="1"/>
  <c r="C296" i="48"/>
  <c r="C297" i="48"/>
  <c r="F293" i="48"/>
  <c r="H194" i="48" l="1"/>
  <c r="M194" i="48"/>
  <c r="L231" i="48"/>
  <c r="L230" i="48" s="1"/>
  <c r="C89" i="48"/>
  <c r="O174" i="48"/>
  <c r="O173" i="48" s="1"/>
  <c r="I269" i="48"/>
  <c r="O53" i="48"/>
  <c r="C122" i="48"/>
  <c r="I292" i="48"/>
  <c r="I291" i="48" s="1"/>
  <c r="C69" i="48"/>
  <c r="N75" i="48"/>
  <c r="C141" i="48"/>
  <c r="C112" i="48"/>
  <c r="C151" i="48"/>
  <c r="L130" i="48"/>
  <c r="C187" i="48"/>
  <c r="K230" i="48"/>
  <c r="K194" i="48" s="1"/>
  <c r="C238" i="48"/>
  <c r="E194" i="48"/>
  <c r="E51" i="48" s="1"/>
  <c r="O130" i="48"/>
  <c r="L67" i="48"/>
  <c r="L53" i="48" s="1"/>
  <c r="H75" i="48"/>
  <c r="H52" i="48" s="1"/>
  <c r="H51" i="48" s="1"/>
  <c r="N52" i="48"/>
  <c r="N51" i="48" s="1"/>
  <c r="N50" i="48" s="1"/>
  <c r="J194" i="48"/>
  <c r="M289" i="48"/>
  <c r="C264" i="48"/>
  <c r="C144" i="48"/>
  <c r="O20" i="48"/>
  <c r="F54" i="48"/>
  <c r="C54" i="48" s="1"/>
  <c r="D289" i="48"/>
  <c r="G230" i="48"/>
  <c r="G194" i="48" s="1"/>
  <c r="E289" i="48"/>
  <c r="C116" i="48"/>
  <c r="C21" i="48"/>
  <c r="K75" i="48"/>
  <c r="G75" i="48"/>
  <c r="G52" i="48" s="1"/>
  <c r="G51" i="48" s="1"/>
  <c r="D52" i="48"/>
  <c r="D51" i="48" s="1"/>
  <c r="D24" i="48" s="1"/>
  <c r="D290" i="48" s="1"/>
  <c r="O291" i="48"/>
  <c r="C188" i="48"/>
  <c r="O83" i="48"/>
  <c r="O75" i="48" s="1"/>
  <c r="O52" i="48" s="1"/>
  <c r="C103" i="48"/>
  <c r="C191" i="48"/>
  <c r="C55" i="48"/>
  <c r="J52" i="48"/>
  <c r="J51" i="48" s="1"/>
  <c r="J289" i="48"/>
  <c r="F231" i="48"/>
  <c r="F165" i="48"/>
  <c r="C165" i="48" s="1"/>
  <c r="C166" i="48"/>
  <c r="L174" i="48"/>
  <c r="L173" i="48" s="1"/>
  <c r="N289" i="48"/>
  <c r="C260" i="48"/>
  <c r="F259" i="48"/>
  <c r="C259" i="48" s="1"/>
  <c r="C205" i="48"/>
  <c r="F204" i="48"/>
  <c r="M51" i="48"/>
  <c r="C216" i="48"/>
  <c r="L204" i="48"/>
  <c r="C246" i="48"/>
  <c r="C196" i="48"/>
  <c r="G289" i="48"/>
  <c r="O230" i="48"/>
  <c r="C276" i="48"/>
  <c r="C131" i="48"/>
  <c r="F130" i="48"/>
  <c r="L83" i="48"/>
  <c r="C175" i="48"/>
  <c r="F174" i="48"/>
  <c r="I195" i="48"/>
  <c r="I130" i="48"/>
  <c r="I53" i="48"/>
  <c r="F53" i="48"/>
  <c r="C77" i="48"/>
  <c r="F76" i="48"/>
  <c r="C84" i="48"/>
  <c r="F83" i="48"/>
  <c r="C293" i="48"/>
  <c r="C252" i="48"/>
  <c r="F251" i="48"/>
  <c r="C251" i="48" s="1"/>
  <c r="I230" i="48"/>
  <c r="F270" i="48"/>
  <c r="C272" i="48"/>
  <c r="C284" i="48"/>
  <c r="F283" i="48"/>
  <c r="C283" i="48" s="1"/>
  <c r="L195" i="48"/>
  <c r="C80" i="48"/>
  <c r="N290" i="48"/>
  <c r="C179" i="48"/>
  <c r="I83" i="48"/>
  <c r="I75" i="48" s="1"/>
  <c r="L26" i="48"/>
  <c r="C27" i="48"/>
  <c r="C95" i="48"/>
  <c r="F291" i="48"/>
  <c r="E50" i="48" l="1"/>
  <c r="E290" i="48"/>
  <c r="C292" i="48"/>
  <c r="C291" i="48"/>
  <c r="C67" i="48"/>
  <c r="L194" i="48"/>
  <c r="H289" i="48"/>
  <c r="L75" i="48"/>
  <c r="L52" i="48" s="1"/>
  <c r="L51" i="48" s="1"/>
  <c r="O289" i="48"/>
  <c r="G50" i="48"/>
  <c r="G290" i="48"/>
  <c r="K52" i="48"/>
  <c r="K51" i="48" s="1"/>
  <c r="K289" i="48"/>
  <c r="D50" i="48"/>
  <c r="C53" i="48"/>
  <c r="C130" i="48"/>
  <c r="C204" i="48"/>
  <c r="O194" i="48"/>
  <c r="D20" i="48"/>
  <c r="F24" i="48"/>
  <c r="C76" i="48"/>
  <c r="F75" i="48"/>
  <c r="F173" i="48"/>
  <c r="C173" i="48" s="1"/>
  <c r="C174" i="48"/>
  <c r="C83" i="48"/>
  <c r="I289" i="48"/>
  <c r="I194" i="48"/>
  <c r="J50" i="48"/>
  <c r="J290" i="48"/>
  <c r="L20" i="48"/>
  <c r="C26" i="48"/>
  <c r="I52" i="48"/>
  <c r="F195" i="48"/>
  <c r="M50" i="48"/>
  <c r="M290" i="48"/>
  <c r="O51" i="48"/>
  <c r="F230" i="48"/>
  <c r="C230" i="48" s="1"/>
  <c r="C231" i="48"/>
  <c r="H290" i="48"/>
  <c r="H50" i="48"/>
  <c r="F269" i="48"/>
  <c r="C270" i="48"/>
  <c r="L289" i="48" l="1"/>
  <c r="L50" i="48"/>
  <c r="L290" i="48"/>
  <c r="C75" i="48"/>
  <c r="K50" i="48"/>
  <c r="K290" i="48"/>
  <c r="I51" i="48"/>
  <c r="I290" i="48" s="1"/>
  <c r="C24" i="48"/>
  <c r="F20" i="48"/>
  <c r="C20" i="48" s="1"/>
  <c r="C269" i="48"/>
  <c r="F289" i="48"/>
  <c r="C195" i="48"/>
  <c r="F194" i="48"/>
  <c r="C194" i="48" s="1"/>
  <c r="F52" i="48"/>
  <c r="O50" i="48"/>
  <c r="O290" i="48"/>
  <c r="I50" i="48"/>
  <c r="C289" i="48" l="1"/>
  <c r="C52" i="48"/>
  <c r="F51" i="48"/>
  <c r="F290" i="48" l="1"/>
  <c r="C290" i="48" s="1"/>
  <c r="F50" i="48"/>
  <c r="C50" i="48" s="1"/>
  <c r="C51" i="48"/>
  <c r="O301" i="47" l="1"/>
  <c r="L301" i="47"/>
  <c r="I301" i="47"/>
  <c r="F301" i="47"/>
  <c r="O300" i="47"/>
  <c r="L300" i="47"/>
  <c r="I300" i="47"/>
  <c r="F300" i="47"/>
  <c r="O299" i="47"/>
  <c r="L299" i="47"/>
  <c r="I299" i="47"/>
  <c r="F299" i="47"/>
  <c r="O298" i="47"/>
  <c r="L298" i="47"/>
  <c r="I298" i="47"/>
  <c r="F298" i="47"/>
  <c r="O297" i="47"/>
  <c r="L297" i="47"/>
  <c r="I297" i="47"/>
  <c r="F297" i="47"/>
  <c r="O296" i="47"/>
  <c r="L296" i="47"/>
  <c r="I296" i="47"/>
  <c r="F296" i="47"/>
  <c r="C296" i="47" s="1"/>
  <c r="O295" i="47"/>
  <c r="L295" i="47"/>
  <c r="I295" i="47"/>
  <c r="F295" i="47"/>
  <c r="O294" i="47"/>
  <c r="O293" i="47" s="1"/>
  <c r="L294" i="47"/>
  <c r="I294" i="47"/>
  <c r="F294" i="47"/>
  <c r="N293" i="47"/>
  <c r="M293" i="47"/>
  <c r="K293" i="47"/>
  <c r="J293" i="47"/>
  <c r="H293" i="47"/>
  <c r="G293" i="47"/>
  <c r="E293" i="47"/>
  <c r="D293" i="47"/>
  <c r="O288" i="47"/>
  <c r="L288" i="47"/>
  <c r="I288" i="47"/>
  <c r="F288" i="47"/>
  <c r="O287" i="47"/>
  <c r="L287" i="47"/>
  <c r="L286" i="47" s="1"/>
  <c r="I287" i="47"/>
  <c r="F287" i="47"/>
  <c r="O286" i="47"/>
  <c r="N286" i="47"/>
  <c r="M286" i="47"/>
  <c r="K286" i="47"/>
  <c r="J286" i="47"/>
  <c r="I286" i="47"/>
  <c r="H286" i="47"/>
  <c r="G286" i="47"/>
  <c r="E286" i="47"/>
  <c r="D286" i="47"/>
  <c r="O285" i="47"/>
  <c r="L285" i="47"/>
  <c r="L284" i="47" s="1"/>
  <c r="L283" i="47" s="1"/>
  <c r="I285" i="47"/>
  <c r="F285" i="47"/>
  <c r="O284" i="47"/>
  <c r="O283" i="47" s="1"/>
  <c r="N284" i="47"/>
  <c r="N283" i="47" s="1"/>
  <c r="M284" i="47"/>
  <c r="M283" i="47" s="1"/>
  <c r="K284" i="47"/>
  <c r="K283" i="47" s="1"/>
  <c r="J284" i="47"/>
  <c r="J283" i="47" s="1"/>
  <c r="I284" i="47"/>
  <c r="I283" i="47" s="1"/>
  <c r="H284" i="47"/>
  <c r="G284" i="47"/>
  <c r="G283" i="47" s="1"/>
  <c r="E284" i="47"/>
  <c r="E283" i="47" s="1"/>
  <c r="D284" i="47"/>
  <c r="D283" i="47" s="1"/>
  <c r="H283" i="47"/>
  <c r="O282" i="47"/>
  <c r="O281" i="47" s="1"/>
  <c r="L282" i="47"/>
  <c r="L281" i="47" s="1"/>
  <c r="I282" i="47"/>
  <c r="F282" i="47"/>
  <c r="F281" i="47" s="1"/>
  <c r="N281" i="47"/>
  <c r="M281" i="47"/>
  <c r="K281" i="47"/>
  <c r="J281" i="47"/>
  <c r="H281" i="47"/>
  <c r="G281" i="47"/>
  <c r="E281" i="47"/>
  <c r="D281" i="47"/>
  <c r="O280" i="47"/>
  <c r="L280" i="47"/>
  <c r="I280" i="47"/>
  <c r="F280" i="47"/>
  <c r="O279" i="47"/>
  <c r="L279" i="47"/>
  <c r="I279" i="47"/>
  <c r="F279" i="47"/>
  <c r="O278" i="47"/>
  <c r="L278" i="47"/>
  <c r="I278" i="47"/>
  <c r="F278" i="47"/>
  <c r="O277" i="47"/>
  <c r="L277" i="47"/>
  <c r="L276" i="47" s="1"/>
  <c r="I277" i="47"/>
  <c r="F277" i="47"/>
  <c r="O276" i="47"/>
  <c r="N276" i="47"/>
  <c r="M276" i="47"/>
  <c r="K276" i="47"/>
  <c r="J276" i="47"/>
  <c r="I276" i="47"/>
  <c r="H276" i="47"/>
  <c r="G276" i="47"/>
  <c r="E276" i="47"/>
  <c r="D276" i="47"/>
  <c r="O275" i="47"/>
  <c r="L275" i="47"/>
  <c r="I275" i="47"/>
  <c r="F275" i="47"/>
  <c r="O274" i="47"/>
  <c r="L274" i="47"/>
  <c r="I274" i="47"/>
  <c r="F274" i="47"/>
  <c r="O273" i="47"/>
  <c r="L273" i="47"/>
  <c r="L272" i="47" s="1"/>
  <c r="I273" i="47"/>
  <c r="F273" i="47"/>
  <c r="O272" i="47"/>
  <c r="N272" i="47"/>
  <c r="N270" i="47" s="1"/>
  <c r="M272" i="47"/>
  <c r="K272" i="47"/>
  <c r="K270" i="47" s="1"/>
  <c r="K269" i="47" s="1"/>
  <c r="J272" i="47"/>
  <c r="I272" i="47"/>
  <c r="H272" i="47"/>
  <c r="G272" i="47"/>
  <c r="G270" i="47" s="1"/>
  <c r="G269" i="47" s="1"/>
  <c r="E272" i="47"/>
  <c r="E270" i="47" s="1"/>
  <c r="E269" i="47" s="1"/>
  <c r="D272" i="47"/>
  <c r="D270" i="47" s="1"/>
  <c r="O271" i="47"/>
  <c r="L271" i="47"/>
  <c r="I271" i="47"/>
  <c r="F271" i="47"/>
  <c r="M270" i="47"/>
  <c r="M269" i="47" s="1"/>
  <c r="J270" i="47"/>
  <c r="J269" i="47" s="1"/>
  <c r="H270" i="47"/>
  <c r="H269" i="47" s="1"/>
  <c r="O268" i="47"/>
  <c r="L268" i="47"/>
  <c r="I268" i="47"/>
  <c r="F268" i="47"/>
  <c r="O267" i="47"/>
  <c r="L267" i="47"/>
  <c r="I267" i="47"/>
  <c r="F267" i="47"/>
  <c r="O266" i="47"/>
  <c r="L266" i="47"/>
  <c r="I266" i="47"/>
  <c r="F266" i="47"/>
  <c r="O265" i="47"/>
  <c r="L265" i="47"/>
  <c r="I265" i="47"/>
  <c r="I264" i="47" s="1"/>
  <c r="F265" i="47"/>
  <c r="N264" i="47"/>
  <c r="M264" i="47"/>
  <c r="K264" i="47"/>
  <c r="J264" i="47"/>
  <c r="H264" i="47"/>
  <c r="G264" i="47"/>
  <c r="E264" i="47"/>
  <c r="D264" i="47"/>
  <c r="O263" i="47"/>
  <c r="L263" i="47"/>
  <c r="I263" i="47"/>
  <c r="F263" i="47"/>
  <c r="C263" i="47" s="1"/>
  <c r="O262" i="47"/>
  <c r="L262" i="47"/>
  <c r="I262" i="47"/>
  <c r="F262" i="47"/>
  <c r="C262" i="47" s="1"/>
  <c r="O261" i="47"/>
  <c r="L261" i="47"/>
  <c r="I261" i="47"/>
  <c r="I260" i="47" s="1"/>
  <c r="F261" i="47"/>
  <c r="N260" i="47"/>
  <c r="N259" i="47" s="1"/>
  <c r="M260" i="47"/>
  <c r="M259" i="47" s="1"/>
  <c r="K260" i="47"/>
  <c r="K259" i="47" s="1"/>
  <c r="J260" i="47"/>
  <c r="H260" i="47"/>
  <c r="G260" i="47"/>
  <c r="G259" i="47" s="1"/>
  <c r="E260" i="47"/>
  <c r="E259" i="47" s="1"/>
  <c r="D260" i="47"/>
  <c r="J259" i="47"/>
  <c r="H259" i="47"/>
  <c r="O258" i="47"/>
  <c r="L258" i="47"/>
  <c r="I258" i="47"/>
  <c r="F258" i="47"/>
  <c r="O257" i="47"/>
  <c r="L257" i="47"/>
  <c r="I257" i="47"/>
  <c r="F257" i="47"/>
  <c r="O256" i="47"/>
  <c r="L256" i="47"/>
  <c r="I256" i="47"/>
  <c r="F256" i="47"/>
  <c r="O255" i="47"/>
  <c r="L255" i="47"/>
  <c r="I255" i="47"/>
  <c r="F255" i="47"/>
  <c r="O254" i="47"/>
  <c r="L254" i="47"/>
  <c r="I254" i="47"/>
  <c r="F254" i="47"/>
  <c r="C254" i="47"/>
  <c r="O253" i="47"/>
  <c r="L253" i="47"/>
  <c r="I253" i="47"/>
  <c r="F253" i="47"/>
  <c r="N252" i="47"/>
  <c r="M252" i="47"/>
  <c r="M251" i="47" s="1"/>
  <c r="K252" i="47"/>
  <c r="K251" i="47" s="1"/>
  <c r="J252" i="47"/>
  <c r="J251" i="47" s="1"/>
  <c r="H252" i="47"/>
  <c r="G252" i="47"/>
  <c r="G251" i="47" s="1"/>
  <c r="E252" i="47"/>
  <c r="E251" i="47" s="1"/>
  <c r="D252" i="47"/>
  <c r="N251" i="47"/>
  <c r="H251" i="47"/>
  <c r="D251" i="47"/>
  <c r="O250" i="47"/>
  <c r="L250" i="47"/>
  <c r="I250" i="47"/>
  <c r="F250" i="47"/>
  <c r="O249" i="47"/>
  <c r="L249" i="47"/>
  <c r="I249" i="47"/>
  <c r="F249" i="47"/>
  <c r="O248" i="47"/>
  <c r="L248" i="47"/>
  <c r="I248" i="47"/>
  <c r="C248" i="47" s="1"/>
  <c r="F248" i="47"/>
  <c r="O247" i="47"/>
  <c r="L247" i="47"/>
  <c r="I247" i="47"/>
  <c r="F247" i="47"/>
  <c r="N246" i="47"/>
  <c r="M246" i="47"/>
  <c r="K246" i="47"/>
  <c r="J246" i="47"/>
  <c r="H246" i="47"/>
  <c r="G246" i="47"/>
  <c r="E246" i="47"/>
  <c r="D246" i="47"/>
  <c r="O245" i="47"/>
  <c r="L245" i="47"/>
  <c r="I245" i="47"/>
  <c r="F245" i="47"/>
  <c r="O244" i="47"/>
  <c r="L244" i="47"/>
  <c r="I244" i="47"/>
  <c r="F244" i="47"/>
  <c r="C244" i="47" s="1"/>
  <c r="O243" i="47"/>
  <c r="L243" i="47"/>
  <c r="I243" i="47"/>
  <c r="F243" i="47"/>
  <c r="O242" i="47"/>
  <c r="L242" i="47"/>
  <c r="I242" i="47"/>
  <c r="F242" i="47"/>
  <c r="O241" i="47"/>
  <c r="L241" i="47"/>
  <c r="I241" i="47"/>
  <c r="F241" i="47"/>
  <c r="O240" i="47"/>
  <c r="L240" i="47"/>
  <c r="I240" i="47"/>
  <c r="F240" i="47"/>
  <c r="O239" i="47"/>
  <c r="L239" i="47"/>
  <c r="L238" i="47" s="1"/>
  <c r="I239" i="47"/>
  <c r="I238" i="47" s="1"/>
  <c r="F239" i="47"/>
  <c r="N238" i="47"/>
  <c r="M238" i="47"/>
  <c r="K238" i="47"/>
  <c r="J238" i="47"/>
  <c r="H238" i="47"/>
  <c r="G238" i="47"/>
  <c r="E238" i="47"/>
  <c r="D238" i="47"/>
  <c r="O237" i="47"/>
  <c r="L237" i="47"/>
  <c r="I237" i="47"/>
  <c r="F237" i="47"/>
  <c r="O236" i="47"/>
  <c r="O235" i="47" s="1"/>
  <c r="L236" i="47"/>
  <c r="L235" i="47" s="1"/>
  <c r="I236" i="47"/>
  <c r="I235" i="47" s="1"/>
  <c r="F236" i="47"/>
  <c r="N235" i="47"/>
  <c r="M235" i="47"/>
  <c r="K235" i="47"/>
  <c r="J235" i="47"/>
  <c r="H235" i="47"/>
  <c r="G235" i="47"/>
  <c r="E235" i="47"/>
  <c r="D235" i="47"/>
  <c r="O234" i="47"/>
  <c r="O233" i="47" s="1"/>
  <c r="L234" i="47"/>
  <c r="L233" i="47" s="1"/>
  <c r="I234" i="47"/>
  <c r="I233" i="47" s="1"/>
  <c r="F234" i="47"/>
  <c r="N233" i="47"/>
  <c r="M233" i="47"/>
  <c r="K233" i="47"/>
  <c r="J233" i="47"/>
  <c r="H233" i="47"/>
  <c r="G233" i="47"/>
  <c r="F233" i="47"/>
  <c r="E233" i="47"/>
  <c r="D233" i="47"/>
  <c r="D231" i="47" s="1"/>
  <c r="O232" i="47"/>
  <c r="L232" i="47"/>
  <c r="I232" i="47"/>
  <c r="F232" i="47"/>
  <c r="C232" i="47" s="1"/>
  <c r="N231" i="47"/>
  <c r="J231" i="47"/>
  <c r="O229" i="47"/>
  <c r="L229" i="47"/>
  <c r="I229" i="47"/>
  <c r="F229" i="47"/>
  <c r="O228" i="47"/>
  <c r="O227" i="47" s="1"/>
  <c r="L228" i="47"/>
  <c r="L227" i="47" s="1"/>
  <c r="I228" i="47"/>
  <c r="I227" i="47" s="1"/>
  <c r="F228" i="47"/>
  <c r="F227" i="47" s="1"/>
  <c r="N227" i="47"/>
  <c r="M227" i="47"/>
  <c r="K227" i="47"/>
  <c r="J227" i="47"/>
  <c r="H227" i="47"/>
  <c r="G227" i="47"/>
  <c r="E227" i="47"/>
  <c r="D227" i="47"/>
  <c r="O226" i="47"/>
  <c r="L226" i="47"/>
  <c r="I226" i="47"/>
  <c r="F226" i="47"/>
  <c r="O225" i="47"/>
  <c r="L225" i="47"/>
  <c r="I225" i="47"/>
  <c r="F225" i="47"/>
  <c r="O224" i="47"/>
  <c r="L224" i="47"/>
  <c r="I224" i="47"/>
  <c r="F224" i="47"/>
  <c r="O223" i="47"/>
  <c r="L223" i="47"/>
  <c r="I223" i="47"/>
  <c r="F223" i="47"/>
  <c r="O222" i="47"/>
  <c r="L222" i="47"/>
  <c r="I222" i="47"/>
  <c r="F222" i="47"/>
  <c r="O221" i="47"/>
  <c r="L221" i="47"/>
  <c r="I221" i="47"/>
  <c r="F221" i="47"/>
  <c r="O220" i="47"/>
  <c r="L220" i="47"/>
  <c r="I220" i="47"/>
  <c r="F220" i="47"/>
  <c r="O219" i="47"/>
  <c r="L219" i="47"/>
  <c r="I219" i="47"/>
  <c r="F219" i="47"/>
  <c r="O218" i="47"/>
  <c r="L218" i="47"/>
  <c r="I218" i="47"/>
  <c r="F218" i="47"/>
  <c r="O217" i="47"/>
  <c r="L217" i="47"/>
  <c r="I217" i="47"/>
  <c r="F217" i="47"/>
  <c r="N216" i="47"/>
  <c r="M216" i="47"/>
  <c r="K216" i="47"/>
  <c r="J216" i="47"/>
  <c r="H216" i="47"/>
  <c r="G216" i="47"/>
  <c r="E216" i="47"/>
  <c r="D216" i="47"/>
  <c r="O215" i="47"/>
  <c r="L215" i="47"/>
  <c r="I215" i="47"/>
  <c r="F215" i="47"/>
  <c r="O214" i="47"/>
  <c r="L214" i="47"/>
  <c r="I214" i="47"/>
  <c r="F214" i="47"/>
  <c r="C214" i="47" s="1"/>
  <c r="O213" i="47"/>
  <c r="L213" i="47"/>
  <c r="I213" i="47"/>
  <c r="F213" i="47"/>
  <c r="C213" i="47" s="1"/>
  <c r="O212" i="47"/>
  <c r="L212" i="47"/>
  <c r="I212" i="47"/>
  <c r="F212" i="47"/>
  <c r="O211" i="47"/>
  <c r="L211" i="47"/>
  <c r="I211" i="47"/>
  <c r="F211" i="47"/>
  <c r="O210" i="47"/>
  <c r="L210" i="47"/>
  <c r="I210" i="47"/>
  <c r="F210" i="47"/>
  <c r="O209" i="47"/>
  <c r="L209" i="47"/>
  <c r="I209" i="47"/>
  <c r="F209" i="47"/>
  <c r="O208" i="47"/>
  <c r="L208" i="47"/>
  <c r="I208" i="47"/>
  <c r="F208" i="47"/>
  <c r="C208" i="47" s="1"/>
  <c r="O207" i="47"/>
  <c r="L207" i="47"/>
  <c r="I207" i="47"/>
  <c r="F207" i="47"/>
  <c r="O206" i="47"/>
  <c r="L206" i="47"/>
  <c r="I206" i="47"/>
  <c r="F206" i="47"/>
  <c r="N205" i="47"/>
  <c r="M205" i="47"/>
  <c r="L205" i="47"/>
  <c r="K205" i="47"/>
  <c r="J205" i="47"/>
  <c r="H205" i="47"/>
  <c r="G205" i="47"/>
  <c r="E205" i="47"/>
  <c r="D205" i="47"/>
  <c r="M204" i="47"/>
  <c r="E204" i="47"/>
  <c r="O203" i="47"/>
  <c r="L203" i="47"/>
  <c r="I203" i="47"/>
  <c r="F203" i="47"/>
  <c r="O202" i="47"/>
  <c r="L202" i="47"/>
  <c r="I202" i="47"/>
  <c r="F202" i="47"/>
  <c r="O201" i="47"/>
  <c r="L201" i="47"/>
  <c r="I201" i="47"/>
  <c r="F201" i="47"/>
  <c r="O200" i="47"/>
  <c r="L200" i="47"/>
  <c r="I200" i="47"/>
  <c r="F200" i="47"/>
  <c r="C200" i="47" s="1"/>
  <c r="O199" i="47"/>
  <c r="L199" i="47"/>
  <c r="L198" i="47" s="1"/>
  <c r="I199" i="47"/>
  <c r="F199" i="47"/>
  <c r="N198" i="47"/>
  <c r="M198" i="47"/>
  <c r="M196" i="47" s="1"/>
  <c r="K198" i="47"/>
  <c r="K196" i="47" s="1"/>
  <c r="J198" i="47"/>
  <c r="H198" i="47"/>
  <c r="H196" i="47" s="1"/>
  <c r="G198" i="47"/>
  <c r="G196" i="47" s="1"/>
  <c r="E198" i="47"/>
  <c r="D198" i="47"/>
  <c r="O197" i="47"/>
  <c r="L197" i="47"/>
  <c r="I197" i="47"/>
  <c r="F197" i="47"/>
  <c r="N196" i="47"/>
  <c r="J196" i="47"/>
  <c r="E196" i="47"/>
  <c r="E195" i="47" s="1"/>
  <c r="D196" i="47"/>
  <c r="O193" i="47"/>
  <c r="O192" i="47" s="1"/>
  <c r="O191" i="47" s="1"/>
  <c r="L193" i="47"/>
  <c r="I193" i="47"/>
  <c r="F193" i="47"/>
  <c r="F192" i="47" s="1"/>
  <c r="F191" i="47" s="1"/>
  <c r="N192" i="47"/>
  <c r="M192" i="47"/>
  <c r="M191" i="47" s="1"/>
  <c r="L192" i="47"/>
  <c r="L191" i="47" s="1"/>
  <c r="K192" i="47"/>
  <c r="K191" i="47" s="1"/>
  <c r="J192" i="47"/>
  <c r="I192" i="47"/>
  <c r="C192" i="47" s="1"/>
  <c r="H192" i="47"/>
  <c r="H191" i="47" s="1"/>
  <c r="G192" i="47"/>
  <c r="G191" i="47" s="1"/>
  <c r="E192" i="47"/>
  <c r="D192" i="47"/>
  <c r="D191" i="47" s="1"/>
  <c r="N191" i="47"/>
  <c r="J191" i="47"/>
  <c r="E191" i="47"/>
  <c r="O190" i="47"/>
  <c r="L190" i="47"/>
  <c r="I190" i="47"/>
  <c r="F190" i="47"/>
  <c r="O189" i="47"/>
  <c r="O188" i="47" s="1"/>
  <c r="O187" i="47" s="1"/>
  <c r="L189" i="47"/>
  <c r="L188" i="47" s="1"/>
  <c r="L187" i="47" s="1"/>
  <c r="I189" i="47"/>
  <c r="F189" i="47"/>
  <c r="F188" i="47" s="1"/>
  <c r="F187" i="47" s="1"/>
  <c r="C189" i="47"/>
  <c r="N188" i="47"/>
  <c r="M188" i="47"/>
  <c r="K188" i="47"/>
  <c r="J188" i="47"/>
  <c r="H188" i="47"/>
  <c r="H187" i="47" s="1"/>
  <c r="G188" i="47"/>
  <c r="G187" i="47" s="1"/>
  <c r="E188" i="47"/>
  <c r="E187" i="47" s="1"/>
  <c r="D188" i="47"/>
  <c r="N187" i="47"/>
  <c r="J187" i="47"/>
  <c r="O186" i="47"/>
  <c r="L186" i="47"/>
  <c r="I186" i="47"/>
  <c r="F186" i="47"/>
  <c r="O185" i="47"/>
  <c r="O184" i="47" s="1"/>
  <c r="L185" i="47"/>
  <c r="L184" i="47" s="1"/>
  <c r="I185" i="47"/>
  <c r="F185" i="47"/>
  <c r="F184" i="47" s="1"/>
  <c r="N184" i="47"/>
  <c r="M184" i="47"/>
  <c r="K184" i="47"/>
  <c r="J184" i="47"/>
  <c r="H184" i="47"/>
  <c r="G184" i="47"/>
  <c r="E184" i="47"/>
  <c r="D184" i="47"/>
  <c r="O183" i="47"/>
  <c r="L183" i="47"/>
  <c r="I183" i="47"/>
  <c r="F183" i="47"/>
  <c r="O182" i="47"/>
  <c r="L182" i="47"/>
  <c r="I182" i="47"/>
  <c r="F182" i="47"/>
  <c r="O181" i="47"/>
  <c r="L181" i="47"/>
  <c r="I181" i="47"/>
  <c r="F181" i="47"/>
  <c r="O180" i="47"/>
  <c r="L180" i="47"/>
  <c r="I180" i="47"/>
  <c r="I179" i="47" s="1"/>
  <c r="F180" i="47"/>
  <c r="N179" i="47"/>
  <c r="M179" i="47"/>
  <c r="L179" i="47"/>
  <c r="K179" i="47"/>
  <c r="J179" i="47"/>
  <c r="H179" i="47"/>
  <c r="G179" i="47"/>
  <c r="E179" i="47"/>
  <c r="D179" i="47"/>
  <c r="O178" i="47"/>
  <c r="L178" i="47"/>
  <c r="I178" i="47"/>
  <c r="F178" i="47"/>
  <c r="O177" i="47"/>
  <c r="L177" i="47"/>
  <c r="I177" i="47"/>
  <c r="F177" i="47"/>
  <c r="C177" i="47" s="1"/>
  <c r="O176" i="47"/>
  <c r="L176" i="47"/>
  <c r="I176" i="47"/>
  <c r="I175" i="47" s="1"/>
  <c r="I174" i="47" s="1"/>
  <c r="F176" i="47"/>
  <c r="F175" i="47" s="1"/>
  <c r="N175" i="47"/>
  <c r="M175" i="47"/>
  <c r="L175" i="47"/>
  <c r="K175" i="47"/>
  <c r="J175" i="47"/>
  <c r="H175" i="47"/>
  <c r="G175" i="47"/>
  <c r="G174" i="47" s="1"/>
  <c r="G173" i="47" s="1"/>
  <c r="E175" i="47"/>
  <c r="D175" i="47"/>
  <c r="D174" i="47" s="1"/>
  <c r="N174" i="47"/>
  <c r="K174" i="47"/>
  <c r="J174" i="47"/>
  <c r="E174" i="47"/>
  <c r="E173" i="47" s="1"/>
  <c r="O172" i="47"/>
  <c r="L172" i="47"/>
  <c r="I172" i="47"/>
  <c r="F172" i="47"/>
  <c r="C172" i="47" s="1"/>
  <c r="O171" i="47"/>
  <c r="L171" i="47"/>
  <c r="I171" i="47"/>
  <c r="F171" i="47"/>
  <c r="O170" i="47"/>
  <c r="L170" i="47"/>
  <c r="I170" i="47"/>
  <c r="F170" i="47"/>
  <c r="O169" i="47"/>
  <c r="L169" i="47"/>
  <c r="I169" i="47"/>
  <c r="F169" i="47"/>
  <c r="O168" i="47"/>
  <c r="L168" i="47"/>
  <c r="I168" i="47"/>
  <c r="F168" i="47"/>
  <c r="O167" i="47"/>
  <c r="L167" i="47"/>
  <c r="L166" i="47" s="1"/>
  <c r="L165" i="47" s="1"/>
  <c r="I167" i="47"/>
  <c r="F167" i="47"/>
  <c r="N166" i="47"/>
  <c r="M166" i="47"/>
  <c r="M165" i="47" s="1"/>
  <c r="K166" i="47"/>
  <c r="J166" i="47"/>
  <c r="H166" i="47"/>
  <c r="H165" i="47" s="1"/>
  <c r="G166" i="47"/>
  <c r="G165" i="47" s="1"/>
  <c r="E166" i="47"/>
  <c r="E165" i="47" s="1"/>
  <c r="D166" i="47"/>
  <c r="N165" i="47"/>
  <c r="K165" i="47"/>
  <c r="J165" i="47"/>
  <c r="D165" i="47"/>
  <c r="O164" i="47"/>
  <c r="L164" i="47"/>
  <c r="I164" i="47"/>
  <c r="F164" i="47"/>
  <c r="O163" i="47"/>
  <c r="L163" i="47"/>
  <c r="I163" i="47"/>
  <c r="F163" i="47"/>
  <c r="O162" i="47"/>
  <c r="L162" i="47"/>
  <c r="I162" i="47"/>
  <c r="F162" i="47"/>
  <c r="O161" i="47"/>
  <c r="L161" i="47"/>
  <c r="I161" i="47"/>
  <c r="F161" i="47"/>
  <c r="F160" i="47" s="1"/>
  <c r="O160" i="47"/>
  <c r="N160" i="47"/>
  <c r="M160" i="47"/>
  <c r="K160" i="47"/>
  <c r="J160" i="47"/>
  <c r="H160" i="47"/>
  <c r="G160" i="47"/>
  <c r="E160" i="47"/>
  <c r="D160" i="47"/>
  <c r="O159" i="47"/>
  <c r="L159" i="47"/>
  <c r="I159" i="47"/>
  <c r="F159" i="47"/>
  <c r="O158" i="47"/>
  <c r="L158" i="47"/>
  <c r="I158" i="47"/>
  <c r="F158" i="47"/>
  <c r="O157" i="47"/>
  <c r="L157" i="47"/>
  <c r="I157" i="47"/>
  <c r="F157" i="47"/>
  <c r="O156" i="47"/>
  <c r="L156" i="47"/>
  <c r="I156" i="47"/>
  <c r="F156" i="47"/>
  <c r="O155" i="47"/>
  <c r="L155" i="47"/>
  <c r="I155" i="47"/>
  <c r="F155" i="47"/>
  <c r="O154" i="47"/>
  <c r="L154" i="47"/>
  <c r="I154" i="47"/>
  <c r="F154" i="47"/>
  <c r="O153" i="47"/>
  <c r="L153" i="47"/>
  <c r="I153" i="47"/>
  <c r="F153" i="47"/>
  <c r="O152" i="47"/>
  <c r="L152" i="47"/>
  <c r="I152" i="47"/>
  <c r="I151" i="47" s="1"/>
  <c r="F152" i="47"/>
  <c r="N151" i="47"/>
  <c r="M151" i="47"/>
  <c r="K151" i="47"/>
  <c r="J151" i="47"/>
  <c r="H151" i="47"/>
  <c r="G151" i="47"/>
  <c r="E151" i="47"/>
  <c r="D151" i="47"/>
  <c r="O150" i="47"/>
  <c r="L150" i="47"/>
  <c r="I150" i="47"/>
  <c r="F150" i="47"/>
  <c r="O149" i="47"/>
  <c r="L149" i="47"/>
  <c r="I149" i="47"/>
  <c r="F149" i="47"/>
  <c r="O148" i="47"/>
  <c r="L148" i="47"/>
  <c r="I148" i="47"/>
  <c r="F148" i="47"/>
  <c r="O147" i="47"/>
  <c r="L147" i="47"/>
  <c r="I147" i="47"/>
  <c r="F147" i="47"/>
  <c r="O146" i="47"/>
  <c r="L146" i="47"/>
  <c r="I146" i="47"/>
  <c r="F146" i="47"/>
  <c r="O145" i="47"/>
  <c r="L145" i="47"/>
  <c r="I145" i="47"/>
  <c r="F145" i="47"/>
  <c r="O144" i="47"/>
  <c r="N144" i="47"/>
  <c r="M144" i="47"/>
  <c r="K144" i="47"/>
  <c r="J144" i="47"/>
  <c r="H144" i="47"/>
  <c r="G144" i="47"/>
  <c r="E144" i="47"/>
  <c r="D144" i="47"/>
  <c r="O143" i="47"/>
  <c r="L143" i="47"/>
  <c r="I143" i="47"/>
  <c r="F143" i="47"/>
  <c r="O142" i="47"/>
  <c r="L142" i="47"/>
  <c r="I142" i="47"/>
  <c r="F142" i="47"/>
  <c r="O141" i="47"/>
  <c r="N141" i="47"/>
  <c r="M141" i="47"/>
  <c r="K141" i="47"/>
  <c r="J141" i="47"/>
  <c r="H141" i="47"/>
  <c r="G141" i="47"/>
  <c r="F141" i="47"/>
  <c r="E141" i="47"/>
  <c r="D141" i="47"/>
  <c r="O140" i="47"/>
  <c r="L140" i="47"/>
  <c r="I140" i="47"/>
  <c r="F140" i="47"/>
  <c r="C140" i="47" s="1"/>
  <c r="O139" i="47"/>
  <c r="L139" i="47"/>
  <c r="I139" i="47"/>
  <c r="F139" i="47"/>
  <c r="O138" i="47"/>
  <c r="L138" i="47"/>
  <c r="I138" i="47"/>
  <c r="F138" i="47"/>
  <c r="O137" i="47"/>
  <c r="L137" i="47"/>
  <c r="I137" i="47"/>
  <c r="F137" i="47"/>
  <c r="F136" i="47" s="1"/>
  <c r="O136" i="47"/>
  <c r="N136" i="47"/>
  <c r="M136" i="47"/>
  <c r="K136" i="47"/>
  <c r="J136" i="47"/>
  <c r="H136" i="47"/>
  <c r="G136" i="47"/>
  <c r="E136" i="47"/>
  <c r="D136" i="47"/>
  <c r="O135" i="47"/>
  <c r="L135" i="47"/>
  <c r="I135" i="47"/>
  <c r="F135" i="47"/>
  <c r="O134" i="47"/>
  <c r="L134" i="47"/>
  <c r="I134" i="47"/>
  <c r="F134" i="47"/>
  <c r="O133" i="47"/>
  <c r="L133" i="47"/>
  <c r="I133" i="47"/>
  <c r="F133" i="47"/>
  <c r="O132" i="47"/>
  <c r="O131" i="47" s="1"/>
  <c r="L132" i="47"/>
  <c r="I132" i="47"/>
  <c r="F132" i="47"/>
  <c r="N131" i="47"/>
  <c r="M131" i="47"/>
  <c r="M130" i="47" s="1"/>
  <c r="K131" i="47"/>
  <c r="J131" i="47"/>
  <c r="H131" i="47"/>
  <c r="G131" i="47"/>
  <c r="E131" i="47"/>
  <c r="D131" i="47"/>
  <c r="J130" i="47"/>
  <c r="O129" i="47"/>
  <c r="L129" i="47"/>
  <c r="L128" i="47" s="1"/>
  <c r="I129" i="47"/>
  <c r="I128" i="47" s="1"/>
  <c r="F129" i="47"/>
  <c r="F128" i="47" s="1"/>
  <c r="O128" i="47"/>
  <c r="N128" i="47"/>
  <c r="M128" i="47"/>
  <c r="K128" i="47"/>
  <c r="J128" i="47"/>
  <c r="H128" i="47"/>
  <c r="G128" i="47"/>
  <c r="E128" i="47"/>
  <c r="D128" i="47"/>
  <c r="O127" i="47"/>
  <c r="L127" i="47"/>
  <c r="I127" i="47"/>
  <c r="F127" i="47"/>
  <c r="O126" i="47"/>
  <c r="L126" i="47"/>
  <c r="I126" i="47"/>
  <c r="F126" i="47"/>
  <c r="O125" i="47"/>
  <c r="L125" i="47"/>
  <c r="I125" i="47"/>
  <c r="F125" i="47"/>
  <c r="O124" i="47"/>
  <c r="L124" i="47"/>
  <c r="I124" i="47"/>
  <c r="F124" i="47"/>
  <c r="O123" i="47"/>
  <c r="L123" i="47"/>
  <c r="I123" i="47"/>
  <c r="F123" i="47"/>
  <c r="N122" i="47"/>
  <c r="M122" i="47"/>
  <c r="K122" i="47"/>
  <c r="J122" i="47"/>
  <c r="H122" i="47"/>
  <c r="G122" i="47"/>
  <c r="E122" i="47"/>
  <c r="D122" i="47"/>
  <c r="O121" i="47"/>
  <c r="L121" i="47"/>
  <c r="I121" i="47"/>
  <c r="F121" i="47"/>
  <c r="O120" i="47"/>
  <c r="L120" i="47"/>
  <c r="I120" i="47"/>
  <c r="F120" i="47"/>
  <c r="O119" i="47"/>
  <c r="L119" i="47"/>
  <c r="I119" i="47"/>
  <c r="F119" i="47"/>
  <c r="O118" i="47"/>
  <c r="L118" i="47"/>
  <c r="I118" i="47"/>
  <c r="F118" i="47"/>
  <c r="C118" i="47" s="1"/>
  <c r="O117" i="47"/>
  <c r="L117" i="47"/>
  <c r="I117" i="47"/>
  <c r="F117" i="47"/>
  <c r="N116" i="47"/>
  <c r="M116" i="47"/>
  <c r="L116" i="47"/>
  <c r="K116" i="47"/>
  <c r="J116" i="47"/>
  <c r="H116" i="47"/>
  <c r="G116" i="47"/>
  <c r="E116" i="47"/>
  <c r="D116" i="47"/>
  <c r="O115" i="47"/>
  <c r="L115" i="47"/>
  <c r="I115" i="47"/>
  <c r="F115" i="47"/>
  <c r="O114" i="47"/>
  <c r="L114" i="47"/>
  <c r="I114" i="47"/>
  <c r="F114" i="47"/>
  <c r="O113" i="47"/>
  <c r="O112" i="47" s="1"/>
  <c r="L113" i="47"/>
  <c r="L112" i="47" s="1"/>
  <c r="I113" i="47"/>
  <c r="F113" i="47"/>
  <c r="N112" i="47"/>
  <c r="M112" i="47"/>
  <c r="K112" i="47"/>
  <c r="J112" i="47"/>
  <c r="H112" i="47"/>
  <c r="G112" i="47"/>
  <c r="E112" i="47"/>
  <c r="D112" i="47"/>
  <c r="O111" i="47"/>
  <c r="L111" i="47"/>
  <c r="I111" i="47"/>
  <c r="F111" i="47"/>
  <c r="O110" i="47"/>
  <c r="L110" i="47"/>
  <c r="I110" i="47"/>
  <c r="F110" i="47"/>
  <c r="O109" i="47"/>
  <c r="L109" i="47"/>
  <c r="I109" i="47"/>
  <c r="F109" i="47"/>
  <c r="O108" i="47"/>
  <c r="L108" i="47"/>
  <c r="I108" i="47"/>
  <c r="F108" i="47"/>
  <c r="O107" i="47"/>
  <c r="L107" i="47"/>
  <c r="I107" i="47"/>
  <c r="F107" i="47"/>
  <c r="O106" i="47"/>
  <c r="L106" i="47"/>
  <c r="I106" i="47"/>
  <c r="C106" i="47" s="1"/>
  <c r="F106" i="47"/>
  <c r="O105" i="47"/>
  <c r="L105" i="47"/>
  <c r="I105" i="47"/>
  <c r="F105" i="47"/>
  <c r="O104" i="47"/>
  <c r="L104" i="47"/>
  <c r="L103" i="47" s="1"/>
  <c r="I104" i="47"/>
  <c r="F104" i="47"/>
  <c r="N103" i="47"/>
  <c r="M103" i="47"/>
  <c r="K103" i="47"/>
  <c r="J103" i="47"/>
  <c r="H103" i="47"/>
  <c r="G103" i="47"/>
  <c r="E103" i="47"/>
  <c r="D103" i="47"/>
  <c r="O102" i="47"/>
  <c r="L102" i="47"/>
  <c r="I102" i="47"/>
  <c r="F102" i="47"/>
  <c r="C102" i="47" s="1"/>
  <c r="O101" i="47"/>
  <c r="L101" i="47"/>
  <c r="I101" i="47"/>
  <c r="F101" i="47"/>
  <c r="O100" i="47"/>
  <c r="L100" i="47"/>
  <c r="I100" i="47"/>
  <c r="F100" i="47"/>
  <c r="O99" i="47"/>
  <c r="L99" i="47"/>
  <c r="I99" i="47"/>
  <c r="F99" i="47"/>
  <c r="O98" i="47"/>
  <c r="L98" i="47"/>
  <c r="I98" i="47"/>
  <c r="F98" i="47"/>
  <c r="O97" i="47"/>
  <c r="L97" i="47"/>
  <c r="I97" i="47"/>
  <c r="F97" i="47"/>
  <c r="O96" i="47"/>
  <c r="L96" i="47"/>
  <c r="I96" i="47"/>
  <c r="F96" i="47"/>
  <c r="N95" i="47"/>
  <c r="M95" i="47"/>
  <c r="K95" i="47"/>
  <c r="J95" i="47"/>
  <c r="H95" i="47"/>
  <c r="G95" i="47"/>
  <c r="E95" i="47"/>
  <c r="D95" i="47"/>
  <c r="O94" i="47"/>
  <c r="L94" i="47"/>
  <c r="I94" i="47"/>
  <c r="F94" i="47"/>
  <c r="O93" i="47"/>
  <c r="L93" i="47"/>
  <c r="I93" i="47"/>
  <c r="F93" i="47"/>
  <c r="O92" i="47"/>
  <c r="L92" i="47"/>
  <c r="I92" i="47"/>
  <c r="F92" i="47"/>
  <c r="O91" i="47"/>
  <c r="L91" i="47"/>
  <c r="I91" i="47"/>
  <c r="F91" i="47"/>
  <c r="O90" i="47"/>
  <c r="L90" i="47"/>
  <c r="L89" i="47" s="1"/>
  <c r="I90" i="47"/>
  <c r="F90" i="47"/>
  <c r="N89" i="47"/>
  <c r="M89" i="47"/>
  <c r="K89" i="47"/>
  <c r="J89" i="47"/>
  <c r="H89" i="47"/>
  <c r="G89" i="47"/>
  <c r="E89" i="47"/>
  <c r="D89" i="47"/>
  <c r="O88" i="47"/>
  <c r="L88" i="47"/>
  <c r="I88" i="47"/>
  <c r="F88" i="47"/>
  <c r="O87" i="47"/>
  <c r="L87" i="47"/>
  <c r="I87" i="47"/>
  <c r="F87" i="47"/>
  <c r="O86" i="47"/>
  <c r="L86" i="47"/>
  <c r="I86" i="47"/>
  <c r="F86" i="47"/>
  <c r="O85" i="47"/>
  <c r="L85" i="47"/>
  <c r="I85" i="47"/>
  <c r="F85" i="47"/>
  <c r="N84" i="47"/>
  <c r="M84" i="47"/>
  <c r="K84" i="47"/>
  <c r="J84" i="47"/>
  <c r="J83" i="47" s="1"/>
  <c r="I84" i="47"/>
  <c r="H84" i="47"/>
  <c r="G84" i="47"/>
  <c r="E84" i="47"/>
  <c r="E83" i="47" s="1"/>
  <c r="D84" i="47"/>
  <c r="K83" i="47"/>
  <c r="G83" i="47"/>
  <c r="O82" i="47"/>
  <c r="L82" i="47"/>
  <c r="I82" i="47"/>
  <c r="F82" i="47"/>
  <c r="O81" i="47"/>
  <c r="L81" i="47"/>
  <c r="I81" i="47"/>
  <c r="I80" i="47" s="1"/>
  <c r="F81" i="47"/>
  <c r="N80" i="47"/>
  <c r="M80" i="47"/>
  <c r="L80" i="47"/>
  <c r="K80" i="47"/>
  <c r="J80" i="47"/>
  <c r="H80" i="47"/>
  <c r="G80" i="47"/>
  <c r="E80" i="47"/>
  <c r="D80" i="47"/>
  <c r="O79" i="47"/>
  <c r="O77" i="47" s="1"/>
  <c r="L79" i="47"/>
  <c r="I79" i="47"/>
  <c r="F79" i="47"/>
  <c r="C79" i="47"/>
  <c r="O78" i="47"/>
  <c r="L78" i="47"/>
  <c r="I78" i="47"/>
  <c r="I77" i="47" s="1"/>
  <c r="F78" i="47"/>
  <c r="F77" i="47" s="1"/>
  <c r="N77" i="47"/>
  <c r="M77" i="47"/>
  <c r="K77" i="47"/>
  <c r="K76" i="47" s="1"/>
  <c r="J77" i="47"/>
  <c r="H77" i="47"/>
  <c r="G77" i="47"/>
  <c r="G76" i="47" s="1"/>
  <c r="E77" i="47"/>
  <c r="E76" i="47" s="1"/>
  <c r="D77" i="47"/>
  <c r="N76" i="47"/>
  <c r="M76" i="47"/>
  <c r="J76" i="47"/>
  <c r="O74" i="47"/>
  <c r="L74" i="47"/>
  <c r="I74" i="47"/>
  <c r="F74" i="47"/>
  <c r="O73" i="47"/>
  <c r="L73" i="47"/>
  <c r="I73" i="47"/>
  <c r="F73" i="47"/>
  <c r="O72" i="47"/>
  <c r="L72" i="47"/>
  <c r="I72" i="47"/>
  <c r="F72" i="47"/>
  <c r="O71" i="47"/>
  <c r="L71" i="47"/>
  <c r="I71" i="47"/>
  <c r="F71" i="47"/>
  <c r="O70" i="47"/>
  <c r="O69" i="47" s="1"/>
  <c r="L70" i="47"/>
  <c r="I70" i="47"/>
  <c r="I69" i="47" s="1"/>
  <c r="F70" i="47"/>
  <c r="F69" i="47" s="1"/>
  <c r="N69" i="47"/>
  <c r="N67" i="47" s="1"/>
  <c r="M69" i="47"/>
  <c r="M67" i="47" s="1"/>
  <c r="L69" i="47"/>
  <c r="K69" i="47"/>
  <c r="K67" i="47" s="1"/>
  <c r="J69" i="47"/>
  <c r="H69" i="47"/>
  <c r="H67" i="47" s="1"/>
  <c r="G69" i="47"/>
  <c r="E69" i="47"/>
  <c r="E67" i="47" s="1"/>
  <c r="D69" i="47"/>
  <c r="D67" i="47" s="1"/>
  <c r="O68" i="47"/>
  <c r="L68" i="47"/>
  <c r="I68" i="47"/>
  <c r="F68" i="47"/>
  <c r="J67" i="47"/>
  <c r="G67" i="47"/>
  <c r="O66" i="47"/>
  <c r="L66" i="47"/>
  <c r="I66" i="47"/>
  <c r="F66" i="47"/>
  <c r="C66" i="47" s="1"/>
  <c r="O65" i="47"/>
  <c r="L65" i="47"/>
  <c r="I65" i="47"/>
  <c r="F65" i="47"/>
  <c r="O64" i="47"/>
  <c r="L64" i="47"/>
  <c r="I64" i="47"/>
  <c r="F64" i="47"/>
  <c r="O63" i="47"/>
  <c r="L63" i="47"/>
  <c r="I63" i="47"/>
  <c r="F63" i="47"/>
  <c r="O62" i="47"/>
  <c r="L62" i="47"/>
  <c r="I62" i="47"/>
  <c r="F62" i="47"/>
  <c r="O61" i="47"/>
  <c r="L61" i="47"/>
  <c r="I61" i="47"/>
  <c r="F61" i="47"/>
  <c r="C61" i="47" s="1"/>
  <c r="O60" i="47"/>
  <c r="L60" i="47"/>
  <c r="I60" i="47"/>
  <c r="F60" i="47"/>
  <c r="O59" i="47"/>
  <c r="O58" i="47" s="1"/>
  <c r="L59" i="47"/>
  <c r="I59" i="47"/>
  <c r="F59" i="47"/>
  <c r="N58" i="47"/>
  <c r="M58" i="47"/>
  <c r="K58" i="47"/>
  <c r="J58" i="47"/>
  <c r="H58" i="47"/>
  <c r="G58" i="47"/>
  <c r="E58" i="47"/>
  <c r="D58" i="47"/>
  <c r="O57" i="47"/>
  <c r="L57" i="47"/>
  <c r="I57" i="47"/>
  <c r="F57" i="47"/>
  <c r="O56" i="47"/>
  <c r="O55" i="47" s="1"/>
  <c r="L56" i="47"/>
  <c r="L55" i="47" s="1"/>
  <c r="I56" i="47"/>
  <c r="F56" i="47"/>
  <c r="N55" i="47"/>
  <c r="N54" i="47" s="1"/>
  <c r="M55" i="47"/>
  <c r="K55" i="47"/>
  <c r="J55" i="47"/>
  <c r="J54" i="47" s="1"/>
  <c r="J53" i="47" s="1"/>
  <c r="I55" i="47"/>
  <c r="H55" i="47"/>
  <c r="G55" i="47"/>
  <c r="E55" i="47"/>
  <c r="E54" i="47" s="1"/>
  <c r="E53" i="47" s="1"/>
  <c r="D55" i="47"/>
  <c r="M54" i="47"/>
  <c r="K54" i="47"/>
  <c r="O47" i="47"/>
  <c r="C47" i="47" s="1"/>
  <c r="O46" i="47"/>
  <c r="C46" i="47" s="1"/>
  <c r="N45" i="47"/>
  <c r="M45" i="47"/>
  <c r="L44" i="47"/>
  <c r="L43" i="47" s="1"/>
  <c r="I44" i="47"/>
  <c r="F44" i="47"/>
  <c r="F43" i="47" s="1"/>
  <c r="K43" i="47"/>
  <c r="J43" i="47"/>
  <c r="H43" i="47"/>
  <c r="G43" i="47"/>
  <c r="E43" i="47"/>
  <c r="D43" i="47"/>
  <c r="F42" i="47"/>
  <c r="C42" i="47" s="1"/>
  <c r="E41" i="47"/>
  <c r="D41" i="47"/>
  <c r="L40" i="47"/>
  <c r="C40" i="47" s="1"/>
  <c r="L39" i="47"/>
  <c r="C39" i="47"/>
  <c r="L38" i="47"/>
  <c r="C38" i="47" s="1"/>
  <c r="L37" i="47"/>
  <c r="C37" i="47" s="1"/>
  <c r="K36" i="47"/>
  <c r="J36" i="47"/>
  <c r="L35" i="47"/>
  <c r="C35" i="47" s="1"/>
  <c r="L34" i="47"/>
  <c r="L33" i="47" s="1"/>
  <c r="C33" i="47" s="1"/>
  <c r="K33" i="47"/>
  <c r="J33" i="47"/>
  <c r="L32" i="47"/>
  <c r="C32" i="47" s="1"/>
  <c r="K31" i="47"/>
  <c r="J31" i="47"/>
  <c r="L30" i="47"/>
  <c r="C30" i="47" s="1"/>
  <c r="L29" i="47"/>
  <c r="C29" i="47" s="1"/>
  <c r="L28" i="47"/>
  <c r="C28" i="47" s="1"/>
  <c r="K27" i="47"/>
  <c r="J27" i="47"/>
  <c r="F25" i="47"/>
  <c r="C25" i="47" s="1"/>
  <c r="I24" i="47"/>
  <c r="O23" i="47"/>
  <c r="L23" i="47"/>
  <c r="I23" i="47"/>
  <c r="F23" i="47"/>
  <c r="C23" i="47" s="1"/>
  <c r="O22" i="47"/>
  <c r="L22" i="47"/>
  <c r="L21" i="47" s="1"/>
  <c r="I22" i="47"/>
  <c r="I21" i="47" s="1"/>
  <c r="F22" i="47"/>
  <c r="O21" i="47"/>
  <c r="O292" i="47" s="1"/>
  <c r="N21" i="47"/>
  <c r="N292" i="47" s="1"/>
  <c r="N291" i="47" s="1"/>
  <c r="M21" i="47"/>
  <c r="M292" i="47" s="1"/>
  <c r="M291" i="47" s="1"/>
  <c r="K21" i="47"/>
  <c r="K292" i="47" s="1"/>
  <c r="K291" i="47" s="1"/>
  <c r="J21" i="47"/>
  <c r="J292" i="47" s="1"/>
  <c r="J291" i="47" s="1"/>
  <c r="H21" i="47"/>
  <c r="H292" i="47" s="1"/>
  <c r="H291" i="47" s="1"/>
  <c r="G21" i="47"/>
  <c r="F21" i="47"/>
  <c r="E21" i="47"/>
  <c r="E292" i="47" s="1"/>
  <c r="E291" i="47" s="1"/>
  <c r="D21" i="47"/>
  <c r="D292" i="47" s="1"/>
  <c r="D291" i="47" s="1"/>
  <c r="H20" i="47"/>
  <c r="C34" i="47" l="1"/>
  <c r="C59" i="47"/>
  <c r="C73" i="47"/>
  <c r="C82" i="47"/>
  <c r="C90" i="47"/>
  <c r="C97" i="47"/>
  <c r="C100" i="47"/>
  <c r="C101" i="47"/>
  <c r="C132" i="47"/>
  <c r="C149" i="47"/>
  <c r="D187" i="47"/>
  <c r="M187" i="47"/>
  <c r="C218" i="47"/>
  <c r="C242" i="47"/>
  <c r="C243" i="47"/>
  <c r="O246" i="47"/>
  <c r="O252" i="47"/>
  <c r="O251" i="47" s="1"/>
  <c r="I259" i="47"/>
  <c r="C266" i="47"/>
  <c r="K26" i="47"/>
  <c r="N53" i="47"/>
  <c r="L84" i="47"/>
  <c r="I95" i="47"/>
  <c r="C105" i="47"/>
  <c r="C110" i="47"/>
  <c r="C111" i="47"/>
  <c r="O122" i="47"/>
  <c r="E130" i="47"/>
  <c r="N130" i="47"/>
  <c r="C156" i="47"/>
  <c r="C181" i="47"/>
  <c r="C183" i="47"/>
  <c r="C206" i="47"/>
  <c r="C240" i="47"/>
  <c r="C256" i="47"/>
  <c r="C268" i="47"/>
  <c r="C294" i="47"/>
  <c r="H76" i="47"/>
  <c r="M83" i="47"/>
  <c r="C164" i="47"/>
  <c r="C220" i="47"/>
  <c r="C226" i="47"/>
  <c r="I252" i="47"/>
  <c r="M20" i="47"/>
  <c r="K53" i="47"/>
  <c r="C63" i="47"/>
  <c r="C153" i="47"/>
  <c r="C169" i="47"/>
  <c r="I198" i="47"/>
  <c r="I196" i="47" s="1"/>
  <c r="C202" i="47"/>
  <c r="C224" i="47"/>
  <c r="C234" i="47"/>
  <c r="H231" i="47"/>
  <c r="H230" i="47" s="1"/>
  <c r="D259" i="47"/>
  <c r="I76" i="47"/>
  <c r="G292" i="47"/>
  <c r="G291" i="47" s="1"/>
  <c r="L27" i="47"/>
  <c r="C27" i="47" s="1"/>
  <c r="E20" i="47"/>
  <c r="M53" i="47"/>
  <c r="C57" i="47"/>
  <c r="O54" i="47"/>
  <c r="L58" i="47"/>
  <c r="M75" i="47"/>
  <c r="C85" i="47"/>
  <c r="C86" i="47"/>
  <c r="C87" i="47"/>
  <c r="N83" i="47"/>
  <c r="N75" i="47" s="1"/>
  <c r="N52" i="47" s="1"/>
  <c r="C98" i="47"/>
  <c r="C113" i="47"/>
  <c r="C120" i="47"/>
  <c r="C152" i="47"/>
  <c r="N173" i="47"/>
  <c r="H174" i="47"/>
  <c r="L174" i="47"/>
  <c r="L173" i="47" s="1"/>
  <c r="K173" i="47"/>
  <c r="C185" i="47"/>
  <c r="C210" i="47"/>
  <c r="C212" i="47"/>
  <c r="C215" i="47"/>
  <c r="O216" i="47"/>
  <c r="M231" i="47"/>
  <c r="M230" i="47" s="1"/>
  <c r="C255" i="47"/>
  <c r="L260" i="47"/>
  <c r="O264" i="47"/>
  <c r="C274" i="47"/>
  <c r="C288" i="47"/>
  <c r="C298" i="47"/>
  <c r="J75" i="47"/>
  <c r="L141" i="47"/>
  <c r="F41" i="47"/>
  <c r="C41" i="47" s="1"/>
  <c r="C44" i="47"/>
  <c r="O45" i="47"/>
  <c r="C45" i="47" s="1"/>
  <c r="H54" i="47"/>
  <c r="H53" i="47" s="1"/>
  <c r="C60" i="47"/>
  <c r="I67" i="47"/>
  <c r="O67" i="47"/>
  <c r="C71" i="47"/>
  <c r="L77" i="47"/>
  <c r="L76" i="47" s="1"/>
  <c r="C88" i="47"/>
  <c r="C93" i="47"/>
  <c r="F95" i="47"/>
  <c r="C96" i="47"/>
  <c r="F103" i="47"/>
  <c r="C115" i="47"/>
  <c r="I122" i="47"/>
  <c r="C155" i="47"/>
  <c r="C168" i="47"/>
  <c r="D173" i="47"/>
  <c r="M174" i="47"/>
  <c r="M173" i="47" s="1"/>
  <c r="C193" i="47"/>
  <c r="O198" i="47"/>
  <c r="O196" i="47" s="1"/>
  <c r="K204" i="47"/>
  <c r="C219" i="47"/>
  <c r="C229" i="47"/>
  <c r="D230" i="47"/>
  <c r="L252" i="47"/>
  <c r="L251" i="47" s="1"/>
  <c r="C267" i="47"/>
  <c r="D269" i="47"/>
  <c r="L293" i="47"/>
  <c r="E75" i="47"/>
  <c r="E52" i="47" s="1"/>
  <c r="C124" i="47"/>
  <c r="J26" i="47"/>
  <c r="D54" i="47"/>
  <c r="D53" i="47" s="1"/>
  <c r="L54" i="47"/>
  <c r="G54" i="47"/>
  <c r="G53" i="47" s="1"/>
  <c r="C65" i="47"/>
  <c r="C69" i="47"/>
  <c r="C74" i="47"/>
  <c r="D76" i="47"/>
  <c r="C81" i="47"/>
  <c r="D83" i="47"/>
  <c r="C92" i="47"/>
  <c r="C99" i="47"/>
  <c r="C109" i="47"/>
  <c r="F116" i="47"/>
  <c r="C125" i="47"/>
  <c r="G130" i="47"/>
  <c r="G75" i="47" s="1"/>
  <c r="G289" i="47" s="1"/>
  <c r="C148" i="47"/>
  <c r="I166" i="47"/>
  <c r="I165" i="47" s="1"/>
  <c r="C171" i="47"/>
  <c r="J173" i="47"/>
  <c r="C180" i="47"/>
  <c r="I191" i="47"/>
  <c r="C191" i="47" s="1"/>
  <c r="L196" i="47"/>
  <c r="K195" i="47"/>
  <c r="G204" i="47"/>
  <c r="C225" i="47"/>
  <c r="J230" i="47"/>
  <c r="C241" i="47"/>
  <c r="O238" i="47"/>
  <c r="C258" i="47"/>
  <c r="O260" i="47"/>
  <c r="L264" i="47"/>
  <c r="O270" i="47"/>
  <c r="O269" i="47" s="1"/>
  <c r="C278" i="47"/>
  <c r="C280" i="47"/>
  <c r="N269" i="47"/>
  <c r="F293" i="47"/>
  <c r="C295" i="47"/>
  <c r="I292" i="47"/>
  <c r="C21" i="47"/>
  <c r="L292" i="47"/>
  <c r="L291" i="47" s="1"/>
  <c r="J52" i="47"/>
  <c r="F55" i="47"/>
  <c r="I58" i="47"/>
  <c r="I54" i="47" s="1"/>
  <c r="I53" i="47" s="1"/>
  <c r="C62" i="47"/>
  <c r="L67" i="47"/>
  <c r="L53" i="47" s="1"/>
  <c r="C72" i="47"/>
  <c r="F84" i="47"/>
  <c r="I89" i="47"/>
  <c r="I103" i="47"/>
  <c r="C114" i="47"/>
  <c r="I112" i="47"/>
  <c r="I116" i="47"/>
  <c r="C119" i="47"/>
  <c r="C128" i="47"/>
  <c r="C137" i="47"/>
  <c r="L136" i="47"/>
  <c r="C145" i="47"/>
  <c r="L144" i="47"/>
  <c r="L151" i="47"/>
  <c r="C157" i="47"/>
  <c r="C91" i="47"/>
  <c r="F89" i="47"/>
  <c r="C133" i="47"/>
  <c r="L131" i="47"/>
  <c r="C138" i="47"/>
  <c r="I136" i="47"/>
  <c r="C136" i="47" s="1"/>
  <c r="C146" i="47"/>
  <c r="I144" i="47"/>
  <c r="C207" i="47"/>
  <c r="F205" i="47"/>
  <c r="C301" i="47"/>
  <c r="C22" i="47"/>
  <c r="I43" i="47"/>
  <c r="C43" i="47" s="1"/>
  <c r="J20" i="47"/>
  <c r="N20" i="47"/>
  <c r="L31" i="47"/>
  <c r="C56" i="47"/>
  <c r="F58" i="47"/>
  <c r="C78" i="47"/>
  <c r="F80" i="47"/>
  <c r="O84" i="47"/>
  <c r="L95" i="47"/>
  <c r="C108" i="47"/>
  <c r="C121" i="47"/>
  <c r="L122" i="47"/>
  <c r="C126" i="47"/>
  <c r="C161" i="47"/>
  <c r="L160" i="47"/>
  <c r="F198" i="47"/>
  <c r="C198" i="47" s="1"/>
  <c r="C199" i="47"/>
  <c r="N230" i="47"/>
  <c r="C233" i="47"/>
  <c r="L36" i="47"/>
  <c r="C36" i="47" s="1"/>
  <c r="C123" i="47"/>
  <c r="F122" i="47"/>
  <c r="G20" i="47"/>
  <c r="K20" i="47"/>
  <c r="O20" i="47"/>
  <c r="C64" i="47"/>
  <c r="F67" i="47"/>
  <c r="C68" i="47"/>
  <c r="C70" i="47"/>
  <c r="O80" i="47"/>
  <c r="O76" i="47" s="1"/>
  <c r="H83" i="47"/>
  <c r="O89" i="47"/>
  <c r="C94" i="47"/>
  <c r="C104" i="47"/>
  <c r="O103" i="47"/>
  <c r="C117" i="47"/>
  <c r="O116" i="47"/>
  <c r="C134" i="47"/>
  <c r="I131" i="47"/>
  <c r="K130" i="47"/>
  <c r="K75" i="47" s="1"/>
  <c r="I141" i="47"/>
  <c r="C141" i="47" s="1"/>
  <c r="C142" i="47"/>
  <c r="G195" i="47"/>
  <c r="C265" i="47"/>
  <c r="F264" i="47"/>
  <c r="C264" i="47" s="1"/>
  <c r="O95" i="47"/>
  <c r="C95" i="47" s="1"/>
  <c r="C107" i="47"/>
  <c r="F112" i="47"/>
  <c r="C112" i="47" s="1"/>
  <c r="C127" i="47"/>
  <c r="C129" i="47"/>
  <c r="H130" i="47"/>
  <c r="F131" i="47"/>
  <c r="C150" i="47"/>
  <c r="C154" i="47"/>
  <c r="C170" i="47"/>
  <c r="C178" i="47"/>
  <c r="C182" i="47"/>
  <c r="C186" i="47"/>
  <c r="I184" i="47"/>
  <c r="C184" i="47" s="1"/>
  <c r="C190" i="47"/>
  <c r="I188" i="47"/>
  <c r="M195" i="47"/>
  <c r="M194" i="47" s="1"/>
  <c r="C222" i="47"/>
  <c r="I216" i="47"/>
  <c r="I246" i="47"/>
  <c r="C250" i="47"/>
  <c r="I281" i="47"/>
  <c r="C281" i="47" s="1"/>
  <c r="C282" i="47"/>
  <c r="D130" i="47"/>
  <c r="C135" i="47"/>
  <c r="C139" i="47"/>
  <c r="C143" i="47"/>
  <c r="F144" i="47"/>
  <c r="C147" i="47"/>
  <c r="O151" i="47"/>
  <c r="O130" i="47" s="1"/>
  <c r="C159" i="47"/>
  <c r="C163" i="47"/>
  <c r="F166" i="47"/>
  <c r="C167" i="47"/>
  <c r="O166" i="47"/>
  <c r="O165" i="47" s="1"/>
  <c r="C176" i="47"/>
  <c r="O175" i="47"/>
  <c r="C175" i="47" s="1"/>
  <c r="O179" i="47"/>
  <c r="K187" i="47"/>
  <c r="C217" i="47"/>
  <c r="F216" i="47"/>
  <c r="C237" i="47"/>
  <c r="F235" i="47"/>
  <c r="C235" i="47" s="1"/>
  <c r="C253" i="47"/>
  <c r="F252" i="47"/>
  <c r="C261" i="47"/>
  <c r="F260" i="47"/>
  <c r="O259" i="47"/>
  <c r="I270" i="47"/>
  <c r="F151" i="47"/>
  <c r="C158" i="47"/>
  <c r="C162" i="47"/>
  <c r="I160" i="47"/>
  <c r="C160" i="47" s="1"/>
  <c r="H173" i="47"/>
  <c r="F179" i="47"/>
  <c r="O205" i="47"/>
  <c r="O204" i="47" s="1"/>
  <c r="O195" i="47" s="1"/>
  <c r="C285" i="47"/>
  <c r="F284" i="47"/>
  <c r="M289" i="47"/>
  <c r="O231" i="47"/>
  <c r="O230" i="47" s="1"/>
  <c r="F246" i="47"/>
  <c r="C247" i="47"/>
  <c r="L270" i="47"/>
  <c r="L269" i="47" s="1"/>
  <c r="C197" i="47"/>
  <c r="C201" i="47"/>
  <c r="D204" i="47"/>
  <c r="D195" i="47" s="1"/>
  <c r="H204" i="47"/>
  <c r="H195" i="47" s="1"/>
  <c r="H194" i="47" s="1"/>
  <c r="I205" i="47"/>
  <c r="C209" i="47"/>
  <c r="L216" i="47"/>
  <c r="L204" i="47" s="1"/>
  <c r="L195" i="47" s="1"/>
  <c r="C221" i="47"/>
  <c r="E231" i="47"/>
  <c r="E230" i="47" s="1"/>
  <c r="E289" i="47" s="1"/>
  <c r="C245" i="47"/>
  <c r="C249" i="47"/>
  <c r="I251" i="47"/>
  <c r="C257" i="47"/>
  <c r="C273" i="47"/>
  <c r="F272" i="47"/>
  <c r="C272" i="47" s="1"/>
  <c r="C277" i="47"/>
  <c r="F276" i="47"/>
  <c r="C276" i="47" s="1"/>
  <c r="I293" i="47"/>
  <c r="I291" i="47" s="1"/>
  <c r="C297" i="47"/>
  <c r="C203" i="47"/>
  <c r="J204" i="47"/>
  <c r="J195" i="47" s="1"/>
  <c r="J194" i="47" s="1"/>
  <c r="N204" i="47"/>
  <c r="N195" i="47" s="1"/>
  <c r="N194" i="47" s="1"/>
  <c r="C211" i="47"/>
  <c r="C223" i="47"/>
  <c r="C227" i="47"/>
  <c r="C228" i="47"/>
  <c r="I231" i="47"/>
  <c r="C236" i="47"/>
  <c r="G231" i="47"/>
  <c r="G230" i="47" s="1"/>
  <c r="K231" i="47"/>
  <c r="K230" i="47" s="1"/>
  <c r="K194" i="47" s="1"/>
  <c r="F238" i="47"/>
  <c r="C238" i="47" s="1"/>
  <c r="C239" i="47"/>
  <c r="L246" i="47"/>
  <c r="L231" i="47" s="1"/>
  <c r="F270" i="47"/>
  <c r="C271" i="47"/>
  <c r="C275" i="47"/>
  <c r="C279" i="47"/>
  <c r="F286" i="47"/>
  <c r="F292" i="47" s="1"/>
  <c r="C287" i="47"/>
  <c r="C299" i="47"/>
  <c r="C300" i="47"/>
  <c r="O291" i="47"/>
  <c r="D75" i="47" l="1"/>
  <c r="D52" i="47" s="1"/>
  <c r="L259" i="47"/>
  <c r="I230" i="47"/>
  <c r="H75" i="47"/>
  <c r="H52" i="47" s="1"/>
  <c r="H51" i="47" s="1"/>
  <c r="O194" i="47"/>
  <c r="D289" i="47"/>
  <c r="C216" i="47"/>
  <c r="I20" i="47"/>
  <c r="M52" i="47"/>
  <c r="M51" i="47" s="1"/>
  <c r="C77" i="47"/>
  <c r="H289" i="47"/>
  <c r="L230" i="47"/>
  <c r="G52" i="47"/>
  <c r="D194" i="47"/>
  <c r="D51" i="47" s="1"/>
  <c r="C179" i="47"/>
  <c r="F196" i="47"/>
  <c r="I187" i="47"/>
  <c r="C187" i="47" s="1"/>
  <c r="I173" i="47"/>
  <c r="I130" i="47"/>
  <c r="C103" i="47"/>
  <c r="C67" i="47"/>
  <c r="L83" i="47"/>
  <c r="C58" i="47"/>
  <c r="C116" i="47"/>
  <c r="I83" i="47"/>
  <c r="O53" i="47"/>
  <c r="C292" i="47"/>
  <c r="F291" i="47"/>
  <c r="C291" i="47" s="1"/>
  <c r="K289" i="47"/>
  <c r="K52" i="47"/>
  <c r="K51" i="47" s="1"/>
  <c r="C252" i="47"/>
  <c r="F251" i="47"/>
  <c r="C251" i="47" s="1"/>
  <c r="L194" i="47"/>
  <c r="H290" i="47"/>
  <c r="H50" i="47"/>
  <c r="F269" i="47"/>
  <c r="C270" i="47"/>
  <c r="C293" i="47"/>
  <c r="C166" i="47"/>
  <c r="F165" i="47"/>
  <c r="C165" i="47" s="1"/>
  <c r="C131" i="47"/>
  <c r="F130" i="47"/>
  <c r="O83" i="47"/>
  <c r="C84" i="47"/>
  <c r="F83" i="47"/>
  <c r="N51" i="47"/>
  <c r="J289" i="47"/>
  <c r="C151" i="47"/>
  <c r="C260" i="47"/>
  <c r="F259" i="47"/>
  <c r="C259" i="47" s="1"/>
  <c r="C144" i="47"/>
  <c r="C122" i="47"/>
  <c r="C80" i="47"/>
  <c r="F76" i="47"/>
  <c r="C205" i="47"/>
  <c r="F204" i="47"/>
  <c r="C89" i="47"/>
  <c r="F174" i="47"/>
  <c r="F54" i="47"/>
  <c r="C55" i="47"/>
  <c r="J51" i="47"/>
  <c r="F231" i="47"/>
  <c r="O75" i="47"/>
  <c r="I204" i="47"/>
  <c r="I195" i="47" s="1"/>
  <c r="C196" i="47"/>
  <c r="N289" i="47"/>
  <c r="O174" i="47"/>
  <c r="O173" i="47" s="1"/>
  <c r="O289" i="47" s="1"/>
  <c r="E194" i="47"/>
  <c r="E51" i="47" s="1"/>
  <c r="C188" i="47"/>
  <c r="C286" i="47"/>
  <c r="C246" i="47"/>
  <c r="C284" i="47"/>
  <c r="F283" i="47"/>
  <c r="C283" i="47" s="1"/>
  <c r="I269" i="47"/>
  <c r="G194" i="47"/>
  <c r="G51" i="47" s="1"/>
  <c r="C31" i="47"/>
  <c r="L26" i="47"/>
  <c r="L130" i="47"/>
  <c r="L75" i="47" s="1"/>
  <c r="I75" i="47" l="1"/>
  <c r="I52" i="47" s="1"/>
  <c r="M50" i="47"/>
  <c r="M290" i="47"/>
  <c r="D24" i="47"/>
  <c r="D290" i="47" s="1"/>
  <c r="D50" i="47"/>
  <c r="C83" i="47"/>
  <c r="I289" i="47"/>
  <c r="L289" i="47"/>
  <c r="L52" i="47"/>
  <c r="L51" i="47" s="1"/>
  <c r="L50" i="47" s="1"/>
  <c r="I194" i="47"/>
  <c r="I51" i="47" s="1"/>
  <c r="C204" i="47"/>
  <c r="C26" i="47"/>
  <c r="L20" i="47"/>
  <c r="O52" i="47"/>
  <c r="O51" i="47" s="1"/>
  <c r="F53" i="47"/>
  <c r="C54" i="47"/>
  <c r="C269" i="47"/>
  <c r="F195" i="47"/>
  <c r="F230" i="47"/>
  <c r="C231" i="47"/>
  <c r="C174" i="47"/>
  <c r="F173" i="47"/>
  <c r="C173" i="47" s="1"/>
  <c r="C76" i="47"/>
  <c r="F75" i="47"/>
  <c r="C75" i="47" s="1"/>
  <c r="N50" i="47"/>
  <c r="N290" i="47"/>
  <c r="C130" i="47"/>
  <c r="K50" i="47"/>
  <c r="K290" i="47"/>
  <c r="G290" i="47"/>
  <c r="G50" i="47"/>
  <c r="E290" i="47"/>
  <c r="E50" i="47"/>
  <c r="J50" i="47"/>
  <c r="J290" i="47"/>
  <c r="D20" i="47"/>
  <c r="F24" i="47"/>
  <c r="L290" i="47" l="1"/>
  <c r="I290" i="47"/>
  <c r="I50" i="47"/>
  <c r="C230" i="47"/>
  <c r="F289" i="47"/>
  <c r="C289" i="47" s="1"/>
  <c r="C53" i="47"/>
  <c r="F52" i="47"/>
  <c r="C24" i="47"/>
  <c r="F20" i="47"/>
  <c r="C20" i="47" s="1"/>
  <c r="F194" i="47"/>
  <c r="C194" i="47" s="1"/>
  <c r="C195" i="47"/>
  <c r="O50" i="47"/>
  <c r="O290" i="47"/>
  <c r="C52" i="47" l="1"/>
  <c r="F51" i="47"/>
  <c r="F290" i="47" l="1"/>
  <c r="C290" i="47" s="1"/>
  <c r="F50" i="47"/>
  <c r="C50" i="47" s="1"/>
  <c r="C51" i="47"/>
  <c r="G126" i="46" l="1"/>
  <c r="E125" i="46"/>
  <c r="E124" i="46" s="1"/>
  <c r="F124" i="46"/>
  <c r="G119" i="46"/>
  <c r="G118" i="46"/>
  <c r="G117" i="46"/>
  <c r="G116" i="46"/>
  <c r="F115" i="46"/>
  <c r="E115" i="46"/>
  <c r="G110" i="46"/>
  <c r="G109" i="46"/>
  <c r="G108" i="46"/>
  <c r="G107" i="46"/>
  <c r="G106" i="46"/>
  <c r="G105" i="46"/>
  <c r="G104" i="46"/>
  <c r="G103" i="46"/>
  <c r="G102" i="46"/>
  <c r="G101" i="46"/>
  <c r="G100" i="46"/>
  <c r="F99" i="46"/>
  <c r="E99" i="46"/>
  <c r="G94" i="46"/>
  <c r="G93" i="46"/>
  <c r="G92" i="46"/>
  <c r="G91" i="46"/>
  <c r="G90" i="46"/>
  <c r="G89" i="46"/>
  <c r="G88" i="46"/>
  <c r="G87" i="46"/>
  <c r="G86" i="46"/>
  <c r="G85" i="46"/>
  <c r="G84" i="46"/>
  <c r="F83" i="46"/>
  <c r="E83" i="46"/>
  <c r="G78" i="46"/>
  <c r="G77" i="46"/>
  <c r="G76" i="46" s="1"/>
  <c r="F76" i="46"/>
  <c r="E76" i="46"/>
  <c r="G71" i="46"/>
  <c r="G70" i="46"/>
  <c r="F70" i="46"/>
  <c r="E70" i="46"/>
  <c r="F63" i="46"/>
  <c r="F62" i="46" s="1"/>
  <c r="E62" i="46"/>
  <c r="G57" i="46"/>
  <c r="G56" i="46"/>
  <c r="G55" i="46"/>
  <c r="G54" i="46"/>
  <c r="G53" i="46"/>
  <c r="G52" i="46"/>
  <c r="G51" i="46"/>
  <c r="F50" i="46"/>
  <c r="E50" i="46"/>
  <c r="G45" i="46"/>
  <c r="G44" i="46"/>
  <c r="G43" i="46"/>
  <c r="G42" i="46"/>
  <c r="G41" i="46"/>
  <c r="G40" i="46"/>
  <c r="G39" i="46"/>
  <c r="G38" i="46"/>
  <c r="G37" i="46"/>
  <c r="G36" i="46"/>
  <c r="G35" i="46"/>
  <c r="G34" i="46"/>
  <c r="G33" i="46"/>
  <c r="G32" i="46"/>
  <c r="G31" i="46" s="1"/>
  <c r="F31" i="46"/>
  <c r="E31" i="46"/>
  <c r="G26" i="46"/>
  <c r="G25" i="46" s="1"/>
  <c r="F25" i="46"/>
  <c r="E25" i="46"/>
  <c r="G20" i="46"/>
  <c r="G19" i="46" s="1"/>
  <c r="F19" i="46"/>
  <c r="E19" i="46"/>
  <c r="E14" i="46"/>
  <c r="G14" i="46" s="1"/>
  <c r="G13" i="46"/>
  <c r="F12" i="46"/>
  <c r="E12" i="46"/>
  <c r="G99" i="46" l="1"/>
  <c r="G50" i="46"/>
  <c r="G83" i="46"/>
  <c r="G12" i="46"/>
  <c r="G115" i="46"/>
  <c r="G63" i="46"/>
  <c r="G62" i="46" s="1"/>
  <c r="G125" i="46"/>
  <c r="G124" i="46" s="1"/>
  <c r="K90" i="45" l="1"/>
  <c r="K78" i="45"/>
  <c r="L78" i="45" s="1"/>
  <c r="O301" i="45"/>
  <c r="L301" i="45"/>
  <c r="I301" i="45"/>
  <c r="F301" i="45"/>
  <c r="O300" i="45"/>
  <c r="L300" i="45"/>
  <c r="I300" i="45"/>
  <c r="F300" i="45"/>
  <c r="O299" i="45"/>
  <c r="L299" i="45"/>
  <c r="I299" i="45"/>
  <c r="F299" i="45"/>
  <c r="O298" i="45"/>
  <c r="L298" i="45"/>
  <c r="I298" i="45"/>
  <c r="F298" i="45"/>
  <c r="C298" i="45" s="1"/>
  <c r="O297" i="45"/>
  <c r="L297" i="45"/>
  <c r="I297" i="45"/>
  <c r="F297" i="45"/>
  <c r="O296" i="45"/>
  <c r="L296" i="45"/>
  <c r="I296" i="45"/>
  <c r="F296" i="45"/>
  <c r="O295" i="45"/>
  <c r="L295" i="45"/>
  <c r="I295" i="45"/>
  <c r="F295" i="45"/>
  <c r="O294" i="45"/>
  <c r="O293" i="45" s="1"/>
  <c r="L294" i="45"/>
  <c r="I294" i="45"/>
  <c r="I293" i="45" s="1"/>
  <c r="F294" i="45"/>
  <c r="N293" i="45"/>
  <c r="M293" i="45"/>
  <c r="K293" i="45"/>
  <c r="J293" i="45"/>
  <c r="H293" i="45"/>
  <c r="G293" i="45"/>
  <c r="E293" i="45"/>
  <c r="D293" i="45"/>
  <c r="O288" i="45"/>
  <c r="L288" i="45"/>
  <c r="I288" i="45"/>
  <c r="F288" i="45"/>
  <c r="O287" i="45"/>
  <c r="L287" i="45"/>
  <c r="L286" i="45" s="1"/>
  <c r="I287" i="45"/>
  <c r="F287" i="45"/>
  <c r="F286" i="45" s="1"/>
  <c r="O286" i="45"/>
  <c r="N286" i="45"/>
  <c r="M286" i="45"/>
  <c r="K286" i="45"/>
  <c r="J286" i="45"/>
  <c r="H286" i="45"/>
  <c r="G286" i="45"/>
  <c r="E286" i="45"/>
  <c r="D286" i="45"/>
  <c r="O285" i="45"/>
  <c r="L285" i="45"/>
  <c r="L284" i="45" s="1"/>
  <c r="L283" i="45" s="1"/>
  <c r="I285" i="45"/>
  <c r="F285" i="45"/>
  <c r="O284" i="45"/>
  <c r="O283" i="45" s="1"/>
  <c r="N284" i="45"/>
  <c r="N283" i="45" s="1"/>
  <c r="M284" i="45"/>
  <c r="M283" i="45" s="1"/>
  <c r="K284" i="45"/>
  <c r="K283" i="45" s="1"/>
  <c r="J284" i="45"/>
  <c r="I284" i="45"/>
  <c r="I283" i="45" s="1"/>
  <c r="H284" i="45"/>
  <c r="H283" i="45" s="1"/>
  <c r="G284" i="45"/>
  <c r="G283" i="45" s="1"/>
  <c r="E284" i="45"/>
  <c r="E283" i="45" s="1"/>
  <c r="D284" i="45"/>
  <c r="D283" i="45" s="1"/>
  <c r="J283" i="45"/>
  <c r="O282" i="45"/>
  <c r="O281" i="45" s="1"/>
  <c r="L282" i="45"/>
  <c r="L281" i="45" s="1"/>
  <c r="I282" i="45"/>
  <c r="I281" i="45" s="1"/>
  <c r="F282" i="45"/>
  <c r="C282" i="45" s="1"/>
  <c r="N281" i="45"/>
  <c r="M281" i="45"/>
  <c r="K281" i="45"/>
  <c r="J281" i="45"/>
  <c r="H281" i="45"/>
  <c r="G281" i="45"/>
  <c r="E281" i="45"/>
  <c r="D281" i="45"/>
  <c r="O280" i="45"/>
  <c r="L280" i="45"/>
  <c r="I280" i="45"/>
  <c r="C280" i="45" s="1"/>
  <c r="F280" i="45"/>
  <c r="O279" i="45"/>
  <c r="L279" i="45"/>
  <c r="I279" i="45"/>
  <c r="F279" i="45"/>
  <c r="O278" i="45"/>
  <c r="L278" i="45"/>
  <c r="I278" i="45"/>
  <c r="C278" i="45" s="1"/>
  <c r="F278" i="45"/>
  <c r="O277" i="45"/>
  <c r="L277" i="45"/>
  <c r="I277" i="45"/>
  <c r="F277" i="45"/>
  <c r="N276" i="45"/>
  <c r="M276" i="45"/>
  <c r="K276" i="45"/>
  <c r="J276" i="45"/>
  <c r="H276" i="45"/>
  <c r="G276" i="45"/>
  <c r="E276" i="45"/>
  <c r="D276" i="45"/>
  <c r="O275" i="45"/>
  <c r="L275" i="45"/>
  <c r="I275" i="45"/>
  <c r="F275" i="45"/>
  <c r="O274" i="45"/>
  <c r="L274" i="45"/>
  <c r="I274" i="45"/>
  <c r="I272" i="45" s="1"/>
  <c r="F274" i="45"/>
  <c r="O273" i="45"/>
  <c r="L273" i="45"/>
  <c r="L272" i="45" s="1"/>
  <c r="I273" i="45"/>
  <c r="F273" i="45"/>
  <c r="N272" i="45"/>
  <c r="M272" i="45"/>
  <c r="K272" i="45"/>
  <c r="J272" i="45"/>
  <c r="H272" i="45"/>
  <c r="H270" i="45" s="1"/>
  <c r="H269" i="45" s="1"/>
  <c r="G272" i="45"/>
  <c r="E272" i="45"/>
  <c r="E270" i="45" s="1"/>
  <c r="E269" i="45" s="1"/>
  <c r="D272" i="45"/>
  <c r="O271" i="45"/>
  <c r="L271" i="45"/>
  <c r="I271" i="45"/>
  <c r="F271" i="45"/>
  <c r="N270" i="45"/>
  <c r="K270" i="45"/>
  <c r="K269" i="45" s="1"/>
  <c r="J270" i="45"/>
  <c r="J269" i="45" s="1"/>
  <c r="G270" i="45"/>
  <c r="G269" i="45" s="1"/>
  <c r="D270" i="45"/>
  <c r="N269" i="45"/>
  <c r="O268" i="45"/>
  <c r="L268" i="45"/>
  <c r="I268" i="45"/>
  <c r="F268" i="45"/>
  <c r="O267" i="45"/>
  <c r="L267" i="45"/>
  <c r="I267" i="45"/>
  <c r="F267" i="45"/>
  <c r="O266" i="45"/>
  <c r="L266" i="45"/>
  <c r="I266" i="45"/>
  <c r="F266" i="45"/>
  <c r="O265" i="45"/>
  <c r="L265" i="45"/>
  <c r="I265" i="45"/>
  <c r="F265" i="45"/>
  <c r="N264" i="45"/>
  <c r="N259" i="45" s="1"/>
  <c r="M264" i="45"/>
  <c r="K264" i="45"/>
  <c r="J264" i="45"/>
  <c r="H264" i="45"/>
  <c r="G264" i="45"/>
  <c r="E264" i="45"/>
  <c r="D264" i="45"/>
  <c r="O263" i="45"/>
  <c r="L263" i="45"/>
  <c r="I263" i="45"/>
  <c r="F263" i="45"/>
  <c r="O262" i="45"/>
  <c r="O260" i="45" s="1"/>
  <c r="L262" i="45"/>
  <c r="I262" i="45"/>
  <c r="F262" i="45"/>
  <c r="C262" i="45"/>
  <c r="O261" i="45"/>
  <c r="L261" i="45"/>
  <c r="L260" i="45" s="1"/>
  <c r="I261" i="45"/>
  <c r="I260" i="45" s="1"/>
  <c r="F261" i="45"/>
  <c r="N260" i="45"/>
  <c r="M260" i="45"/>
  <c r="K260" i="45"/>
  <c r="J260" i="45"/>
  <c r="J259" i="45" s="1"/>
  <c r="H260" i="45"/>
  <c r="G260" i="45"/>
  <c r="G259" i="45" s="1"/>
  <c r="E260" i="45"/>
  <c r="E259" i="45" s="1"/>
  <c r="D260" i="45"/>
  <c r="H259" i="45"/>
  <c r="D259" i="45"/>
  <c r="O258" i="45"/>
  <c r="L258" i="45"/>
  <c r="I258" i="45"/>
  <c r="F258" i="45"/>
  <c r="O257" i="45"/>
  <c r="L257" i="45"/>
  <c r="I257" i="45"/>
  <c r="F257" i="45"/>
  <c r="O256" i="45"/>
  <c r="L256" i="45"/>
  <c r="I256" i="45"/>
  <c r="F256" i="45"/>
  <c r="O255" i="45"/>
  <c r="L255" i="45"/>
  <c r="I255" i="45"/>
  <c r="F255" i="45"/>
  <c r="O254" i="45"/>
  <c r="L254" i="45"/>
  <c r="I254" i="45"/>
  <c r="F254" i="45"/>
  <c r="C254" i="45" s="1"/>
  <c r="O253" i="45"/>
  <c r="L253" i="45"/>
  <c r="I253" i="45"/>
  <c r="F253" i="45"/>
  <c r="N252" i="45"/>
  <c r="M252" i="45"/>
  <c r="M251" i="45" s="1"/>
  <c r="K252" i="45"/>
  <c r="K251" i="45" s="1"/>
  <c r="J252" i="45"/>
  <c r="H252" i="45"/>
  <c r="H251" i="45" s="1"/>
  <c r="G252" i="45"/>
  <c r="G251" i="45" s="1"/>
  <c r="E252" i="45"/>
  <c r="E251" i="45" s="1"/>
  <c r="D252" i="45"/>
  <c r="D251" i="45" s="1"/>
  <c r="N251" i="45"/>
  <c r="J251" i="45"/>
  <c r="O250" i="45"/>
  <c r="L250" i="45"/>
  <c r="I250" i="45"/>
  <c r="F250" i="45"/>
  <c r="O249" i="45"/>
  <c r="L249" i="45"/>
  <c r="I249" i="45"/>
  <c r="F249" i="45"/>
  <c r="O248" i="45"/>
  <c r="L248" i="45"/>
  <c r="I248" i="45"/>
  <c r="F248" i="45"/>
  <c r="O247" i="45"/>
  <c r="L247" i="45"/>
  <c r="L246" i="45" s="1"/>
  <c r="I247" i="45"/>
  <c r="F247" i="45"/>
  <c r="F246" i="45" s="1"/>
  <c r="N246" i="45"/>
  <c r="M246" i="45"/>
  <c r="K246" i="45"/>
  <c r="J246" i="45"/>
  <c r="H246" i="45"/>
  <c r="G246" i="45"/>
  <c r="E246" i="45"/>
  <c r="D246" i="45"/>
  <c r="O245" i="45"/>
  <c r="L245" i="45"/>
  <c r="I245" i="45"/>
  <c r="F245" i="45"/>
  <c r="O244" i="45"/>
  <c r="L244" i="45"/>
  <c r="I244" i="45"/>
  <c r="F244" i="45"/>
  <c r="O243" i="45"/>
  <c r="L243" i="45"/>
  <c r="I243" i="45"/>
  <c r="F243" i="45"/>
  <c r="O242" i="45"/>
  <c r="L242" i="45"/>
  <c r="I242" i="45"/>
  <c r="F242" i="45"/>
  <c r="O241" i="45"/>
  <c r="L241" i="45"/>
  <c r="I241" i="45"/>
  <c r="F241" i="45"/>
  <c r="O240" i="45"/>
  <c r="L240" i="45"/>
  <c r="I240" i="45"/>
  <c r="F240" i="45"/>
  <c r="O239" i="45"/>
  <c r="L239" i="45"/>
  <c r="L238" i="45" s="1"/>
  <c r="I239" i="45"/>
  <c r="F239" i="45"/>
  <c r="N238" i="45"/>
  <c r="M238" i="45"/>
  <c r="K238" i="45"/>
  <c r="J238" i="45"/>
  <c r="H238" i="45"/>
  <c r="G238" i="45"/>
  <c r="E238" i="45"/>
  <c r="D238" i="45"/>
  <c r="O237" i="45"/>
  <c r="L237" i="45"/>
  <c r="I237" i="45"/>
  <c r="F237" i="45"/>
  <c r="O236" i="45"/>
  <c r="L236" i="45"/>
  <c r="L235" i="45" s="1"/>
  <c r="I236" i="45"/>
  <c r="I235" i="45" s="1"/>
  <c r="F236" i="45"/>
  <c r="O235" i="45"/>
  <c r="N235" i="45"/>
  <c r="M235" i="45"/>
  <c r="K235" i="45"/>
  <c r="J235" i="45"/>
  <c r="H235" i="45"/>
  <c r="G235" i="45"/>
  <c r="E235" i="45"/>
  <c r="D235" i="45"/>
  <c r="O234" i="45"/>
  <c r="O233" i="45" s="1"/>
  <c r="L234" i="45"/>
  <c r="L233" i="45" s="1"/>
  <c r="I234" i="45"/>
  <c r="F234" i="45"/>
  <c r="N233" i="45"/>
  <c r="N231" i="45" s="1"/>
  <c r="N230" i="45" s="1"/>
  <c r="M233" i="45"/>
  <c r="K233" i="45"/>
  <c r="J233" i="45"/>
  <c r="J231" i="45" s="1"/>
  <c r="J230" i="45" s="1"/>
  <c r="I233" i="45"/>
  <c r="H233" i="45"/>
  <c r="G233" i="45"/>
  <c r="E233" i="45"/>
  <c r="E231" i="45" s="1"/>
  <c r="E230" i="45" s="1"/>
  <c r="D233" i="45"/>
  <c r="D231" i="45" s="1"/>
  <c r="O232" i="45"/>
  <c r="L232" i="45"/>
  <c r="I232" i="45"/>
  <c r="F232" i="45"/>
  <c r="O229" i="45"/>
  <c r="L229" i="45"/>
  <c r="I229" i="45"/>
  <c r="F229" i="45"/>
  <c r="O228" i="45"/>
  <c r="L228" i="45"/>
  <c r="L227" i="45" s="1"/>
  <c r="I228" i="45"/>
  <c r="I227" i="45" s="1"/>
  <c r="F228" i="45"/>
  <c r="O227" i="45"/>
  <c r="N227" i="45"/>
  <c r="M227" i="45"/>
  <c r="K227" i="45"/>
  <c r="J227" i="45"/>
  <c r="H227" i="45"/>
  <c r="G227" i="45"/>
  <c r="F227" i="45"/>
  <c r="E227" i="45"/>
  <c r="D227" i="45"/>
  <c r="O226" i="45"/>
  <c r="L226" i="45"/>
  <c r="I226" i="45"/>
  <c r="F226" i="45"/>
  <c r="C226" i="45" s="1"/>
  <c r="O225" i="45"/>
  <c r="L225" i="45"/>
  <c r="I225" i="45"/>
  <c r="F225" i="45"/>
  <c r="O224" i="45"/>
  <c r="L224" i="45"/>
  <c r="I224" i="45"/>
  <c r="F224" i="45"/>
  <c r="O223" i="45"/>
  <c r="L223" i="45"/>
  <c r="I223" i="45"/>
  <c r="F223" i="45"/>
  <c r="O222" i="45"/>
  <c r="L222" i="45"/>
  <c r="I222" i="45"/>
  <c r="F222" i="45"/>
  <c r="O221" i="45"/>
  <c r="L221" i="45"/>
  <c r="I221" i="45"/>
  <c r="F221" i="45"/>
  <c r="O220" i="45"/>
  <c r="L220" i="45"/>
  <c r="I220" i="45"/>
  <c r="F220" i="45"/>
  <c r="O219" i="45"/>
  <c r="L219" i="45"/>
  <c r="I219" i="45"/>
  <c r="F219" i="45"/>
  <c r="O218" i="45"/>
  <c r="L218" i="45"/>
  <c r="I218" i="45"/>
  <c r="C218" i="45" s="1"/>
  <c r="F218" i="45"/>
  <c r="O217" i="45"/>
  <c r="L217" i="45"/>
  <c r="I217" i="45"/>
  <c r="F217" i="45"/>
  <c r="N216" i="45"/>
  <c r="M216" i="45"/>
  <c r="K216" i="45"/>
  <c r="J216" i="45"/>
  <c r="H216" i="45"/>
  <c r="G216" i="45"/>
  <c r="E216" i="45"/>
  <c r="D216" i="45"/>
  <c r="O215" i="45"/>
  <c r="L215" i="45"/>
  <c r="I215" i="45"/>
  <c r="F215" i="45"/>
  <c r="O214" i="45"/>
  <c r="L214" i="45"/>
  <c r="I214" i="45"/>
  <c r="F214" i="45"/>
  <c r="C214" i="45" s="1"/>
  <c r="O213" i="45"/>
  <c r="L213" i="45"/>
  <c r="I213" i="45"/>
  <c r="F213" i="45"/>
  <c r="O212" i="45"/>
  <c r="L212" i="45"/>
  <c r="I212" i="45"/>
  <c r="F212" i="45"/>
  <c r="O211" i="45"/>
  <c r="L211" i="45"/>
  <c r="I211" i="45"/>
  <c r="F211" i="45"/>
  <c r="O210" i="45"/>
  <c r="L210" i="45"/>
  <c r="I210" i="45"/>
  <c r="F210" i="45"/>
  <c r="O209" i="45"/>
  <c r="L209" i="45"/>
  <c r="I209" i="45"/>
  <c r="F209" i="45"/>
  <c r="O208" i="45"/>
  <c r="L208" i="45"/>
  <c r="I208" i="45"/>
  <c r="F208" i="45"/>
  <c r="O207" i="45"/>
  <c r="L207" i="45"/>
  <c r="I207" i="45"/>
  <c r="F207" i="45"/>
  <c r="O206" i="45"/>
  <c r="L206" i="45"/>
  <c r="L205" i="45" s="1"/>
  <c r="I206" i="45"/>
  <c r="F206" i="45"/>
  <c r="N205" i="45"/>
  <c r="M205" i="45"/>
  <c r="M204" i="45" s="1"/>
  <c r="K205" i="45"/>
  <c r="J205" i="45"/>
  <c r="H205" i="45"/>
  <c r="H204" i="45" s="1"/>
  <c r="G205" i="45"/>
  <c r="G204" i="45" s="1"/>
  <c r="E205" i="45"/>
  <c r="D205" i="45"/>
  <c r="D204" i="45" s="1"/>
  <c r="K204" i="45"/>
  <c r="E204" i="45"/>
  <c r="O203" i="45"/>
  <c r="L203" i="45"/>
  <c r="I203" i="45"/>
  <c r="F203" i="45"/>
  <c r="O202" i="45"/>
  <c r="L202" i="45"/>
  <c r="I202" i="45"/>
  <c r="F202" i="45"/>
  <c r="O201" i="45"/>
  <c r="L201" i="45"/>
  <c r="I201" i="45"/>
  <c r="F201" i="45"/>
  <c r="O200" i="45"/>
  <c r="L200" i="45"/>
  <c r="I200" i="45"/>
  <c r="F200" i="45"/>
  <c r="O199" i="45"/>
  <c r="L199" i="45"/>
  <c r="I199" i="45"/>
  <c r="F199" i="45"/>
  <c r="F198" i="45" s="1"/>
  <c r="O198" i="45"/>
  <c r="N198" i="45"/>
  <c r="M198" i="45"/>
  <c r="K198" i="45"/>
  <c r="K196" i="45" s="1"/>
  <c r="K195" i="45" s="1"/>
  <c r="J198" i="45"/>
  <c r="H198" i="45"/>
  <c r="H196" i="45" s="1"/>
  <c r="G198" i="45"/>
  <c r="G196" i="45" s="1"/>
  <c r="E198" i="45"/>
  <c r="E196" i="45" s="1"/>
  <c r="E195" i="45" s="1"/>
  <c r="D198" i="45"/>
  <c r="D196" i="45" s="1"/>
  <c r="O197" i="45"/>
  <c r="L197" i="45"/>
  <c r="I197" i="45"/>
  <c r="F197" i="45"/>
  <c r="N196" i="45"/>
  <c r="M196" i="45"/>
  <c r="J196" i="45"/>
  <c r="O193" i="45"/>
  <c r="L193" i="45"/>
  <c r="L192" i="45" s="1"/>
  <c r="L191" i="45" s="1"/>
  <c r="I193" i="45"/>
  <c r="I192" i="45" s="1"/>
  <c r="I191" i="45" s="1"/>
  <c r="F193" i="45"/>
  <c r="F192" i="45" s="1"/>
  <c r="F191" i="45" s="1"/>
  <c r="O192" i="45"/>
  <c r="O191" i="45" s="1"/>
  <c r="N192" i="45"/>
  <c r="M192" i="45"/>
  <c r="M191" i="45" s="1"/>
  <c r="K192" i="45"/>
  <c r="K191" i="45" s="1"/>
  <c r="J192" i="45"/>
  <c r="H192" i="45"/>
  <c r="H191" i="45" s="1"/>
  <c r="G192" i="45"/>
  <c r="G191" i="45" s="1"/>
  <c r="E192" i="45"/>
  <c r="E191" i="45" s="1"/>
  <c r="D192" i="45"/>
  <c r="D191" i="45" s="1"/>
  <c r="N191" i="45"/>
  <c r="J191" i="45"/>
  <c r="J187" i="45" s="1"/>
  <c r="O190" i="45"/>
  <c r="L190" i="45"/>
  <c r="I190" i="45"/>
  <c r="F190" i="45"/>
  <c r="O189" i="45"/>
  <c r="L189" i="45"/>
  <c r="L188" i="45" s="1"/>
  <c r="L187" i="45" s="1"/>
  <c r="I189" i="45"/>
  <c r="F189" i="45"/>
  <c r="F188" i="45" s="1"/>
  <c r="O188" i="45"/>
  <c r="N188" i="45"/>
  <c r="M188" i="45"/>
  <c r="M187" i="45" s="1"/>
  <c r="K188" i="45"/>
  <c r="K187" i="45" s="1"/>
  <c r="J188" i="45"/>
  <c r="H188" i="45"/>
  <c r="G188" i="45"/>
  <c r="G187" i="45" s="1"/>
  <c r="E188" i="45"/>
  <c r="D188" i="45"/>
  <c r="D187" i="45" s="1"/>
  <c r="N187" i="45"/>
  <c r="O186" i="45"/>
  <c r="L186" i="45"/>
  <c r="I186" i="45"/>
  <c r="F186" i="45"/>
  <c r="O185" i="45"/>
  <c r="L185" i="45"/>
  <c r="L184" i="45" s="1"/>
  <c r="I185" i="45"/>
  <c r="F185" i="45"/>
  <c r="F184" i="45" s="1"/>
  <c r="O184" i="45"/>
  <c r="N184" i="45"/>
  <c r="M184" i="45"/>
  <c r="K184" i="45"/>
  <c r="J184" i="45"/>
  <c r="H184" i="45"/>
  <c r="G184" i="45"/>
  <c r="E184" i="45"/>
  <c r="D184" i="45"/>
  <c r="O183" i="45"/>
  <c r="L183" i="45"/>
  <c r="I183" i="45"/>
  <c r="F183" i="45"/>
  <c r="O182" i="45"/>
  <c r="L182" i="45"/>
  <c r="I182" i="45"/>
  <c r="F182" i="45"/>
  <c r="O181" i="45"/>
  <c r="L181" i="45"/>
  <c r="I181" i="45"/>
  <c r="F181" i="45"/>
  <c r="O180" i="45"/>
  <c r="O179" i="45" s="1"/>
  <c r="L180" i="45"/>
  <c r="I180" i="45"/>
  <c r="I179" i="45" s="1"/>
  <c r="F180" i="45"/>
  <c r="N179" i="45"/>
  <c r="M179" i="45"/>
  <c r="K179" i="45"/>
  <c r="J179" i="45"/>
  <c r="H179" i="45"/>
  <c r="G179" i="45"/>
  <c r="E179" i="45"/>
  <c r="D179" i="45"/>
  <c r="O178" i="45"/>
  <c r="L178" i="45"/>
  <c r="I178" i="45"/>
  <c r="F178" i="45"/>
  <c r="O177" i="45"/>
  <c r="L177" i="45"/>
  <c r="I177" i="45"/>
  <c r="F177" i="45"/>
  <c r="O176" i="45"/>
  <c r="O175" i="45" s="1"/>
  <c r="L176" i="45"/>
  <c r="I176" i="45"/>
  <c r="I175" i="45" s="1"/>
  <c r="I174" i="45" s="1"/>
  <c r="F176" i="45"/>
  <c r="N175" i="45"/>
  <c r="N174" i="45" s="1"/>
  <c r="M175" i="45"/>
  <c r="L175" i="45"/>
  <c r="K175" i="45"/>
  <c r="J175" i="45"/>
  <c r="H175" i="45"/>
  <c r="H174" i="45" s="1"/>
  <c r="G175" i="45"/>
  <c r="G174" i="45" s="1"/>
  <c r="G173" i="45" s="1"/>
  <c r="E175" i="45"/>
  <c r="D175" i="45"/>
  <c r="M174" i="45"/>
  <c r="M173" i="45" s="1"/>
  <c r="K174" i="45"/>
  <c r="E174" i="45"/>
  <c r="E173" i="45" s="1"/>
  <c r="O172" i="45"/>
  <c r="L172" i="45"/>
  <c r="I172" i="45"/>
  <c r="F172" i="45"/>
  <c r="O171" i="45"/>
  <c r="L171" i="45"/>
  <c r="I171" i="45"/>
  <c r="F171" i="45"/>
  <c r="O170" i="45"/>
  <c r="L170" i="45"/>
  <c r="I170" i="45"/>
  <c r="C170" i="45" s="1"/>
  <c r="F170" i="45"/>
  <c r="O169" i="45"/>
  <c r="L169" i="45"/>
  <c r="I169" i="45"/>
  <c r="F169" i="45"/>
  <c r="O168" i="45"/>
  <c r="L168" i="45"/>
  <c r="I168" i="45"/>
  <c r="C168" i="45" s="1"/>
  <c r="F168" i="45"/>
  <c r="O167" i="45"/>
  <c r="L167" i="45"/>
  <c r="L166" i="45" s="1"/>
  <c r="L165" i="45" s="1"/>
  <c r="I167" i="45"/>
  <c r="F167" i="45"/>
  <c r="N166" i="45"/>
  <c r="M166" i="45"/>
  <c r="M165" i="45" s="1"/>
  <c r="K166" i="45"/>
  <c r="K165" i="45" s="1"/>
  <c r="J166" i="45"/>
  <c r="H166" i="45"/>
  <c r="G166" i="45"/>
  <c r="G165" i="45" s="1"/>
  <c r="E166" i="45"/>
  <c r="E165" i="45" s="1"/>
  <c r="D166" i="45"/>
  <c r="N165" i="45"/>
  <c r="J165" i="45"/>
  <c r="H165" i="45"/>
  <c r="D165" i="45"/>
  <c r="O164" i="45"/>
  <c r="L164" i="45"/>
  <c r="I164" i="45"/>
  <c r="F164" i="45"/>
  <c r="O163" i="45"/>
  <c r="L163" i="45"/>
  <c r="I163" i="45"/>
  <c r="F163" i="45"/>
  <c r="O162" i="45"/>
  <c r="L162" i="45"/>
  <c r="I162" i="45"/>
  <c r="F162" i="45"/>
  <c r="O161" i="45"/>
  <c r="L161" i="45"/>
  <c r="L160" i="45" s="1"/>
  <c r="I161" i="45"/>
  <c r="F161" i="45"/>
  <c r="F160" i="45" s="1"/>
  <c r="O160" i="45"/>
  <c r="N160" i="45"/>
  <c r="M160" i="45"/>
  <c r="K160" i="45"/>
  <c r="J160" i="45"/>
  <c r="H160" i="45"/>
  <c r="G160" i="45"/>
  <c r="E160" i="45"/>
  <c r="D160" i="45"/>
  <c r="O159" i="45"/>
  <c r="L159" i="45"/>
  <c r="I159" i="45"/>
  <c r="F159" i="45"/>
  <c r="O158" i="45"/>
  <c r="L158" i="45"/>
  <c r="I158" i="45"/>
  <c r="F158" i="45"/>
  <c r="O157" i="45"/>
  <c r="L157" i="45"/>
  <c r="I157" i="45"/>
  <c r="F157" i="45"/>
  <c r="O156" i="45"/>
  <c r="L156" i="45"/>
  <c r="I156" i="45"/>
  <c r="F156" i="45"/>
  <c r="O155" i="45"/>
  <c r="L155" i="45"/>
  <c r="I155" i="45"/>
  <c r="F155" i="45"/>
  <c r="O154" i="45"/>
  <c r="L154" i="45"/>
  <c r="I154" i="45"/>
  <c r="F154" i="45"/>
  <c r="O153" i="45"/>
  <c r="L153" i="45"/>
  <c r="I153" i="45"/>
  <c r="F153" i="45"/>
  <c r="O152" i="45"/>
  <c r="O151" i="45" s="1"/>
  <c r="L152" i="45"/>
  <c r="I152" i="45"/>
  <c r="I151" i="45" s="1"/>
  <c r="F152" i="45"/>
  <c r="N151" i="45"/>
  <c r="M151" i="45"/>
  <c r="K151" i="45"/>
  <c r="J151" i="45"/>
  <c r="H151" i="45"/>
  <c r="G151" i="45"/>
  <c r="E151" i="45"/>
  <c r="D151" i="45"/>
  <c r="O150" i="45"/>
  <c r="L150" i="45"/>
  <c r="I150" i="45"/>
  <c r="F150" i="45"/>
  <c r="O149" i="45"/>
  <c r="L149" i="45"/>
  <c r="I149" i="45"/>
  <c r="F149" i="45"/>
  <c r="O148" i="45"/>
  <c r="L148" i="45"/>
  <c r="I148" i="45"/>
  <c r="F148" i="45"/>
  <c r="O147" i="45"/>
  <c r="L147" i="45"/>
  <c r="I147" i="45"/>
  <c r="F147" i="45"/>
  <c r="O146" i="45"/>
  <c r="L146" i="45"/>
  <c r="I146" i="45"/>
  <c r="F146" i="45"/>
  <c r="O145" i="45"/>
  <c r="L145" i="45"/>
  <c r="L144" i="45" s="1"/>
  <c r="I145" i="45"/>
  <c r="F145" i="45"/>
  <c r="F144" i="45" s="1"/>
  <c r="O144" i="45"/>
  <c r="N144" i="45"/>
  <c r="M144" i="45"/>
  <c r="K144" i="45"/>
  <c r="J144" i="45"/>
  <c r="H144" i="45"/>
  <c r="G144" i="45"/>
  <c r="E144" i="45"/>
  <c r="D144" i="45"/>
  <c r="O143" i="45"/>
  <c r="L143" i="45"/>
  <c r="I143" i="45"/>
  <c r="F143" i="45"/>
  <c r="O142" i="45"/>
  <c r="O141" i="45" s="1"/>
  <c r="L142" i="45"/>
  <c r="L141" i="45" s="1"/>
  <c r="I142" i="45"/>
  <c r="F142" i="45"/>
  <c r="F141" i="45" s="1"/>
  <c r="N141" i="45"/>
  <c r="M141" i="45"/>
  <c r="K141" i="45"/>
  <c r="J141" i="45"/>
  <c r="H141" i="45"/>
  <c r="G141" i="45"/>
  <c r="E141" i="45"/>
  <c r="D141" i="45"/>
  <c r="O140" i="45"/>
  <c r="L140" i="45"/>
  <c r="I140" i="45"/>
  <c r="F140" i="45"/>
  <c r="C140" i="45" s="1"/>
  <c r="O139" i="45"/>
  <c r="L139" i="45"/>
  <c r="I139" i="45"/>
  <c r="F139" i="45"/>
  <c r="O138" i="45"/>
  <c r="L138" i="45"/>
  <c r="I138" i="45"/>
  <c r="F138" i="45"/>
  <c r="O137" i="45"/>
  <c r="L137" i="45"/>
  <c r="I137" i="45"/>
  <c r="F137" i="45"/>
  <c r="F136" i="45" s="1"/>
  <c r="O136" i="45"/>
  <c r="N136" i="45"/>
  <c r="M136" i="45"/>
  <c r="K136" i="45"/>
  <c r="J136" i="45"/>
  <c r="H136" i="45"/>
  <c r="G136" i="45"/>
  <c r="E136" i="45"/>
  <c r="D136" i="45"/>
  <c r="O135" i="45"/>
  <c r="L135" i="45"/>
  <c r="I135" i="45"/>
  <c r="F135" i="45"/>
  <c r="O134" i="45"/>
  <c r="L134" i="45"/>
  <c r="I134" i="45"/>
  <c r="F134" i="45"/>
  <c r="O133" i="45"/>
  <c r="L133" i="45"/>
  <c r="I133" i="45"/>
  <c r="F133" i="45"/>
  <c r="O132" i="45"/>
  <c r="O131" i="45" s="1"/>
  <c r="L132" i="45"/>
  <c r="I132" i="45"/>
  <c r="I131" i="45" s="1"/>
  <c r="F132" i="45"/>
  <c r="C132" i="45" s="1"/>
  <c r="N131" i="45"/>
  <c r="M131" i="45"/>
  <c r="M130" i="45" s="1"/>
  <c r="K131" i="45"/>
  <c r="J131" i="45"/>
  <c r="J130" i="45" s="1"/>
  <c r="H131" i="45"/>
  <c r="G131" i="45"/>
  <c r="E131" i="45"/>
  <c r="E130" i="45" s="1"/>
  <c r="D131" i="45"/>
  <c r="D130" i="45" s="1"/>
  <c r="O129" i="45"/>
  <c r="L129" i="45"/>
  <c r="L128" i="45" s="1"/>
  <c r="I129" i="45"/>
  <c r="F129" i="45"/>
  <c r="F128" i="45" s="1"/>
  <c r="O128" i="45"/>
  <c r="N128" i="45"/>
  <c r="M128" i="45"/>
  <c r="K128" i="45"/>
  <c r="J128" i="45"/>
  <c r="I128" i="45"/>
  <c r="H128" i="45"/>
  <c r="G128" i="45"/>
  <c r="E128" i="45"/>
  <c r="D128" i="45"/>
  <c r="O127" i="45"/>
  <c r="L127" i="45"/>
  <c r="I127" i="45"/>
  <c r="F127" i="45"/>
  <c r="O126" i="45"/>
  <c r="L126" i="45"/>
  <c r="I126" i="45"/>
  <c r="F126" i="45"/>
  <c r="O125" i="45"/>
  <c r="L125" i="45"/>
  <c r="I125" i="45"/>
  <c r="F125" i="45"/>
  <c r="O124" i="45"/>
  <c r="L124" i="45"/>
  <c r="I124" i="45"/>
  <c r="F124" i="45"/>
  <c r="O123" i="45"/>
  <c r="L123" i="45"/>
  <c r="L122" i="45" s="1"/>
  <c r="I123" i="45"/>
  <c r="F123" i="45"/>
  <c r="N122" i="45"/>
  <c r="M122" i="45"/>
  <c r="K122" i="45"/>
  <c r="J122" i="45"/>
  <c r="H122" i="45"/>
  <c r="G122" i="45"/>
  <c r="E122" i="45"/>
  <c r="D122" i="45"/>
  <c r="O121" i="45"/>
  <c r="L121" i="45"/>
  <c r="I121" i="45"/>
  <c r="F121" i="45"/>
  <c r="O120" i="45"/>
  <c r="L120" i="45"/>
  <c r="I120" i="45"/>
  <c r="F120" i="45"/>
  <c r="O119" i="45"/>
  <c r="L119" i="45"/>
  <c r="I119" i="45"/>
  <c r="F119" i="45"/>
  <c r="O118" i="45"/>
  <c r="L118" i="45"/>
  <c r="I118" i="45"/>
  <c r="F118" i="45"/>
  <c r="O117" i="45"/>
  <c r="L117" i="45"/>
  <c r="L116" i="45" s="1"/>
  <c r="I117" i="45"/>
  <c r="F117" i="45"/>
  <c r="F116" i="45" s="1"/>
  <c r="N116" i="45"/>
  <c r="M116" i="45"/>
  <c r="K116" i="45"/>
  <c r="J116" i="45"/>
  <c r="H116" i="45"/>
  <c r="G116" i="45"/>
  <c r="E116" i="45"/>
  <c r="D116" i="45"/>
  <c r="O115" i="45"/>
  <c r="L115" i="45"/>
  <c r="I115" i="45"/>
  <c r="F115" i="45"/>
  <c r="O114" i="45"/>
  <c r="L114" i="45"/>
  <c r="I114" i="45"/>
  <c r="F114" i="45"/>
  <c r="O113" i="45"/>
  <c r="L113" i="45"/>
  <c r="L112" i="45" s="1"/>
  <c r="I113" i="45"/>
  <c r="F113" i="45"/>
  <c r="F112" i="45" s="1"/>
  <c r="O112" i="45"/>
  <c r="N112" i="45"/>
  <c r="M112" i="45"/>
  <c r="K112" i="45"/>
  <c r="J112" i="45"/>
  <c r="H112" i="45"/>
  <c r="G112" i="45"/>
  <c r="E112" i="45"/>
  <c r="D112" i="45"/>
  <c r="O111" i="45"/>
  <c r="L111" i="45"/>
  <c r="I111" i="45"/>
  <c r="F111" i="45"/>
  <c r="O110" i="45"/>
  <c r="L110" i="45"/>
  <c r="I110" i="45"/>
  <c r="F110" i="45"/>
  <c r="O109" i="45"/>
  <c r="L109" i="45"/>
  <c r="I109" i="45"/>
  <c r="F109" i="45"/>
  <c r="O108" i="45"/>
  <c r="L108" i="45"/>
  <c r="I108" i="45"/>
  <c r="F108" i="45"/>
  <c r="C108" i="45"/>
  <c r="O107" i="45"/>
  <c r="L107" i="45"/>
  <c r="I107" i="45"/>
  <c r="F107" i="45"/>
  <c r="O106" i="45"/>
  <c r="L106" i="45"/>
  <c r="I106" i="45"/>
  <c r="F106" i="45"/>
  <c r="O105" i="45"/>
  <c r="L105" i="45"/>
  <c r="I105" i="45"/>
  <c r="F105" i="45"/>
  <c r="O104" i="45"/>
  <c r="L104" i="45"/>
  <c r="I104" i="45"/>
  <c r="F104" i="45"/>
  <c r="C104" i="45" s="1"/>
  <c r="N103" i="45"/>
  <c r="M103" i="45"/>
  <c r="K103" i="45"/>
  <c r="J103" i="45"/>
  <c r="H103" i="45"/>
  <c r="G103" i="45"/>
  <c r="E103" i="45"/>
  <c r="D103" i="45"/>
  <c r="O102" i="45"/>
  <c r="L102" i="45"/>
  <c r="I102" i="45"/>
  <c r="F102" i="45"/>
  <c r="O101" i="45"/>
  <c r="L101" i="45"/>
  <c r="I101" i="45"/>
  <c r="F101" i="45"/>
  <c r="O100" i="45"/>
  <c r="L100" i="45"/>
  <c r="I100" i="45"/>
  <c r="F100" i="45"/>
  <c r="O99" i="45"/>
  <c r="L99" i="45"/>
  <c r="I99" i="45"/>
  <c r="F99" i="45"/>
  <c r="O98" i="45"/>
  <c r="L98" i="45"/>
  <c r="I98" i="45"/>
  <c r="F98" i="45"/>
  <c r="O97" i="45"/>
  <c r="L97" i="45"/>
  <c r="I97" i="45"/>
  <c r="F97" i="45"/>
  <c r="O96" i="45"/>
  <c r="L96" i="45"/>
  <c r="L95" i="45" s="1"/>
  <c r="I96" i="45"/>
  <c r="F96" i="45"/>
  <c r="C96" i="45" s="1"/>
  <c r="N95" i="45"/>
  <c r="M95" i="45"/>
  <c r="K95" i="45"/>
  <c r="J95" i="45"/>
  <c r="H95" i="45"/>
  <c r="G95" i="45"/>
  <c r="E95" i="45"/>
  <c r="D95" i="45"/>
  <c r="O94" i="45"/>
  <c r="L94" i="45"/>
  <c r="I94" i="45"/>
  <c r="F94" i="45"/>
  <c r="O93" i="45"/>
  <c r="L93" i="45"/>
  <c r="I93" i="45"/>
  <c r="F93" i="45"/>
  <c r="O92" i="45"/>
  <c r="K92" i="45"/>
  <c r="L92" i="45" s="1"/>
  <c r="I92" i="45"/>
  <c r="F92" i="45"/>
  <c r="O91" i="45"/>
  <c r="L91" i="45"/>
  <c r="I91" i="45"/>
  <c r="F91" i="45"/>
  <c r="O90" i="45"/>
  <c r="O89" i="45" s="1"/>
  <c r="L90" i="45"/>
  <c r="L89" i="45" s="1"/>
  <c r="I90" i="45"/>
  <c r="I89" i="45" s="1"/>
  <c r="F90" i="45"/>
  <c r="N89" i="45"/>
  <c r="M89" i="45"/>
  <c r="J89" i="45"/>
  <c r="H89" i="45"/>
  <c r="G89" i="45"/>
  <c r="E89" i="45"/>
  <c r="D89" i="45"/>
  <c r="O88" i="45"/>
  <c r="L88" i="45"/>
  <c r="I88" i="45"/>
  <c r="F88" i="45"/>
  <c r="O87" i="45"/>
  <c r="L87" i="45"/>
  <c r="I87" i="45"/>
  <c r="F87" i="45"/>
  <c r="O86" i="45"/>
  <c r="L86" i="45"/>
  <c r="I86" i="45"/>
  <c r="F86" i="45"/>
  <c r="C86" i="45"/>
  <c r="O85" i="45"/>
  <c r="L85" i="45"/>
  <c r="L84" i="45" s="1"/>
  <c r="I85" i="45"/>
  <c r="F85" i="45"/>
  <c r="N84" i="45"/>
  <c r="M84" i="45"/>
  <c r="K84" i="45"/>
  <c r="J84" i="45"/>
  <c r="J83" i="45" s="1"/>
  <c r="H84" i="45"/>
  <c r="G84" i="45"/>
  <c r="E84" i="45"/>
  <c r="D84" i="45"/>
  <c r="O82" i="45"/>
  <c r="L82" i="45"/>
  <c r="I82" i="45"/>
  <c r="F82" i="45"/>
  <c r="O81" i="45"/>
  <c r="L81" i="45"/>
  <c r="L80" i="45" s="1"/>
  <c r="I81" i="45"/>
  <c r="I80" i="45" s="1"/>
  <c r="F81" i="45"/>
  <c r="N80" i="45"/>
  <c r="M80" i="45"/>
  <c r="K80" i="45"/>
  <c r="J80" i="45"/>
  <c r="H80" i="45"/>
  <c r="G80" i="45"/>
  <c r="E80" i="45"/>
  <c r="D80" i="45"/>
  <c r="O79" i="45"/>
  <c r="L79" i="45"/>
  <c r="I79" i="45"/>
  <c r="F79" i="45"/>
  <c r="O78" i="45"/>
  <c r="O77" i="45" s="1"/>
  <c r="I78" i="45"/>
  <c r="F78" i="45"/>
  <c r="N77" i="45"/>
  <c r="N76" i="45" s="1"/>
  <c r="M77" i="45"/>
  <c r="J77" i="45"/>
  <c r="H77" i="45"/>
  <c r="H76" i="45" s="1"/>
  <c r="G77" i="45"/>
  <c r="G76" i="45" s="1"/>
  <c r="E77" i="45"/>
  <c r="E76" i="45" s="1"/>
  <c r="D77" i="45"/>
  <c r="D76" i="45" s="1"/>
  <c r="M76" i="45"/>
  <c r="O74" i="45"/>
  <c r="L74" i="45"/>
  <c r="I74" i="45"/>
  <c r="F74" i="45"/>
  <c r="O73" i="45"/>
  <c r="L73" i="45"/>
  <c r="I73" i="45"/>
  <c r="F73" i="45"/>
  <c r="O72" i="45"/>
  <c r="L72" i="45"/>
  <c r="I72" i="45"/>
  <c r="F72" i="45"/>
  <c r="C72" i="45" s="1"/>
  <c r="O71" i="45"/>
  <c r="L71" i="45"/>
  <c r="I71" i="45"/>
  <c r="F71" i="45"/>
  <c r="O70" i="45"/>
  <c r="L70" i="45"/>
  <c r="L69" i="45" s="1"/>
  <c r="I70" i="45"/>
  <c r="F70" i="45"/>
  <c r="F69" i="45" s="1"/>
  <c r="N69" i="45"/>
  <c r="N67" i="45" s="1"/>
  <c r="M69" i="45"/>
  <c r="K69" i="45"/>
  <c r="K67" i="45" s="1"/>
  <c r="J69" i="45"/>
  <c r="J67" i="45" s="1"/>
  <c r="H69" i="45"/>
  <c r="G69" i="45"/>
  <c r="G67" i="45" s="1"/>
  <c r="E69" i="45"/>
  <c r="D69" i="45"/>
  <c r="O68" i="45"/>
  <c r="L68" i="45"/>
  <c r="L67" i="45" s="1"/>
  <c r="I68" i="45"/>
  <c r="F68" i="45"/>
  <c r="M67" i="45"/>
  <c r="H67" i="45"/>
  <c r="E67" i="45"/>
  <c r="D67" i="45"/>
  <c r="O66" i="45"/>
  <c r="L66" i="45"/>
  <c r="I66" i="45"/>
  <c r="F66" i="45"/>
  <c r="O65" i="45"/>
  <c r="L65" i="45"/>
  <c r="I65" i="45"/>
  <c r="F65" i="45"/>
  <c r="O64" i="45"/>
  <c r="L64" i="45"/>
  <c r="I64" i="45"/>
  <c r="F64" i="45"/>
  <c r="O63" i="45"/>
  <c r="L63" i="45"/>
  <c r="I63" i="45"/>
  <c r="F63" i="45"/>
  <c r="O62" i="45"/>
  <c r="L62" i="45"/>
  <c r="I62" i="45"/>
  <c r="C62" i="45" s="1"/>
  <c r="F62" i="45"/>
  <c r="O61" i="45"/>
  <c r="L61" i="45"/>
  <c r="I61" i="45"/>
  <c r="F61" i="45"/>
  <c r="O60" i="45"/>
  <c r="L60" i="45"/>
  <c r="I60" i="45"/>
  <c r="C60" i="45" s="1"/>
  <c r="F60" i="45"/>
  <c r="O59" i="45"/>
  <c r="L59" i="45"/>
  <c r="L58" i="45" s="1"/>
  <c r="I59" i="45"/>
  <c r="F59" i="45"/>
  <c r="N58" i="45"/>
  <c r="M58" i="45"/>
  <c r="K58" i="45"/>
  <c r="J58" i="45"/>
  <c r="H58" i="45"/>
  <c r="G58" i="45"/>
  <c r="E58" i="45"/>
  <c r="D58" i="45"/>
  <c r="O57" i="45"/>
  <c r="L57" i="45"/>
  <c r="C57" i="45" s="1"/>
  <c r="I57" i="45"/>
  <c r="F57" i="45"/>
  <c r="O56" i="45"/>
  <c r="O55" i="45" s="1"/>
  <c r="L56" i="45"/>
  <c r="L55" i="45" s="1"/>
  <c r="I56" i="45"/>
  <c r="I55" i="45" s="1"/>
  <c r="F56" i="45"/>
  <c r="F55" i="45" s="1"/>
  <c r="N55" i="45"/>
  <c r="M55" i="45"/>
  <c r="M54" i="45" s="1"/>
  <c r="M53" i="45" s="1"/>
  <c r="K55" i="45"/>
  <c r="J55" i="45"/>
  <c r="H55" i="45"/>
  <c r="H54" i="45" s="1"/>
  <c r="H53" i="45" s="1"/>
  <c r="G55" i="45"/>
  <c r="E55" i="45"/>
  <c r="E54" i="45" s="1"/>
  <c r="E53" i="45" s="1"/>
  <c r="D55" i="45"/>
  <c r="D54" i="45" s="1"/>
  <c r="N54" i="45"/>
  <c r="N53" i="45" s="1"/>
  <c r="K54" i="45"/>
  <c r="J54" i="45"/>
  <c r="J53" i="45" s="1"/>
  <c r="O47" i="45"/>
  <c r="C47" i="45" s="1"/>
  <c r="O46" i="45"/>
  <c r="O45" i="45" s="1"/>
  <c r="C46" i="45"/>
  <c r="N45" i="45"/>
  <c r="M45" i="45"/>
  <c r="L44" i="45"/>
  <c r="L43" i="45" s="1"/>
  <c r="I44" i="45"/>
  <c r="F44" i="45"/>
  <c r="F43" i="45" s="1"/>
  <c r="K43" i="45"/>
  <c r="J43" i="45"/>
  <c r="H43" i="45"/>
  <c r="G43" i="45"/>
  <c r="E43" i="45"/>
  <c r="D43" i="45"/>
  <c r="F42" i="45"/>
  <c r="F41" i="45" s="1"/>
  <c r="C41" i="45" s="1"/>
  <c r="E41" i="45"/>
  <c r="D41" i="45"/>
  <c r="L40" i="45"/>
  <c r="C40" i="45" s="1"/>
  <c r="L39" i="45"/>
  <c r="C39" i="45" s="1"/>
  <c r="L38" i="45"/>
  <c r="C38" i="45" s="1"/>
  <c r="L37" i="45"/>
  <c r="C37" i="45" s="1"/>
  <c r="L36" i="45"/>
  <c r="C36" i="45" s="1"/>
  <c r="K36" i="45"/>
  <c r="J36" i="45"/>
  <c r="L35" i="45"/>
  <c r="C35" i="45"/>
  <c r="L34" i="45"/>
  <c r="C34" i="45" s="1"/>
  <c r="K33" i="45"/>
  <c r="J33" i="45"/>
  <c r="L32" i="45"/>
  <c r="L31" i="45" s="1"/>
  <c r="K31" i="45"/>
  <c r="J31" i="45"/>
  <c r="C31" i="45"/>
  <c r="L30" i="45"/>
  <c r="C30" i="45" s="1"/>
  <c r="L29" i="45"/>
  <c r="C29" i="45" s="1"/>
  <c r="L28" i="45"/>
  <c r="C28" i="45" s="1"/>
  <c r="K27" i="45"/>
  <c r="J27" i="45"/>
  <c r="F25" i="45"/>
  <c r="C25" i="45" s="1"/>
  <c r="I24" i="45"/>
  <c r="F24" i="45"/>
  <c r="C24" i="45"/>
  <c r="O23" i="45"/>
  <c r="L23" i="45"/>
  <c r="I23" i="45"/>
  <c r="F23" i="45"/>
  <c r="C23" i="45" s="1"/>
  <c r="O22" i="45"/>
  <c r="L22" i="45"/>
  <c r="L21" i="45" s="1"/>
  <c r="I22" i="45"/>
  <c r="I21" i="45" s="1"/>
  <c r="F22" i="45"/>
  <c r="N21" i="45"/>
  <c r="N292" i="45" s="1"/>
  <c r="N291" i="45" s="1"/>
  <c r="M21" i="45"/>
  <c r="K21" i="45"/>
  <c r="K292" i="45" s="1"/>
  <c r="K291" i="45" s="1"/>
  <c r="J21" i="45"/>
  <c r="H21" i="45"/>
  <c r="H292" i="45" s="1"/>
  <c r="H291" i="45" s="1"/>
  <c r="G21" i="45"/>
  <c r="G292" i="45" s="1"/>
  <c r="G291" i="45" s="1"/>
  <c r="E21" i="45"/>
  <c r="D21" i="45"/>
  <c r="G54" i="45" l="1"/>
  <c r="K53" i="45"/>
  <c r="C100" i="45"/>
  <c r="C102" i="45"/>
  <c r="I103" i="45"/>
  <c r="O122" i="45"/>
  <c r="C148" i="45"/>
  <c r="C156" i="45"/>
  <c r="C159" i="45"/>
  <c r="F187" i="45"/>
  <c r="C202" i="45"/>
  <c r="C206" i="45"/>
  <c r="C210" i="45"/>
  <c r="C213" i="45"/>
  <c r="H231" i="45"/>
  <c r="C249" i="45"/>
  <c r="C258" i="45"/>
  <c r="C274" i="45"/>
  <c r="O272" i="45"/>
  <c r="O270" i="45" s="1"/>
  <c r="O269" i="45" s="1"/>
  <c r="O276" i="45"/>
  <c r="J76" i="45"/>
  <c r="C120" i="45"/>
  <c r="C124" i="45"/>
  <c r="C127" i="45"/>
  <c r="C150" i="45"/>
  <c r="C154" i="45"/>
  <c r="C172" i="45"/>
  <c r="C176" i="45"/>
  <c r="C177" i="45"/>
  <c r="C201" i="45"/>
  <c r="G195" i="45"/>
  <c r="C222" i="45"/>
  <c r="C225" i="45"/>
  <c r="D230" i="45"/>
  <c r="C242" i="45"/>
  <c r="C244" i="45"/>
  <c r="L27" i="45"/>
  <c r="C27" i="45" s="1"/>
  <c r="C64" i="45"/>
  <c r="O80" i="45"/>
  <c r="N83" i="45"/>
  <c r="M231" i="45"/>
  <c r="C266" i="45"/>
  <c r="C299" i="45"/>
  <c r="C32" i="45"/>
  <c r="C42" i="45"/>
  <c r="G83" i="45"/>
  <c r="C164" i="45"/>
  <c r="C234" i="45"/>
  <c r="O238" i="45"/>
  <c r="O246" i="45"/>
  <c r="C296" i="45"/>
  <c r="J75" i="45"/>
  <c r="C180" i="45"/>
  <c r="L33" i="45"/>
  <c r="C33" i="45" s="1"/>
  <c r="G20" i="45"/>
  <c r="C61" i="45"/>
  <c r="C66" i="45"/>
  <c r="C68" i="45"/>
  <c r="G53" i="45"/>
  <c r="C74" i="45"/>
  <c r="C87" i="45"/>
  <c r="D83" i="45"/>
  <c r="D75" i="45" s="1"/>
  <c r="C91" i="45"/>
  <c r="C94" i="45"/>
  <c r="C106" i="45"/>
  <c r="C109" i="45"/>
  <c r="C111" i="45"/>
  <c r="C143" i="45"/>
  <c r="C158" i="45"/>
  <c r="C163" i="45"/>
  <c r="H173" i="45"/>
  <c r="C178" i="45"/>
  <c r="O187" i="45"/>
  <c r="M195" i="45"/>
  <c r="C207" i="45"/>
  <c r="I216" i="45"/>
  <c r="N204" i="45"/>
  <c r="N195" i="45" s="1"/>
  <c r="N194" i="45" s="1"/>
  <c r="O252" i="45"/>
  <c r="O251" i="45" s="1"/>
  <c r="K259" i="45"/>
  <c r="C263" i="45"/>
  <c r="O264" i="45"/>
  <c r="I276" i="45"/>
  <c r="I270" i="45" s="1"/>
  <c r="I269" i="45" s="1"/>
  <c r="F281" i="45"/>
  <c r="L293" i="45"/>
  <c r="O84" i="45"/>
  <c r="L136" i="45"/>
  <c r="H230" i="45"/>
  <c r="C250" i="45"/>
  <c r="O259" i="45"/>
  <c r="D292" i="45"/>
  <c r="D291" i="45" s="1"/>
  <c r="L26" i="45"/>
  <c r="C26" i="45" s="1"/>
  <c r="D20" i="45"/>
  <c r="H20" i="45"/>
  <c r="N20" i="45"/>
  <c r="C65" i="45"/>
  <c r="C73" i="45"/>
  <c r="K77" i="45"/>
  <c r="K76" i="45" s="1"/>
  <c r="C88" i="45"/>
  <c r="L83" i="45"/>
  <c r="C97" i="45"/>
  <c r="H83" i="45"/>
  <c r="L103" i="45"/>
  <c r="C110" i="45"/>
  <c r="C115" i="45"/>
  <c r="C119" i="45"/>
  <c r="O116" i="45"/>
  <c r="C134" i="45"/>
  <c r="C139" i="45"/>
  <c r="C147" i="45"/>
  <c r="L151" i="45"/>
  <c r="O166" i="45"/>
  <c r="O165" i="45" s="1"/>
  <c r="J174" i="45"/>
  <c r="J173" i="45" s="1"/>
  <c r="N173" i="45"/>
  <c r="C182" i="45"/>
  <c r="C192" i="45"/>
  <c r="H195" i="45"/>
  <c r="C211" i="45"/>
  <c r="C223" i="45"/>
  <c r="J204" i="45"/>
  <c r="J195" i="45" s="1"/>
  <c r="F233" i="45"/>
  <c r="C236" i="45"/>
  <c r="C255" i="45"/>
  <c r="C257" i="45"/>
  <c r="C294" i="45"/>
  <c r="O76" i="45"/>
  <c r="E194" i="45"/>
  <c r="J292" i="45"/>
  <c r="J291" i="45" s="1"/>
  <c r="O21" i="45"/>
  <c r="O292" i="45" s="1"/>
  <c r="O291" i="45" s="1"/>
  <c r="J26" i="45"/>
  <c r="K26" i="45"/>
  <c r="C63" i="45"/>
  <c r="C71" i="45"/>
  <c r="O69" i="45"/>
  <c r="O67" i="45" s="1"/>
  <c r="L77" i="45"/>
  <c r="L76" i="45" s="1"/>
  <c r="I95" i="45"/>
  <c r="C98" i="45"/>
  <c r="C101" i="45"/>
  <c r="O103" i="45"/>
  <c r="C121" i="45"/>
  <c r="H130" i="45"/>
  <c r="N130" i="45"/>
  <c r="N75" i="45" s="1"/>
  <c r="N52" i="45" s="1"/>
  <c r="N51" i="45" s="1"/>
  <c r="L131" i="45"/>
  <c r="L130" i="45" s="1"/>
  <c r="C153" i="45"/>
  <c r="C169" i="45"/>
  <c r="C171" i="45"/>
  <c r="F175" i="45"/>
  <c r="L179" i="45"/>
  <c r="H187" i="45"/>
  <c r="C203" i="45"/>
  <c r="F205" i="45"/>
  <c r="C208" i="45"/>
  <c r="C209" i="45"/>
  <c r="C215" i="45"/>
  <c r="C220" i="45"/>
  <c r="C221" i="45"/>
  <c r="C227" i="45"/>
  <c r="C228" i="45"/>
  <c r="C229" i="45"/>
  <c r="K231" i="45"/>
  <c r="K230" i="45" s="1"/>
  <c r="K194" i="45" s="1"/>
  <c r="C245" i="45"/>
  <c r="L252" i="45"/>
  <c r="L251" i="45" s="1"/>
  <c r="C256" i="45"/>
  <c r="L264" i="45"/>
  <c r="L259" i="45" s="1"/>
  <c r="C279" i="45"/>
  <c r="D269" i="45"/>
  <c r="C90" i="45"/>
  <c r="C78" i="45"/>
  <c r="K20" i="45"/>
  <c r="C56" i="45"/>
  <c r="C81" i="45"/>
  <c r="F80" i="45"/>
  <c r="C80" i="45" s="1"/>
  <c r="C82" i="45"/>
  <c r="M20" i="45"/>
  <c r="M292" i="45"/>
  <c r="M291" i="45" s="1"/>
  <c r="L292" i="45"/>
  <c r="L20" i="45"/>
  <c r="C44" i="45"/>
  <c r="I43" i="45"/>
  <c r="C43" i="45" s="1"/>
  <c r="L54" i="45"/>
  <c r="L53" i="45" s="1"/>
  <c r="C55" i="45"/>
  <c r="I58" i="45"/>
  <c r="I54" i="45" s="1"/>
  <c r="L75" i="45"/>
  <c r="C99" i="45"/>
  <c r="F95" i="45"/>
  <c r="C126" i="45"/>
  <c r="I122" i="45"/>
  <c r="D53" i="45"/>
  <c r="C59" i="45"/>
  <c r="F58" i="45"/>
  <c r="O58" i="45"/>
  <c r="F67" i="45"/>
  <c r="I77" i="45"/>
  <c r="I76" i="45" s="1"/>
  <c r="C128" i="45"/>
  <c r="O54" i="45"/>
  <c r="I69" i="45"/>
  <c r="I67" i="45" s="1"/>
  <c r="C70" i="45"/>
  <c r="E292" i="45"/>
  <c r="E291" i="45" s="1"/>
  <c r="E20" i="45"/>
  <c r="C22" i="45"/>
  <c r="F21" i="45"/>
  <c r="O20" i="45"/>
  <c r="C79" i="45"/>
  <c r="F77" i="45"/>
  <c r="O231" i="45"/>
  <c r="H194" i="45"/>
  <c r="C152" i="45"/>
  <c r="L174" i="45"/>
  <c r="L173" i="45" s="1"/>
  <c r="C190" i="45"/>
  <c r="I188" i="45"/>
  <c r="C237" i="45"/>
  <c r="F235" i="45"/>
  <c r="M83" i="45"/>
  <c r="M75" i="45" s="1"/>
  <c r="M52" i="45" s="1"/>
  <c r="C162" i="45"/>
  <c r="I160" i="45"/>
  <c r="C160" i="45" s="1"/>
  <c r="D174" i="45"/>
  <c r="D173" i="45" s="1"/>
  <c r="I84" i="45"/>
  <c r="C92" i="45"/>
  <c r="F89" i="45"/>
  <c r="C89" i="45" s="1"/>
  <c r="C93" i="45"/>
  <c r="C123" i="45"/>
  <c r="F122" i="45"/>
  <c r="O130" i="45"/>
  <c r="G130" i="45"/>
  <c r="G75" i="45" s="1"/>
  <c r="G52" i="45" s="1"/>
  <c r="C138" i="45"/>
  <c r="I136" i="45"/>
  <c r="C136" i="45" s="1"/>
  <c r="C157" i="45"/>
  <c r="I166" i="45"/>
  <c r="I165" i="45" s="1"/>
  <c r="C181" i="45"/>
  <c r="C183" i="45"/>
  <c r="F179" i="45"/>
  <c r="C179" i="45" s="1"/>
  <c r="C268" i="45"/>
  <c r="I264" i="45"/>
  <c r="I259" i="45" s="1"/>
  <c r="C253" i="45"/>
  <c r="F252" i="45"/>
  <c r="C301" i="45"/>
  <c r="C118" i="45"/>
  <c r="I116" i="45"/>
  <c r="C116" i="45" s="1"/>
  <c r="K130" i="45"/>
  <c r="I141" i="45"/>
  <c r="C141" i="45" s="1"/>
  <c r="C142" i="45"/>
  <c r="C155" i="45"/>
  <c r="F151" i="45"/>
  <c r="C151" i="45" s="1"/>
  <c r="C186" i="45"/>
  <c r="I184" i="45"/>
  <c r="I173" i="45" s="1"/>
  <c r="C45" i="45"/>
  <c r="E83" i="45"/>
  <c r="E75" i="45" s="1"/>
  <c r="E52" i="45" s="1"/>
  <c r="E51" i="45" s="1"/>
  <c r="C85" i="45"/>
  <c r="F84" i="45"/>
  <c r="O95" i="45"/>
  <c r="O83" i="45" s="1"/>
  <c r="O75" i="45" s="1"/>
  <c r="C105" i="45"/>
  <c r="C107" i="45"/>
  <c r="F103" i="45"/>
  <c r="C103" i="45" s="1"/>
  <c r="C114" i="45"/>
  <c r="I112" i="45"/>
  <c r="C112" i="45" s="1"/>
  <c r="C125" i="45"/>
  <c r="C133" i="45"/>
  <c r="C135" i="45"/>
  <c r="F131" i="45"/>
  <c r="C146" i="45"/>
  <c r="I144" i="45"/>
  <c r="C144" i="45" s="1"/>
  <c r="C149" i="45"/>
  <c r="C167" i="45"/>
  <c r="F166" i="45"/>
  <c r="K173" i="45"/>
  <c r="C175" i="45"/>
  <c r="O174" i="45"/>
  <c r="O173" i="45" s="1"/>
  <c r="E187" i="45"/>
  <c r="C191" i="45"/>
  <c r="C261" i="45"/>
  <c r="F260" i="45"/>
  <c r="C113" i="45"/>
  <c r="C117" i="45"/>
  <c r="C129" i="45"/>
  <c r="C137" i="45"/>
  <c r="C145" i="45"/>
  <c r="C161" i="45"/>
  <c r="C185" i="45"/>
  <c r="C189" i="45"/>
  <c r="C193" i="45"/>
  <c r="C200" i="45"/>
  <c r="I198" i="45"/>
  <c r="I196" i="45" s="1"/>
  <c r="I205" i="45"/>
  <c r="I204" i="45" s="1"/>
  <c r="C212" i="45"/>
  <c r="C224" i="45"/>
  <c r="C232" i="45"/>
  <c r="C233" i="45"/>
  <c r="C273" i="45"/>
  <c r="F272" i="45"/>
  <c r="C272" i="45" s="1"/>
  <c r="L276" i="45"/>
  <c r="L270" i="45" s="1"/>
  <c r="L269" i="45" s="1"/>
  <c r="C288" i="45"/>
  <c r="I286" i="45"/>
  <c r="I292" i="45" s="1"/>
  <c r="I291" i="45" s="1"/>
  <c r="C300" i="45"/>
  <c r="C197" i="45"/>
  <c r="F196" i="45"/>
  <c r="C199" i="45"/>
  <c r="L198" i="45"/>
  <c r="C198" i="45" s="1"/>
  <c r="O216" i="45"/>
  <c r="L216" i="45"/>
  <c r="L204" i="45" s="1"/>
  <c r="C219" i="45"/>
  <c r="C239" i="45"/>
  <c r="C241" i="45"/>
  <c r="F238" i="45"/>
  <c r="C248" i="45"/>
  <c r="I246" i="45"/>
  <c r="C246" i="45" s="1"/>
  <c r="M259" i="45"/>
  <c r="M230" i="45" s="1"/>
  <c r="C265" i="45"/>
  <c r="F264" i="45"/>
  <c r="C275" i="45"/>
  <c r="C281" i="45"/>
  <c r="C285" i="45"/>
  <c r="F284" i="45"/>
  <c r="K89" i="45"/>
  <c r="K83" i="45" s="1"/>
  <c r="D195" i="45"/>
  <c r="O196" i="45"/>
  <c r="O205" i="45"/>
  <c r="C217" i="45"/>
  <c r="F216" i="45"/>
  <c r="F204" i="45" s="1"/>
  <c r="L231" i="45"/>
  <c r="G231" i="45"/>
  <c r="G230" i="45" s="1"/>
  <c r="G194" i="45" s="1"/>
  <c r="C240" i="45"/>
  <c r="I238" i="45"/>
  <c r="I231" i="45" s="1"/>
  <c r="C243" i="45"/>
  <c r="I252" i="45"/>
  <c r="I251" i="45" s="1"/>
  <c r="C267" i="45"/>
  <c r="M270" i="45"/>
  <c r="M269" i="45" s="1"/>
  <c r="C277" i="45"/>
  <c r="F276" i="45"/>
  <c r="C295" i="45"/>
  <c r="C297" i="45"/>
  <c r="F293" i="45"/>
  <c r="C247" i="45"/>
  <c r="C271" i="45"/>
  <c r="C287" i="45"/>
  <c r="J52" i="45" l="1"/>
  <c r="H289" i="45"/>
  <c r="O204" i="45"/>
  <c r="C204" i="45" s="1"/>
  <c r="C184" i="45"/>
  <c r="H75" i="45"/>
  <c r="H52" i="45" s="1"/>
  <c r="J194" i="45"/>
  <c r="J289" i="45"/>
  <c r="N50" i="45"/>
  <c r="N290" i="45"/>
  <c r="N289" i="45"/>
  <c r="H51" i="45"/>
  <c r="H290" i="45" s="1"/>
  <c r="C293" i="45"/>
  <c r="K75" i="45"/>
  <c r="K52" i="45" s="1"/>
  <c r="K51" i="45" s="1"/>
  <c r="K50" i="45" s="1"/>
  <c r="C238" i="45"/>
  <c r="E289" i="45"/>
  <c r="O230" i="45"/>
  <c r="L291" i="45"/>
  <c r="J20" i="45"/>
  <c r="I83" i="45"/>
  <c r="O53" i="45"/>
  <c r="J51" i="45"/>
  <c r="J50" i="45" s="1"/>
  <c r="F174" i="45"/>
  <c r="F173" i="45" s="1"/>
  <c r="C173" i="45" s="1"/>
  <c r="C264" i="45"/>
  <c r="C58" i="45"/>
  <c r="I20" i="45"/>
  <c r="M194" i="45"/>
  <c r="M51" i="45" s="1"/>
  <c r="M289" i="45"/>
  <c r="G51" i="45"/>
  <c r="K289" i="45"/>
  <c r="E290" i="45"/>
  <c r="E50" i="45"/>
  <c r="I230" i="45"/>
  <c r="C174" i="45"/>
  <c r="C260" i="45"/>
  <c r="F259" i="45"/>
  <c r="C259" i="45" s="1"/>
  <c r="L196" i="45"/>
  <c r="L195" i="45" s="1"/>
  <c r="L194" i="45" s="1"/>
  <c r="F54" i="45"/>
  <c r="C284" i="45"/>
  <c r="F283" i="45"/>
  <c r="C283" i="45" s="1"/>
  <c r="G289" i="45"/>
  <c r="C166" i="45"/>
  <c r="F165" i="45"/>
  <c r="C165" i="45" s="1"/>
  <c r="C84" i="45"/>
  <c r="F83" i="45"/>
  <c r="C83" i="45" s="1"/>
  <c r="C205" i="45"/>
  <c r="I187" i="45"/>
  <c r="C187" i="45" s="1"/>
  <c r="C188" i="45"/>
  <c r="C69" i="45"/>
  <c r="L230" i="45"/>
  <c r="O195" i="45"/>
  <c r="O194" i="45" s="1"/>
  <c r="F195" i="45"/>
  <c r="C131" i="45"/>
  <c r="F130" i="45"/>
  <c r="C252" i="45"/>
  <c r="F251" i="45"/>
  <c r="C251" i="45" s="1"/>
  <c r="C286" i="45"/>
  <c r="C235" i="45"/>
  <c r="F231" i="45"/>
  <c r="C77" i="45"/>
  <c r="F76" i="45"/>
  <c r="O52" i="45"/>
  <c r="I130" i="45"/>
  <c r="I75" i="45" s="1"/>
  <c r="C67" i="45"/>
  <c r="D52" i="45"/>
  <c r="L52" i="45"/>
  <c r="C276" i="45"/>
  <c r="C216" i="45"/>
  <c r="D194" i="45"/>
  <c r="D289" i="45"/>
  <c r="I195" i="45"/>
  <c r="I194" i="45" s="1"/>
  <c r="F270" i="45"/>
  <c r="C122" i="45"/>
  <c r="F292" i="45"/>
  <c r="C21" i="45"/>
  <c r="F20" i="45"/>
  <c r="C20" i="45" s="1"/>
  <c r="C95" i="45"/>
  <c r="I53" i="45"/>
  <c r="O289" i="45" l="1"/>
  <c r="O51" i="45"/>
  <c r="L289" i="45"/>
  <c r="H50" i="45"/>
  <c r="C196" i="45"/>
  <c r="K290" i="45"/>
  <c r="L51" i="45"/>
  <c r="L290" i="45" s="1"/>
  <c r="J290" i="45"/>
  <c r="I289" i="45"/>
  <c r="F230" i="45"/>
  <c r="C230" i="45" s="1"/>
  <c r="C231" i="45"/>
  <c r="F194" i="45"/>
  <c r="C194" i="45" s="1"/>
  <c r="C195" i="45"/>
  <c r="C54" i="45"/>
  <c r="F53" i="45"/>
  <c r="G290" i="45"/>
  <c r="G50" i="45"/>
  <c r="I52" i="45"/>
  <c r="I51" i="45" s="1"/>
  <c r="C292" i="45"/>
  <c r="F291" i="45"/>
  <c r="C291" i="45" s="1"/>
  <c r="O50" i="45"/>
  <c r="O290" i="45"/>
  <c r="C130" i="45"/>
  <c r="M50" i="45"/>
  <c r="M290" i="45"/>
  <c r="D51" i="45"/>
  <c r="C76" i="45"/>
  <c r="F75" i="45"/>
  <c r="C75" i="45" s="1"/>
  <c r="F269" i="45"/>
  <c r="C270" i="45"/>
  <c r="L50" i="45" l="1"/>
  <c r="D290" i="45"/>
  <c r="D50" i="45"/>
  <c r="C269" i="45"/>
  <c r="F289" i="45"/>
  <c r="C289" i="45" s="1"/>
  <c r="F52" i="45"/>
  <c r="C53" i="45"/>
  <c r="I290" i="45"/>
  <c r="I50" i="45"/>
  <c r="F51" i="45" l="1"/>
  <c r="C52" i="45"/>
  <c r="F290" i="45" l="1"/>
  <c r="C290" i="45" s="1"/>
  <c r="C51" i="45"/>
  <c r="F50" i="45"/>
  <c r="C50" i="45" s="1"/>
  <c r="O301" i="44" l="1"/>
  <c r="L301" i="44"/>
  <c r="I301" i="44"/>
  <c r="F301" i="44"/>
  <c r="O300" i="44"/>
  <c r="L300" i="44"/>
  <c r="I300" i="44"/>
  <c r="F300" i="44"/>
  <c r="C300" i="44" s="1"/>
  <c r="O299" i="44"/>
  <c r="L299" i="44"/>
  <c r="I299" i="44"/>
  <c r="F299" i="44"/>
  <c r="C299" i="44" s="1"/>
  <c r="O298" i="44"/>
  <c r="L298" i="44"/>
  <c r="I298" i="44"/>
  <c r="F298" i="44"/>
  <c r="C298" i="44" s="1"/>
  <c r="O297" i="44"/>
  <c r="L297" i="44"/>
  <c r="I297" i="44"/>
  <c r="F297" i="44"/>
  <c r="O296" i="44"/>
  <c r="L296" i="44"/>
  <c r="I296" i="44"/>
  <c r="F296" i="44"/>
  <c r="O295" i="44"/>
  <c r="L295" i="44"/>
  <c r="I295" i="44"/>
  <c r="F295" i="44"/>
  <c r="O294" i="44"/>
  <c r="O293" i="44" s="1"/>
  <c r="L294" i="44"/>
  <c r="I294" i="44"/>
  <c r="F294" i="44"/>
  <c r="N293" i="44"/>
  <c r="M293" i="44"/>
  <c r="K293" i="44"/>
  <c r="J293" i="44"/>
  <c r="H293" i="44"/>
  <c r="G293" i="44"/>
  <c r="E293" i="44"/>
  <c r="D293" i="44"/>
  <c r="O288" i="44"/>
  <c r="L288" i="44"/>
  <c r="I288" i="44"/>
  <c r="F288" i="44"/>
  <c r="O287" i="44"/>
  <c r="L287" i="44"/>
  <c r="L286" i="44" s="1"/>
  <c r="I287" i="44"/>
  <c r="F287" i="44"/>
  <c r="O286" i="44"/>
  <c r="N286" i="44"/>
  <c r="M286" i="44"/>
  <c r="K286" i="44"/>
  <c r="J286" i="44"/>
  <c r="H286" i="44"/>
  <c r="G286" i="44"/>
  <c r="F286" i="44"/>
  <c r="E286" i="44"/>
  <c r="D286" i="44"/>
  <c r="O285" i="44"/>
  <c r="L285" i="44"/>
  <c r="L284" i="44" s="1"/>
  <c r="L283" i="44" s="1"/>
  <c r="I285" i="44"/>
  <c r="F285" i="44"/>
  <c r="O284" i="44"/>
  <c r="O283" i="44" s="1"/>
  <c r="N284" i="44"/>
  <c r="N283" i="44" s="1"/>
  <c r="M284" i="44"/>
  <c r="M283" i="44" s="1"/>
  <c r="K284" i="44"/>
  <c r="K283" i="44" s="1"/>
  <c r="J284" i="44"/>
  <c r="J283" i="44" s="1"/>
  <c r="I284" i="44"/>
  <c r="I283" i="44" s="1"/>
  <c r="H284" i="44"/>
  <c r="H283" i="44" s="1"/>
  <c r="G284" i="44"/>
  <c r="E284" i="44"/>
  <c r="E283" i="44" s="1"/>
  <c r="D284" i="44"/>
  <c r="D283" i="44" s="1"/>
  <c r="G283" i="44"/>
  <c r="O282" i="44"/>
  <c r="O281" i="44" s="1"/>
  <c r="L282" i="44"/>
  <c r="L281" i="44" s="1"/>
  <c r="I282" i="44"/>
  <c r="F282" i="44"/>
  <c r="N281" i="44"/>
  <c r="M281" i="44"/>
  <c r="K281" i="44"/>
  <c r="J281" i="44"/>
  <c r="I281" i="44"/>
  <c r="H281" i="44"/>
  <c r="G281" i="44"/>
  <c r="F281" i="44"/>
  <c r="E281" i="44"/>
  <c r="D281" i="44"/>
  <c r="O280" i="44"/>
  <c r="L280" i="44"/>
  <c r="I280" i="44"/>
  <c r="C280" i="44" s="1"/>
  <c r="F280" i="44"/>
  <c r="O279" i="44"/>
  <c r="L279" i="44"/>
  <c r="I279" i="44"/>
  <c r="F279" i="44"/>
  <c r="O278" i="44"/>
  <c r="L278" i="44"/>
  <c r="I278" i="44"/>
  <c r="C278" i="44" s="1"/>
  <c r="F278" i="44"/>
  <c r="O277" i="44"/>
  <c r="L277" i="44"/>
  <c r="I277" i="44"/>
  <c r="F277" i="44"/>
  <c r="N276" i="44"/>
  <c r="M276" i="44"/>
  <c r="K276" i="44"/>
  <c r="J276" i="44"/>
  <c r="H276" i="44"/>
  <c r="G276" i="44"/>
  <c r="E276" i="44"/>
  <c r="D276" i="44"/>
  <c r="O275" i="44"/>
  <c r="L275" i="44"/>
  <c r="I275" i="44"/>
  <c r="F275" i="44"/>
  <c r="O274" i="44"/>
  <c r="O272" i="44" s="1"/>
  <c r="L274" i="44"/>
  <c r="I274" i="44"/>
  <c r="I272" i="44" s="1"/>
  <c r="F274" i="44"/>
  <c r="C274" i="44"/>
  <c r="O273" i="44"/>
  <c r="L273" i="44"/>
  <c r="L272" i="44" s="1"/>
  <c r="I273" i="44"/>
  <c r="F273" i="44"/>
  <c r="N272" i="44"/>
  <c r="M272" i="44"/>
  <c r="K272" i="44"/>
  <c r="J272" i="44"/>
  <c r="H272" i="44"/>
  <c r="G272" i="44"/>
  <c r="G270" i="44" s="1"/>
  <c r="G269" i="44" s="1"/>
  <c r="E272" i="44"/>
  <c r="D272" i="44"/>
  <c r="O271" i="44"/>
  <c r="L271" i="44"/>
  <c r="I271" i="44"/>
  <c r="F271" i="44"/>
  <c r="N270" i="44"/>
  <c r="N269" i="44" s="1"/>
  <c r="K270" i="44"/>
  <c r="K269" i="44" s="1"/>
  <c r="D270" i="44"/>
  <c r="O268" i="44"/>
  <c r="L268" i="44"/>
  <c r="I268" i="44"/>
  <c r="F268" i="44"/>
  <c r="O267" i="44"/>
  <c r="L267" i="44"/>
  <c r="I267" i="44"/>
  <c r="F267" i="44"/>
  <c r="O266" i="44"/>
  <c r="L266" i="44"/>
  <c r="I266" i="44"/>
  <c r="F266" i="44"/>
  <c r="O265" i="44"/>
  <c r="L265" i="44"/>
  <c r="I265" i="44"/>
  <c r="F265" i="44"/>
  <c r="N264" i="44"/>
  <c r="M264" i="44"/>
  <c r="K264" i="44"/>
  <c r="J264" i="44"/>
  <c r="H264" i="44"/>
  <c r="G264" i="44"/>
  <c r="E264" i="44"/>
  <c r="D264" i="44"/>
  <c r="O263" i="44"/>
  <c r="L263" i="44"/>
  <c r="I263" i="44"/>
  <c r="F263" i="44"/>
  <c r="O262" i="44"/>
  <c r="L262" i="44"/>
  <c r="I262" i="44"/>
  <c r="F262" i="44"/>
  <c r="O261" i="44"/>
  <c r="L261" i="44"/>
  <c r="I261" i="44"/>
  <c r="I260" i="44" s="1"/>
  <c r="F261" i="44"/>
  <c r="N260" i="44"/>
  <c r="N259" i="44" s="1"/>
  <c r="M260" i="44"/>
  <c r="K260" i="44"/>
  <c r="J260" i="44"/>
  <c r="H260" i="44"/>
  <c r="G260" i="44"/>
  <c r="G259" i="44" s="1"/>
  <c r="E260" i="44"/>
  <c r="E259" i="44" s="1"/>
  <c r="D260" i="44"/>
  <c r="K259" i="44"/>
  <c r="H259" i="44"/>
  <c r="D259" i="44"/>
  <c r="O258" i="44"/>
  <c r="L258" i="44"/>
  <c r="I258" i="44"/>
  <c r="F258" i="44"/>
  <c r="C258" i="44" s="1"/>
  <c r="O257" i="44"/>
  <c r="L257" i="44"/>
  <c r="I257" i="44"/>
  <c r="F257" i="44"/>
  <c r="O256" i="44"/>
  <c r="L256" i="44"/>
  <c r="I256" i="44"/>
  <c r="F256" i="44"/>
  <c r="O255" i="44"/>
  <c r="L255" i="44"/>
  <c r="I255" i="44"/>
  <c r="F255" i="44"/>
  <c r="O254" i="44"/>
  <c r="L254" i="44"/>
  <c r="I254" i="44"/>
  <c r="F254" i="44"/>
  <c r="O253" i="44"/>
  <c r="L253" i="44"/>
  <c r="L252" i="44" s="1"/>
  <c r="L251" i="44" s="1"/>
  <c r="I253" i="44"/>
  <c r="F253" i="44"/>
  <c r="N252" i="44"/>
  <c r="M252" i="44"/>
  <c r="M251" i="44" s="1"/>
  <c r="K252" i="44"/>
  <c r="J252" i="44"/>
  <c r="H252" i="44"/>
  <c r="G252" i="44"/>
  <c r="G251" i="44" s="1"/>
  <c r="E252" i="44"/>
  <c r="E251" i="44" s="1"/>
  <c r="D252" i="44"/>
  <c r="N251" i="44"/>
  <c r="K251" i="44"/>
  <c r="J251" i="44"/>
  <c r="H251" i="44"/>
  <c r="D251" i="44"/>
  <c r="O250" i="44"/>
  <c r="L250" i="44"/>
  <c r="I250" i="44"/>
  <c r="F250" i="44"/>
  <c r="O249" i="44"/>
  <c r="L249" i="44"/>
  <c r="I249" i="44"/>
  <c r="F249" i="44"/>
  <c r="O248" i="44"/>
  <c r="L248" i="44"/>
  <c r="I248" i="44"/>
  <c r="F248" i="44"/>
  <c r="O247" i="44"/>
  <c r="L247" i="44"/>
  <c r="L246" i="44" s="1"/>
  <c r="I247" i="44"/>
  <c r="F247" i="44"/>
  <c r="O246" i="44"/>
  <c r="N246" i="44"/>
  <c r="M246" i="44"/>
  <c r="K246" i="44"/>
  <c r="J246" i="44"/>
  <c r="H246" i="44"/>
  <c r="G246" i="44"/>
  <c r="E246" i="44"/>
  <c r="D246" i="44"/>
  <c r="O245" i="44"/>
  <c r="L245" i="44"/>
  <c r="I245" i="44"/>
  <c r="F245" i="44"/>
  <c r="O244" i="44"/>
  <c r="L244" i="44"/>
  <c r="I244" i="44"/>
  <c r="F244" i="44"/>
  <c r="O243" i="44"/>
  <c r="L243" i="44"/>
  <c r="I243" i="44"/>
  <c r="F243" i="44"/>
  <c r="O242" i="44"/>
  <c r="L242" i="44"/>
  <c r="I242" i="44"/>
  <c r="F242" i="44"/>
  <c r="O241" i="44"/>
  <c r="L241" i="44"/>
  <c r="I241" i="44"/>
  <c r="F241" i="44"/>
  <c r="O240" i="44"/>
  <c r="L240" i="44"/>
  <c r="I240" i="44"/>
  <c r="F240" i="44"/>
  <c r="O239" i="44"/>
  <c r="L239" i="44"/>
  <c r="I239" i="44"/>
  <c r="F239" i="44"/>
  <c r="N238" i="44"/>
  <c r="M238" i="44"/>
  <c r="K238" i="44"/>
  <c r="J238" i="44"/>
  <c r="H238" i="44"/>
  <c r="G238" i="44"/>
  <c r="E238" i="44"/>
  <c r="D238" i="44"/>
  <c r="O237" i="44"/>
  <c r="L237" i="44"/>
  <c r="I237" i="44"/>
  <c r="F237" i="44"/>
  <c r="O236" i="44"/>
  <c r="L236" i="44"/>
  <c r="L235" i="44" s="1"/>
  <c r="I236" i="44"/>
  <c r="I235" i="44" s="1"/>
  <c r="F236" i="44"/>
  <c r="O235" i="44"/>
  <c r="N235" i="44"/>
  <c r="M235" i="44"/>
  <c r="K235" i="44"/>
  <c r="J235" i="44"/>
  <c r="H235" i="44"/>
  <c r="G235" i="44"/>
  <c r="E235" i="44"/>
  <c r="D235" i="44"/>
  <c r="O234" i="44"/>
  <c r="O233" i="44" s="1"/>
  <c r="L234" i="44"/>
  <c r="I234" i="44"/>
  <c r="C234" i="44" s="1"/>
  <c r="F234" i="44"/>
  <c r="N233" i="44"/>
  <c r="M233" i="44"/>
  <c r="M231" i="44" s="1"/>
  <c r="L233" i="44"/>
  <c r="K233" i="44"/>
  <c r="J233" i="44"/>
  <c r="I233" i="44"/>
  <c r="H233" i="44"/>
  <c r="G233" i="44"/>
  <c r="F233" i="44"/>
  <c r="E233" i="44"/>
  <c r="E231" i="44" s="1"/>
  <c r="D233" i="44"/>
  <c r="D231" i="44" s="1"/>
  <c r="O232" i="44"/>
  <c r="L232" i="44"/>
  <c r="I232" i="44"/>
  <c r="F232" i="44"/>
  <c r="J231" i="44"/>
  <c r="O229" i="44"/>
  <c r="L229" i="44"/>
  <c r="I229" i="44"/>
  <c r="F229" i="44"/>
  <c r="O228" i="44"/>
  <c r="L228" i="44"/>
  <c r="L227" i="44" s="1"/>
  <c r="I228" i="44"/>
  <c r="I227" i="44" s="1"/>
  <c r="F228" i="44"/>
  <c r="F227" i="44" s="1"/>
  <c r="O227" i="44"/>
  <c r="N227" i="44"/>
  <c r="M227" i="44"/>
  <c r="K227" i="44"/>
  <c r="J227" i="44"/>
  <c r="H227" i="44"/>
  <c r="G227" i="44"/>
  <c r="E227" i="44"/>
  <c r="D227" i="44"/>
  <c r="O226" i="44"/>
  <c r="L226" i="44"/>
  <c r="I226" i="44"/>
  <c r="F226" i="44"/>
  <c r="O225" i="44"/>
  <c r="L225" i="44"/>
  <c r="I225" i="44"/>
  <c r="F225" i="44"/>
  <c r="O224" i="44"/>
  <c r="L224" i="44"/>
  <c r="I224" i="44"/>
  <c r="F224" i="44"/>
  <c r="O223" i="44"/>
  <c r="L223" i="44"/>
  <c r="I223" i="44"/>
  <c r="F223" i="44"/>
  <c r="O222" i="44"/>
  <c r="L222" i="44"/>
  <c r="I222" i="44"/>
  <c r="F222" i="44"/>
  <c r="O221" i="44"/>
  <c r="L221" i="44"/>
  <c r="I221" i="44"/>
  <c r="F221" i="44"/>
  <c r="O220" i="44"/>
  <c r="L220" i="44"/>
  <c r="I220" i="44"/>
  <c r="F220" i="44"/>
  <c r="O219" i="44"/>
  <c r="L219" i="44"/>
  <c r="I219" i="44"/>
  <c r="F219" i="44"/>
  <c r="O218" i="44"/>
  <c r="L218" i="44"/>
  <c r="I218" i="44"/>
  <c r="C218" i="44" s="1"/>
  <c r="F218" i="44"/>
  <c r="O217" i="44"/>
  <c r="L217" i="44"/>
  <c r="I217" i="44"/>
  <c r="F217" i="44"/>
  <c r="N216" i="44"/>
  <c r="M216" i="44"/>
  <c r="K216" i="44"/>
  <c r="J216" i="44"/>
  <c r="H216" i="44"/>
  <c r="G216" i="44"/>
  <c r="E216" i="44"/>
  <c r="D216" i="44"/>
  <c r="O215" i="44"/>
  <c r="L215" i="44"/>
  <c r="I215" i="44"/>
  <c r="F215" i="44"/>
  <c r="O214" i="44"/>
  <c r="L214" i="44"/>
  <c r="I214" i="44"/>
  <c r="F214" i="44"/>
  <c r="C214" i="44" s="1"/>
  <c r="O213" i="44"/>
  <c r="L213" i="44"/>
  <c r="I213" i="44"/>
  <c r="F213" i="44"/>
  <c r="O212" i="44"/>
  <c r="L212" i="44"/>
  <c r="I212" i="44"/>
  <c r="F212" i="44"/>
  <c r="O211" i="44"/>
  <c r="L211" i="44"/>
  <c r="I211" i="44"/>
  <c r="F211" i="44"/>
  <c r="O210" i="44"/>
  <c r="L210" i="44"/>
  <c r="I210" i="44"/>
  <c r="F210" i="44"/>
  <c r="C210" i="44" s="1"/>
  <c r="O209" i="44"/>
  <c r="L209" i="44"/>
  <c r="I209" i="44"/>
  <c r="F209" i="44"/>
  <c r="O208" i="44"/>
  <c r="L208" i="44"/>
  <c r="I208" i="44"/>
  <c r="F208" i="44"/>
  <c r="O207" i="44"/>
  <c r="L207" i="44"/>
  <c r="I207" i="44"/>
  <c r="F207" i="44"/>
  <c r="O206" i="44"/>
  <c r="L206" i="44"/>
  <c r="I206" i="44"/>
  <c r="F206" i="44"/>
  <c r="N205" i="44"/>
  <c r="M205" i="44"/>
  <c r="K205" i="44"/>
  <c r="J205" i="44"/>
  <c r="H205" i="44"/>
  <c r="H204" i="44" s="1"/>
  <c r="G205" i="44"/>
  <c r="E205" i="44"/>
  <c r="D205" i="44"/>
  <c r="K204" i="44"/>
  <c r="G204" i="44"/>
  <c r="O203" i="44"/>
  <c r="L203" i="44"/>
  <c r="I203" i="44"/>
  <c r="F203" i="44"/>
  <c r="O202" i="44"/>
  <c r="L202" i="44"/>
  <c r="I202" i="44"/>
  <c r="F202" i="44"/>
  <c r="O201" i="44"/>
  <c r="L201" i="44"/>
  <c r="I201" i="44"/>
  <c r="F201" i="44"/>
  <c r="O200" i="44"/>
  <c r="L200" i="44"/>
  <c r="I200" i="44"/>
  <c r="F200" i="44"/>
  <c r="O199" i="44"/>
  <c r="O198" i="44" s="1"/>
  <c r="L199" i="44"/>
  <c r="L198" i="44" s="1"/>
  <c r="I199" i="44"/>
  <c r="F199" i="44"/>
  <c r="F198" i="44" s="1"/>
  <c r="N198" i="44"/>
  <c r="M198" i="44"/>
  <c r="K198" i="44"/>
  <c r="K196" i="44" s="1"/>
  <c r="J198" i="44"/>
  <c r="J196" i="44" s="1"/>
  <c r="H198" i="44"/>
  <c r="G198" i="44"/>
  <c r="G196" i="44" s="1"/>
  <c r="G195" i="44" s="1"/>
  <c r="E198" i="44"/>
  <c r="E196" i="44" s="1"/>
  <c r="D198" i="44"/>
  <c r="D196" i="44" s="1"/>
  <c r="O197" i="44"/>
  <c r="L197" i="44"/>
  <c r="I197" i="44"/>
  <c r="F197" i="44"/>
  <c r="N196" i="44"/>
  <c r="M196" i="44"/>
  <c r="H196" i="44"/>
  <c r="O193" i="44"/>
  <c r="L193" i="44"/>
  <c r="L192" i="44" s="1"/>
  <c r="I193" i="44"/>
  <c r="I192" i="44" s="1"/>
  <c r="I191" i="44" s="1"/>
  <c r="F193" i="44"/>
  <c r="O192" i="44"/>
  <c r="N192" i="44"/>
  <c r="N191" i="44" s="1"/>
  <c r="M192" i="44"/>
  <c r="M191" i="44" s="1"/>
  <c r="K192" i="44"/>
  <c r="J192" i="44"/>
  <c r="H192" i="44"/>
  <c r="H191" i="44" s="1"/>
  <c r="G192" i="44"/>
  <c r="E192" i="44"/>
  <c r="E191" i="44" s="1"/>
  <c r="D192" i="44"/>
  <c r="O191" i="44"/>
  <c r="L191" i="44"/>
  <c r="K191" i="44"/>
  <c r="J191" i="44"/>
  <c r="G191" i="44"/>
  <c r="D191" i="44"/>
  <c r="O190" i="44"/>
  <c r="L190" i="44"/>
  <c r="I190" i="44"/>
  <c r="F190" i="44"/>
  <c r="O189" i="44"/>
  <c r="L189" i="44"/>
  <c r="I189" i="44"/>
  <c r="F189" i="44"/>
  <c r="F188" i="44" s="1"/>
  <c r="O188" i="44"/>
  <c r="O187" i="44" s="1"/>
  <c r="N188" i="44"/>
  <c r="M188" i="44"/>
  <c r="K188" i="44"/>
  <c r="K187" i="44" s="1"/>
  <c r="J188" i="44"/>
  <c r="H188" i="44"/>
  <c r="G188" i="44"/>
  <c r="G187" i="44" s="1"/>
  <c r="E188" i="44"/>
  <c r="E187" i="44" s="1"/>
  <c r="D188" i="44"/>
  <c r="D187" i="44" s="1"/>
  <c r="O186" i="44"/>
  <c r="L186" i="44"/>
  <c r="I186" i="44"/>
  <c r="F186" i="44"/>
  <c r="O185" i="44"/>
  <c r="L185" i="44"/>
  <c r="L184" i="44" s="1"/>
  <c r="I185" i="44"/>
  <c r="F185" i="44"/>
  <c r="F184" i="44" s="1"/>
  <c r="O184" i="44"/>
  <c r="N184" i="44"/>
  <c r="M184" i="44"/>
  <c r="K184" i="44"/>
  <c r="J184" i="44"/>
  <c r="H184" i="44"/>
  <c r="G184" i="44"/>
  <c r="E184" i="44"/>
  <c r="D184" i="44"/>
  <c r="O183" i="44"/>
  <c r="L183" i="44"/>
  <c r="I183" i="44"/>
  <c r="F183" i="44"/>
  <c r="O182" i="44"/>
  <c r="L182" i="44"/>
  <c r="I182" i="44"/>
  <c r="F182" i="44"/>
  <c r="O181" i="44"/>
  <c r="L181" i="44"/>
  <c r="I181" i="44"/>
  <c r="F181" i="44"/>
  <c r="O180" i="44"/>
  <c r="O179" i="44" s="1"/>
  <c r="L180" i="44"/>
  <c r="L179" i="44" s="1"/>
  <c r="I180" i="44"/>
  <c r="F180" i="44"/>
  <c r="N179" i="44"/>
  <c r="M179" i="44"/>
  <c r="K179" i="44"/>
  <c r="J179" i="44"/>
  <c r="H179" i="44"/>
  <c r="G179" i="44"/>
  <c r="E179" i="44"/>
  <c r="D179" i="44"/>
  <c r="O178" i="44"/>
  <c r="L178" i="44"/>
  <c r="I178" i="44"/>
  <c r="F178" i="44"/>
  <c r="O177" i="44"/>
  <c r="L177" i="44"/>
  <c r="I177" i="44"/>
  <c r="F177" i="44"/>
  <c r="O176" i="44"/>
  <c r="O175" i="44" s="1"/>
  <c r="L176" i="44"/>
  <c r="I176" i="44"/>
  <c r="F176" i="44"/>
  <c r="N175" i="44"/>
  <c r="M175" i="44"/>
  <c r="K175" i="44"/>
  <c r="J175" i="44"/>
  <c r="J174" i="44" s="1"/>
  <c r="J173" i="44" s="1"/>
  <c r="H175" i="44"/>
  <c r="G175" i="44"/>
  <c r="F175" i="44"/>
  <c r="E175" i="44"/>
  <c r="E174" i="44" s="1"/>
  <c r="E173" i="44" s="1"/>
  <c r="D175" i="44"/>
  <c r="N174" i="44"/>
  <c r="K174" i="44"/>
  <c r="G174" i="44"/>
  <c r="N173" i="44"/>
  <c r="O172" i="44"/>
  <c r="L172" i="44"/>
  <c r="I172" i="44"/>
  <c r="F172" i="44"/>
  <c r="O171" i="44"/>
  <c r="L171" i="44"/>
  <c r="I171" i="44"/>
  <c r="F171" i="44"/>
  <c r="O170" i="44"/>
  <c r="L170" i="44"/>
  <c r="I170" i="44"/>
  <c r="C170" i="44" s="1"/>
  <c r="F170" i="44"/>
  <c r="O169" i="44"/>
  <c r="L169" i="44"/>
  <c r="I169" i="44"/>
  <c r="F169" i="44"/>
  <c r="O168" i="44"/>
  <c r="L168" i="44"/>
  <c r="I168" i="44"/>
  <c r="F168" i="44"/>
  <c r="O167" i="44"/>
  <c r="L167" i="44"/>
  <c r="I167" i="44"/>
  <c r="F167" i="44"/>
  <c r="N166" i="44"/>
  <c r="M166" i="44"/>
  <c r="M165" i="44" s="1"/>
  <c r="K166" i="44"/>
  <c r="J166" i="44"/>
  <c r="H166" i="44"/>
  <c r="H165" i="44" s="1"/>
  <c r="G166" i="44"/>
  <c r="E166" i="44"/>
  <c r="E165" i="44" s="1"/>
  <c r="D166" i="44"/>
  <c r="N165" i="44"/>
  <c r="K165" i="44"/>
  <c r="J165" i="44"/>
  <c r="G165" i="44"/>
  <c r="D165" i="44"/>
  <c r="O164" i="44"/>
  <c r="L164" i="44"/>
  <c r="I164" i="44"/>
  <c r="F164" i="44"/>
  <c r="O163" i="44"/>
  <c r="L163" i="44"/>
  <c r="I163" i="44"/>
  <c r="F163" i="44"/>
  <c r="O162" i="44"/>
  <c r="L162" i="44"/>
  <c r="I162" i="44"/>
  <c r="F162" i="44"/>
  <c r="O161" i="44"/>
  <c r="L161" i="44"/>
  <c r="L160" i="44" s="1"/>
  <c r="I161" i="44"/>
  <c r="F161" i="44"/>
  <c r="F160" i="44" s="1"/>
  <c r="O160" i="44"/>
  <c r="N160" i="44"/>
  <c r="M160" i="44"/>
  <c r="K160" i="44"/>
  <c r="J160" i="44"/>
  <c r="H160" i="44"/>
  <c r="G160" i="44"/>
  <c r="E160" i="44"/>
  <c r="D160" i="44"/>
  <c r="O159" i="44"/>
  <c r="L159" i="44"/>
  <c r="I159" i="44"/>
  <c r="F159" i="44"/>
  <c r="O158" i="44"/>
  <c r="L158" i="44"/>
  <c r="I158" i="44"/>
  <c r="F158" i="44"/>
  <c r="O157" i="44"/>
  <c r="L157" i="44"/>
  <c r="I157" i="44"/>
  <c r="F157" i="44"/>
  <c r="O156" i="44"/>
  <c r="C156" i="44" s="1"/>
  <c r="L156" i="44"/>
  <c r="I156" i="44"/>
  <c r="F156" i="44"/>
  <c r="O155" i="44"/>
  <c r="L155" i="44"/>
  <c r="I155" i="44"/>
  <c r="F155" i="44"/>
  <c r="O154" i="44"/>
  <c r="L154" i="44"/>
  <c r="I154" i="44"/>
  <c r="F154" i="44"/>
  <c r="O153" i="44"/>
  <c r="L153" i="44"/>
  <c r="I153" i="44"/>
  <c r="F153" i="44"/>
  <c r="O152" i="44"/>
  <c r="L152" i="44"/>
  <c r="I152" i="44"/>
  <c r="F152" i="44"/>
  <c r="C152" i="44" s="1"/>
  <c r="N151" i="44"/>
  <c r="M151" i="44"/>
  <c r="K151" i="44"/>
  <c r="J151" i="44"/>
  <c r="H151" i="44"/>
  <c r="G151" i="44"/>
  <c r="E151" i="44"/>
  <c r="D151" i="44"/>
  <c r="O150" i="44"/>
  <c r="L150" i="44"/>
  <c r="I150" i="44"/>
  <c r="F150" i="44"/>
  <c r="O149" i="44"/>
  <c r="L149" i="44"/>
  <c r="I149" i="44"/>
  <c r="F149" i="44"/>
  <c r="O148" i="44"/>
  <c r="L148" i="44"/>
  <c r="I148" i="44"/>
  <c r="F148" i="44"/>
  <c r="O147" i="44"/>
  <c r="L147" i="44"/>
  <c r="I147" i="44"/>
  <c r="F147" i="44"/>
  <c r="O146" i="44"/>
  <c r="L146" i="44"/>
  <c r="I146" i="44"/>
  <c r="F146" i="44"/>
  <c r="O145" i="44"/>
  <c r="L145" i="44"/>
  <c r="L144" i="44" s="1"/>
  <c r="I145" i="44"/>
  <c r="F145" i="44"/>
  <c r="F144" i="44" s="1"/>
  <c r="N144" i="44"/>
  <c r="M144" i="44"/>
  <c r="K144" i="44"/>
  <c r="J144" i="44"/>
  <c r="H144" i="44"/>
  <c r="G144" i="44"/>
  <c r="E144" i="44"/>
  <c r="D144" i="44"/>
  <c r="O143" i="44"/>
  <c r="L143" i="44"/>
  <c r="I143" i="44"/>
  <c r="F143" i="44"/>
  <c r="O142" i="44"/>
  <c r="L142" i="44"/>
  <c r="I142" i="44"/>
  <c r="F142" i="44"/>
  <c r="O141" i="44"/>
  <c r="N141" i="44"/>
  <c r="M141" i="44"/>
  <c r="L141" i="44"/>
  <c r="K141" i="44"/>
  <c r="J141" i="44"/>
  <c r="H141" i="44"/>
  <c r="G141" i="44"/>
  <c r="E141" i="44"/>
  <c r="D141" i="44"/>
  <c r="O140" i="44"/>
  <c r="C140" i="44" s="1"/>
  <c r="L140" i="44"/>
  <c r="I140" i="44"/>
  <c r="F140" i="44"/>
  <c r="O139" i="44"/>
  <c r="L139" i="44"/>
  <c r="I139" i="44"/>
  <c r="F139" i="44"/>
  <c r="O138" i="44"/>
  <c r="L138" i="44"/>
  <c r="I138" i="44"/>
  <c r="F138" i="44"/>
  <c r="O137" i="44"/>
  <c r="L137" i="44"/>
  <c r="L136" i="44" s="1"/>
  <c r="I137" i="44"/>
  <c r="F137" i="44"/>
  <c r="F136" i="44" s="1"/>
  <c r="O136" i="44"/>
  <c r="N136" i="44"/>
  <c r="M136" i="44"/>
  <c r="K136" i="44"/>
  <c r="J136" i="44"/>
  <c r="H136" i="44"/>
  <c r="G136" i="44"/>
  <c r="E136" i="44"/>
  <c r="D136" i="44"/>
  <c r="O135" i="44"/>
  <c r="L135" i="44"/>
  <c r="I135" i="44"/>
  <c r="F135" i="44"/>
  <c r="O134" i="44"/>
  <c r="L134" i="44"/>
  <c r="I134" i="44"/>
  <c r="F134" i="44"/>
  <c r="O133" i="44"/>
  <c r="L133" i="44"/>
  <c r="I133" i="44"/>
  <c r="F133" i="44"/>
  <c r="O132" i="44"/>
  <c r="O131" i="44" s="1"/>
  <c r="L132" i="44"/>
  <c r="L131" i="44" s="1"/>
  <c r="I132" i="44"/>
  <c r="C132" i="44" s="1"/>
  <c r="F132" i="44"/>
  <c r="N131" i="44"/>
  <c r="M131" i="44"/>
  <c r="K131" i="44"/>
  <c r="J131" i="44"/>
  <c r="H131" i="44"/>
  <c r="G131" i="44"/>
  <c r="E131" i="44"/>
  <c r="D131" i="44"/>
  <c r="D130" i="44" s="1"/>
  <c r="M130" i="44"/>
  <c r="O129" i="44"/>
  <c r="L129" i="44"/>
  <c r="L128" i="44" s="1"/>
  <c r="I129" i="44"/>
  <c r="I128" i="44" s="1"/>
  <c r="C128" i="44" s="1"/>
  <c r="F129" i="44"/>
  <c r="F128" i="44" s="1"/>
  <c r="O128" i="44"/>
  <c r="N128" i="44"/>
  <c r="M128" i="44"/>
  <c r="K128" i="44"/>
  <c r="J128" i="44"/>
  <c r="H128" i="44"/>
  <c r="G128" i="44"/>
  <c r="E128" i="44"/>
  <c r="D128" i="44"/>
  <c r="O127" i="44"/>
  <c r="L127" i="44"/>
  <c r="I127" i="44"/>
  <c r="F127" i="44"/>
  <c r="O126" i="44"/>
  <c r="L126" i="44"/>
  <c r="I126" i="44"/>
  <c r="F126" i="44"/>
  <c r="O125" i="44"/>
  <c r="L125" i="44"/>
  <c r="I125" i="44"/>
  <c r="F125" i="44"/>
  <c r="O124" i="44"/>
  <c r="L124" i="44"/>
  <c r="I124" i="44"/>
  <c r="F124" i="44"/>
  <c r="O123" i="44"/>
  <c r="L123" i="44"/>
  <c r="I123" i="44"/>
  <c r="I122" i="44" s="1"/>
  <c r="F123" i="44"/>
  <c r="N122" i="44"/>
  <c r="M122" i="44"/>
  <c r="K122" i="44"/>
  <c r="J122" i="44"/>
  <c r="H122" i="44"/>
  <c r="G122" i="44"/>
  <c r="E122" i="44"/>
  <c r="D122" i="44"/>
  <c r="O121" i="44"/>
  <c r="L121" i="44"/>
  <c r="I121" i="44"/>
  <c r="F121" i="44"/>
  <c r="O120" i="44"/>
  <c r="L120" i="44"/>
  <c r="C120" i="44" s="1"/>
  <c r="I120" i="44"/>
  <c r="F120" i="44"/>
  <c r="O119" i="44"/>
  <c r="L119" i="44"/>
  <c r="I119" i="44"/>
  <c r="F119" i="44"/>
  <c r="O118" i="44"/>
  <c r="L118" i="44"/>
  <c r="I118" i="44"/>
  <c r="F118" i="44"/>
  <c r="O117" i="44"/>
  <c r="L117" i="44"/>
  <c r="I117" i="44"/>
  <c r="F117" i="44"/>
  <c r="F116" i="44" s="1"/>
  <c r="O116" i="44"/>
  <c r="N116" i="44"/>
  <c r="M116" i="44"/>
  <c r="K116" i="44"/>
  <c r="J116" i="44"/>
  <c r="H116" i="44"/>
  <c r="G116" i="44"/>
  <c r="E116" i="44"/>
  <c r="D116" i="44"/>
  <c r="O115" i="44"/>
  <c r="L115" i="44"/>
  <c r="I115" i="44"/>
  <c r="F115" i="44"/>
  <c r="C115" i="44" s="1"/>
  <c r="O114" i="44"/>
  <c r="L114" i="44"/>
  <c r="I114" i="44"/>
  <c r="F114" i="44"/>
  <c r="O113" i="44"/>
  <c r="L113" i="44"/>
  <c r="L112" i="44" s="1"/>
  <c r="I113" i="44"/>
  <c r="F113" i="44"/>
  <c r="F112" i="44" s="1"/>
  <c r="O112" i="44"/>
  <c r="N112" i="44"/>
  <c r="M112" i="44"/>
  <c r="K112" i="44"/>
  <c r="J112" i="44"/>
  <c r="H112" i="44"/>
  <c r="G112" i="44"/>
  <c r="E112" i="44"/>
  <c r="D112" i="44"/>
  <c r="O111" i="44"/>
  <c r="L111" i="44"/>
  <c r="I111" i="44"/>
  <c r="F111" i="44"/>
  <c r="O110" i="44"/>
  <c r="L110" i="44"/>
  <c r="I110" i="44"/>
  <c r="C110" i="44" s="1"/>
  <c r="F110" i="44"/>
  <c r="O109" i="44"/>
  <c r="L109" i="44"/>
  <c r="I109" i="44"/>
  <c r="F109" i="44"/>
  <c r="O108" i="44"/>
  <c r="L108" i="44"/>
  <c r="I108" i="44"/>
  <c r="F108" i="44"/>
  <c r="O107" i="44"/>
  <c r="L107" i="44"/>
  <c r="I107" i="44"/>
  <c r="F107" i="44"/>
  <c r="O106" i="44"/>
  <c r="L106" i="44"/>
  <c r="I106" i="44"/>
  <c r="F106" i="44"/>
  <c r="O105" i="44"/>
  <c r="L105" i="44"/>
  <c r="I105" i="44"/>
  <c r="F105" i="44"/>
  <c r="O104" i="44"/>
  <c r="L104" i="44"/>
  <c r="L103" i="44" s="1"/>
  <c r="I104" i="44"/>
  <c r="F104" i="44"/>
  <c r="C104" i="44" s="1"/>
  <c r="N103" i="44"/>
  <c r="M103" i="44"/>
  <c r="K103" i="44"/>
  <c r="J103" i="44"/>
  <c r="H103" i="44"/>
  <c r="G103" i="44"/>
  <c r="E103" i="44"/>
  <c r="D103" i="44"/>
  <c r="O102" i="44"/>
  <c r="L102" i="44"/>
  <c r="I102" i="44"/>
  <c r="F102" i="44"/>
  <c r="O101" i="44"/>
  <c r="L101" i="44"/>
  <c r="I101" i="44"/>
  <c r="F101" i="44"/>
  <c r="O100" i="44"/>
  <c r="C100" i="44" s="1"/>
  <c r="L100" i="44"/>
  <c r="I100" i="44"/>
  <c r="F100" i="44"/>
  <c r="O99" i="44"/>
  <c r="L99" i="44"/>
  <c r="I99" i="44"/>
  <c r="F99" i="44"/>
  <c r="O98" i="44"/>
  <c r="L98" i="44"/>
  <c r="I98" i="44"/>
  <c r="F98" i="44"/>
  <c r="O97" i="44"/>
  <c r="L97" i="44"/>
  <c r="I97" i="44"/>
  <c r="F97" i="44"/>
  <c r="O96" i="44"/>
  <c r="L96" i="44"/>
  <c r="I96" i="44"/>
  <c r="I95" i="44" s="1"/>
  <c r="F96" i="44"/>
  <c r="N95" i="44"/>
  <c r="M95" i="44"/>
  <c r="K95" i="44"/>
  <c r="J95" i="44"/>
  <c r="H95" i="44"/>
  <c r="G95" i="44"/>
  <c r="E95" i="44"/>
  <c r="D95" i="44"/>
  <c r="O94" i="44"/>
  <c r="L94" i="44"/>
  <c r="I94" i="44"/>
  <c r="F94" i="44"/>
  <c r="O93" i="44"/>
  <c r="L93" i="44"/>
  <c r="I93" i="44"/>
  <c r="F93" i="44"/>
  <c r="C93" i="44" s="1"/>
  <c r="O92" i="44"/>
  <c r="L92" i="44"/>
  <c r="I92" i="44"/>
  <c r="F92" i="44"/>
  <c r="C92" i="44" s="1"/>
  <c r="O91" i="44"/>
  <c r="L91" i="44"/>
  <c r="I91" i="44"/>
  <c r="F91" i="44"/>
  <c r="O90" i="44"/>
  <c r="L90" i="44"/>
  <c r="I90" i="44"/>
  <c r="F90" i="44"/>
  <c r="N89" i="44"/>
  <c r="M89" i="44"/>
  <c r="K89" i="44"/>
  <c r="J89" i="44"/>
  <c r="H89" i="44"/>
  <c r="G89" i="44"/>
  <c r="E89" i="44"/>
  <c r="D89" i="44"/>
  <c r="O88" i="44"/>
  <c r="L88" i="44"/>
  <c r="I88" i="44"/>
  <c r="F88" i="44"/>
  <c r="C88" i="44" s="1"/>
  <c r="O87" i="44"/>
  <c r="L87" i="44"/>
  <c r="I87" i="44"/>
  <c r="F87" i="44"/>
  <c r="O86" i="44"/>
  <c r="L86" i="44"/>
  <c r="I86" i="44"/>
  <c r="F86" i="44"/>
  <c r="O85" i="44"/>
  <c r="L85" i="44"/>
  <c r="L84" i="44" s="1"/>
  <c r="I85" i="44"/>
  <c r="F85" i="44"/>
  <c r="N84" i="44"/>
  <c r="M84" i="44"/>
  <c r="K84" i="44"/>
  <c r="J84" i="44"/>
  <c r="H84" i="44"/>
  <c r="G84" i="44"/>
  <c r="E84" i="44"/>
  <c r="D84" i="44"/>
  <c r="O82" i="44"/>
  <c r="L82" i="44"/>
  <c r="I82" i="44"/>
  <c r="F82" i="44"/>
  <c r="O81" i="44"/>
  <c r="L81" i="44"/>
  <c r="L80" i="44" s="1"/>
  <c r="I81" i="44"/>
  <c r="F81" i="44"/>
  <c r="F80" i="44" s="1"/>
  <c r="O80" i="44"/>
  <c r="N80" i="44"/>
  <c r="M80" i="44"/>
  <c r="K80" i="44"/>
  <c r="J80" i="44"/>
  <c r="H80" i="44"/>
  <c r="G80" i="44"/>
  <c r="E80" i="44"/>
  <c r="D80" i="44"/>
  <c r="O79" i="44"/>
  <c r="L79" i="44"/>
  <c r="I79" i="44"/>
  <c r="F79" i="44"/>
  <c r="O78" i="44"/>
  <c r="L78" i="44"/>
  <c r="I78" i="44"/>
  <c r="F78" i="44"/>
  <c r="F77" i="44" s="1"/>
  <c r="O77" i="44"/>
  <c r="N77" i="44"/>
  <c r="M77" i="44"/>
  <c r="L77" i="44"/>
  <c r="K77" i="44"/>
  <c r="J77" i="44"/>
  <c r="H77" i="44"/>
  <c r="H76" i="44" s="1"/>
  <c r="G77" i="44"/>
  <c r="E77" i="44"/>
  <c r="D77" i="44"/>
  <c r="M76" i="44"/>
  <c r="E76" i="44"/>
  <c r="D76" i="44"/>
  <c r="O74" i="44"/>
  <c r="L74" i="44"/>
  <c r="I74" i="44"/>
  <c r="F74" i="44"/>
  <c r="O73" i="44"/>
  <c r="L73" i="44"/>
  <c r="I73" i="44"/>
  <c r="F73" i="44"/>
  <c r="O72" i="44"/>
  <c r="L72" i="44"/>
  <c r="I72" i="44"/>
  <c r="F72" i="44"/>
  <c r="O71" i="44"/>
  <c r="L71" i="44"/>
  <c r="I71" i="44"/>
  <c r="F71" i="44"/>
  <c r="O70" i="44"/>
  <c r="L70" i="44"/>
  <c r="L69" i="44" s="1"/>
  <c r="I70" i="44"/>
  <c r="F70" i="44"/>
  <c r="O69" i="44"/>
  <c r="N69" i="44"/>
  <c r="N67" i="44" s="1"/>
  <c r="M69" i="44"/>
  <c r="K69" i="44"/>
  <c r="K67" i="44" s="1"/>
  <c r="J69" i="44"/>
  <c r="H69" i="44"/>
  <c r="H67" i="44" s="1"/>
  <c r="G69" i="44"/>
  <c r="F69" i="44"/>
  <c r="E69" i="44"/>
  <c r="D69" i="44"/>
  <c r="D67" i="44" s="1"/>
  <c r="O68" i="44"/>
  <c r="L68" i="44"/>
  <c r="I68" i="44"/>
  <c r="F68" i="44"/>
  <c r="C68" i="44" s="1"/>
  <c r="M67" i="44"/>
  <c r="J67" i="44"/>
  <c r="G67" i="44"/>
  <c r="E67" i="44"/>
  <c r="O66" i="44"/>
  <c r="L66" i="44"/>
  <c r="I66" i="44"/>
  <c r="F66" i="44"/>
  <c r="O65" i="44"/>
  <c r="L65" i="44"/>
  <c r="I65" i="44"/>
  <c r="F65" i="44"/>
  <c r="O64" i="44"/>
  <c r="L64" i="44"/>
  <c r="I64" i="44"/>
  <c r="F64" i="44"/>
  <c r="O63" i="44"/>
  <c r="L63" i="44"/>
  <c r="I63" i="44"/>
  <c r="F63" i="44"/>
  <c r="O62" i="44"/>
  <c r="L62" i="44"/>
  <c r="I62" i="44"/>
  <c r="F62" i="44"/>
  <c r="O61" i="44"/>
  <c r="L61" i="44"/>
  <c r="I61" i="44"/>
  <c r="F61" i="44"/>
  <c r="O60" i="44"/>
  <c r="L60" i="44"/>
  <c r="I60" i="44"/>
  <c r="F60" i="44"/>
  <c r="O59" i="44"/>
  <c r="L59" i="44"/>
  <c r="L58" i="44" s="1"/>
  <c r="I59" i="44"/>
  <c r="I58" i="44" s="1"/>
  <c r="F59" i="44"/>
  <c r="N58" i="44"/>
  <c r="M58" i="44"/>
  <c r="K58" i="44"/>
  <c r="J58" i="44"/>
  <c r="H58" i="44"/>
  <c r="G58" i="44"/>
  <c r="E58" i="44"/>
  <c r="D58" i="44"/>
  <c r="O57" i="44"/>
  <c r="L57" i="44"/>
  <c r="I57" i="44"/>
  <c r="F57" i="44"/>
  <c r="O56" i="44"/>
  <c r="O55" i="44" s="1"/>
  <c r="L56" i="44"/>
  <c r="L55" i="44" s="1"/>
  <c r="L54" i="44" s="1"/>
  <c r="I56" i="44"/>
  <c r="I55" i="44" s="1"/>
  <c r="F56" i="44"/>
  <c r="N55" i="44"/>
  <c r="N54" i="44" s="1"/>
  <c r="M55" i="44"/>
  <c r="M54" i="44" s="1"/>
  <c r="M53" i="44" s="1"/>
  <c r="K55" i="44"/>
  <c r="J55" i="44"/>
  <c r="J54" i="44" s="1"/>
  <c r="J53" i="44" s="1"/>
  <c r="H55" i="44"/>
  <c r="H54" i="44" s="1"/>
  <c r="G55" i="44"/>
  <c r="F55" i="44"/>
  <c r="E55" i="44"/>
  <c r="E54" i="44" s="1"/>
  <c r="E53" i="44" s="1"/>
  <c r="D55" i="44"/>
  <c r="D54" i="44" s="1"/>
  <c r="G54" i="44"/>
  <c r="G53" i="44" s="1"/>
  <c r="O47" i="44"/>
  <c r="C47" i="44"/>
  <c r="O46" i="44"/>
  <c r="O45" i="44" s="1"/>
  <c r="N45" i="44"/>
  <c r="M45" i="44"/>
  <c r="L44" i="44"/>
  <c r="L43" i="44" s="1"/>
  <c r="I44" i="44"/>
  <c r="I43" i="44" s="1"/>
  <c r="F44" i="44"/>
  <c r="F43" i="44" s="1"/>
  <c r="K43" i="44"/>
  <c r="J43" i="44"/>
  <c r="H43" i="44"/>
  <c r="G43" i="44"/>
  <c r="E43" i="44"/>
  <c r="D43" i="44"/>
  <c r="F42" i="44"/>
  <c r="F41" i="44" s="1"/>
  <c r="C41" i="44" s="1"/>
  <c r="E41" i="44"/>
  <c r="D41" i="44"/>
  <c r="L40" i="44"/>
  <c r="C40" i="44" s="1"/>
  <c r="L39" i="44"/>
  <c r="C39" i="44" s="1"/>
  <c r="L38" i="44"/>
  <c r="C38" i="44"/>
  <c r="L37" i="44"/>
  <c r="C37" i="44" s="1"/>
  <c r="K36" i="44"/>
  <c r="J36" i="44"/>
  <c r="L35" i="44"/>
  <c r="C35" i="44" s="1"/>
  <c r="L34" i="44"/>
  <c r="C34" i="44"/>
  <c r="K33" i="44"/>
  <c r="J33" i="44"/>
  <c r="L32" i="44"/>
  <c r="L31" i="44" s="1"/>
  <c r="K31" i="44"/>
  <c r="J31" i="44"/>
  <c r="L30" i="44"/>
  <c r="C30" i="44" s="1"/>
  <c r="L29" i="44"/>
  <c r="C29" i="44" s="1"/>
  <c r="L28" i="44"/>
  <c r="L27" i="44" s="1"/>
  <c r="C27" i="44" s="1"/>
  <c r="C28" i="44"/>
  <c r="K27" i="44"/>
  <c r="J27" i="44"/>
  <c r="J26" i="44" s="1"/>
  <c r="K26" i="44"/>
  <c r="F25" i="44"/>
  <c r="C25" i="44" s="1"/>
  <c r="I24" i="44"/>
  <c r="F24" i="44"/>
  <c r="O23" i="44"/>
  <c r="L23" i="44"/>
  <c r="I23" i="44"/>
  <c r="F23" i="44"/>
  <c r="O22" i="44"/>
  <c r="L22" i="44"/>
  <c r="I22" i="44"/>
  <c r="F22" i="44"/>
  <c r="N21" i="44"/>
  <c r="N292" i="44" s="1"/>
  <c r="N291" i="44" s="1"/>
  <c r="M21" i="44"/>
  <c r="M20" i="44" s="1"/>
  <c r="K21" i="44"/>
  <c r="K292" i="44" s="1"/>
  <c r="K291" i="44" s="1"/>
  <c r="J21" i="44"/>
  <c r="I21" i="44"/>
  <c r="H21" i="44"/>
  <c r="H292" i="44" s="1"/>
  <c r="H291" i="44" s="1"/>
  <c r="G21" i="44"/>
  <c r="G292" i="44" s="1"/>
  <c r="E21" i="44"/>
  <c r="D21" i="44"/>
  <c r="D292" i="44" s="1"/>
  <c r="D291" i="44" s="1"/>
  <c r="H20" i="44"/>
  <c r="D20" i="44"/>
  <c r="C74" i="44" l="1"/>
  <c r="C124" i="44"/>
  <c r="C125" i="44"/>
  <c r="C127" i="44"/>
  <c r="I166" i="44"/>
  <c r="I165" i="44" s="1"/>
  <c r="M187" i="44"/>
  <c r="C215" i="44"/>
  <c r="O216" i="44"/>
  <c r="O264" i="44"/>
  <c r="C23" i="44"/>
  <c r="C32" i="44"/>
  <c r="C60" i="44"/>
  <c r="C61" i="44"/>
  <c r="C63" i="44"/>
  <c r="C65" i="44"/>
  <c r="C79" i="44"/>
  <c r="O76" i="44"/>
  <c r="H83" i="44"/>
  <c r="C153" i="44"/>
  <c r="C180" i="44"/>
  <c r="H187" i="44"/>
  <c r="N187" i="44"/>
  <c r="O196" i="44"/>
  <c r="C212" i="44"/>
  <c r="C222" i="44"/>
  <c r="C226" i="44"/>
  <c r="C250" i="44"/>
  <c r="O252" i="44"/>
  <c r="O251" i="44" s="1"/>
  <c r="C262" i="44"/>
  <c r="J259" i="44"/>
  <c r="C294" i="44"/>
  <c r="L33" i="44"/>
  <c r="C33" i="44" s="1"/>
  <c r="C42" i="44"/>
  <c r="K54" i="44"/>
  <c r="K53" i="44" s="1"/>
  <c r="L67" i="44"/>
  <c r="K76" i="44"/>
  <c r="C150" i="44"/>
  <c r="C164" i="44"/>
  <c r="M174" i="44"/>
  <c r="M173" i="44" s="1"/>
  <c r="C202" i="44"/>
  <c r="C206" i="44"/>
  <c r="E204" i="44"/>
  <c r="C242" i="44"/>
  <c r="O270" i="44"/>
  <c r="O269" i="44" s="1"/>
  <c r="H270" i="44"/>
  <c r="H269" i="44" s="1"/>
  <c r="O276" i="44"/>
  <c r="C282" i="44"/>
  <c r="O122" i="44"/>
  <c r="E130" i="44"/>
  <c r="C139" i="44"/>
  <c r="C168" i="44"/>
  <c r="N231" i="44"/>
  <c r="N230" i="44" s="1"/>
  <c r="N194" i="44" s="1"/>
  <c r="C254" i="44"/>
  <c r="J270" i="44"/>
  <c r="J269" i="44" s="1"/>
  <c r="C176" i="44"/>
  <c r="H195" i="44"/>
  <c r="L205" i="44"/>
  <c r="N204" i="44"/>
  <c r="N195" i="44" s="1"/>
  <c r="I293" i="44"/>
  <c r="E292" i="44"/>
  <c r="E291" i="44" s="1"/>
  <c r="C22" i="44"/>
  <c r="O21" i="44"/>
  <c r="C55" i="44"/>
  <c r="C56" i="44"/>
  <c r="C62" i="44"/>
  <c r="C66" i="44"/>
  <c r="C94" i="44"/>
  <c r="C98" i="44"/>
  <c r="D83" i="44"/>
  <c r="D75" i="44" s="1"/>
  <c r="C119" i="44"/>
  <c r="M83" i="44"/>
  <c r="M75" i="44" s="1"/>
  <c r="M52" i="44" s="1"/>
  <c r="C126" i="44"/>
  <c r="G130" i="44"/>
  <c r="J130" i="44"/>
  <c r="N130" i="44"/>
  <c r="C157" i="44"/>
  <c r="C159" i="44"/>
  <c r="C169" i="44"/>
  <c r="G173" i="44"/>
  <c r="K195" i="44"/>
  <c r="C201" i="44"/>
  <c r="D204" i="44"/>
  <c r="D195" i="44" s="1"/>
  <c r="C221" i="44"/>
  <c r="C236" i="44"/>
  <c r="O238" i="44"/>
  <c r="C263" i="44"/>
  <c r="I276" i="44"/>
  <c r="L276" i="44"/>
  <c r="C287" i="44"/>
  <c r="C288" i="44"/>
  <c r="L293" i="44"/>
  <c r="N53" i="44"/>
  <c r="J187" i="44"/>
  <c r="J204" i="44"/>
  <c r="J195" i="44" s="1"/>
  <c r="C266" i="44"/>
  <c r="J292" i="44"/>
  <c r="J291" i="44" s="1"/>
  <c r="J20" i="44"/>
  <c r="G291" i="44"/>
  <c r="C24" i="44"/>
  <c r="C57" i="44"/>
  <c r="F67" i="44"/>
  <c r="C73" i="44"/>
  <c r="J76" i="44"/>
  <c r="N76" i="44"/>
  <c r="G76" i="44"/>
  <c r="C87" i="44"/>
  <c r="O84" i="44"/>
  <c r="N83" i="44"/>
  <c r="L89" i="44"/>
  <c r="L95" i="44"/>
  <c r="C102" i="44"/>
  <c r="C108" i="44"/>
  <c r="O144" i="44"/>
  <c r="C158" i="44"/>
  <c r="C163" i="44"/>
  <c r="O166" i="44"/>
  <c r="O165" i="44" s="1"/>
  <c r="C172" i="44"/>
  <c r="C203" i="44"/>
  <c r="M204" i="44"/>
  <c r="C223" i="44"/>
  <c r="C225" i="44"/>
  <c r="C228" i="44"/>
  <c r="C229" i="44"/>
  <c r="K231" i="44"/>
  <c r="K230" i="44" s="1"/>
  <c r="C245" i="44"/>
  <c r="L260" i="44"/>
  <c r="C271" i="44"/>
  <c r="I270" i="44"/>
  <c r="I269" i="44" s="1"/>
  <c r="M270" i="44"/>
  <c r="M269" i="44" s="1"/>
  <c r="I286" i="44"/>
  <c r="C286" i="44" s="1"/>
  <c r="K173" i="44"/>
  <c r="N20" i="44"/>
  <c r="L21" i="44"/>
  <c r="L36" i="44"/>
  <c r="C36" i="44" s="1"/>
  <c r="C43" i="44"/>
  <c r="C46" i="44"/>
  <c r="D53" i="44"/>
  <c r="H53" i="44"/>
  <c r="I54" i="44"/>
  <c r="C59" i="44"/>
  <c r="O58" i="44"/>
  <c r="O54" i="44" s="1"/>
  <c r="C64" i="44"/>
  <c r="O67" i="44"/>
  <c r="C70" i="44"/>
  <c r="C72" i="44"/>
  <c r="L76" i="44"/>
  <c r="K83" i="44"/>
  <c r="J83" i="44"/>
  <c r="C91" i="44"/>
  <c r="O95" i="44"/>
  <c r="C105" i="44"/>
  <c r="C111" i="44"/>
  <c r="E83" i="44"/>
  <c r="E75" i="44" s="1"/>
  <c r="E52" i="44" s="1"/>
  <c r="C133" i="44"/>
  <c r="C143" i="44"/>
  <c r="C147" i="44"/>
  <c r="O151" i="44"/>
  <c r="L151" i="44"/>
  <c r="C171" i="44"/>
  <c r="H174" i="44"/>
  <c r="H173" i="44" s="1"/>
  <c r="L175" i="44"/>
  <c r="L174" i="44" s="1"/>
  <c r="L173" i="44" s="1"/>
  <c r="C181" i="44"/>
  <c r="C211" i="44"/>
  <c r="C213" i="44"/>
  <c r="C224" i="44"/>
  <c r="D230" i="44"/>
  <c r="H231" i="44"/>
  <c r="H230" i="44" s="1"/>
  <c r="L238" i="44"/>
  <c r="L231" i="44" s="1"/>
  <c r="C244" i="44"/>
  <c r="C247" i="44"/>
  <c r="C257" i="44"/>
  <c r="O260" i="44"/>
  <c r="O259" i="44" s="1"/>
  <c r="C275" i="44"/>
  <c r="C279" i="44"/>
  <c r="D269" i="44"/>
  <c r="C45" i="44"/>
  <c r="O292" i="44"/>
  <c r="O291" i="44" s="1"/>
  <c r="O20" i="44"/>
  <c r="C31" i="44"/>
  <c r="L26" i="44"/>
  <c r="L20" i="44" s="1"/>
  <c r="L53" i="44"/>
  <c r="L292" i="44"/>
  <c r="L291" i="44" s="1"/>
  <c r="C135" i="44"/>
  <c r="F131" i="44"/>
  <c r="C220" i="44"/>
  <c r="I216" i="44"/>
  <c r="C237" i="44"/>
  <c r="F235" i="44"/>
  <c r="C256" i="44"/>
  <c r="I252" i="44"/>
  <c r="I251" i="44" s="1"/>
  <c r="C301" i="44"/>
  <c r="G20" i="44"/>
  <c r="K20" i="44"/>
  <c r="F21" i="44"/>
  <c r="F58" i="44"/>
  <c r="C58" i="44" s="1"/>
  <c r="G83" i="44"/>
  <c r="G75" i="44" s="1"/>
  <c r="G52" i="44" s="1"/>
  <c r="C86" i="44"/>
  <c r="I84" i="44"/>
  <c r="O89" i="44"/>
  <c r="C97" i="44"/>
  <c r="C99" i="44"/>
  <c r="F95" i="44"/>
  <c r="C106" i="44"/>
  <c r="I103" i="44"/>
  <c r="C109" i="44"/>
  <c r="L122" i="44"/>
  <c r="H130" i="44"/>
  <c r="H75" i="44" s="1"/>
  <c r="C134" i="44"/>
  <c r="I131" i="44"/>
  <c r="F141" i="44"/>
  <c r="C146" i="44"/>
  <c r="I144" i="44"/>
  <c r="C144" i="44" s="1"/>
  <c r="C149" i="44"/>
  <c r="L166" i="44"/>
  <c r="L165" i="44" s="1"/>
  <c r="O174" i="44"/>
  <c r="O173" i="44" s="1"/>
  <c r="C182" i="44"/>
  <c r="I179" i="44"/>
  <c r="C208" i="44"/>
  <c r="I205" i="44"/>
  <c r="O231" i="44"/>
  <c r="O230" i="44" s="1"/>
  <c r="M292" i="44"/>
  <c r="M291" i="44" s="1"/>
  <c r="F84" i="44"/>
  <c r="C96" i="44"/>
  <c r="C107" i="44"/>
  <c r="F103" i="44"/>
  <c r="C114" i="44"/>
  <c r="I112" i="44"/>
  <c r="C112" i="44" s="1"/>
  <c r="C154" i="44"/>
  <c r="I151" i="44"/>
  <c r="C183" i="44"/>
  <c r="F179" i="44"/>
  <c r="C44" i="44"/>
  <c r="C71" i="44"/>
  <c r="I77" i="44"/>
  <c r="C78" i="44"/>
  <c r="C101" i="44"/>
  <c r="C118" i="44"/>
  <c r="I116" i="44"/>
  <c r="C121" i="44"/>
  <c r="K130" i="44"/>
  <c r="C177" i="44"/>
  <c r="C190" i="44"/>
  <c r="I188" i="44"/>
  <c r="C268" i="44"/>
  <c r="I264" i="44"/>
  <c r="F76" i="44"/>
  <c r="C77" i="44"/>
  <c r="C82" i="44"/>
  <c r="I80" i="44"/>
  <c r="C80" i="44" s="1"/>
  <c r="L130" i="44"/>
  <c r="C148" i="44"/>
  <c r="E20" i="44"/>
  <c r="I20" i="44"/>
  <c r="I69" i="44"/>
  <c r="C69" i="44" s="1"/>
  <c r="K75" i="44"/>
  <c r="K52" i="44" s="1"/>
  <c r="F89" i="44"/>
  <c r="I89" i="44"/>
  <c r="C90" i="44"/>
  <c r="O103" i="44"/>
  <c r="L116" i="44"/>
  <c r="C123" i="44"/>
  <c r="F122" i="44"/>
  <c r="C122" i="44" s="1"/>
  <c r="O130" i="44"/>
  <c r="C138" i="44"/>
  <c r="I136" i="44"/>
  <c r="C136" i="44" s="1"/>
  <c r="I141" i="44"/>
  <c r="C142" i="44"/>
  <c r="C155" i="44"/>
  <c r="F151" i="44"/>
  <c r="C151" i="44" s="1"/>
  <c r="C162" i="44"/>
  <c r="I160" i="44"/>
  <c r="C160" i="44" s="1"/>
  <c r="C167" i="44"/>
  <c r="F166" i="44"/>
  <c r="D174" i="44"/>
  <c r="D173" i="44" s="1"/>
  <c r="C178" i="44"/>
  <c r="I175" i="44"/>
  <c r="I174" i="44" s="1"/>
  <c r="C186" i="44"/>
  <c r="I184" i="44"/>
  <c r="C184" i="44" s="1"/>
  <c r="C189" i="44"/>
  <c r="L188" i="44"/>
  <c r="L187" i="44" s="1"/>
  <c r="C200" i="44"/>
  <c r="I198" i="44"/>
  <c r="C261" i="44"/>
  <c r="F260" i="44"/>
  <c r="C277" i="44"/>
  <c r="F276" i="44"/>
  <c r="C276" i="44" s="1"/>
  <c r="C81" i="44"/>
  <c r="C85" i="44"/>
  <c r="C113" i="44"/>
  <c r="C117" i="44"/>
  <c r="C129" i="44"/>
  <c r="C137" i="44"/>
  <c r="C145" i="44"/>
  <c r="C161" i="44"/>
  <c r="C185" i="44"/>
  <c r="C197" i="44"/>
  <c r="F196" i="44"/>
  <c r="D194" i="44"/>
  <c r="L216" i="44"/>
  <c r="L204" i="44" s="1"/>
  <c r="C249" i="44"/>
  <c r="F246" i="44"/>
  <c r="L264" i="44"/>
  <c r="C267" i="44"/>
  <c r="E270" i="44"/>
  <c r="E269" i="44" s="1"/>
  <c r="C285" i="44"/>
  <c r="F284" i="44"/>
  <c r="O205" i="44"/>
  <c r="O204" i="44" s="1"/>
  <c r="O195" i="44" s="1"/>
  <c r="O194" i="44" s="1"/>
  <c r="C217" i="44"/>
  <c r="F216" i="44"/>
  <c r="J230" i="44"/>
  <c r="C232" i="44"/>
  <c r="C239" i="44"/>
  <c r="C241" i="44"/>
  <c r="F238" i="44"/>
  <c r="C248" i="44"/>
  <c r="I246" i="44"/>
  <c r="E230" i="44"/>
  <c r="C253" i="44"/>
  <c r="F252" i="44"/>
  <c r="M259" i="44"/>
  <c r="M230" i="44" s="1"/>
  <c r="C265" i="44"/>
  <c r="F264" i="44"/>
  <c r="L270" i="44"/>
  <c r="L269" i="44" s="1"/>
  <c r="C273" i="44"/>
  <c r="F272" i="44"/>
  <c r="C193" i="44"/>
  <c r="F192" i="44"/>
  <c r="E195" i="44"/>
  <c r="M195" i="44"/>
  <c r="L196" i="44"/>
  <c r="C207" i="44"/>
  <c r="C209" i="44"/>
  <c r="F205" i="44"/>
  <c r="C219" i="44"/>
  <c r="C227" i="44"/>
  <c r="C233" i="44"/>
  <c r="G231" i="44"/>
  <c r="G230" i="44" s="1"/>
  <c r="G194" i="44" s="1"/>
  <c r="C240" i="44"/>
  <c r="I238" i="44"/>
  <c r="I231" i="44" s="1"/>
  <c r="C243" i="44"/>
  <c r="C255" i="44"/>
  <c r="I259" i="44"/>
  <c r="C281" i="44"/>
  <c r="C295" i="44"/>
  <c r="C296" i="44"/>
  <c r="C297" i="44"/>
  <c r="F293" i="44"/>
  <c r="C293" i="44" s="1"/>
  <c r="C199" i="44"/>
  <c r="C264" i="44" l="1"/>
  <c r="L259" i="44"/>
  <c r="L83" i="44"/>
  <c r="L75" i="44" s="1"/>
  <c r="L52" i="44" s="1"/>
  <c r="G51" i="44"/>
  <c r="O53" i="44"/>
  <c r="E194" i="44"/>
  <c r="C246" i="44"/>
  <c r="H194" i="44"/>
  <c r="L230" i="44"/>
  <c r="M289" i="44"/>
  <c r="C216" i="44"/>
  <c r="D52" i="44"/>
  <c r="D51" i="44" s="1"/>
  <c r="I204" i="44"/>
  <c r="E51" i="44"/>
  <c r="E50" i="44" s="1"/>
  <c r="J289" i="44"/>
  <c r="J75" i="44"/>
  <c r="J52" i="44" s="1"/>
  <c r="G289" i="44"/>
  <c r="C175" i="44"/>
  <c r="H52" i="44"/>
  <c r="H51" i="44" s="1"/>
  <c r="H290" i="44" s="1"/>
  <c r="O83" i="44"/>
  <c r="O75" i="44" s="1"/>
  <c r="O52" i="44" s="1"/>
  <c r="O51" i="44" s="1"/>
  <c r="O50" i="44" s="1"/>
  <c r="N75" i="44"/>
  <c r="N289" i="44" s="1"/>
  <c r="N52" i="44"/>
  <c r="N51" i="44" s="1"/>
  <c r="N50" i="44" s="1"/>
  <c r="K194" i="44"/>
  <c r="K51" i="44" s="1"/>
  <c r="E289" i="44"/>
  <c r="C238" i="44"/>
  <c r="C95" i="44"/>
  <c r="F54" i="44"/>
  <c r="C54" i="44" s="1"/>
  <c r="I292" i="44"/>
  <c r="I291" i="44" s="1"/>
  <c r="G290" i="44"/>
  <c r="G50" i="44"/>
  <c r="D290" i="44"/>
  <c r="D50" i="44"/>
  <c r="O289" i="44"/>
  <c r="C192" i="44"/>
  <c r="F191" i="44"/>
  <c r="C284" i="44"/>
  <c r="F283" i="44"/>
  <c r="C283" i="44" s="1"/>
  <c r="C260" i="44"/>
  <c r="F259" i="44"/>
  <c r="C259" i="44" s="1"/>
  <c r="I173" i="44"/>
  <c r="C89" i="44"/>
  <c r="C116" i="44"/>
  <c r="I76" i="44"/>
  <c r="C76" i="44" s="1"/>
  <c r="C179" i="44"/>
  <c r="F174" i="44"/>
  <c r="H289" i="44"/>
  <c r="J194" i="44"/>
  <c r="J51" i="44" s="1"/>
  <c r="F292" i="44"/>
  <c r="C21" i="44"/>
  <c r="F20" i="44"/>
  <c r="C20" i="44" s="1"/>
  <c r="C235" i="44"/>
  <c r="F231" i="44"/>
  <c r="C131" i="44"/>
  <c r="F130" i="44"/>
  <c r="C130" i="44" s="1"/>
  <c r="I67" i="44"/>
  <c r="I130" i="44"/>
  <c r="F53" i="44"/>
  <c r="C26" i="44"/>
  <c r="L195" i="44"/>
  <c r="L194" i="44" s="1"/>
  <c r="C252" i="44"/>
  <c r="F251" i="44"/>
  <c r="C251" i="44" s="1"/>
  <c r="N290" i="44"/>
  <c r="F83" i="44"/>
  <c r="C84" i="44"/>
  <c r="F270" i="44"/>
  <c r="C272" i="44"/>
  <c r="C166" i="44"/>
  <c r="F165" i="44"/>
  <c r="C165" i="44" s="1"/>
  <c r="I187" i="44"/>
  <c r="C188" i="44"/>
  <c r="C205" i="44"/>
  <c r="F204" i="44"/>
  <c r="C204" i="44" s="1"/>
  <c r="M194" i="44"/>
  <c r="M51" i="44" s="1"/>
  <c r="I230" i="44"/>
  <c r="C198" i="44"/>
  <c r="I196" i="44"/>
  <c r="I195" i="44" s="1"/>
  <c r="I194" i="44" s="1"/>
  <c r="K289" i="44"/>
  <c r="C103" i="44"/>
  <c r="C141" i="44"/>
  <c r="I83" i="44"/>
  <c r="D289" i="44"/>
  <c r="O290" i="44" l="1"/>
  <c r="E290" i="44"/>
  <c r="K290" i="44"/>
  <c r="K50" i="44"/>
  <c r="F195" i="44"/>
  <c r="F75" i="44"/>
  <c r="H50" i="44"/>
  <c r="L51" i="44"/>
  <c r="L50" i="44" s="1"/>
  <c r="C174" i="44"/>
  <c r="F173" i="44"/>
  <c r="C173" i="44" s="1"/>
  <c r="M50" i="44"/>
  <c r="M290" i="44"/>
  <c r="F269" i="44"/>
  <c r="C270" i="44"/>
  <c r="F230" i="44"/>
  <c r="C230" i="44" s="1"/>
  <c r="C231" i="44"/>
  <c r="C292" i="44"/>
  <c r="F291" i="44"/>
  <c r="C291" i="44" s="1"/>
  <c r="C191" i="44"/>
  <c r="F187" i="44"/>
  <c r="C187" i="44" s="1"/>
  <c r="C195" i="44"/>
  <c r="C67" i="44"/>
  <c r="I53" i="44"/>
  <c r="C53" i="44" s="1"/>
  <c r="J50" i="44"/>
  <c r="J290" i="44"/>
  <c r="I75" i="44"/>
  <c r="C196" i="44"/>
  <c r="C83" i="44"/>
  <c r="L289" i="44"/>
  <c r="F194" i="44" l="1"/>
  <c r="C194" i="44" s="1"/>
  <c r="C75" i="44"/>
  <c r="L290" i="44"/>
  <c r="I52" i="44"/>
  <c r="I51" i="44" s="1"/>
  <c r="C269" i="44"/>
  <c r="F289" i="44"/>
  <c r="I289" i="44"/>
  <c r="F52" i="44"/>
  <c r="C289" i="44" l="1"/>
  <c r="F51" i="44"/>
  <c r="C52" i="44"/>
  <c r="I290" i="44"/>
  <c r="I50" i="44"/>
  <c r="F290" i="44" l="1"/>
  <c r="C290" i="44" s="1"/>
  <c r="C51" i="44"/>
  <c r="F50" i="44"/>
  <c r="C50" i="44" s="1"/>
  <c r="H272" i="43" l="1"/>
  <c r="H271" i="43"/>
  <c r="H270" i="43"/>
  <c r="G269" i="43"/>
  <c r="F269" i="43"/>
  <c r="E269" i="43"/>
  <c r="D269" i="43"/>
  <c r="I268" i="43"/>
  <c r="H268" i="43"/>
  <c r="I267" i="43"/>
  <c r="H267" i="43"/>
  <c r="I266" i="43"/>
  <c r="H266" i="43"/>
  <c r="I265" i="43"/>
  <c r="H265" i="43"/>
  <c r="I264" i="43"/>
  <c r="I263" i="43" s="1"/>
  <c r="H264" i="43"/>
  <c r="G263" i="43"/>
  <c r="F263" i="43"/>
  <c r="E263" i="43"/>
  <c r="D263" i="43"/>
  <c r="I262" i="43"/>
  <c r="H262" i="43"/>
  <c r="I261" i="43"/>
  <c r="H261" i="43"/>
  <c r="I260" i="43"/>
  <c r="H260" i="43"/>
  <c r="I259" i="43"/>
  <c r="I258" i="43" s="1"/>
  <c r="H259" i="43"/>
  <c r="H258" i="43" s="1"/>
  <c r="H257" i="43" s="1"/>
  <c r="G258" i="43"/>
  <c r="F258" i="43"/>
  <c r="E258" i="43"/>
  <c r="D258" i="43"/>
  <c r="D257" i="43" s="1"/>
  <c r="I256" i="43"/>
  <c r="H256" i="43"/>
  <c r="I255" i="43"/>
  <c r="H255" i="43"/>
  <c r="I254" i="43"/>
  <c r="H254" i="43"/>
  <c r="G253" i="43"/>
  <c r="F253" i="43"/>
  <c r="E253" i="43"/>
  <c r="D253" i="43"/>
  <c r="I252" i="43"/>
  <c r="H252" i="43"/>
  <c r="I251" i="43"/>
  <c r="H251" i="43"/>
  <c r="I250" i="43"/>
  <c r="H250" i="43"/>
  <c r="H248" i="43" s="1"/>
  <c r="I249" i="43"/>
  <c r="H249" i="43"/>
  <c r="G248" i="43"/>
  <c r="F248" i="43"/>
  <c r="E248" i="43"/>
  <c r="E247" i="43" s="1"/>
  <c r="D248" i="43"/>
  <c r="D247" i="43" s="1"/>
  <c r="G247" i="43"/>
  <c r="I246" i="43"/>
  <c r="H246" i="43"/>
  <c r="I245" i="43"/>
  <c r="H245" i="43"/>
  <c r="I244" i="43"/>
  <c r="H244" i="43"/>
  <c r="H243" i="43" s="1"/>
  <c r="G243" i="43"/>
  <c r="F243" i="43"/>
  <c r="E243" i="43"/>
  <c r="D243" i="43"/>
  <c r="I242" i="43"/>
  <c r="H242" i="43"/>
  <c r="I241" i="43"/>
  <c r="H241" i="43"/>
  <c r="I240" i="43"/>
  <c r="H240" i="43"/>
  <c r="I239" i="43"/>
  <c r="H239" i="43"/>
  <c r="I238" i="43"/>
  <c r="H238" i="43"/>
  <c r="G237" i="43"/>
  <c r="F237" i="43"/>
  <c r="E237" i="43"/>
  <c r="D237" i="43"/>
  <c r="I236" i="43"/>
  <c r="I235" i="43" s="1"/>
  <c r="H236" i="43"/>
  <c r="H235" i="43" s="1"/>
  <c r="G235" i="43"/>
  <c r="G234" i="43" s="1"/>
  <c r="F235" i="43"/>
  <c r="F234" i="43" s="1"/>
  <c r="E235" i="43"/>
  <c r="D235" i="43"/>
  <c r="E234" i="43"/>
  <c r="D234" i="43"/>
  <c r="I233" i="43"/>
  <c r="H233" i="43"/>
  <c r="I232" i="43"/>
  <c r="H232" i="43"/>
  <c r="I231" i="43"/>
  <c r="H231" i="43"/>
  <c r="I230" i="43"/>
  <c r="H230" i="43"/>
  <c r="G230" i="43"/>
  <c r="F230" i="43"/>
  <c r="E230" i="43"/>
  <c r="D230" i="43"/>
  <c r="I229" i="43"/>
  <c r="H229" i="43"/>
  <c r="I228" i="43"/>
  <c r="H228" i="43"/>
  <c r="I227" i="43"/>
  <c r="H227" i="43"/>
  <c r="I226" i="43"/>
  <c r="I225" i="43" s="1"/>
  <c r="H226" i="43"/>
  <c r="H225" i="43" s="1"/>
  <c r="G225" i="43"/>
  <c r="F225" i="43"/>
  <c r="E225" i="43"/>
  <c r="E224" i="43" s="1"/>
  <c r="D225" i="43"/>
  <c r="D224" i="43" s="1"/>
  <c r="I223" i="43"/>
  <c r="H223" i="43"/>
  <c r="I222" i="43"/>
  <c r="H222" i="43"/>
  <c r="I221" i="43"/>
  <c r="H221" i="43"/>
  <c r="I220" i="43"/>
  <c r="H220" i="43"/>
  <c r="H219" i="43" s="1"/>
  <c r="H218" i="43" s="1"/>
  <c r="G219" i="43"/>
  <c r="G218" i="43" s="1"/>
  <c r="F219" i="43"/>
  <c r="F218" i="43" s="1"/>
  <c r="E219" i="43"/>
  <c r="D219" i="43"/>
  <c r="D218" i="43" s="1"/>
  <c r="E218" i="43"/>
  <c r="I217" i="43"/>
  <c r="H217" i="43"/>
  <c r="I216" i="43"/>
  <c r="H216" i="43"/>
  <c r="I215" i="43"/>
  <c r="H215" i="43"/>
  <c r="I214" i="43"/>
  <c r="G214" i="43"/>
  <c r="F214" i="43"/>
  <c r="E214" i="43"/>
  <c r="D214" i="43"/>
  <c r="I213" i="43"/>
  <c r="H213" i="43"/>
  <c r="I212" i="43"/>
  <c r="H212" i="43"/>
  <c r="I211" i="43"/>
  <c r="I210" i="43" s="1"/>
  <c r="H211" i="43"/>
  <c r="G210" i="43"/>
  <c r="F210" i="43"/>
  <c r="E210" i="43"/>
  <c r="E209" i="43" s="1"/>
  <c r="D210" i="43"/>
  <c r="H208" i="43"/>
  <c r="H207" i="43"/>
  <c r="H206" i="43"/>
  <c r="H204" i="43" s="1"/>
  <c r="H205" i="43"/>
  <c r="G204" i="43"/>
  <c r="F204" i="43"/>
  <c r="E204" i="43"/>
  <c r="D204" i="43"/>
  <c r="I203" i="43"/>
  <c r="H203" i="43"/>
  <c r="I202" i="43"/>
  <c r="H202" i="43"/>
  <c r="I201" i="43"/>
  <c r="I200" i="43" s="1"/>
  <c r="H201" i="43"/>
  <c r="H200" i="43" s="1"/>
  <c r="G200" i="43"/>
  <c r="F200" i="43"/>
  <c r="E200" i="43"/>
  <c r="D200" i="43"/>
  <c r="I199" i="43"/>
  <c r="H199" i="43"/>
  <c r="I198" i="43"/>
  <c r="H198" i="43"/>
  <c r="H196" i="43" s="1"/>
  <c r="I197" i="43"/>
  <c r="H197" i="43"/>
  <c r="G196" i="43"/>
  <c r="F196" i="43"/>
  <c r="E196" i="43"/>
  <c r="D196" i="43"/>
  <c r="I195" i="43"/>
  <c r="H195" i="43"/>
  <c r="I194" i="43"/>
  <c r="H194" i="43"/>
  <c r="I193" i="43"/>
  <c r="H193" i="43"/>
  <c r="I192" i="43"/>
  <c r="H192" i="43"/>
  <c r="I191" i="43"/>
  <c r="H191" i="43"/>
  <c r="I190" i="43"/>
  <c r="I189" i="43" s="1"/>
  <c r="H190" i="43"/>
  <c r="H189" i="43" s="1"/>
  <c r="G189" i="43"/>
  <c r="F189" i="43"/>
  <c r="F188" i="43" s="1"/>
  <c r="E189" i="43"/>
  <c r="E188" i="43" s="1"/>
  <c r="D189" i="43"/>
  <c r="G188" i="43"/>
  <c r="D188" i="43"/>
  <c r="I187" i="43"/>
  <c r="H187" i="43"/>
  <c r="I186" i="43"/>
  <c r="H186" i="43"/>
  <c r="H184" i="43" s="1"/>
  <c r="I185" i="43"/>
  <c r="I184" i="43" s="1"/>
  <c r="H185" i="43"/>
  <c r="G184" i="43"/>
  <c r="F184" i="43"/>
  <c r="E184" i="43"/>
  <c r="D184" i="43"/>
  <c r="I183" i="43"/>
  <c r="H183" i="43"/>
  <c r="I182" i="43"/>
  <c r="H182" i="43"/>
  <c r="I181" i="43"/>
  <c r="H181" i="43"/>
  <c r="I180" i="43"/>
  <c r="I179" i="43" s="1"/>
  <c r="H180" i="43"/>
  <c r="G179" i="43"/>
  <c r="F179" i="43"/>
  <c r="E179" i="43"/>
  <c r="D179" i="43"/>
  <c r="D178" i="43" s="1"/>
  <c r="G178" i="43"/>
  <c r="I177" i="43"/>
  <c r="H177" i="43"/>
  <c r="I176" i="43"/>
  <c r="H176" i="43"/>
  <c r="I175" i="43"/>
  <c r="H175" i="43"/>
  <c r="I174" i="43"/>
  <c r="I173" i="43" s="1"/>
  <c r="H174" i="43"/>
  <c r="G173" i="43"/>
  <c r="F173" i="43"/>
  <c r="E173" i="43"/>
  <c r="D173" i="43"/>
  <c r="I172" i="43"/>
  <c r="H172" i="43"/>
  <c r="I171" i="43"/>
  <c r="I170" i="43" s="1"/>
  <c r="H171" i="43"/>
  <c r="G170" i="43"/>
  <c r="G169" i="43" s="1"/>
  <c r="F170" i="43"/>
  <c r="E170" i="43"/>
  <c r="E169" i="43" s="1"/>
  <c r="E159" i="43" s="1"/>
  <c r="D170" i="43"/>
  <c r="D169" i="43" s="1"/>
  <c r="F169" i="43"/>
  <c r="I168" i="43"/>
  <c r="H168" i="43"/>
  <c r="I167" i="43"/>
  <c r="H167" i="43"/>
  <c r="I166" i="43"/>
  <c r="I165" i="43" s="1"/>
  <c r="H166" i="43"/>
  <c r="H165" i="43" s="1"/>
  <c r="G165" i="43"/>
  <c r="F165" i="43"/>
  <c r="E165" i="43"/>
  <c r="D165" i="43"/>
  <c r="I164" i="43"/>
  <c r="H164" i="43"/>
  <c r="I163" i="43"/>
  <c r="H163" i="43"/>
  <c r="I162" i="43"/>
  <c r="H162" i="43"/>
  <c r="I161" i="43"/>
  <c r="I160" i="43" s="1"/>
  <c r="H161" i="43"/>
  <c r="H160" i="43" s="1"/>
  <c r="G160" i="43"/>
  <c r="F160" i="43"/>
  <c r="F159" i="43" s="1"/>
  <c r="E160" i="43"/>
  <c r="D160" i="43"/>
  <c r="D159" i="43" s="1"/>
  <c r="I158" i="43"/>
  <c r="H158" i="43"/>
  <c r="I157" i="43"/>
  <c r="H157" i="43"/>
  <c r="I156" i="43"/>
  <c r="H156" i="43"/>
  <c r="I155" i="43"/>
  <c r="H155" i="43"/>
  <c r="I154" i="43"/>
  <c r="I153" i="43" s="1"/>
  <c r="H154" i="43"/>
  <c r="H153" i="43" s="1"/>
  <c r="G153" i="43"/>
  <c r="F153" i="43"/>
  <c r="E153" i="43"/>
  <c r="D153" i="43"/>
  <c r="I152" i="43"/>
  <c r="I151" i="43" s="1"/>
  <c r="H152" i="43"/>
  <c r="H151" i="43" s="1"/>
  <c r="H150" i="43" s="1"/>
  <c r="G151" i="43"/>
  <c r="F151" i="43"/>
  <c r="F150" i="43" s="1"/>
  <c r="E151" i="43"/>
  <c r="E150" i="43" s="1"/>
  <c r="D151" i="43"/>
  <c r="D150" i="43" s="1"/>
  <c r="I149" i="43"/>
  <c r="H149" i="43"/>
  <c r="I148" i="43"/>
  <c r="H148" i="43"/>
  <c r="I147" i="43"/>
  <c r="I146" i="43" s="1"/>
  <c r="H147" i="43"/>
  <c r="H146" i="43" s="1"/>
  <c r="G146" i="43"/>
  <c r="F146" i="43"/>
  <c r="E146" i="43"/>
  <c r="D146" i="43"/>
  <c r="I145" i="43"/>
  <c r="H145" i="43"/>
  <c r="I144" i="43"/>
  <c r="H144" i="43"/>
  <c r="I143" i="43"/>
  <c r="I142" i="43" s="1"/>
  <c r="H143" i="43"/>
  <c r="H142" i="43" s="1"/>
  <c r="G142" i="43"/>
  <c r="F142" i="43"/>
  <c r="E142" i="43"/>
  <c r="D142" i="43"/>
  <c r="H140" i="43"/>
  <c r="H139" i="43"/>
  <c r="H138" i="43"/>
  <c r="H137" i="43"/>
  <c r="D136" i="43"/>
  <c r="H135" i="43"/>
  <c r="H134" i="43" s="1"/>
  <c r="D134" i="43"/>
  <c r="I133" i="43"/>
  <c r="H133" i="43"/>
  <c r="I132" i="43"/>
  <c r="H132" i="43"/>
  <c r="I131" i="43"/>
  <c r="H131" i="43"/>
  <c r="G130" i="43"/>
  <c r="F130" i="43"/>
  <c r="E130" i="43"/>
  <c r="D130" i="43"/>
  <c r="I129" i="43"/>
  <c r="H129" i="43"/>
  <c r="I128" i="43"/>
  <c r="H128" i="43"/>
  <c r="I127" i="43"/>
  <c r="H127" i="43"/>
  <c r="I126" i="43"/>
  <c r="I125" i="43" s="1"/>
  <c r="H126" i="43"/>
  <c r="G125" i="43"/>
  <c r="F125" i="43"/>
  <c r="E125" i="43"/>
  <c r="E124" i="43" s="1"/>
  <c r="D125" i="43"/>
  <c r="G124" i="43"/>
  <c r="F124" i="43"/>
  <c r="I123" i="43"/>
  <c r="H123" i="43"/>
  <c r="I122" i="43"/>
  <c r="H122" i="43"/>
  <c r="I121" i="43"/>
  <c r="H121" i="43"/>
  <c r="I120" i="43"/>
  <c r="H120" i="43"/>
  <c r="H119" i="43" s="1"/>
  <c r="G119" i="43"/>
  <c r="F119" i="43"/>
  <c r="E119" i="43"/>
  <c r="D119" i="43"/>
  <c r="I118" i="43"/>
  <c r="H118" i="43"/>
  <c r="I117" i="43"/>
  <c r="H117" i="43"/>
  <c r="H115" i="43" s="1"/>
  <c r="I116" i="43"/>
  <c r="H116" i="43"/>
  <c r="G115" i="43"/>
  <c r="F115" i="43"/>
  <c r="E115" i="43"/>
  <c r="E114" i="43" s="1"/>
  <c r="D115" i="43"/>
  <c r="D114" i="43" s="1"/>
  <c r="G114" i="43"/>
  <c r="F114" i="43"/>
  <c r="I113" i="43"/>
  <c r="H113" i="43"/>
  <c r="I112" i="43"/>
  <c r="H112" i="43"/>
  <c r="I111" i="43"/>
  <c r="I107" i="43" s="1"/>
  <c r="H111" i="43"/>
  <c r="H110" i="43"/>
  <c r="H109" i="43"/>
  <c r="H108" i="43"/>
  <c r="H107" i="43" s="1"/>
  <c r="G107" i="43"/>
  <c r="F107" i="43"/>
  <c r="E107" i="43"/>
  <c r="D107" i="43"/>
  <c r="I106" i="43"/>
  <c r="H106" i="43"/>
  <c r="I105" i="43"/>
  <c r="H105" i="43"/>
  <c r="I104" i="43"/>
  <c r="H104" i="43"/>
  <c r="I103" i="43"/>
  <c r="H103" i="43"/>
  <c r="H102" i="43" s="1"/>
  <c r="G102" i="43"/>
  <c r="F102" i="43"/>
  <c r="F101" i="43" s="1"/>
  <c r="E102" i="43"/>
  <c r="D102" i="43"/>
  <c r="I100" i="43"/>
  <c r="I98" i="43" s="1"/>
  <c r="H100" i="43"/>
  <c r="H99" i="43"/>
  <c r="G98" i="43"/>
  <c r="F98" i="43"/>
  <c r="E98" i="43"/>
  <c r="D98" i="43"/>
  <c r="H97" i="43"/>
  <c r="I96" i="43"/>
  <c r="I94" i="43" s="1"/>
  <c r="H96" i="43"/>
  <c r="H95" i="43"/>
  <c r="G94" i="43"/>
  <c r="F94" i="43"/>
  <c r="F93" i="43" s="1"/>
  <c r="E94" i="43"/>
  <c r="E93" i="43" s="1"/>
  <c r="D94" i="43"/>
  <c r="G93" i="43"/>
  <c r="D93" i="43"/>
  <c r="I92" i="43"/>
  <c r="H92" i="43"/>
  <c r="I91" i="43"/>
  <c r="H91" i="43"/>
  <c r="H90" i="43" s="1"/>
  <c r="G90" i="43"/>
  <c r="F90" i="43"/>
  <c r="E90" i="43"/>
  <c r="D90" i="43"/>
  <c r="H89" i="43"/>
  <c r="I88" i="43"/>
  <c r="H88" i="43"/>
  <c r="I87" i="43"/>
  <c r="I86" i="43" s="1"/>
  <c r="H87" i="43"/>
  <c r="G86" i="43"/>
  <c r="F86" i="43"/>
  <c r="E86" i="43"/>
  <c r="D86" i="43"/>
  <c r="I85" i="43"/>
  <c r="H85" i="43"/>
  <c r="I84" i="43"/>
  <c r="H84" i="43"/>
  <c r="H83" i="43" s="1"/>
  <c r="G83" i="43"/>
  <c r="F83" i="43"/>
  <c r="F82" i="43" s="1"/>
  <c r="E83" i="43"/>
  <c r="D83" i="43"/>
  <c r="G82" i="43"/>
  <c r="D82" i="43"/>
  <c r="I81" i="43"/>
  <c r="H81" i="43"/>
  <c r="I80" i="43"/>
  <c r="H80" i="43"/>
  <c r="I79" i="43"/>
  <c r="I78" i="43" s="1"/>
  <c r="H79" i="43"/>
  <c r="H78" i="43"/>
  <c r="G78" i="43"/>
  <c r="F78" i="43"/>
  <c r="E78" i="43"/>
  <c r="D78" i="43"/>
  <c r="I77" i="43"/>
  <c r="H77" i="43"/>
  <c r="I76" i="43"/>
  <c r="H76" i="43"/>
  <c r="I75" i="43"/>
  <c r="I74" i="43" s="1"/>
  <c r="H75" i="43"/>
  <c r="H74" i="43"/>
  <c r="G74" i="43"/>
  <c r="F74" i="43"/>
  <c r="E74" i="43"/>
  <c r="D74" i="43"/>
  <c r="H73" i="43"/>
  <c r="H72" i="43"/>
  <c r="H71" i="43"/>
  <c r="H70" i="43"/>
  <c r="H69" i="43"/>
  <c r="D68" i="43"/>
  <c r="I67" i="43"/>
  <c r="H67" i="43"/>
  <c r="I66" i="43"/>
  <c r="H66" i="43"/>
  <c r="I65" i="43"/>
  <c r="H65" i="43"/>
  <c r="H64" i="43" s="1"/>
  <c r="G64" i="43"/>
  <c r="F64" i="43"/>
  <c r="E64" i="43"/>
  <c r="D64" i="43"/>
  <c r="D63" i="43" s="1"/>
  <c r="G62" i="43"/>
  <c r="F62" i="43"/>
  <c r="E62" i="43"/>
  <c r="I61" i="43"/>
  <c r="H61" i="43"/>
  <c r="I60" i="43"/>
  <c r="H60" i="43"/>
  <c r="I59" i="43"/>
  <c r="H59" i="43"/>
  <c r="I58" i="43"/>
  <c r="H58" i="43"/>
  <c r="I57" i="43"/>
  <c r="H57" i="43"/>
  <c r="I56" i="43"/>
  <c r="H56" i="43"/>
  <c r="H55" i="43" s="1"/>
  <c r="I55" i="43"/>
  <c r="G55" i="43"/>
  <c r="F55" i="43"/>
  <c r="E55" i="43"/>
  <c r="D55" i="43"/>
  <c r="I54" i="43"/>
  <c r="I53" i="43" s="1"/>
  <c r="I52" i="43" s="1"/>
  <c r="H54" i="43"/>
  <c r="H53" i="43" s="1"/>
  <c r="H52" i="43" s="1"/>
  <c r="G53" i="43"/>
  <c r="F53" i="43"/>
  <c r="E53" i="43"/>
  <c r="E52" i="43" s="1"/>
  <c r="D53" i="43"/>
  <c r="D52" i="43" s="1"/>
  <c r="G52" i="43"/>
  <c r="F52" i="43"/>
  <c r="I51" i="43"/>
  <c r="H51" i="43"/>
  <c r="I50" i="43"/>
  <c r="H50" i="43"/>
  <c r="I49" i="43"/>
  <c r="I48" i="43" s="1"/>
  <c r="H49" i="43"/>
  <c r="H48" i="43" s="1"/>
  <c r="G48" i="43"/>
  <c r="F48" i="43"/>
  <c r="E48" i="43"/>
  <c r="D48" i="43"/>
  <c r="I47" i="43"/>
  <c r="H47" i="43"/>
  <c r="I46" i="43"/>
  <c r="H46" i="43"/>
  <c r="I45" i="43"/>
  <c r="H45" i="43"/>
  <c r="H44" i="43"/>
  <c r="H43" i="43"/>
  <c r="I42" i="43"/>
  <c r="H42" i="43"/>
  <c r="H41" i="43"/>
  <c r="I40" i="43"/>
  <c r="H40" i="43"/>
  <c r="H39" i="43"/>
  <c r="H38" i="43"/>
  <c r="I37" i="43"/>
  <c r="H37" i="43"/>
  <c r="I36" i="43"/>
  <c r="H36" i="43"/>
  <c r="I35" i="43"/>
  <c r="H35" i="43"/>
  <c r="H34" i="43"/>
  <c r="H33" i="43"/>
  <c r="I32" i="43"/>
  <c r="H32" i="43"/>
  <c r="I31" i="43"/>
  <c r="I30" i="43" s="1"/>
  <c r="H31" i="43"/>
  <c r="G30" i="43"/>
  <c r="F30" i="43"/>
  <c r="E30" i="43"/>
  <c r="D30" i="43"/>
  <c r="I29" i="43"/>
  <c r="H29" i="43"/>
  <c r="I28" i="43"/>
  <c r="H28" i="43"/>
  <c r="I27" i="43"/>
  <c r="H27" i="43"/>
  <c r="I26" i="43"/>
  <c r="H26" i="43"/>
  <c r="I25" i="43"/>
  <c r="H25" i="43"/>
  <c r="I24" i="43"/>
  <c r="H24" i="43"/>
  <c r="I23" i="43"/>
  <c r="H23" i="43"/>
  <c r="I22" i="43"/>
  <c r="H22" i="43"/>
  <c r="I21" i="43"/>
  <c r="H21" i="43"/>
  <c r="H20" i="43"/>
  <c r="G20" i="43"/>
  <c r="F20" i="43"/>
  <c r="E20" i="43"/>
  <c r="D20" i="43"/>
  <c r="I19" i="43"/>
  <c r="H19" i="43"/>
  <c r="I18" i="43"/>
  <c r="H18" i="43"/>
  <c r="I17" i="43"/>
  <c r="H17" i="43"/>
  <c r="I16" i="43"/>
  <c r="I15" i="43" s="1"/>
  <c r="H16" i="43"/>
  <c r="H15" i="43" s="1"/>
  <c r="G15" i="43"/>
  <c r="F15" i="43"/>
  <c r="F14" i="43" s="1"/>
  <c r="E15" i="43"/>
  <c r="E14" i="43" s="1"/>
  <c r="D15" i="43"/>
  <c r="D14" i="43" s="1"/>
  <c r="G14" i="43"/>
  <c r="F13" i="43"/>
  <c r="I64" i="43" l="1"/>
  <c r="I62" i="43" s="1"/>
  <c r="H94" i="43"/>
  <c r="I102" i="43"/>
  <c r="G150" i="43"/>
  <c r="H214" i="43"/>
  <c r="H86" i="43"/>
  <c r="I90" i="43"/>
  <c r="H210" i="43"/>
  <c r="H209" i="43" s="1"/>
  <c r="I237" i="43"/>
  <c r="D141" i="43"/>
  <c r="G209" i="43"/>
  <c r="I253" i="43"/>
  <c r="D101" i="43"/>
  <c r="H170" i="43"/>
  <c r="F247" i="43"/>
  <c r="H263" i="43"/>
  <c r="I150" i="43"/>
  <c r="H30" i="43"/>
  <c r="G13" i="43"/>
  <c r="H98" i="43"/>
  <c r="H93" i="43" s="1"/>
  <c r="I115" i="43"/>
  <c r="E141" i="43"/>
  <c r="H188" i="43"/>
  <c r="I209" i="43"/>
  <c r="I20" i="43"/>
  <c r="E82" i="43"/>
  <c r="E101" i="43"/>
  <c r="F141" i="43"/>
  <c r="I248" i="43"/>
  <c r="H269" i="43"/>
  <c r="E13" i="43"/>
  <c r="H68" i="43"/>
  <c r="H63" i="43" s="1"/>
  <c r="H62" i="43" s="1"/>
  <c r="I83" i="43"/>
  <c r="I119" i="43"/>
  <c r="H125" i="43"/>
  <c r="H130" i="43"/>
  <c r="D124" i="43"/>
  <c r="G141" i="43"/>
  <c r="H179" i="43"/>
  <c r="I196" i="43"/>
  <c r="I188" i="43" s="1"/>
  <c r="I178" i="43" s="1"/>
  <c r="I219" i="43"/>
  <c r="I218" i="43" s="1"/>
  <c r="I243" i="43"/>
  <c r="H253" i="43"/>
  <c r="H247" i="43" s="1"/>
  <c r="D13" i="43"/>
  <c r="D12" i="43" s="1"/>
  <c r="D62" i="43"/>
  <c r="G101" i="43"/>
  <c r="H114" i="43"/>
  <c r="H101" i="43" s="1"/>
  <c r="I130" i="43"/>
  <c r="I124" i="43" s="1"/>
  <c r="H136" i="43"/>
  <c r="I169" i="43"/>
  <c r="I159" i="43" s="1"/>
  <c r="H173" i="43"/>
  <c r="F178" i="43"/>
  <c r="D209" i="43"/>
  <c r="F209" i="43"/>
  <c r="H237" i="43"/>
  <c r="H13" i="43"/>
  <c r="H14" i="43"/>
  <c r="H82" i="43"/>
  <c r="I141" i="43"/>
  <c r="H169" i="43"/>
  <c r="H159" i="43" s="1"/>
  <c r="F224" i="43"/>
  <c r="H234" i="43"/>
  <c r="I247" i="43"/>
  <c r="I13" i="43"/>
  <c r="I14" i="43"/>
  <c r="I82" i="43"/>
  <c r="I93" i="43"/>
  <c r="G159" i="43"/>
  <c r="E178" i="43"/>
  <c r="E12" i="43" s="1"/>
  <c r="H178" i="43"/>
  <c r="G224" i="43"/>
  <c r="I234" i="43"/>
  <c r="I224" i="43" s="1"/>
  <c r="H141" i="43"/>
  <c r="H224" i="43"/>
  <c r="H124" i="43" l="1"/>
  <c r="G12" i="43"/>
  <c r="F12" i="43"/>
  <c r="I114" i="43"/>
  <c r="I101" i="43" s="1"/>
  <c r="I12" i="43" s="1"/>
  <c r="H12" i="43"/>
  <c r="O301" i="42" l="1"/>
  <c r="L301" i="42"/>
  <c r="I301" i="42"/>
  <c r="F301" i="42"/>
  <c r="O300" i="42"/>
  <c r="L300" i="42"/>
  <c r="I300" i="42"/>
  <c r="F300" i="42"/>
  <c r="O299" i="42"/>
  <c r="L299" i="42"/>
  <c r="I299" i="42"/>
  <c r="F299" i="42"/>
  <c r="O298" i="42"/>
  <c r="L298" i="42"/>
  <c r="I298" i="42"/>
  <c r="F298" i="42"/>
  <c r="O297" i="42"/>
  <c r="L297" i="42"/>
  <c r="I297" i="42"/>
  <c r="F297" i="42"/>
  <c r="O296" i="42"/>
  <c r="L296" i="42"/>
  <c r="I296" i="42"/>
  <c r="C296" i="42" s="1"/>
  <c r="F296" i="42"/>
  <c r="O295" i="42"/>
  <c r="L295" i="42"/>
  <c r="I295" i="42"/>
  <c r="F295" i="42"/>
  <c r="O294" i="42"/>
  <c r="O293" i="42" s="1"/>
  <c r="L294" i="42"/>
  <c r="I294" i="42"/>
  <c r="I293" i="42" s="1"/>
  <c r="F294" i="42"/>
  <c r="N293" i="42"/>
  <c r="M293" i="42"/>
  <c r="K293" i="42"/>
  <c r="J293" i="42"/>
  <c r="H293" i="42"/>
  <c r="G293" i="42"/>
  <c r="E293" i="42"/>
  <c r="D293" i="42"/>
  <c r="O288" i="42"/>
  <c r="L288" i="42"/>
  <c r="I288" i="42"/>
  <c r="F288" i="42"/>
  <c r="O287" i="42"/>
  <c r="L287" i="42"/>
  <c r="L286" i="42" s="1"/>
  <c r="I287" i="42"/>
  <c r="F287" i="42"/>
  <c r="F286" i="42" s="1"/>
  <c r="O286" i="42"/>
  <c r="N286" i="42"/>
  <c r="M286" i="42"/>
  <c r="K286" i="42"/>
  <c r="J286" i="42"/>
  <c r="H286" i="42"/>
  <c r="G286" i="42"/>
  <c r="E286" i="42"/>
  <c r="D286" i="42"/>
  <c r="O285" i="42"/>
  <c r="O284" i="42" s="1"/>
  <c r="O283" i="42" s="1"/>
  <c r="L285" i="42"/>
  <c r="L284" i="42" s="1"/>
  <c r="L283" i="42" s="1"/>
  <c r="I285" i="42"/>
  <c r="I284" i="42" s="1"/>
  <c r="I283" i="42" s="1"/>
  <c r="F285" i="42"/>
  <c r="N284" i="42"/>
  <c r="M284" i="42"/>
  <c r="M283" i="42" s="1"/>
  <c r="K284" i="42"/>
  <c r="K283" i="42" s="1"/>
  <c r="J284" i="42"/>
  <c r="J283" i="42" s="1"/>
  <c r="H284" i="42"/>
  <c r="G284" i="42"/>
  <c r="G283" i="42" s="1"/>
  <c r="E284" i="42"/>
  <c r="E283" i="42" s="1"/>
  <c r="D284" i="42"/>
  <c r="N283" i="42"/>
  <c r="H283" i="42"/>
  <c r="D283" i="42"/>
  <c r="O282" i="42"/>
  <c r="O281" i="42" s="1"/>
  <c r="L282" i="42"/>
  <c r="I282" i="42"/>
  <c r="I281" i="42" s="1"/>
  <c r="F282" i="42"/>
  <c r="N281" i="42"/>
  <c r="M281" i="42"/>
  <c r="L281" i="42"/>
  <c r="K281" i="42"/>
  <c r="J281" i="42"/>
  <c r="H281" i="42"/>
  <c r="G281" i="42"/>
  <c r="F281" i="42"/>
  <c r="E281" i="42"/>
  <c r="D281" i="42"/>
  <c r="O280" i="42"/>
  <c r="L280" i="42"/>
  <c r="I280" i="42"/>
  <c r="F280" i="42"/>
  <c r="O279" i="42"/>
  <c r="L279" i="42"/>
  <c r="I279" i="42"/>
  <c r="F279" i="42"/>
  <c r="C279" i="42" s="1"/>
  <c r="O278" i="42"/>
  <c r="L278" i="42"/>
  <c r="I278" i="42"/>
  <c r="F278" i="42"/>
  <c r="C278" i="42" s="1"/>
  <c r="O277" i="42"/>
  <c r="L277" i="42"/>
  <c r="I277" i="42"/>
  <c r="I276" i="42" s="1"/>
  <c r="F277" i="42"/>
  <c r="N276" i="42"/>
  <c r="M276" i="42"/>
  <c r="K276" i="42"/>
  <c r="J276" i="42"/>
  <c r="H276" i="42"/>
  <c r="G276" i="42"/>
  <c r="E276" i="42"/>
  <c r="D276" i="42"/>
  <c r="O275" i="42"/>
  <c r="L275" i="42"/>
  <c r="I275" i="42"/>
  <c r="F275" i="42"/>
  <c r="O274" i="42"/>
  <c r="L274" i="42"/>
  <c r="I274" i="42"/>
  <c r="F274" i="42"/>
  <c r="C274" i="42" s="1"/>
  <c r="O273" i="42"/>
  <c r="L273" i="42"/>
  <c r="I273" i="42"/>
  <c r="I272" i="42" s="1"/>
  <c r="F273" i="42"/>
  <c r="N272" i="42"/>
  <c r="N270" i="42" s="1"/>
  <c r="N269" i="42" s="1"/>
  <c r="M272" i="42"/>
  <c r="K272" i="42"/>
  <c r="J272" i="42"/>
  <c r="J270" i="42" s="1"/>
  <c r="J269" i="42" s="1"/>
  <c r="H272" i="42"/>
  <c r="G272" i="42"/>
  <c r="E272" i="42"/>
  <c r="E270" i="42" s="1"/>
  <c r="E269" i="42" s="1"/>
  <c r="D272" i="42"/>
  <c r="O271" i="42"/>
  <c r="L271" i="42"/>
  <c r="I271" i="42"/>
  <c r="F271" i="42"/>
  <c r="H270" i="42"/>
  <c r="D270" i="42"/>
  <c r="O268" i="42"/>
  <c r="L268" i="42"/>
  <c r="I268" i="42"/>
  <c r="F268" i="42"/>
  <c r="O267" i="42"/>
  <c r="L267" i="42"/>
  <c r="I267" i="42"/>
  <c r="F267" i="42"/>
  <c r="O266" i="42"/>
  <c r="L266" i="42"/>
  <c r="I266" i="42"/>
  <c r="F266" i="42"/>
  <c r="O265" i="42"/>
  <c r="L265" i="42"/>
  <c r="I265" i="42"/>
  <c r="F265" i="42"/>
  <c r="N264" i="42"/>
  <c r="M264" i="42"/>
  <c r="K264" i="42"/>
  <c r="J264" i="42"/>
  <c r="H264" i="42"/>
  <c r="G264" i="42"/>
  <c r="E264" i="42"/>
  <c r="D264" i="42"/>
  <c r="O263" i="42"/>
  <c r="L263" i="42"/>
  <c r="I263" i="42"/>
  <c r="F263" i="42"/>
  <c r="O262" i="42"/>
  <c r="O260" i="42" s="1"/>
  <c r="L262" i="42"/>
  <c r="I262" i="42"/>
  <c r="F262" i="42"/>
  <c r="C262" i="42" s="1"/>
  <c r="O261" i="42"/>
  <c r="L261" i="42"/>
  <c r="I261" i="42"/>
  <c r="I260" i="42" s="1"/>
  <c r="F261" i="42"/>
  <c r="N260" i="42"/>
  <c r="M260" i="42"/>
  <c r="K260" i="42"/>
  <c r="K259" i="42" s="1"/>
  <c r="J260" i="42"/>
  <c r="H260" i="42"/>
  <c r="H259" i="42" s="1"/>
  <c r="G260" i="42"/>
  <c r="E260" i="42"/>
  <c r="D260" i="42"/>
  <c r="N259" i="42"/>
  <c r="J259" i="42"/>
  <c r="G259" i="42"/>
  <c r="D259" i="42"/>
  <c r="O258" i="42"/>
  <c r="L258" i="42"/>
  <c r="I258" i="42"/>
  <c r="F258" i="42"/>
  <c r="C258" i="42" s="1"/>
  <c r="O257" i="42"/>
  <c r="L257" i="42"/>
  <c r="I257" i="42"/>
  <c r="F257" i="42"/>
  <c r="O256" i="42"/>
  <c r="L256" i="42"/>
  <c r="I256" i="42"/>
  <c r="F256" i="42"/>
  <c r="O255" i="42"/>
  <c r="L255" i="42"/>
  <c r="I255" i="42"/>
  <c r="F255" i="42"/>
  <c r="O254" i="42"/>
  <c r="L254" i="42"/>
  <c r="I254" i="42"/>
  <c r="F254" i="42"/>
  <c r="O253" i="42"/>
  <c r="L253" i="42"/>
  <c r="I253" i="42"/>
  <c r="I252" i="42" s="1"/>
  <c r="I251" i="42" s="1"/>
  <c r="F253" i="42"/>
  <c r="N252" i="42"/>
  <c r="M252" i="42"/>
  <c r="M251" i="42" s="1"/>
  <c r="K252" i="42"/>
  <c r="J252" i="42"/>
  <c r="H252" i="42"/>
  <c r="G252" i="42"/>
  <c r="G251" i="42" s="1"/>
  <c r="E252" i="42"/>
  <c r="E251" i="42" s="1"/>
  <c r="D252" i="42"/>
  <c r="N251" i="42"/>
  <c r="K251" i="42"/>
  <c r="J251" i="42"/>
  <c r="H251" i="42"/>
  <c r="D251" i="42"/>
  <c r="O250" i="42"/>
  <c r="L250" i="42"/>
  <c r="I250" i="42"/>
  <c r="F250" i="42"/>
  <c r="O249" i="42"/>
  <c r="L249" i="42"/>
  <c r="I249" i="42"/>
  <c r="F249" i="42"/>
  <c r="O248" i="42"/>
  <c r="L248" i="42"/>
  <c r="I248" i="42"/>
  <c r="F248" i="42"/>
  <c r="O247" i="42"/>
  <c r="L247" i="42"/>
  <c r="L246" i="42" s="1"/>
  <c r="I247" i="42"/>
  <c r="F247" i="42"/>
  <c r="N246" i="42"/>
  <c r="M246" i="42"/>
  <c r="K246" i="42"/>
  <c r="J246" i="42"/>
  <c r="H246" i="42"/>
  <c r="G246" i="42"/>
  <c r="E246" i="42"/>
  <c r="D246" i="42"/>
  <c r="O245" i="42"/>
  <c r="L245" i="42"/>
  <c r="I245" i="42"/>
  <c r="F245" i="42"/>
  <c r="O244" i="42"/>
  <c r="L244" i="42"/>
  <c r="I244" i="42"/>
  <c r="F244" i="42"/>
  <c r="O243" i="42"/>
  <c r="L243" i="42"/>
  <c r="I243" i="42"/>
  <c r="F243" i="42"/>
  <c r="O242" i="42"/>
  <c r="L242" i="42"/>
  <c r="I242" i="42"/>
  <c r="F242" i="42"/>
  <c r="O241" i="42"/>
  <c r="L241" i="42"/>
  <c r="I241" i="42"/>
  <c r="F241" i="42"/>
  <c r="O240" i="42"/>
  <c r="L240" i="42"/>
  <c r="I240" i="42"/>
  <c r="F240" i="42"/>
  <c r="O239" i="42"/>
  <c r="L239" i="42"/>
  <c r="I239" i="42"/>
  <c r="F239" i="42"/>
  <c r="O238" i="42"/>
  <c r="N238" i="42"/>
  <c r="M238" i="42"/>
  <c r="K238" i="42"/>
  <c r="J238" i="42"/>
  <c r="H238" i="42"/>
  <c r="G238" i="42"/>
  <c r="E238" i="42"/>
  <c r="D238" i="42"/>
  <c r="O237" i="42"/>
  <c r="L237" i="42"/>
  <c r="I237" i="42"/>
  <c r="F237" i="42"/>
  <c r="O236" i="42"/>
  <c r="L236" i="42"/>
  <c r="I236" i="42"/>
  <c r="F236" i="42"/>
  <c r="O235" i="42"/>
  <c r="N235" i="42"/>
  <c r="M235" i="42"/>
  <c r="L235" i="42"/>
  <c r="K235" i="42"/>
  <c r="J235" i="42"/>
  <c r="H235" i="42"/>
  <c r="G235" i="42"/>
  <c r="F235" i="42"/>
  <c r="E235" i="42"/>
  <c r="D235" i="42"/>
  <c r="O234" i="42"/>
  <c r="O233" i="42" s="1"/>
  <c r="L234" i="42"/>
  <c r="L233" i="42" s="1"/>
  <c r="I234" i="42"/>
  <c r="F234" i="42"/>
  <c r="F233" i="42" s="1"/>
  <c r="N233" i="42"/>
  <c r="N231" i="42" s="1"/>
  <c r="N230" i="42" s="1"/>
  <c r="M233" i="42"/>
  <c r="K233" i="42"/>
  <c r="J233" i="42"/>
  <c r="I233" i="42"/>
  <c r="H233" i="42"/>
  <c r="G233" i="42"/>
  <c r="E233" i="42"/>
  <c r="E231" i="42" s="1"/>
  <c r="D233" i="42"/>
  <c r="D231" i="42" s="1"/>
  <c r="O232" i="42"/>
  <c r="L232" i="42"/>
  <c r="I232" i="42"/>
  <c r="F232" i="42"/>
  <c r="M231" i="42"/>
  <c r="O229" i="42"/>
  <c r="L229" i="42"/>
  <c r="I229" i="42"/>
  <c r="F229" i="42"/>
  <c r="O228" i="42"/>
  <c r="L228" i="42"/>
  <c r="L227" i="42" s="1"/>
  <c r="I228" i="42"/>
  <c r="I227" i="42" s="1"/>
  <c r="F228" i="42"/>
  <c r="O227" i="42"/>
  <c r="N227" i="42"/>
  <c r="M227" i="42"/>
  <c r="K227" i="42"/>
  <c r="J227" i="42"/>
  <c r="H227" i="42"/>
  <c r="G227" i="42"/>
  <c r="E227" i="42"/>
  <c r="D227" i="42"/>
  <c r="O226" i="42"/>
  <c r="L226" i="42"/>
  <c r="I226" i="42"/>
  <c r="F226" i="42"/>
  <c r="C226" i="42" s="1"/>
  <c r="O225" i="42"/>
  <c r="L225" i="42"/>
  <c r="I225" i="42"/>
  <c r="F225" i="42"/>
  <c r="O224" i="42"/>
  <c r="L224" i="42"/>
  <c r="I224" i="42"/>
  <c r="F224" i="42"/>
  <c r="O223" i="42"/>
  <c r="L223" i="42"/>
  <c r="I223" i="42"/>
  <c r="F223" i="42"/>
  <c r="O222" i="42"/>
  <c r="L222" i="42"/>
  <c r="I222" i="42"/>
  <c r="F222" i="42"/>
  <c r="O221" i="42"/>
  <c r="L221" i="42"/>
  <c r="I221" i="42"/>
  <c r="F221" i="42"/>
  <c r="O220" i="42"/>
  <c r="L220" i="42"/>
  <c r="I220" i="42"/>
  <c r="F220" i="42"/>
  <c r="O219" i="42"/>
  <c r="L219" i="42"/>
  <c r="I219" i="42"/>
  <c r="F219" i="42"/>
  <c r="O218" i="42"/>
  <c r="L218" i="42"/>
  <c r="I218" i="42"/>
  <c r="C218" i="42" s="1"/>
  <c r="F218" i="42"/>
  <c r="O217" i="42"/>
  <c r="L217" i="42"/>
  <c r="I217" i="42"/>
  <c r="F217" i="42"/>
  <c r="N216" i="42"/>
  <c r="M216" i="42"/>
  <c r="K216" i="42"/>
  <c r="J216" i="42"/>
  <c r="H216" i="42"/>
  <c r="G216" i="42"/>
  <c r="E216" i="42"/>
  <c r="D216" i="42"/>
  <c r="O215" i="42"/>
  <c r="L215" i="42"/>
  <c r="I215" i="42"/>
  <c r="F215" i="42"/>
  <c r="O214" i="42"/>
  <c r="L214" i="42"/>
  <c r="I214" i="42"/>
  <c r="F214" i="42"/>
  <c r="O213" i="42"/>
  <c r="L213" i="42"/>
  <c r="I213" i="42"/>
  <c r="F213" i="42"/>
  <c r="O212" i="42"/>
  <c r="L212" i="42"/>
  <c r="I212" i="42"/>
  <c r="F212" i="42"/>
  <c r="O211" i="42"/>
  <c r="L211" i="42"/>
  <c r="I211" i="42"/>
  <c r="F211" i="42"/>
  <c r="O210" i="42"/>
  <c r="L210" i="42"/>
  <c r="I210" i="42"/>
  <c r="F210" i="42"/>
  <c r="O209" i="42"/>
  <c r="L209" i="42"/>
  <c r="I209" i="42"/>
  <c r="F209" i="42"/>
  <c r="O208" i="42"/>
  <c r="L208" i="42"/>
  <c r="I208" i="42"/>
  <c r="F208" i="42"/>
  <c r="O207" i="42"/>
  <c r="L207" i="42"/>
  <c r="I207" i="42"/>
  <c r="F207" i="42"/>
  <c r="O206" i="42"/>
  <c r="L206" i="42"/>
  <c r="I206" i="42"/>
  <c r="F206" i="42"/>
  <c r="N205" i="42"/>
  <c r="M205" i="42"/>
  <c r="K205" i="42"/>
  <c r="K204" i="42" s="1"/>
  <c r="J205" i="42"/>
  <c r="H205" i="42"/>
  <c r="H204" i="42" s="1"/>
  <c r="G205" i="42"/>
  <c r="E205" i="42"/>
  <c r="E204" i="42" s="1"/>
  <c r="D205" i="42"/>
  <c r="D204" i="42" s="1"/>
  <c r="G204" i="42"/>
  <c r="O203" i="42"/>
  <c r="L203" i="42"/>
  <c r="I203" i="42"/>
  <c r="F203" i="42"/>
  <c r="O202" i="42"/>
  <c r="L202" i="42"/>
  <c r="I202" i="42"/>
  <c r="F202" i="42"/>
  <c r="O201" i="42"/>
  <c r="L201" i="42"/>
  <c r="I201" i="42"/>
  <c r="F201" i="42"/>
  <c r="O200" i="42"/>
  <c r="L200" i="42"/>
  <c r="I200" i="42"/>
  <c r="F200" i="42"/>
  <c r="O199" i="42"/>
  <c r="L199" i="42"/>
  <c r="L198" i="42" s="1"/>
  <c r="L196" i="42" s="1"/>
  <c r="I199" i="42"/>
  <c r="F199" i="42"/>
  <c r="O198" i="42"/>
  <c r="N198" i="42"/>
  <c r="N196" i="42" s="1"/>
  <c r="M198" i="42"/>
  <c r="M196" i="42" s="1"/>
  <c r="K198" i="42"/>
  <c r="K196" i="42" s="1"/>
  <c r="J198" i="42"/>
  <c r="H198" i="42"/>
  <c r="H196" i="42" s="1"/>
  <c r="G198" i="42"/>
  <c r="G196" i="42" s="1"/>
  <c r="F198" i="42"/>
  <c r="E198" i="42"/>
  <c r="D198" i="42"/>
  <c r="D196" i="42" s="1"/>
  <c r="O197" i="42"/>
  <c r="L197" i="42"/>
  <c r="I197" i="42"/>
  <c r="F197" i="42"/>
  <c r="J196" i="42"/>
  <c r="E196" i="42"/>
  <c r="O193" i="42"/>
  <c r="L193" i="42"/>
  <c r="L192" i="42" s="1"/>
  <c r="L191" i="42" s="1"/>
  <c r="I193" i="42"/>
  <c r="F193" i="42"/>
  <c r="O192" i="42"/>
  <c r="O191" i="42" s="1"/>
  <c r="N192" i="42"/>
  <c r="N191" i="42" s="1"/>
  <c r="M192" i="42"/>
  <c r="M191" i="42" s="1"/>
  <c r="K192" i="42"/>
  <c r="J192" i="42"/>
  <c r="J191" i="42" s="1"/>
  <c r="J187" i="42" s="1"/>
  <c r="I192" i="42"/>
  <c r="I191" i="42" s="1"/>
  <c r="H192" i="42"/>
  <c r="H191" i="42" s="1"/>
  <c r="G192" i="42"/>
  <c r="E192" i="42"/>
  <c r="E191" i="42" s="1"/>
  <c r="D192" i="42"/>
  <c r="K191" i="42"/>
  <c r="G191" i="42"/>
  <c r="D191" i="42"/>
  <c r="O190" i="42"/>
  <c r="L190" i="42"/>
  <c r="I190" i="42"/>
  <c r="F190" i="42"/>
  <c r="O189" i="42"/>
  <c r="O188" i="42" s="1"/>
  <c r="L189" i="42"/>
  <c r="I189" i="42"/>
  <c r="C189" i="42" s="1"/>
  <c r="F189" i="42"/>
  <c r="F188" i="42" s="1"/>
  <c r="N188" i="42"/>
  <c r="M188" i="42"/>
  <c r="M187" i="42" s="1"/>
  <c r="L188" i="42"/>
  <c r="K188" i="42"/>
  <c r="J188" i="42"/>
  <c r="H188" i="42"/>
  <c r="G188" i="42"/>
  <c r="G187" i="42" s="1"/>
  <c r="E188" i="42"/>
  <c r="D188" i="42"/>
  <c r="K187" i="42"/>
  <c r="E187" i="42"/>
  <c r="O186" i="42"/>
  <c r="L186" i="42"/>
  <c r="I186" i="42"/>
  <c r="F186" i="42"/>
  <c r="O185" i="42"/>
  <c r="O184" i="42" s="1"/>
  <c r="L185" i="42"/>
  <c r="I185" i="42"/>
  <c r="I184" i="42" s="1"/>
  <c r="F185" i="42"/>
  <c r="N184" i="42"/>
  <c r="M184" i="42"/>
  <c r="L184" i="42"/>
  <c r="K184" i="42"/>
  <c r="J184" i="42"/>
  <c r="H184" i="42"/>
  <c r="G184" i="42"/>
  <c r="E184" i="42"/>
  <c r="D184" i="42"/>
  <c r="O183" i="42"/>
  <c r="L183" i="42"/>
  <c r="I183" i="42"/>
  <c r="F183" i="42"/>
  <c r="O182" i="42"/>
  <c r="L182" i="42"/>
  <c r="I182" i="42"/>
  <c r="F182" i="42"/>
  <c r="O181" i="42"/>
  <c r="L181" i="42"/>
  <c r="I181" i="42"/>
  <c r="F181" i="42"/>
  <c r="O180" i="42"/>
  <c r="L180" i="42"/>
  <c r="I180" i="42"/>
  <c r="I179" i="42" s="1"/>
  <c r="F180" i="42"/>
  <c r="N179" i="42"/>
  <c r="M179" i="42"/>
  <c r="K179" i="42"/>
  <c r="J179" i="42"/>
  <c r="H179" i="42"/>
  <c r="G179" i="42"/>
  <c r="G174" i="42" s="1"/>
  <c r="G173" i="42" s="1"/>
  <c r="E179" i="42"/>
  <c r="D179" i="42"/>
  <c r="O178" i="42"/>
  <c r="L178" i="42"/>
  <c r="I178" i="42"/>
  <c r="F178" i="42"/>
  <c r="O177" i="42"/>
  <c r="L177" i="42"/>
  <c r="I177" i="42"/>
  <c r="F177" i="42"/>
  <c r="O176" i="42"/>
  <c r="L176" i="42"/>
  <c r="I176" i="42"/>
  <c r="F176" i="42"/>
  <c r="N175" i="42"/>
  <c r="N174" i="42" s="1"/>
  <c r="N173" i="42" s="1"/>
  <c r="M175" i="42"/>
  <c r="M174" i="42" s="1"/>
  <c r="M173" i="42" s="1"/>
  <c r="K175" i="42"/>
  <c r="J175" i="42"/>
  <c r="I175" i="42"/>
  <c r="H175" i="42"/>
  <c r="H174" i="42" s="1"/>
  <c r="G175" i="42"/>
  <c r="E175" i="42"/>
  <c r="D175" i="42"/>
  <c r="D174" i="42" s="1"/>
  <c r="J174" i="42"/>
  <c r="J173" i="42" s="1"/>
  <c r="O172" i="42"/>
  <c r="L172" i="42"/>
  <c r="I172" i="42"/>
  <c r="F172" i="42"/>
  <c r="O171" i="42"/>
  <c r="L171" i="42"/>
  <c r="I171" i="42"/>
  <c r="F171" i="42"/>
  <c r="O170" i="42"/>
  <c r="L170" i="42"/>
  <c r="I170" i="42"/>
  <c r="F170" i="42"/>
  <c r="O169" i="42"/>
  <c r="L169" i="42"/>
  <c r="I169" i="42"/>
  <c r="F169" i="42"/>
  <c r="O168" i="42"/>
  <c r="L168" i="42"/>
  <c r="I168" i="42"/>
  <c r="F168" i="42"/>
  <c r="O167" i="42"/>
  <c r="L167" i="42"/>
  <c r="I167" i="42"/>
  <c r="F167" i="42"/>
  <c r="N166" i="42"/>
  <c r="N165" i="42" s="1"/>
  <c r="M166" i="42"/>
  <c r="M165" i="42" s="1"/>
  <c r="K166" i="42"/>
  <c r="K165" i="42" s="1"/>
  <c r="J166" i="42"/>
  <c r="J165" i="42" s="1"/>
  <c r="H166" i="42"/>
  <c r="G166" i="42"/>
  <c r="E166" i="42"/>
  <c r="E165" i="42" s="1"/>
  <c r="D166" i="42"/>
  <c r="H165" i="42"/>
  <c r="G165" i="42"/>
  <c r="D165" i="42"/>
  <c r="O164" i="42"/>
  <c r="L164" i="42"/>
  <c r="I164" i="42"/>
  <c r="F164" i="42"/>
  <c r="O163" i="42"/>
  <c r="L163" i="42"/>
  <c r="I163" i="42"/>
  <c r="F163" i="42"/>
  <c r="O162" i="42"/>
  <c r="L162" i="42"/>
  <c r="I162" i="42"/>
  <c r="F162" i="42"/>
  <c r="O161" i="42"/>
  <c r="O160" i="42" s="1"/>
  <c r="L161" i="42"/>
  <c r="L160" i="42" s="1"/>
  <c r="I161" i="42"/>
  <c r="I160" i="42" s="1"/>
  <c r="F161" i="42"/>
  <c r="N160" i="42"/>
  <c r="M160" i="42"/>
  <c r="K160" i="42"/>
  <c r="J160" i="42"/>
  <c r="H160" i="42"/>
  <c r="G160" i="42"/>
  <c r="F160" i="42"/>
  <c r="E160" i="42"/>
  <c r="D160" i="42"/>
  <c r="O159" i="42"/>
  <c r="L159" i="42"/>
  <c r="I159" i="42"/>
  <c r="F159" i="42"/>
  <c r="O158" i="42"/>
  <c r="L158" i="42"/>
  <c r="I158" i="42"/>
  <c r="F158" i="42"/>
  <c r="O157" i="42"/>
  <c r="L157" i="42"/>
  <c r="I157" i="42"/>
  <c r="F157" i="42"/>
  <c r="O156" i="42"/>
  <c r="L156" i="42"/>
  <c r="I156" i="42"/>
  <c r="F156" i="42"/>
  <c r="O155" i="42"/>
  <c r="L155" i="42"/>
  <c r="I155" i="42"/>
  <c r="F155" i="42"/>
  <c r="O154" i="42"/>
  <c r="L154" i="42"/>
  <c r="I154" i="42"/>
  <c r="F154" i="42"/>
  <c r="O153" i="42"/>
  <c r="L153" i="42"/>
  <c r="I153" i="42"/>
  <c r="F153" i="42"/>
  <c r="C153" i="42" s="1"/>
  <c r="O152" i="42"/>
  <c r="L152" i="42"/>
  <c r="I152" i="42"/>
  <c r="F152" i="42"/>
  <c r="N151" i="42"/>
  <c r="M151" i="42"/>
  <c r="K151" i="42"/>
  <c r="J151" i="42"/>
  <c r="H151" i="42"/>
  <c r="G151" i="42"/>
  <c r="E151" i="42"/>
  <c r="D151" i="42"/>
  <c r="O150" i="42"/>
  <c r="L150" i="42"/>
  <c r="I150" i="42"/>
  <c r="F150" i="42"/>
  <c r="O149" i="42"/>
  <c r="L149" i="42"/>
  <c r="I149" i="42"/>
  <c r="F149" i="42"/>
  <c r="O148" i="42"/>
  <c r="L148" i="42"/>
  <c r="I148" i="42"/>
  <c r="F148" i="42"/>
  <c r="O147" i="42"/>
  <c r="L147" i="42"/>
  <c r="I147" i="42"/>
  <c r="F147" i="42"/>
  <c r="O146" i="42"/>
  <c r="L146" i="42"/>
  <c r="I146" i="42"/>
  <c r="F146" i="42"/>
  <c r="O145" i="42"/>
  <c r="L145" i="42"/>
  <c r="L144" i="42" s="1"/>
  <c r="I145" i="42"/>
  <c r="I144" i="42" s="1"/>
  <c r="F145" i="42"/>
  <c r="N144" i="42"/>
  <c r="M144" i="42"/>
  <c r="K144" i="42"/>
  <c r="J144" i="42"/>
  <c r="H144" i="42"/>
  <c r="G144" i="42"/>
  <c r="E144" i="42"/>
  <c r="D144" i="42"/>
  <c r="O143" i="42"/>
  <c r="L143" i="42"/>
  <c r="I143" i="42"/>
  <c r="F143" i="42"/>
  <c r="O142" i="42"/>
  <c r="L142" i="42"/>
  <c r="L141" i="42" s="1"/>
  <c r="I142" i="42"/>
  <c r="F142" i="42"/>
  <c r="O141" i="42"/>
  <c r="N141" i="42"/>
  <c r="M141" i="42"/>
  <c r="K141" i="42"/>
  <c r="J141" i="42"/>
  <c r="H141" i="42"/>
  <c r="G141" i="42"/>
  <c r="F141" i="42"/>
  <c r="E141" i="42"/>
  <c r="D141" i="42"/>
  <c r="O140" i="42"/>
  <c r="L140" i="42"/>
  <c r="I140" i="42"/>
  <c r="F140" i="42"/>
  <c r="O139" i="42"/>
  <c r="L139" i="42"/>
  <c r="I139" i="42"/>
  <c r="F139" i="42"/>
  <c r="O138" i="42"/>
  <c r="L138" i="42"/>
  <c r="I138" i="42"/>
  <c r="F138" i="42"/>
  <c r="O137" i="42"/>
  <c r="O136" i="42" s="1"/>
  <c r="L137" i="42"/>
  <c r="L136" i="42" s="1"/>
  <c r="I137" i="42"/>
  <c r="F137" i="42"/>
  <c r="F136" i="42" s="1"/>
  <c r="N136" i="42"/>
  <c r="N130" i="42" s="1"/>
  <c r="M136" i="42"/>
  <c r="K136" i="42"/>
  <c r="J136" i="42"/>
  <c r="H136" i="42"/>
  <c r="H130" i="42" s="1"/>
  <c r="G136" i="42"/>
  <c r="E136" i="42"/>
  <c r="D136" i="42"/>
  <c r="O135" i="42"/>
  <c r="L135" i="42"/>
  <c r="I135" i="42"/>
  <c r="F135" i="42"/>
  <c r="C135" i="42" s="1"/>
  <c r="O134" i="42"/>
  <c r="L134" i="42"/>
  <c r="I134" i="42"/>
  <c r="F134" i="42"/>
  <c r="O133" i="42"/>
  <c r="L133" i="42"/>
  <c r="I133" i="42"/>
  <c r="F133" i="42"/>
  <c r="C133" i="42" s="1"/>
  <c r="O132" i="42"/>
  <c r="L132" i="42"/>
  <c r="I132" i="42"/>
  <c r="I131" i="42" s="1"/>
  <c r="F132" i="42"/>
  <c r="N131" i="42"/>
  <c r="M131" i="42"/>
  <c r="K131" i="42"/>
  <c r="J131" i="42"/>
  <c r="J130" i="42" s="1"/>
  <c r="H131" i="42"/>
  <c r="G131" i="42"/>
  <c r="E131" i="42"/>
  <c r="D131" i="42"/>
  <c r="O129" i="42"/>
  <c r="O128" i="42" s="1"/>
  <c r="L129" i="42"/>
  <c r="L128" i="42" s="1"/>
  <c r="I129" i="42"/>
  <c r="F129" i="42"/>
  <c r="N128" i="42"/>
  <c r="M128" i="42"/>
  <c r="K128" i="42"/>
  <c r="J128" i="42"/>
  <c r="I128" i="42"/>
  <c r="H128" i="42"/>
  <c r="G128" i="42"/>
  <c r="E128" i="42"/>
  <c r="D128" i="42"/>
  <c r="O127" i="42"/>
  <c r="L127" i="42"/>
  <c r="I127" i="42"/>
  <c r="F127" i="42"/>
  <c r="O126" i="42"/>
  <c r="L126" i="42"/>
  <c r="I126" i="42"/>
  <c r="F126" i="42"/>
  <c r="C126" i="42" s="1"/>
  <c r="O125" i="42"/>
  <c r="L125" i="42"/>
  <c r="I125" i="42"/>
  <c r="F125" i="42"/>
  <c r="C125" i="42" s="1"/>
  <c r="O124" i="42"/>
  <c r="L124" i="42"/>
  <c r="I124" i="42"/>
  <c r="F124" i="42"/>
  <c r="O123" i="42"/>
  <c r="L123" i="42"/>
  <c r="I123" i="42"/>
  <c r="F123" i="42"/>
  <c r="N122" i="42"/>
  <c r="M122" i="42"/>
  <c r="K122" i="42"/>
  <c r="J122" i="42"/>
  <c r="H122" i="42"/>
  <c r="G122" i="42"/>
  <c r="E122" i="42"/>
  <c r="D122" i="42"/>
  <c r="O121" i="42"/>
  <c r="L121" i="42"/>
  <c r="I121" i="42"/>
  <c r="F121" i="42"/>
  <c r="C121" i="42" s="1"/>
  <c r="O120" i="42"/>
  <c r="L120" i="42"/>
  <c r="I120" i="42"/>
  <c r="F120" i="42"/>
  <c r="O119" i="42"/>
  <c r="L119" i="42"/>
  <c r="I119" i="42"/>
  <c r="F119" i="42"/>
  <c r="O118" i="42"/>
  <c r="L118" i="42"/>
  <c r="I118" i="42"/>
  <c r="F118" i="42"/>
  <c r="O117" i="42"/>
  <c r="L117" i="42"/>
  <c r="L116" i="42" s="1"/>
  <c r="I117" i="42"/>
  <c r="F117" i="42"/>
  <c r="C117" i="42" s="1"/>
  <c r="N116" i="42"/>
  <c r="M116" i="42"/>
  <c r="K116" i="42"/>
  <c r="J116" i="42"/>
  <c r="H116" i="42"/>
  <c r="G116" i="42"/>
  <c r="E116" i="42"/>
  <c r="D116" i="42"/>
  <c r="O115" i="42"/>
  <c r="L115" i="42"/>
  <c r="I115" i="42"/>
  <c r="F115" i="42"/>
  <c r="C115" i="42" s="1"/>
  <c r="O114" i="42"/>
  <c r="L114" i="42"/>
  <c r="I114" i="42"/>
  <c r="F114" i="42"/>
  <c r="O113" i="42"/>
  <c r="O112" i="42" s="1"/>
  <c r="L113" i="42"/>
  <c r="I113" i="42"/>
  <c r="F113" i="42"/>
  <c r="C113" i="42" s="1"/>
  <c r="N112" i="42"/>
  <c r="M112" i="42"/>
  <c r="K112" i="42"/>
  <c r="J112" i="42"/>
  <c r="H112" i="42"/>
  <c r="G112" i="42"/>
  <c r="E112" i="42"/>
  <c r="D112" i="42"/>
  <c r="O111" i="42"/>
  <c r="L111" i="42"/>
  <c r="I111" i="42"/>
  <c r="F111" i="42"/>
  <c r="O110" i="42"/>
  <c r="L110" i="42"/>
  <c r="I110" i="42"/>
  <c r="F110" i="42"/>
  <c r="O109" i="42"/>
  <c r="L109" i="42"/>
  <c r="I109" i="42"/>
  <c r="F109" i="42"/>
  <c r="O108" i="42"/>
  <c r="L108" i="42"/>
  <c r="I108" i="42"/>
  <c r="F108" i="42"/>
  <c r="O107" i="42"/>
  <c r="L107" i="42"/>
  <c r="I107" i="42"/>
  <c r="F107" i="42"/>
  <c r="O106" i="42"/>
  <c r="L106" i="42"/>
  <c r="I106" i="42"/>
  <c r="F106" i="42"/>
  <c r="O105" i="42"/>
  <c r="L105" i="42"/>
  <c r="I105" i="42"/>
  <c r="F105" i="42"/>
  <c r="C105" i="42" s="1"/>
  <c r="O104" i="42"/>
  <c r="L104" i="42"/>
  <c r="I104" i="42"/>
  <c r="I103" i="42" s="1"/>
  <c r="F104" i="42"/>
  <c r="N103" i="42"/>
  <c r="M103" i="42"/>
  <c r="K103" i="42"/>
  <c r="J103" i="42"/>
  <c r="H103" i="42"/>
  <c r="G103" i="42"/>
  <c r="E103" i="42"/>
  <c r="D103" i="42"/>
  <c r="O102" i="42"/>
  <c r="L102" i="42"/>
  <c r="I102" i="42"/>
  <c r="F102" i="42"/>
  <c r="O101" i="42"/>
  <c r="L101" i="42"/>
  <c r="I101" i="42"/>
  <c r="F101" i="42"/>
  <c r="O100" i="42"/>
  <c r="L100" i="42"/>
  <c r="I100" i="42"/>
  <c r="F100" i="42"/>
  <c r="O99" i="42"/>
  <c r="L99" i="42"/>
  <c r="I99" i="42"/>
  <c r="F99" i="42"/>
  <c r="O98" i="42"/>
  <c r="L98" i="42"/>
  <c r="I98" i="42"/>
  <c r="F98" i="42"/>
  <c r="O97" i="42"/>
  <c r="L97" i="42"/>
  <c r="C97" i="42" s="1"/>
  <c r="I97" i="42"/>
  <c r="F97" i="42"/>
  <c r="O96" i="42"/>
  <c r="L96" i="42"/>
  <c r="I96" i="42"/>
  <c r="F96" i="42"/>
  <c r="N95" i="42"/>
  <c r="M95" i="42"/>
  <c r="K95" i="42"/>
  <c r="J95" i="42"/>
  <c r="H95" i="42"/>
  <c r="G95" i="42"/>
  <c r="E95" i="42"/>
  <c r="D95" i="42"/>
  <c r="O94" i="42"/>
  <c r="L94" i="42"/>
  <c r="I94" i="42"/>
  <c r="F94" i="42"/>
  <c r="O93" i="42"/>
  <c r="L93" i="42"/>
  <c r="I93" i="42"/>
  <c r="F93" i="42"/>
  <c r="C93" i="42"/>
  <c r="O92" i="42"/>
  <c r="L92" i="42"/>
  <c r="I92" i="42"/>
  <c r="F92" i="42"/>
  <c r="O91" i="42"/>
  <c r="L91" i="42"/>
  <c r="I91" i="42"/>
  <c r="F91" i="42"/>
  <c r="C91" i="42" s="1"/>
  <c r="O90" i="42"/>
  <c r="L90" i="42"/>
  <c r="I90" i="42"/>
  <c r="F90" i="42"/>
  <c r="C90" i="42" s="1"/>
  <c r="N89" i="42"/>
  <c r="M89" i="42"/>
  <c r="K89" i="42"/>
  <c r="J89" i="42"/>
  <c r="H89" i="42"/>
  <c r="G89" i="42"/>
  <c r="E89" i="42"/>
  <c r="D89" i="42"/>
  <c r="O88" i="42"/>
  <c r="L88" i="42"/>
  <c r="I88" i="42"/>
  <c r="F88" i="42"/>
  <c r="O87" i="42"/>
  <c r="L87" i="42"/>
  <c r="I87" i="42"/>
  <c r="F87" i="42"/>
  <c r="C87" i="42" s="1"/>
  <c r="O86" i="42"/>
  <c r="L86" i="42"/>
  <c r="I86" i="42"/>
  <c r="F86" i="42"/>
  <c r="O85" i="42"/>
  <c r="O84" i="42" s="1"/>
  <c r="L85" i="42"/>
  <c r="I85" i="42"/>
  <c r="F85" i="42"/>
  <c r="C85" i="42" s="1"/>
  <c r="N84" i="42"/>
  <c r="M84" i="42"/>
  <c r="K84" i="42"/>
  <c r="J84" i="42"/>
  <c r="H84" i="42"/>
  <c r="G84" i="42"/>
  <c r="E84" i="42"/>
  <c r="D84" i="42"/>
  <c r="O82" i="42"/>
  <c r="L82" i="42"/>
  <c r="I82" i="42"/>
  <c r="F82" i="42"/>
  <c r="O81" i="42"/>
  <c r="O80" i="42" s="1"/>
  <c r="L81" i="42"/>
  <c r="I81" i="42"/>
  <c r="F81" i="42"/>
  <c r="F80" i="42" s="1"/>
  <c r="N80" i="42"/>
  <c r="M80" i="42"/>
  <c r="K80" i="42"/>
  <c r="J80" i="42"/>
  <c r="H80" i="42"/>
  <c r="H76" i="42" s="1"/>
  <c r="G80" i="42"/>
  <c r="E80" i="42"/>
  <c r="E76" i="42" s="1"/>
  <c r="D80" i="42"/>
  <c r="D76" i="42" s="1"/>
  <c r="O79" i="42"/>
  <c r="L79" i="42"/>
  <c r="I79" i="42"/>
  <c r="F79" i="42"/>
  <c r="O78" i="42"/>
  <c r="L78" i="42"/>
  <c r="L77" i="42" s="1"/>
  <c r="I78" i="42"/>
  <c r="F78" i="42"/>
  <c r="O77" i="42"/>
  <c r="N77" i="42"/>
  <c r="M77" i="42"/>
  <c r="K77" i="42"/>
  <c r="K76" i="42" s="1"/>
  <c r="J77" i="42"/>
  <c r="H77" i="42"/>
  <c r="G77" i="42"/>
  <c r="G76" i="42" s="1"/>
  <c r="F77" i="42"/>
  <c r="E77" i="42"/>
  <c r="D77" i="42"/>
  <c r="N76" i="42"/>
  <c r="J76" i="42"/>
  <c r="O74" i="42"/>
  <c r="L74" i="42"/>
  <c r="I74" i="42"/>
  <c r="F74" i="42"/>
  <c r="O73" i="42"/>
  <c r="L73" i="42"/>
  <c r="I73" i="42"/>
  <c r="F73" i="42"/>
  <c r="O72" i="42"/>
  <c r="L72" i="42"/>
  <c r="I72" i="42"/>
  <c r="F72" i="42"/>
  <c r="O71" i="42"/>
  <c r="L71" i="42"/>
  <c r="I71" i="42"/>
  <c r="F71" i="42"/>
  <c r="O70" i="42"/>
  <c r="L70" i="42"/>
  <c r="L69" i="42" s="1"/>
  <c r="I70" i="42"/>
  <c r="F70" i="42"/>
  <c r="F69" i="42" s="1"/>
  <c r="O69" i="42"/>
  <c r="N69" i="42"/>
  <c r="N67" i="42" s="1"/>
  <c r="M69" i="42"/>
  <c r="K69" i="42"/>
  <c r="K67" i="42" s="1"/>
  <c r="J69" i="42"/>
  <c r="J67" i="42" s="1"/>
  <c r="H69" i="42"/>
  <c r="H67" i="42" s="1"/>
  <c r="G69" i="42"/>
  <c r="G67" i="42" s="1"/>
  <c r="E69" i="42"/>
  <c r="D69" i="42"/>
  <c r="O68" i="42"/>
  <c r="L68" i="42"/>
  <c r="I68" i="42"/>
  <c r="F68" i="42"/>
  <c r="M67" i="42"/>
  <c r="E67" i="42"/>
  <c r="D67" i="42"/>
  <c r="O66" i="42"/>
  <c r="L66" i="42"/>
  <c r="I66" i="42"/>
  <c r="F66" i="42"/>
  <c r="O65" i="42"/>
  <c r="L65" i="42"/>
  <c r="I65" i="42"/>
  <c r="C65" i="42" s="1"/>
  <c r="F65" i="42"/>
  <c r="O64" i="42"/>
  <c r="L64" i="42"/>
  <c r="I64" i="42"/>
  <c r="F64" i="42"/>
  <c r="O63" i="42"/>
  <c r="L63" i="42"/>
  <c r="I63" i="42"/>
  <c r="F63" i="42"/>
  <c r="O62" i="42"/>
  <c r="L62" i="42"/>
  <c r="I62" i="42"/>
  <c r="F62" i="42"/>
  <c r="O61" i="42"/>
  <c r="L61" i="42"/>
  <c r="I61" i="42"/>
  <c r="F61" i="42"/>
  <c r="O60" i="42"/>
  <c r="L60" i="42"/>
  <c r="I60" i="42"/>
  <c r="F60" i="42"/>
  <c r="O59" i="42"/>
  <c r="L59" i="42"/>
  <c r="I59" i="42"/>
  <c r="F59" i="42"/>
  <c r="F58" i="42" s="1"/>
  <c r="N58" i="42"/>
  <c r="M58" i="42"/>
  <c r="K58" i="42"/>
  <c r="J58" i="42"/>
  <c r="H58" i="42"/>
  <c r="G58" i="42"/>
  <c r="E58" i="42"/>
  <c r="D58" i="42"/>
  <c r="O57" i="42"/>
  <c r="L57" i="42"/>
  <c r="I57" i="42"/>
  <c r="F57" i="42"/>
  <c r="O56" i="42"/>
  <c r="L56" i="42"/>
  <c r="L55" i="42" s="1"/>
  <c r="I56" i="42"/>
  <c r="F56" i="42"/>
  <c r="N55" i="42"/>
  <c r="M55" i="42"/>
  <c r="M54" i="42" s="1"/>
  <c r="M53" i="42" s="1"/>
  <c r="K55" i="42"/>
  <c r="K54" i="42" s="1"/>
  <c r="K53" i="42" s="1"/>
  <c r="J55" i="42"/>
  <c r="H55" i="42"/>
  <c r="H54" i="42" s="1"/>
  <c r="H53" i="42" s="1"/>
  <c r="G55" i="42"/>
  <c r="G54" i="42" s="1"/>
  <c r="G53" i="42" s="1"/>
  <c r="E55" i="42"/>
  <c r="D55" i="42"/>
  <c r="N54" i="42"/>
  <c r="N53" i="42" s="1"/>
  <c r="D54" i="42"/>
  <c r="D53" i="42" s="1"/>
  <c r="O47" i="42"/>
  <c r="C47" i="42" s="1"/>
  <c r="O46" i="42"/>
  <c r="N45" i="42"/>
  <c r="M45" i="42"/>
  <c r="L44" i="42"/>
  <c r="L43" i="42" s="1"/>
  <c r="I44" i="42"/>
  <c r="I43" i="42" s="1"/>
  <c r="F44" i="42"/>
  <c r="K43" i="42"/>
  <c r="J43" i="42"/>
  <c r="H43" i="42"/>
  <c r="G43" i="42"/>
  <c r="F43" i="42"/>
  <c r="E43" i="42"/>
  <c r="D43" i="42"/>
  <c r="F42" i="42"/>
  <c r="C42" i="42" s="1"/>
  <c r="F41" i="42"/>
  <c r="C41" i="42" s="1"/>
  <c r="E41" i="42"/>
  <c r="D41" i="42"/>
  <c r="L40" i="42"/>
  <c r="C40" i="42" s="1"/>
  <c r="L39" i="42"/>
  <c r="C39" i="42" s="1"/>
  <c r="L38" i="42"/>
  <c r="C38" i="42" s="1"/>
  <c r="L37" i="42"/>
  <c r="C37" i="42" s="1"/>
  <c r="K36" i="42"/>
  <c r="J36" i="42"/>
  <c r="L35" i="42"/>
  <c r="C35" i="42" s="1"/>
  <c r="L34" i="42"/>
  <c r="C34" i="42" s="1"/>
  <c r="K33" i="42"/>
  <c r="J33" i="42"/>
  <c r="L32" i="42"/>
  <c r="K31" i="42"/>
  <c r="J31" i="42"/>
  <c r="L30" i="42"/>
  <c r="C30" i="42" s="1"/>
  <c r="L29" i="42"/>
  <c r="C29" i="42" s="1"/>
  <c r="L28" i="42"/>
  <c r="C28" i="42" s="1"/>
  <c r="K27" i="42"/>
  <c r="K26" i="42" s="1"/>
  <c r="J27" i="42"/>
  <c r="F25" i="42"/>
  <c r="C25" i="42" s="1"/>
  <c r="I24" i="42"/>
  <c r="F24" i="42"/>
  <c r="O23" i="42"/>
  <c r="L23" i="42"/>
  <c r="I23" i="42"/>
  <c r="F23" i="42"/>
  <c r="O22" i="42"/>
  <c r="O21" i="42" s="1"/>
  <c r="O292" i="42" s="1"/>
  <c r="L22" i="42"/>
  <c r="L21" i="42" s="1"/>
  <c r="L292" i="42" s="1"/>
  <c r="I22" i="42"/>
  <c r="F22" i="42"/>
  <c r="F21" i="42" s="1"/>
  <c r="N21" i="42"/>
  <c r="M21" i="42"/>
  <c r="K21" i="42"/>
  <c r="K292" i="42" s="1"/>
  <c r="K291" i="42" s="1"/>
  <c r="J21" i="42"/>
  <c r="H21" i="42"/>
  <c r="H292" i="42" s="1"/>
  <c r="H291" i="42" s="1"/>
  <c r="G21" i="42"/>
  <c r="G292" i="42" s="1"/>
  <c r="E21" i="42"/>
  <c r="E292" i="42" s="1"/>
  <c r="E291" i="42" s="1"/>
  <c r="D21" i="42"/>
  <c r="D292" i="42" s="1"/>
  <c r="D291" i="42" s="1"/>
  <c r="G20" i="42"/>
  <c r="I55" i="42" l="1"/>
  <c r="O76" i="42"/>
  <c r="M76" i="42"/>
  <c r="L89" i="42"/>
  <c r="C149" i="42"/>
  <c r="O151" i="42"/>
  <c r="C169" i="42"/>
  <c r="C172" i="42"/>
  <c r="K174" i="42"/>
  <c r="K173" i="42" s="1"/>
  <c r="O187" i="42"/>
  <c r="C210" i="42"/>
  <c r="C228" i="42"/>
  <c r="C229" i="42"/>
  <c r="C234" i="42"/>
  <c r="C244" i="42"/>
  <c r="C254" i="42"/>
  <c r="C257" i="42"/>
  <c r="C266" i="42"/>
  <c r="C268" i="42"/>
  <c r="L272" i="42"/>
  <c r="G270" i="42"/>
  <c r="G269" i="42" s="1"/>
  <c r="C298" i="42"/>
  <c r="C299" i="42"/>
  <c r="C73" i="42"/>
  <c r="F76" i="42"/>
  <c r="D130" i="42"/>
  <c r="C147" i="42"/>
  <c r="C185" i="42"/>
  <c r="N187" i="42"/>
  <c r="C202" i="42"/>
  <c r="C206" i="42"/>
  <c r="C222" i="42"/>
  <c r="C223" i="42"/>
  <c r="C224" i="42"/>
  <c r="C225" i="42"/>
  <c r="O89" i="42"/>
  <c r="O179" i="42"/>
  <c r="D269" i="42"/>
  <c r="H269" i="42"/>
  <c r="E20" i="42"/>
  <c r="C57" i="42"/>
  <c r="J54" i="42"/>
  <c r="J53" i="42" s="1"/>
  <c r="C60" i="42"/>
  <c r="C62" i="42"/>
  <c r="C64" i="42"/>
  <c r="C101" i="42"/>
  <c r="C137" i="42"/>
  <c r="C157" i="42"/>
  <c r="C161" i="42"/>
  <c r="C181" i="42"/>
  <c r="C182" i="42"/>
  <c r="C183" i="42"/>
  <c r="D187" i="42"/>
  <c r="I188" i="42"/>
  <c r="C214" i="42"/>
  <c r="C215" i="42"/>
  <c r="M204" i="42"/>
  <c r="C242" i="42"/>
  <c r="C250" i="42"/>
  <c r="I270" i="42"/>
  <c r="K270" i="42"/>
  <c r="K269" i="42" s="1"/>
  <c r="C46" i="42"/>
  <c r="O45" i="42"/>
  <c r="M292" i="42"/>
  <c r="M291" i="42" s="1"/>
  <c r="M20" i="42"/>
  <c r="L175" i="42"/>
  <c r="C129" i="42"/>
  <c r="F128" i="42"/>
  <c r="I136" i="42"/>
  <c r="C136" i="42" s="1"/>
  <c r="I174" i="42"/>
  <c r="I173" i="42" s="1"/>
  <c r="C81" i="42"/>
  <c r="I80" i="42"/>
  <c r="F112" i="42"/>
  <c r="C24" i="42"/>
  <c r="K20" i="42"/>
  <c r="C109" i="42"/>
  <c r="C145" i="42"/>
  <c r="C177" i="42"/>
  <c r="L27" i="42"/>
  <c r="C27" i="42" s="1"/>
  <c r="J26" i="42"/>
  <c r="C63" i="42"/>
  <c r="C66" i="42"/>
  <c r="C68" i="42"/>
  <c r="O67" i="42"/>
  <c r="I77" i="42"/>
  <c r="I76" i="42" s="1"/>
  <c r="L80" i="42"/>
  <c r="I84" i="42"/>
  <c r="K83" i="42"/>
  <c r="I89" i="42"/>
  <c r="O95" i="42"/>
  <c r="C102" i="42"/>
  <c r="C107" i="42"/>
  <c r="C108" i="42"/>
  <c r="I112" i="42"/>
  <c r="K130" i="42"/>
  <c r="C143" i="42"/>
  <c r="C154" i="42"/>
  <c r="C156" i="42"/>
  <c r="C162" i="42"/>
  <c r="C164" i="42"/>
  <c r="C171" i="42"/>
  <c r="O175" i="42"/>
  <c r="C190" i="42"/>
  <c r="O196" i="42"/>
  <c r="C213" i="42"/>
  <c r="L216" i="42"/>
  <c r="C237" i="42"/>
  <c r="C256" i="42"/>
  <c r="I264" i="42"/>
  <c r="L264" i="42"/>
  <c r="O272" i="42"/>
  <c r="L276" i="42"/>
  <c r="L270" i="42" s="1"/>
  <c r="L269" i="42" s="1"/>
  <c r="C280" i="42"/>
  <c r="L293" i="42"/>
  <c r="L291" i="42" s="1"/>
  <c r="H173" i="42"/>
  <c r="C188" i="42"/>
  <c r="C23" i="42"/>
  <c r="C44" i="42"/>
  <c r="E54" i="42"/>
  <c r="E53" i="42" s="1"/>
  <c r="O55" i="42"/>
  <c r="L58" i="42"/>
  <c r="L54" i="42" s="1"/>
  <c r="C72" i="42"/>
  <c r="H83" i="42"/>
  <c r="L84" i="42"/>
  <c r="G83" i="42"/>
  <c r="E83" i="42"/>
  <c r="C100" i="42"/>
  <c r="C110" i="42"/>
  <c r="C114" i="42"/>
  <c r="C118" i="42"/>
  <c r="C119" i="42"/>
  <c r="N83" i="42"/>
  <c r="L122" i="42"/>
  <c r="L131" i="42"/>
  <c r="G130" i="42"/>
  <c r="I141" i="42"/>
  <c r="C155" i="42"/>
  <c r="C158" i="42"/>
  <c r="C163" i="42"/>
  <c r="L166" i="42"/>
  <c r="L165" i="42" s="1"/>
  <c r="L179" i="42"/>
  <c r="F184" i="42"/>
  <c r="C184" i="42" s="1"/>
  <c r="C186" i="42"/>
  <c r="I187" i="42"/>
  <c r="K195" i="42"/>
  <c r="C201" i="42"/>
  <c r="H195" i="42"/>
  <c r="L205" i="42"/>
  <c r="L204" i="42" s="1"/>
  <c r="C212" i="42"/>
  <c r="O216" i="42"/>
  <c r="J204" i="42"/>
  <c r="J195" i="42" s="1"/>
  <c r="N204" i="42"/>
  <c r="N195" i="42" s="1"/>
  <c r="H231" i="42"/>
  <c r="H230" i="42" s="1"/>
  <c r="H194" i="42" s="1"/>
  <c r="C239" i="42"/>
  <c r="L252" i="42"/>
  <c r="L251" i="42" s="1"/>
  <c r="M259" i="42"/>
  <c r="O264" i="42"/>
  <c r="O259" i="42" s="1"/>
  <c r="C282" i="42"/>
  <c r="C294" i="42"/>
  <c r="D173" i="42"/>
  <c r="G291" i="42"/>
  <c r="O58" i="42"/>
  <c r="C61" i="42"/>
  <c r="C71" i="42"/>
  <c r="C74" i="42"/>
  <c r="D83" i="42"/>
  <c r="C94" i="42"/>
  <c r="M83" i="42"/>
  <c r="I95" i="42"/>
  <c r="I116" i="42"/>
  <c r="J83" i="42"/>
  <c r="J75" i="42" s="1"/>
  <c r="J52" i="42" s="1"/>
  <c r="C124" i="42"/>
  <c r="O131" i="42"/>
  <c r="C138" i="42"/>
  <c r="C140" i="42"/>
  <c r="C141" i="42"/>
  <c r="C146" i="42"/>
  <c r="C159" i="42"/>
  <c r="C168" i="42"/>
  <c r="H187" i="42"/>
  <c r="L187" i="42"/>
  <c r="G195" i="42"/>
  <c r="I198" i="42"/>
  <c r="I196" i="42" s="1"/>
  <c r="C203" i="42"/>
  <c r="D195" i="42"/>
  <c r="C211" i="42"/>
  <c r="C221" i="42"/>
  <c r="F227" i="42"/>
  <c r="D230" i="42"/>
  <c r="J231" i="42"/>
  <c r="J230" i="42" s="1"/>
  <c r="C245" i="42"/>
  <c r="C247" i="42"/>
  <c r="O246" i="42"/>
  <c r="O252" i="42"/>
  <c r="O251" i="42" s="1"/>
  <c r="O276" i="42"/>
  <c r="O20" i="42"/>
  <c r="I21" i="42"/>
  <c r="C22" i="42"/>
  <c r="L33" i="42"/>
  <c r="C33" i="42" s="1"/>
  <c r="C43" i="42"/>
  <c r="I58" i="42"/>
  <c r="I54" i="42" s="1"/>
  <c r="C59" i="42"/>
  <c r="L76" i="42"/>
  <c r="F292" i="42"/>
  <c r="F20" i="42"/>
  <c r="C21" i="42"/>
  <c r="C32" i="42"/>
  <c r="L31" i="42"/>
  <c r="C31" i="42" s="1"/>
  <c r="L36" i="42"/>
  <c r="C36" i="42" s="1"/>
  <c r="C56" i="42"/>
  <c r="F55" i="42"/>
  <c r="O54" i="42"/>
  <c r="O53" i="42" s="1"/>
  <c r="C45" i="42"/>
  <c r="J292" i="42"/>
  <c r="J291" i="42" s="1"/>
  <c r="J20" i="42"/>
  <c r="N292" i="42"/>
  <c r="N291" i="42" s="1"/>
  <c r="N20" i="42"/>
  <c r="L67" i="42"/>
  <c r="L103" i="42"/>
  <c r="C106" i="42"/>
  <c r="C148" i="42"/>
  <c r="F144" i="42"/>
  <c r="C197" i="42"/>
  <c r="F196" i="42"/>
  <c r="C233" i="42"/>
  <c r="I235" i="42"/>
  <c r="C235" i="42" s="1"/>
  <c r="C236" i="42"/>
  <c r="C301" i="42"/>
  <c r="D20" i="42"/>
  <c r="H20" i="42"/>
  <c r="F67" i="42"/>
  <c r="C70" i="42"/>
  <c r="H75" i="42"/>
  <c r="K75" i="42"/>
  <c r="K52" i="42" s="1"/>
  <c r="C78" i="42"/>
  <c r="C79" i="42"/>
  <c r="C82" i="42"/>
  <c r="L95" i="42"/>
  <c r="C98" i="42"/>
  <c r="C104" i="42"/>
  <c r="F103" i="42"/>
  <c r="O103" i="42"/>
  <c r="N75" i="42"/>
  <c r="N52" i="42" s="1"/>
  <c r="O122" i="42"/>
  <c r="M130" i="42"/>
  <c r="C134" i="42"/>
  <c r="C150" i="42"/>
  <c r="I151" i="42"/>
  <c r="L151" i="42"/>
  <c r="F166" i="42"/>
  <c r="I166" i="42"/>
  <c r="I165" i="42" s="1"/>
  <c r="C167" i="42"/>
  <c r="C170" i="42"/>
  <c r="E174" i="42"/>
  <c r="E173" i="42" s="1"/>
  <c r="C176" i="42"/>
  <c r="F175" i="42"/>
  <c r="O174" i="42"/>
  <c r="O173" i="42" s="1"/>
  <c r="C220" i="42"/>
  <c r="I216" i="42"/>
  <c r="C249" i="42"/>
  <c r="F246" i="42"/>
  <c r="C92" i="42"/>
  <c r="F89" i="42"/>
  <c r="C89" i="42" s="1"/>
  <c r="I69" i="42"/>
  <c r="I67" i="42" s="1"/>
  <c r="D75" i="42"/>
  <c r="D52" i="42" s="1"/>
  <c r="C86" i="42"/>
  <c r="C88" i="42"/>
  <c r="F84" i="42"/>
  <c r="C96" i="42"/>
  <c r="F95" i="42"/>
  <c r="C95" i="42" s="1"/>
  <c r="L112" i="42"/>
  <c r="I130" i="42"/>
  <c r="L130" i="42"/>
  <c r="C142" i="42"/>
  <c r="C152" i="42"/>
  <c r="F151" i="42"/>
  <c r="C151" i="42" s="1"/>
  <c r="C160" i="42"/>
  <c r="C178" i="42"/>
  <c r="C208" i="42"/>
  <c r="I205" i="42"/>
  <c r="C120" i="42"/>
  <c r="F116" i="42"/>
  <c r="C99" i="42"/>
  <c r="C111" i="42"/>
  <c r="O116" i="42"/>
  <c r="F122" i="42"/>
  <c r="I122" i="42"/>
  <c r="C123" i="42"/>
  <c r="C127" i="42"/>
  <c r="C128" i="42"/>
  <c r="E130" i="42"/>
  <c r="E75" i="42" s="1"/>
  <c r="E52" i="42" s="1"/>
  <c r="C132" i="42"/>
  <c r="F131" i="42"/>
  <c r="O130" i="42"/>
  <c r="C139" i="42"/>
  <c r="O144" i="42"/>
  <c r="O166" i="42"/>
  <c r="O165" i="42" s="1"/>
  <c r="C180" i="42"/>
  <c r="F179" i="42"/>
  <c r="L195" i="42"/>
  <c r="D194" i="42"/>
  <c r="K231" i="42"/>
  <c r="K230" i="42" s="1"/>
  <c r="C241" i="42"/>
  <c r="F238" i="42"/>
  <c r="C248" i="42"/>
  <c r="I246" i="42"/>
  <c r="C253" i="42"/>
  <c r="F252" i="42"/>
  <c r="C265" i="42"/>
  <c r="F264" i="42"/>
  <c r="C273" i="42"/>
  <c r="F272" i="42"/>
  <c r="C288" i="42"/>
  <c r="I286" i="42"/>
  <c r="C286" i="42" s="1"/>
  <c r="C300" i="42"/>
  <c r="C193" i="42"/>
  <c r="F192" i="42"/>
  <c r="E195" i="42"/>
  <c r="M195" i="42"/>
  <c r="O205" i="42"/>
  <c r="O204" i="42" s="1"/>
  <c r="O195" i="42" s="1"/>
  <c r="C217" i="42"/>
  <c r="F216" i="42"/>
  <c r="C232" i="42"/>
  <c r="G231" i="42"/>
  <c r="G230" i="42" s="1"/>
  <c r="G194" i="42" s="1"/>
  <c r="C240" i="42"/>
  <c r="I238" i="42"/>
  <c r="I231" i="42" s="1"/>
  <c r="C243" i="42"/>
  <c r="C255" i="42"/>
  <c r="I259" i="42"/>
  <c r="L260" i="42"/>
  <c r="L259" i="42" s="1"/>
  <c r="C263" i="42"/>
  <c r="C267" i="42"/>
  <c r="C275" i="42"/>
  <c r="C281" i="42"/>
  <c r="C285" i="42"/>
  <c r="F284" i="42"/>
  <c r="C199" i="42"/>
  <c r="C200" i="42"/>
  <c r="C207" i="42"/>
  <c r="C209" i="42"/>
  <c r="F205" i="42"/>
  <c r="C219" i="42"/>
  <c r="C227" i="42"/>
  <c r="O231" i="42"/>
  <c r="L238" i="42"/>
  <c r="L231" i="42" s="1"/>
  <c r="L230" i="42" s="1"/>
  <c r="M230" i="42"/>
  <c r="E259" i="42"/>
  <c r="E230" i="42" s="1"/>
  <c r="C261" i="42"/>
  <c r="F260" i="42"/>
  <c r="C271" i="42"/>
  <c r="I269" i="42"/>
  <c r="M270" i="42"/>
  <c r="M269" i="42" s="1"/>
  <c r="C277" i="42"/>
  <c r="F276" i="42"/>
  <c r="C276" i="42" s="1"/>
  <c r="C295" i="42"/>
  <c r="C297" i="42"/>
  <c r="F293" i="42"/>
  <c r="C293" i="42" s="1"/>
  <c r="O291" i="42"/>
  <c r="C287" i="42"/>
  <c r="C246" i="42" l="1"/>
  <c r="I53" i="42"/>
  <c r="C238" i="42"/>
  <c r="G75" i="42"/>
  <c r="G52" i="42" s="1"/>
  <c r="C198" i="42"/>
  <c r="C112" i="42"/>
  <c r="C122" i="42"/>
  <c r="C80" i="42"/>
  <c r="J194" i="42"/>
  <c r="J51" i="42" s="1"/>
  <c r="J289" i="42"/>
  <c r="N194" i="42"/>
  <c r="N51" i="42" s="1"/>
  <c r="N289" i="42"/>
  <c r="C216" i="42"/>
  <c r="C116" i="42"/>
  <c r="L83" i="42"/>
  <c r="C58" i="42"/>
  <c r="D289" i="42"/>
  <c r="M75" i="42"/>
  <c r="M52" i="42" s="1"/>
  <c r="H52" i="42"/>
  <c r="H51" i="42" s="1"/>
  <c r="O270" i="42"/>
  <c r="O269" i="42" s="1"/>
  <c r="E289" i="42"/>
  <c r="D51" i="42"/>
  <c r="G51" i="42"/>
  <c r="G290" i="42" s="1"/>
  <c r="I204" i="42"/>
  <c r="I195" i="42" s="1"/>
  <c r="C77" i="42"/>
  <c r="L53" i="42"/>
  <c r="C76" i="42"/>
  <c r="C264" i="42"/>
  <c r="K194" i="42"/>
  <c r="K51" i="42" s="1"/>
  <c r="C179" i="42"/>
  <c r="I83" i="42"/>
  <c r="I75" i="42" s="1"/>
  <c r="O83" i="42"/>
  <c r="O75" i="42" s="1"/>
  <c r="O52" i="42" s="1"/>
  <c r="L174" i="42"/>
  <c r="L173" i="42" s="1"/>
  <c r="G50" i="42"/>
  <c r="M194" i="42"/>
  <c r="M51" i="42" s="1"/>
  <c r="C175" i="42"/>
  <c r="F174" i="42"/>
  <c r="D290" i="42"/>
  <c r="D50" i="42"/>
  <c r="C260" i="42"/>
  <c r="F259" i="42"/>
  <c r="C259" i="42" s="1"/>
  <c r="C205" i="42"/>
  <c r="F204" i="42"/>
  <c r="E194" i="42"/>
  <c r="E51" i="42" s="1"/>
  <c r="G289" i="42"/>
  <c r="H289" i="42"/>
  <c r="C131" i="42"/>
  <c r="F130" i="42"/>
  <c r="C130" i="42" s="1"/>
  <c r="K289" i="42"/>
  <c r="C84" i="42"/>
  <c r="F83" i="42"/>
  <c r="C144" i="42"/>
  <c r="I292" i="42"/>
  <c r="I291" i="42" s="1"/>
  <c r="I20" i="42"/>
  <c r="L194" i="42"/>
  <c r="C55" i="42"/>
  <c r="F54" i="42"/>
  <c r="O230" i="42"/>
  <c r="C192" i="42"/>
  <c r="F191" i="42"/>
  <c r="F270" i="42"/>
  <c r="C272" i="42"/>
  <c r="F165" i="42"/>
  <c r="C165" i="42" s="1"/>
  <c r="C166" i="42"/>
  <c r="C67" i="42"/>
  <c r="F291" i="42"/>
  <c r="C69" i="42"/>
  <c r="C292" i="42"/>
  <c r="H290" i="42"/>
  <c r="H50" i="42"/>
  <c r="I52" i="42"/>
  <c r="C284" i="42"/>
  <c r="F283" i="42"/>
  <c r="C283" i="42" s="1"/>
  <c r="I230" i="42"/>
  <c r="I289" i="42" s="1"/>
  <c r="O194" i="42"/>
  <c r="C252" i="42"/>
  <c r="F251" i="42"/>
  <c r="C251" i="42" s="1"/>
  <c r="C103" i="42"/>
  <c r="F231" i="42"/>
  <c r="C196" i="42"/>
  <c r="F195" i="42"/>
  <c r="L75" i="42"/>
  <c r="L52" i="42" s="1"/>
  <c r="L51" i="42" s="1"/>
  <c r="L50" i="42" s="1"/>
  <c r="L26" i="42"/>
  <c r="M289" i="42" l="1"/>
  <c r="K290" i="42"/>
  <c r="K50" i="42"/>
  <c r="N290" i="42"/>
  <c r="N50" i="42"/>
  <c r="J290" i="42"/>
  <c r="J50" i="42"/>
  <c r="I194" i="42"/>
  <c r="I51" i="42" s="1"/>
  <c r="C204" i="42"/>
  <c r="O289" i="42"/>
  <c r="M50" i="42"/>
  <c r="M290" i="42"/>
  <c r="E290" i="42"/>
  <c r="E50" i="42"/>
  <c r="C191" i="42"/>
  <c r="F187" i="42"/>
  <c r="C187" i="42" s="1"/>
  <c r="F173" i="42"/>
  <c r="C173" i="42" s="1"/>
  <c r="C174" i="42"/>
  <c r="O51" i="42"/>
  <c r="C291" i="42"/>
  <c r="L289" i="42"/>
  <c r="C195" i="42"/>
  <c r="F269" i="42"/>
  <c r="C270" i="42"/>
  <c r="C83" i="42"/>
  <c r="F75" i="42"/>
  <c r="C75" i="42" s="1"/>
  <c r="F230" i="42"/>
  <c r="C230" i="42" s="1"/>
  <c r="C231" i="42"/>
  <c r="L290" i="42"/>
  <c r="C26" i="42"/>
  <c r="L20" i="42"/>
  <c r="C20" i="42" s="1"/>
  <c r="F53" i="42"/>
  <c r="C54" i="42"/>
  <c r="F194" i="42" l="1"/>
  <c r="C194" i="42" s="1"/>
  <c r="F52" i="42"/>
  <c r="C53" i="42"/>
  <c r="C269" i="42"/>
  <c r="F289" i="42"/>
  <c r="C289" i="42" s="1"/>
  <c r="O50" i="42"/>
  <c r="O290" i="42"/>
  <c r="I290" i="42"/>
  <c r="I50" i="42"/>
  <c r="C52" i="42" l="1"/>
  <c r="F51" i="42"/>
  <c r="F290" i="42" l="1"/>
  <c r="C290" i="42" s="1"/>
  <c r="C51" i="42"/>
  <c r="F50" i="42"/>
  <c r="C50" i="42" s="1"/>
  <c r="E79" i="41" l="1"/>
  <c r="E78" i="41"/>
  <c r="F78" i="41" s="1"/>
  <c r="O301" i="41"/>
  <c r="L301" i="41"/>
  <c r="I301" i="41"/>
  <c r="F301" i="41"/>
  <c r="O300" i="41"/>
  <c r="L300" i="41"/>
  <c r="I300" i="41"/>
  <c r="F300" i="41"/>
  <c r="O299" i="41"/>
  <c r="L299" i="41"/>
  <c r="I299" i="41"/>
  <c r="F299" i="41"/>
  <c r="O298" i="41"/>
  <c r="L298" i="41"/>
  <c r="I298" i="41"/>
  <c r="F298" i="41"/>
  <c r="O297" i="41"/>
  <c r="L297" i="41"/>
  <c r="I297" i="41"/>
  <c r="F297" i="41"/>
  <c r="O296" i="41"/>
  <c r="L296" i="41"/>
  <c r="I296" i="41"/>
  <c r="F296" i="41"/>
  <c r="O295" i="41"/>
  <c r="L295" i="41"/>
  <c r="I295" i="41"/>
  <c r="F295" i="41"/>
  <c r="O294" i="41"/>
  <c r="L294" i="41"/>
  <c r="L293" i="41" s="1"/>
  <c r="I294" i="41"/>
  <c r="F294" i="41"/>
  <c r="N293" i="41"/>
  <c r="M293" i="41"/>
  <c r="K293" i="41"/>
  <c r="J293" i="41"/>
  <c r="H293" i="41"/>
  <c r="G293" i="41"/>
  <c r="E293" i="41"/>
  <c r="D293" i="41"/>
  <c r="O288" i="41"/>
  <c r="L288" i="41"/>
  <c r="I288" i="41"/>
  <c r="F288" i="41"/>
  <c r="O287" i="41"/>
  <c r="L287" i="41"/>
  <c r="L286" i="41" s="1"/>
  <c r="I287" i="41"/>
  <c r="I286" i="41" s="1"/>
  <c r="F287" i="41"/>
  <c r="O286" i="41"/>
  <c r="N286" i="41"/>
  <c r="M286" i="41"/>
  <c r="K286" i="41"/>
  <c r="J286" i="41"/>
  <c r="H286" i="41"/>
  <c r="G286" i="41"/>
  <c r="F286" i="41"/>
  <c r="E286" i="41"/>
  <c r="D286" i="41"/>
  <c r="O285" i="41"/>
  <c r="O284" i="41" s="1"/>
  <c r="O283" i="41" s="1"/>
  <c r="L285" i="41"/>
  <c r="L284" i="41" s="1"/>
  <c r="L283" i="41" s="1"/>
  <c r="I285" i="41"/>
  <c r="I284" i="41" s="1"/>
  <c r="I283" i="41" s="1"/>
  <c r="F285" i="41"/>
  <c r="N284" i="41"/>
  <c r="N283" i="41" s="1"/>
  <c r="M284" i="41"/>
  <c r="M283" i="41" s="1"/>
  <c r="K284" i="41"/>
  <c r="K283" i="41" s="1"/>
  <c r="J284" i="41"/>
  <c r="J283" i="41" s="1"/>
  <c r="H284" i="41"/>
  <c r="H283" i="41" s="1"/>
  <c r="G284" i="41"/>
  <c r="E284" i="41"/>
  <c r="E283" i="41" s="1"/>
  <c r="D284" i="41"/>
  <c r="D283" i="41" s="1"/>
  <c r="G283" i="41"/>
  <c r="O282" i="41"/>
  <c r="O281" i="41" s="1"/>
  <c r="L282" i="41"/>
  <c r="I282" i="41"/>
  <c r="I281" i="41" s="1"/>
  <c r="F282" i="41"/>
  <c r="C282" i="41" s="1"/>
  <c r="N281" i="41"/>
  <c r="M281" i="41"/>
  <c r="L281" i="41"/>
  <c r="K281" i="41"/>
  <c r="J281" i="41"/>
  <c r="H281" i="41"/>
  <c r="G281" i="41"/>
  <c r="E281" i="41"/>
  <c r="D281" i="41"/>
  <c r="O280" i="41"/>
  <c r="L280" i="41"/>
  <c r="I280" i="41"/>
  <c r="F280" i="41"/>
  <c r="O279" i="41"/>
  <c r="L279" i="41"/>
  <c r="I279" i="41"/>
  <c r="F279" i="41"/>
  <c r="O278" i="41"/>
  <c r="L278" i="41"/>
  <c r="I278" i="41"/>
  <c r="F278" i="41"/>
  <c r="O277" i="41"/>
  <c r="O276" i="41" s="1"/>
  <c r="L277" i="41"/>
  <c r="I277" i="41"/>
  <c r="I276" i="41" s="1"/>
  <c r="F277" i="41"/>
  <c r="N276" i="41"/>
  <c r="M276" i="41"/>
  <c r="K276" i="41"/>
  <c r="J276" i="41"/>
  <c r="H276" i="41"/>
  <c r="G276" i="41"/>
  <c r="E276" i="41"/>
  <c r="D276" i="41"/>
  <c r="O275" i="41"/>
  <c r="L275" i="41"/>
  <c r="I275" i="41"/>
  <c r="F275" i="41"/>
  <c r="O274" i="41"/>
  <c r="L274" i="41"/>
  <c r="I274" i="41"/>
  <c r="F274" i="41"/>
  <c r="O273" i="41"/>
  <c r="L273" i="41"/>
  <c r="I273" i="41"/>
  <c r="I272" i="41" s="1"/>
  <c r="F273" i="41"/>
  <c r="N272" i="41"/>
  <c r="N270" i="41" s="1"/>
  <c r="N269" i="41" s="1"/>
  <c r="M272" i="41"/>
  <c r="K272" i="41"/>
  <c r="J272" i="41"/>
  <c r="J270" i="41" s="1"/>
  <c r="J269" i="41" s="1"/>
  <c r="H272" i="41"/>
  <c r="G272" i="41"/>
  <c r="E272" i="41"/>
  <c r="D272" i="41"/>
  <c r="D270" i="41" s="1"/>
  <c r="O271" i="41"/>
  <c r="L271" i="41"/>
  <c r="I271" i="41"/>
  <c r="F271" i="41"/>
  <c r="K270" i="41"/>
  <c r="K269" i="41" s="1"/>
  <c r="O268" i="41"/>
  <c r="L268" i="41"/>
  <c r="I268" i="41"/>
  <c r="F268" i="41"/>
  <c r="O267" i="41"/>
  <c r="L267" i="41"/>
  <c r="I267" i="41"/>
  <c r="F267" i="41"/>
  <c r="O266" i="41"/>
  <c r="L266" i="41"/>
  <c r="I266" i="41"/>
  <c r="F266" i="41"/>
  <c r="C266" i="41" s="1"/>
  <c r="O265" i="41"/>
  <c r="L265" i="41"/>
  <c r="I265" i="41"/>
  <c r="F265" i="41"/>
  <c r="N264" i="41"/>
  <c r="M264" i="41"/>
  <c r="K264" i="41"/>
  <c r="J264" i="41"/>
  <c r="H264" i="41"/>
  <c r="G264" i="41"/>
  <c r="E264" i="41"/>
  <c r="D264" i="41"/>
  <c r="O263" i="41"/>
  <c r="L263" i="41"/>
  <c r="I263" i="41"/>
  <c r="F263" i="41"/>
  <c r="O262" i="41"/>
  <c r="L262" i="41"/>
  <c r="I262" i="41"/>
  <c r="F262" i="41"/>
  <c r="O261" i="41"/>
  <c r="L261" i="41"/>
  <c r="I261" i="41"/>
  <c r="I260" i="41" s="1"/>
  <c r="F261" i="41"/>
  <c r="N260" i="41"/>
  <c r="M260" i="41"/>
  <c r="M259" i="41" s="1"/>
  <c r="K260" i="41"/>
  <c r="K259" i="41" s="1"/>
  <c r="J260" i="41"/>
  <c r="H260" i="41"/>
  <c r="G260" i="41"/>
  <c r="G259" i="41" s="1"/>
  <c r="E260" i="41"/>
  <c r="D260" i="41"/>
  <c r="D259" i="41" s="1"/>
  <c r="O258" i="41"/>
  <c r="L258" i="41"/>
  <c r="I258" i="41"/>
  <c r="F258" i="41"/>
  <c r="O257" i="41"/>
  <c r="L257" i="41"/>
  <c r="I257" i="41"/>
  <c r="F257" i="41"/>
  <c r="O256" i="41"/>
  <c r="L256" i="41"/>
  <c r="I256" i="41"/>
  <c r="F256" i="41"/>
  <c r="O255" i="41"/>
  <c r="L255" i="41"/>
  <c r="I255" i="41"/>
  <c r="F255" i="41"/>
  <c r="O254" i="41"/>
  <c r="L254" i="41"/>
  <c r="I254" i="41"/>
  <c r="F254" i="41"/>
  <c r="O253" i="41"/>
  <c r="L253" i="41"/>
  <c r="I253" i="41"/>
  <c r="F253" i="41"/>
  <c r="N252" i="41"/>
  <c r="M252" i="41"/>
  <c r="M251" i="41" s="1"/>
  <c r="K252" i="41"/>
  <c r="K251" i="41" s="1"/>
  <c r="J252" i="41"/>
  <c r="J251" i="41" s="1"/>
  <c r="H252" i="41"/>
  <c r="G252" i="41"/>
  <c r="G251" i="41" s="1"/>
  <c r="E252" i="41"/>
  <c r="E251" i="41" s="1"/>
  <c r="D252" i="41"/>
  <c r="D251" i="41" s="1"/>
  <c r="N251" i="41"/>
  <c r="H251" i="41"/>
  <c r="O250" i="41"/>
  <c r="L250" i="41"/>
  <c r="I250" i="41"/>
  <c r="F250" i="41"/>
  <c r="O249" i="41"/>
  <c r="L249" i="41"/>
  <c r="I249" i="41"/>
  <c r="F249" i="41"/>
  <c r="O248" i="41"/>
  <c r="L248" i="41"/>
  <c r="I248" i="41"/>
  <c r="F248" i="41"/>
  <c r="O247" i="41"/>
  <c r="L247" i="41"/>
  <c r="I247" i="41"/>
  <c r="F247" i="41"/>
  <c r="N246" i="41"/>
  <c r="M246" i="41"/>
  <c r="K246" i="41"/>
  <c r="J246" i="41"/>
  <c r="H246" i="41"/>
  <c r="G246" i="41"/>
  <c r="E246" i="41"/>
  <c r="D246" i="41"/>
  <c r="O245" i="41"/>
  <c r="L245" i="41"/>
  <c r="I245" i="41"/>
  <c r="F245" i="41"/>
  <c r="O244" i="41"/>
  <c r="L244" i="41"/>
  <c r="I244" i="41"/>
  <c r="C244" i="41" s="1"/>
  <c r="F244" i="41"/>
  <c r="O243" i="41"/>
  <c r="L243" i="41"/>
  <c r="I243" i="41"/>
  <c r="F243" i="41"/>
  <c r="O242" i="41"/>
  <c r="L242" i="41"/>
  <c r="I242" i="41"/>
  <c r="F242" i="41"/>
  <c r="O241" i="41"/>
  <c r="L241" i="41"/>
  <c r="I241" i="41"/>
  <c r="F241" i="41"/>
  <c r="O240" i="41"/>
  <c r="L240" i="41"/>
  <c r="I240" i="41"/>
  <c r="F240" i="41"/>
  <c r="O239" i="41"/>
  <c r="L239" i="41"/>
  <c r="I239" i="41"/>
  <c r="F239" i="41"/>
  <c r="N238" i="41"/>
  <c r="M238" i="41"/>
  <c r="K238" i="41"/>
  <c r="J238" i="41"/>
  <c r="H238" i="41"/>
  <c r="G238" i="41"/>
  <c r="E238" i="41"/>
  <c r="D238" i="41"/>
  <c r="O237" i="41"/>
  <c r="L237" i="41"/>
  <c r="I237" i="41"/>
  <c r="F237" i="41"/>
  <c r="O236" i="41"/>
  <c r="L236" i="41"/>
  <c r="L235" i="41" s="1"/>
  <c r="I236" i="41"/>
  <c r="F236" i="41"/>
  <c r="F235" i="41" s="1"/>
  <c r="O235" i="41"/>
  <c r="N235" i="41"/>
  <c r="M235" i="41"/>
  <c r="K235" i="41"/>
  <c r="J235" i="41"/>
  <c r="H235" i="41"/>
  <c r="G235" i="41"/>
  <c r="E235" i="41"/>
  <c r="D235" i="41"/>
  <c r="O234" i="41"/>
  <c r="O233" i="41" s="1"/>
  <c r="L234" i="41"/>
  <c r="L233" i="41" s="1"/>
  <c r="I234" i="41"/>
  <c r="F234" i="41"/>
  <c r="N233" i="41"/>
  <c r="M233" i="41"/>
  <c r="M231" i="41" s="1"/>
  <c r="K233" i="41"/>
  <c r="J233" i="41"/>
  <c r="I233" i="41"/>
  <c r="H233" i="41"/>
  <c r="G233" i="41"/>
  <c r="E233" i="41"/>
  <c r="E231" i="41" s="1"/>
  <c r="D233" i="41"/>
  <c r="D231" i="41" s="1"/>
  <c r="O232" i="41"/>
  <c r="L232" i="41"/>
  <c r="I232" i="41"/>
  <c r="F232" i="41"/>
  <c r="O229" i="41"/>
  <c r="L229" i="41"/>
  <c r="I229" i="41"/>
  <c r="F229" i="41"/>
  <c r="O228" i="41"/>
  <c r="L228" i="41"/>
  <c r="L227" i="41" s="1"/>
  <c r="I228" i="41"/>
  <c r="I227" i="41" s="1"/>
  <c r="F228" i="41"/>
  <c r="F227" i="41" s="1"/>
  <c r="O227" i="41"/>
  <c r="N227" i="41"/>
  <c r="M227" i="41"/>
  <c r="K227" i="41"/>
  <c r="J227" i="41"/>
  <c r="H227" i="41"/>
  <c r="G227" i="41"/>
  <c r="E227" i="41"/>
  <c r="D227" i="41"/>
  <c r="O226" i="41"/>
  <c r="L226" i="41"/>
  <c r="I226" i="41"/>
  <c r="F226" i="41"/>
  <c r="O225" i="41"/>
  <c r="L225" i="41"/>
  <c r="I225" i="41"/>
  <c r="F225" i="41"/>
  <c r="O224" i="41"/>
  <c r="L224" i="41"/>
  <c r="I224" i="41"/>
  <c r="F224" i="41"/>
  <c r="O223" i="41"/>
  <c r="L223" i="41"/>
  <c r="I223" i="41"/>
  <c r="F223" i="41"/>
  <c r="O222" i="41"/>
  <c r="L222" i="41"/>
  <c r="I222" i="41"/>
  <c r="F222" i="41"/>
  <c r="O221" i="41"/>
  <c r="L221" i="41"/>
  <c r="I221" i="41"/>
  <c r="F221" i="41"/>
  <c r="O220" i="41"/>
  <c r="L220" i="41"/>
  <c r="I220" i="41"/>
  <c r="F220" i="41"/>
  <c r="O219" i="41"/>
  <c r="L219" i="41"/>
  <c r="I219" i="41"/>
  <c r="F219" i="41"/>
  <c r="O218" i="41"/>
  <c r="L218" i="41"/>
  <c r="I218" i="41"/>
  <c r="F218" i="41"/>
  <c r="O217" i="41"/>
  <c r="L217" i="41"/>
  <c r="I217" i="41"/>
  <c r="F217" i="41"/>
  <c r="N216" i="41"/>
  <c r="M216" i="41"/>
  <c r="K216" i="41"/>
  <c r="J216" i="41"/>
  <c r="H216" i="41"/>
  <c r="G216" i="41"/>
  <c r="E216" i="41"/>
  <c r="D216" i="41"/>
  <c r="O215" i="41"/>
  <c r="L215" i="41"/>
  <c r="I215" i="41"/>
  <c r="F215" i="41"/>
  <c r="O214" i="41"/>
  <c r="L214" i="41"/>
  <c r="I214" i="41"/>
  <c r="F214" i="41"/>
  <c r="C214" i="41" s="1"/>
  <c r="O213" i="41"/>
  <c r="L213" i="41"/>
  <c r="I213" i="41"/>
  <c r="F213" i="41"/>
  <c r="O212" i="41"/>
  <c r="L212" i="41"/>
  <c r="I212" i="41"/>
  <c r="F212" i="41"/>
  <c r="O211" i="41"/>
  <c r="L211" i="41"/>
  <c r="I211" i="41"/>
  <c r="F211" i="41"/>
  <c r="O210" i="41"/>
  <c r="L210" i="41"/>
  <c r="I210" i="41"/>
  <c r="F210" i="41"/>
  <c r="O209" i="41"/>
  <c r="L209" i="41"/>
  <c r="I209" i="41"/>
  <c r="F209" i="41"/>
  <c r="O208" i="41"/>
  <c r="L208" i="41"/>
  <c r="I208" i="41"/>
  <c r="F208" i="41"/>
  <c r="O207" i="41"/>
  <c r="L207" i="41"/>
  <c r="I207" i="41"/>
  <c r="F207" i="41"/>
  <c r="O206" i="41"/>
  <c r="L206" i="41"/>
  <c r="L205" i="41" s="1"/>
  <c r="I206" i="41"/>
  <c r="F206" i="41"/>
  <c r="N205" i="41"/>
  <c r="M205" i="41"/>
  <c r="K205" i="41"/>
  <c r="K204" i="41" s="1"/>
  <c r="J205" i="41"/>
  <c r="H205" i="41"/>
  <c r="G205" i="41"/>
  <c r="G204" i="41" s="1"/>
  <c r="E205" i="41"/>
  <c r="D205" i="41"/>
  <c r="O203" i="41"/>
  <c r="L203" i="41"/>
  <c r="I203" i="41"/>
  <c r="F203" i="41"/>
  <c r="O202" i="41"/>
  <c r="L202" i="41"/>
  <c r="I202" i="41"/>
  <c r="F202" i="41"/>
  <c r="O201" i="41"/>
  <c r="L201" i="41"/>
  <c r="I201" i="41"/>
  <c r="F201" i="41"/>
  <c r="O200" i="41"/>
  <c r="L200" i="41"/>
  <c r="I200" i="41"/>
  <c r="F200" i="41"/>
  <c r="O199" i="41"/>
  <c r="L199" i="41"/>
  <c r="L198" i="41" s="1"/>
  <c r="I199" i="41"/>
  <c r="F199" i="41"/>
  <c r="F198" i="41" s="1"/>
  <c r="O198" i="41"/>
  <c r="N198" i="41"/>
  <c r="M198" i="41"/>
  <c r="K198" i="41"/>
  <c r="K196" i="41" s="1"/>
  <c r="J198" i="41"/>
  <c r="J196" i="41" s="1"/>
  <c r="H198" i="41"/>
  <c r="H196" i="41" s="1"/>
  <c r="G198" i="41"/>
  <c r="G196" i="41" s="1"/>
  <c r="E198" i="41"/>
  <c r="D198" i="41"/>
  <c r="D196" i="41" s="1"/>
  <c r="O197" i="41"/>
  <c r="L197" i="41"/>
  <c r="I197" i="41"/>
  <c r="F197" i="41"/>
  <c r="N196" i="41"/>
  <c r="M196" i="41"/>
  <c r="E196" i="41"/>
  <c r="O193" i="41"/>
  <c r="L193" i="41"/>
  <c r="L192" i="41" s="1"/>
  <c r="I193" i="41"/>
  <c r="F193" i="41"/>
  <c r="O192" i="41"/>
  <c r="O191" i="41" s="1"/>
  <c r="N192" i="41"/>
  <c r="N191" i="41" s="1"/>
  <c r="M192" i="41"/>
  <c r="M191" i="41" s="1"/>
  <c r="K192" i="41"/>
  <c r="J192" i="41"/>
  <c r="J191" i="41" s="1"/>
  <c r="I192" i="41"/>
  <c r="I191" i="41" s="1"/>
  <c r="H192" i="41"/>
  <c r="H191" i="41" s="1"/>
  <c r="G192" i="41"/>
  <c r="E192" i="41"/>
  <c r="E191" i="41" s="1"/>
  <c r="D192" i="41"/>
  <c r="L191" i="41"/>
  <c r="K191" i="41"/>
  <c r="G191" i="41"/>
  <c r="D191" i="41"/>
  <c r="O190" i="41"/>
  <c r="L190" i="41"/>
  <c r="I190" i="41"/>
  <c r="F190" i="41"/>
  <c r="O189" i="41"/>
  <c r="L189" i="41"/>
  <c r="L188" i="41" s="1"/>
  <c r="I189" i="41"/>
  <c r="I188" i="41" s="1"/>
  <c r="I187" i="41" s="1"/>
  <c r="F189" i="41"/>
  <c r="O188" i="41"/>
  <c r="N188" i="41"/>
  <c r="M188" i="41"/>
  <c r="K188" i="41"/>
  <c r="J188" i="41"/>
  <c r="H188" i="41"/>
  <c r="G188" i="41"/>
  <c r="G187" i="41" s="1"/>
  <c r="F188" i="41"/>
  <c r="E188" i="41"/>
  <c r="D188" i="41"/>
  <c r="L187" i="41"/>
  <c r="O186" i="41"/>
  <c r="L186" i="41"/>
  <c r="I186" i="41"/>
  <c r="F186" i="41"/>
  <c r="O185" i="41"/>
  <c r="L185" i="41"/>
  <c r="L184" i="41" s="1"/>
  <c r="I185" i="41"/>
  <c r="I184" i="41" s="1"/>
  <c r="F185" i="41"/>
  <c r="O184" i="41"/>
  <c r="N184" i="41"/>
  <c r="M184" i="41"/>
  <c r="K184" i="41"/>
  <c r="J184" i="41"/>
  <c r="H184" i="41"/>
  <c r="G184" i="41"/>
  <c r="F184" i="41"/>
  <c r="E184" i="41"/>
  <c r="D184" i="41"/>
  <c r="O183" i="41"/>
  <c r="L183" i="41"/>
  <c r="I183" i="41"/>
  <c r="F183" i="41"/>
  <c r="O182" i="41"/>
  <c r="L182" i="41"/>
  <c r="I182" i="41"/>
  <c r="F182" i="41"/>
  <c r="O181" i="41"/>
  <c r="L181" i="41"/>
  <c r="I181" i="41"/>
  <c r="F181" i="41"/>
  <c r="O180" i="41"/>
  <c r="L180" i="41"/>
  <c r="I180" i="41"/>
  <c r="I179" i="41" s="1"/>
  <c r="F180" i="41"/>
  <c r="O179" i="41"/>
  <c r="N179" i="41"/>
  <c r="M179" i="41"/>
  <c r="K179" i="41"/>
  <c r="J179" i="41"/>
  <c r="H179" i="41"/>
  <c r="G179" i="41"/>
  <c r="E179" i="41"/>
  <c r="D179" i="41"/>
  <c r="O178" i="41"/>
  <c r="L178" i="41"/>
  <c r="I178" i="41"/>
  <c r="F178" i="41"/>
  <c r="O177" i="41"/>
  <c r="L177" i="41"/>
  <c r="I177" i="41"/>
  <c r="F177" i="41"/>
  <c r="O176" i="41"/>
  <c r="L176" i="41"/>
  <c r="I176" i="41"/>
  <c r="I175" i="41" s="1"/>
  <c r="F176" i="41"/>
  <c r="O175" i="41"/>
  <c r="N175" i="41"/>
  <c r="M175" i="41"/>
  <c r="M174" i="41" s="1"/>
  <c r="K175" i="41"/>
  <c r="J175" i="41"/>
  <c r="H175" i="41"/>
  <c r="G175" i="41"/>
  <c r="G174" i="41" s="1"/>
  <c r="E175" i="41"/>
  <c r="E174" i="41" s="1"/>
  <c r="E173" i="41" s="1"/>
  <c r="D175" i="41"/>
  <c r="I174" i="41"/>
  <c r="O172" i="41"/>
  <c r="L172" i="41"/>
  <c r="I172" i="41"/>
  <c r="F172" i="41"/>
  <c r="O171" i="41"/>
  <c r="L171" i="41"/>
  <c r="I171" i="41"/>
  <c r="F171" i="41"/>
  <c r="O170" i="41"/>
  <c r="L170" i="41"/>
  <c r="I170" i="41"/>
  <c r="F170" i="41"/>
  <c r="O169" i="41"/>
  <c r="L169" i="41"/>
  <c r="I169" i="41"/>
  <c r="F169" i="41"/>
  <c r="O168" i="41"/>
  <c r="L168" i="41"/>
  <c r="I168" i="41"/>
  <c r="F168" i="41"/>
  <c r="O167" i="41"/>
  <c r="L167" i="41"/>
  <c r="I167" i="41"/>
  <c r="F167" i="41"/>
  <c r="N166" i="41"/>
  <c r="N165" i="41" s="1"/>
  <c r="M166" i="41"/>
  <c r="M165" i="41" s="1"/>
  <c r="L166" i="41"/>
  <c r="K166" i="41"/>
  <c r="K165" i="41" s="1"/>
  <c r="J166" i="41"/>
  <c r="J165" i="41" s="1"/>
  <c r="I166" i="41"/>
  <c r="H166" i="41"/>
  <c r="H165" i="41" s="1"/>
  <c r="G166" i="41"/>
  <c r="G165" i="41" s="1"/>
  <c r="E166" i="41"/>
  <c r="D166" i="41"/>
  <c r="D165" i="41" s="1"/>
  <c r="I165" i="41"/>
  <c r="E165" i="41"/>
  <c r="O164" i="41"/>
  <c r="L164" i="41"/>
  <c r="I164" i="41"/>
  <c r="F164" i="41"/>
  <c r="C164" i="41" s="1"/>
  <c r="O163" i="41"/>
  <c r="L163" i="41"/>
  <c r="I163" i="41"/>
  <c r="F163" i="41"/>
  <c r="O162" i="41"/>
  <c r="L162" i="41"/>
  <c r="I162" i="41"/>
  <c r="F162" i="41"/>
  <c r="O161" i="41"/>
  <c r="L161" i="41"/>
  <c r="L160" i="41" s="1"/>
  <c r="I161" i="41"/>
  <c r="F161" i="41"/>
  <c r="O160" i="41"/>
  <c r="N160" i="41"/>
  <c r="M160" i="41"/>
  <c r="K160" i="41"/>
  <c r="J160" i="41"/>
  <c r="H160" i="41"/>
  <c r="G160" i="41"/>
  <c r="F160" i="41"/>
  <c r="E160" i="41"/>
  <c r="D160" i="41"/>
  <c r="O159" i="41"/>
  <c r="L159" i="41"/>
  <c r="I159" i="41"/>
  <c r="F159" i="41"/>
  <c r="O158" i="41"/>
  <c r="L158" i="41"/>
  <c r="I158" i="41"/>
  <c r="F158" i="41"/>
  <c r="O157" i="41"/>
  <c r="L157" i="41"/>
  <c r="I157" i="41"/>
  <c r="F157" i="41"/>
  <c r="O156" i="41"/>
  <c r="L156" i="41"/>
  <c r="I156" i="41"/>
  <c r="F156" i="41"/>
  <c r="O155" i="41"/>
  <c r="L155" i="41"/>
  <c r="I155" i="41"/>
  <c r="F155" i="41"/>
  <c r="O154" i="41"/>
  <c r="L154" i="41"/>
  <c r="I154" i="41"/>
  <c r="F154" i="41"/>
  <c r="O153" i="41"/>
  <c r="L153" i="41"/>
  <c r="I153" i="41"/>
  <c r="F153" i="41"/>
  <c r="O152" i="41"/>
  <c r="L152" i="41"/>
  <c r="I152" i="41"/>
  <c r="F152" i="41"/>
  <c r="N151" i="41"/>
  <c r="M151" i="41"/>
  <c r="K151" i="41"/>
  <c r="J151" i="41"/>
  <c r="H151" i="41"/>
  <c r="G151" i="41"/>
  <c r="E151" i="41"/>
  <c r="D151" i="41"/>
  <c r="O150" i="41"/>
  <c r="L150" i="41"/>
  <c r="I150" i="41"/>
  <c r="F150" i="41"/>
  <c r="O149" i="41"/>
  <c r="L149" i="41"/>
  <c r="I149" i="41"/>
  <c r="F149" i="41"/>
  <c r="O148" i="41"/>
  <c r="L148" i="41"/>
  <c r="I148" i="41"/>
  <c r="F148" i="41"/>
  <c r="O147" i="41"/>
  <c r="L147" i="41"/>
  <c r="I147" i="41"/>
  <c r="F147" i="41"/>
  <c r="O146" i="41"/>
  <c r="L146" i="41"/>
  <c r="I146" i="41"/>
  <c r="F146" i="41"/>
  <c r="O145" i="41"/>
  <c r="L145" i="41"/>
  <c r="L144" i="41" s="1"/>
  <c r="I145" i="41"/>
  <c r="F145" i="41"/>
  <c r="N144" i="41"/>
  <c r="M144" i="41"/>
  <c r="K144" i="41"/>
  <c r="J144" i="41"/>
  <c r="H144" i="41"/>
  <c r="G144" i="41"/>
  <c r="E144" i="41"/>
  <c r="D144" i="41"/>
  <c r="O143" i="41"/>
  <c r="L143" i="41"/>
  <c r="I143" i="41"/>
  <c r="F143" i="41"/>
  <c r="O142" i="41"/>
  <c r="L142" i="41"/>
  <c r="L141" i="41" s="1"/>
  <c r="I142" i="41"/>
  <c r="I141" i="41" s="1"/>
  <c r="F142" i="41"/>
  <c r="N141" i="41"/>
  <c r="M141" i="41"/>
  <c r="K141" i="41"/>
  <c r="J141" i="41"/>
  <c r="H141" i="41"/>
  <c r="G141" i="41"/>
  <c r="E141" i="41"/>
  <c r="D141" i="41"/>
  <c r="O140" i="41"/>
  <c r="L140" i="41"/>
  <c r="I140" i="41"/>
  <c r="F140" i="41"/>
  <c r="O139" i="41"/>
  <c r="L139" i="41"/>
  <c r="I139" i="41"/>
  <c r="F139" i="41"/>
  <c r="C139" i="41"/>
  <c r="O138" i="41"/>
  <c r="L138" i="41"/>
  <c r="I138" i="41"/>
  <c r="F138" i="41"/>
  <c r="C138" i="41" s="1"/>
  <c r="O137" i="41"/>
  <c r="L137" i="41"/>
  <c r="I137" i="41"/>
  <c r="F137" i="41"/>
  <c r="F136" i="41" s="1"/>
  <c r="N136" i="41"/>
  <c r="M136" i="41"/>
  <c r="K136" i="41"/>
  <c r="J136" i="41"/>
  <c r="H136" i="41"/>
  <c r="G136" i="41"/>
  <c r="E136" i="41"/>
  <c r="D136" i="41"/>
  <c r="O135" i="41"/>
  <c r="L135" i="41"/>
  <c r="I135" i="41"/>
  <c r="F135" i="41"/>
  <c r="O134" i="41"/>
  <c r="L134" i="41"/>
  <c r="I134" i="41"/>
  <c r="F134" i="41"/>
  <c r="O133" i="41"/>
  <c r="L133" i="41"/>
  <c r="I133" i="41"/>
  <c r="F133" i="41"/>
  <c r="O132" i="41"/>
  <c r="L132" i="41"/>
  <c r="I132" i="41"/>
  <c r="F132" i="41"/>
  <c r="O131" i="41"/>
  <c r="N131" i="41"/>
  <c r="M131" i="41"/>
  <c r="K131" i="41"/>
  <c r="J131" i="41"/>
  <c r="H131" i="41"/>
  <c r="G131" i="41"/>
  <c r="E131" i="41"/>
  <c r="D131" i="41"/>
  <c r="O129" i="41"/>
  <c r="L129" i="41"/>
  <c r="L128" i="41" s="1"/>
  <c r="I129" i="41"/>
  <c r="F129" i="41"/>
  <c r="O128" i="41"/>
  <c r="N128" i="41"/>
  <c r="M128" i="41"/>
  <c r="K128" i="41"/>
  <c r="J128" i="41"/>
  <c r="H128" i="41"/>
  <c r="G128" i="41"/>
  <c r="F128" i="41"/>
  <c r="E128" i="41"/>
  <c r="D128" i="41"/>
  <c r="O127" i="41"/>
  <c r="L127" i="41"/>
  <c r="I127" i="41"/>
  <c r="F127" i="41"/>
  <c r="O126" i="41"/>
  <c r="L126" i="41"/>
  <c r="I126" i="41"/>
  <c r="F126" i="41"/>
  <c r="O125" i="41"/>
  <c r="L125" i="41"/>
  <c r="I125" i="41"/>
  <c r="F125" i="41"/>
  <c r="O124" i="41"/>
  <c r="L124" i="41"/>
  <c r="I124" i="41"/>
  <c r="F124" i="41"/>
  <c r="O123" i="41"/>
  <c r="L123" i="41"/>
  <c r="I123" i="41"/>
  <c r="F123" i="41"/>
  <c r="N122" i="41"/>
  <c r="M122" i="41"/>
  <c r="K122" i="41"/>
  <c r="J122" i="41"/>
  <c r="H122" i="41"/>
  <c r="G122" i="41"/>
  <c r="E122" i="41"/>
  <c r="D122" i="41"/>
  <c r="O121" i="41"/>
  <c r="L121" i="41"/>
  <c r="I121" i="41"/>
  <c r="F121" i="41"/>
  <c r="O120" i="41"/>
  <c r="L120" i="41"/>
  <c r="I120" i="41"/>
  <c r="F120" i="41"/>
  <c r="O119" i="41"/>
  <c r="L119" i="41"/>
  <c r="I119" i="41"/>
  <c r="F119" i="41"/>
  <c r="O118" i="41"/>
  <c r="L118" i="41"/>
  <c r="I118" i="41"/>
  <c r="F118" i="41"/>
  <c r="O117" i="41"/>
  <c r="L117" i="41"/>
  <c r="L116" i="41" s="1"/>
  <c r="I117" i="41"/>
  <c r="F117" i="41"/>
  <c r="N116" i="41"/>
  <c r="M116" i="41"/>
  <c r="K116" i="41"/>
  <c r="J116" i="41"/>
  <c r="H116" i="41"/>
  <c r="G116" i="41"/>
  <c r="E116" i="41"/>
  <c r="D116" i="41"/>
  <c r="O115" i="41"/>
  <c r="O112" i="41" s="1"/>
  <c r="L115" i="41"/>
  <c r="I115" i="41"/>
  <c r="F115" i="41"/>
  <c r="C115" i="41"/>
  <c r="O114" i="41"/>
  <c r="L114" i="41"/>
  <c r="I114" i="41"/>
  <c r="F114" i="41"/>
  <c r="C114" i="41" s="1"/>
  <c r="O113" i="41"/>
  <c r="L113" i="41"/>
  <c r="I113" i="41"/>
  <c r="I112" i="41" s="1"/>
  <c r="F113" i="41"/>
  <c r="F112" i="41" s="1"/>
  <c r="N112" i="41"/>
  <c r="M112" i="41"/>
  <c r="K112" i="41"/>
  <c r="J112" i="41"/>
  <c r="H112" i="41"/>
  <c r="G112" i="41"/>
  <c r="E112" i="41"/>
  <c r="D112" i="41"/>
  <c r="O111" i="41"/>
  <c r="L111" i="41"/>
  <c r="I111" i="41"/>
  <c r="F111" i="41"/>
  <c r="C111" i="41" s="1"/>
  <c r="O110" i="41"/>
  <c r="L110" i="41"/>
  <c r="I110" i="41"/>
  <c r="F110" i="41"/>
  <c r="O109" i="41"/>
  <c r="L109" i="41"/>
  <c r="I109" i="41"/>
  <c r="F109" i="41"/>
  <c r="O108" i="41"/>
  <c r="L108" i="41"/>
  <c r="I108" i="41"/>
  <c r="F108" i="41"/>
  <c r="O107" i="41"/>
  <c r="L107" i="41"/>
  <c r="I107" i="41"/>
  <c r="F107" i="41"/>
  <c r="O106" i="41"/>
  <c r="L106" i="41"/>
  <c r="I106" i="41"/>
  <c r="F106" i="41"/>
  <c r="O105" i="41"/>
  <c r="L105" i="41"/>
  <c r="I105" i="41"/>
  <c r="F105" i="41"/>
  <c r="O104" i="41"/>
  <c r="L104" i="41"/>
  <c r="I104" i="41"/>
  <c r="F104" i="41"/>
  <c r="N103" i="41"/>
  <c r="M103" i="41"/>
  <c r="K103" i="41"/>
  <c r="J103" i="41"/>
  <c r="H103" i="41"/>
  <c r="G103" i="41"/>
  <c r="E103" i="41"/>
  <c r="D103" i="41"/>
  <c r="O102" i="41"/>
  <c r="L102" i="41"/>
  <c r="I102" i="41"/>
  <c r="F102" i="41"/>
  <c r="O101" i="41"/>
  <c r="L101" i="41"/>
  <c r="I101" i="41"/>
  <c r="F101" i="41"/>
  <c r="O100" i="41"/>
  <c r="L100" i="41"/>
  <c r="I100" i="41"/>
  <c r="F100" i="41"/>
  <c r="O99" i="41"/>
  <c r="L99" i="41"/>
  <c r="I99" i="41"/>
  <c r="F99" i="41"/>
  <c r="O98" i="41"/>
  <c r="L98" i="41"/>
  <c r="I98" i="41"/>
  <c r="F98" i="41"/>
  <c r="O97" i="41"/>
  <c r="L97" i="41"/>
  <c r="I97" i="41"/>
  <c r="F97" i="41"/>
  <c r="C97" i="41" s="1"/>
  <c r="O96" i="41"/>
  <c r="L96" i="41"/>
  <c r="I96" i="41"/>
  <c r="I95" i="41" s="1"/>
  <c r="F96" i="41"/>
  <c r="N95" i="41"/>
  <c r="M95" i="41"/>
  <c r="K95" i="41"/>
  <c r="J95" i="41"/>
  <c r="H95" i="41"/>
  <c r="G95" i="41"/>
  <c r="E95" i="41"/>
  <c r="D95" i="41"/>
  <c r="O94" i="41"/>
  <c r="L94" i="41"/>
  <c r="I94" i="41"/>
  <c r="F94" i="41"/>
  <c r="O93" i="41"/>
  <c r="L93" i="41"/>
  <c r="I93" i="41"/>
  <c r="F93" i="41"/>
  <c r="O92" i="41"/>
  <c r="L92" i="41"/>
  <c r="I92" i="41"/>
  <c r="F92" i="41"/>
  <c r="O91" i="41"/>
  <c r="L91" i="41"/>
  <c r="I91" i="41"/>
  <c r="F91" i="41"/>
  <c r="O90" i="41"/>
  <c r="L90" i="41"/>
  <c r="I90" i="41"/>
  <c r="F90" i="41"/>
  <c r="O89" i="41"/>
  <c r="N89" i="41"/>
  <c r="M89" i="41"/>
  <c r="K89" i="41"/>
  <c r="J89" i="41"/>
  <c r="H89" i="41"/>
  <c r="G89" i="41"/>
  <c r="E89" i="41"/>
  <c r="D89" i="41"/>
  <c r="O88" i="41"/>
  <c r="L88" i="41"/>
  <c r="I88" i="41"/>
  <c r="F88" i="41"/>
  <c r="O87" i="41"/>
  <c r="L87" i="41"/>
  <c r="I87" i="41"/>
  <c r="F87" i="41"/>
  <c r="O86" i="41"/>
  <c r="L86" i="41"/>
  <c r="I86" i="41"/>
  <c r="F86" i="41"/>
  <c r="O85" i="41"/>
  <c r="O84" i="41" s="1"/>
  <c r="L85" i="41"/>
  <c r="L84" i="41" s="1"/>
  <c r="I85" i="41"/>
  <c r="F85" i="41"/>
  <c r="F84" i="41" s="1"/>
  <c r="N84" i="41"/>
  <c r="M84" i="41"/>
  <c r="K84" i="41"/>
  <c r="J84" i="41"/>
  <c r="H84" i="41"/>
  <c r="G84" i="41"/>
  <c r="E84" i="41"/>
  <c r="D84" i="41"/>
  <c r="O82" i="41"/>
  <c r="L82" i="41"/>
  <c r="I82" i="41"/>
  <c r="F82" i="41"/>
  <c r="O81" i="41"/>
  <c r="O80" i="41" s="1"/>
  <c r="L81" i="41"/>
  <c r="L80" i="41" s="1"/>
  <c r="I81" i="41"/>
  <c r="I80" i="41" s="1"/>
  <c r="F81" i="41"/>
  <c r="F80" i="41" s="1"/>
  <c r="N80" i="41"/>
  <c r="M80" i="41"/>
  <c r="K80" i="41"/>
  <c r="J80" i="41"/>
  <c r="H80" i="41"/>
  <c r="G80" i="41"/>
  <c r="E80" i="41"/>
  <c r="D80" i="41"/>
  <c r="O79" i="41"/>
  <c r="L79" i="41"/>
  <c r="I79" i="41"/>
  <c r="F79" i="41"/>
  <c r="O78" i="41"/>
  <c r="O77" i="41" s="1"/>
  <c r="L78" i="41"/>
  <c r="I78" i="41"/>
  <c r="N77" i="41"/>
  <c r="M77" i="41"/>
  <c r="M76" i="41" s="1"/>
  <c r="K77" i="41"/>
  <c r="J77" i="41"/>
  <c r="H77" i="41"/>
  <c r="H76" i="41" s="1"/>
  <c r="G77" i="41"/>
  <c r="G76" i="41" s="1"/>
  <c r="D77" i="41"/>
  <c r="D76" i="41" s="1"/>
  <c r="O74" i="41"/>
  <c r="L74" i="41"/>
  <c r="I74" i="41"/>
  <c r="F74" i="41"/>
  <c r="O73" i="41"/>
  <c r="L73" i="41"/>
  <c r="C73" i="41" s="1"/>
  <c r="I73" i="41"/>
  <c r="F73" i="41"/>
  <c r="O72" i="41"/>
  <c r="L72" i="41"/>
  <c r="I72" i="41"/>
  <c r="F72" i="41"/>
  <c r="O71" i="41"/>
  <c r="L71" i="41"/>
  <c r="I71" i="41"/>
  <c r="F71" i="41"/>
  <c r="O70" i="41"/>
  <c r="L70" i="41"/>
  <c r="I70" i="41"/>
  <c r="F70" i="41"/>
  <c r="F69" i="41" s="1"/>
  <c r="N69" i="41"/>
  <c r="M69" i="41"/>
  <c r="K69" i="41"/>
  <c r="K67" i="41" s="1"/>
  <c r="J69" i="41"/>
  <c r="J67" i="41" s="1"/>
  <c r="H69" i="41"/>
  <c r="H67" i="41" s="1"/>
  <c r="G69" i="41"/>
  <c r="G67" i="41" s="1"/>
  <c r="E69" i="41"/>
  <c r="E67" i="41" s="1"/>
  <c r="D69" i="41"/>
  <c r="D67" i="41" s="1"/>
  <c r="O68" i="41"/>
  <c r="L68" i="41"/>
  <c r="I68" i="41"/>
  <c r="F68" i="41"/>
  <c r="N67" i="41"/>
  <c r="M67" i="41"/>
  <c r="O66" i="41"/>
  <c r="L66" i="41"/>
  <c r="I66" i="41"/>
  <c r="F66" i="41"/>
  <c r="O65" i="41"/>
  <c r="L65" i="41"/>
  <c r="I65" i="41"/>
  <c r="F65" i="41"/>
  <c r="O64" i="41"/>
  <c r="L64" i="41"/>
  <c r="I64" i="41"/>
  <c r="F64" i="41"/>
  <c r="O63" i="41"/>
  <c r="L63" i="41"/>
  <c r="I63" i="41"/>
  <c r="F63" i="41"/>
  <c r="O62" i="41"/>
  <c r="L62" i="41"/>
  <c r="I62" i="41"/>
  <c r="F62" i="41"/>
  <c r="O61" i="41"/>
  <c r="L61" i="41"/>
  <c r="I61" i="41"/>
  <c r="F61" i="41"/>
  <c r="O60" i="41"/>
  <c r="L60" i="41"/>
  <c r="I60" i="41"/>
  <c r="F60" i="41"/>
  <c r="O59" i="41"/>
  <c r="L59" i="41"/>
  <c r="L58" i="41" s="1"/>
  <c r="I59" i="41"/>
  <c r="F59" i="41"/>
  <c r="N58" i="41"/>
  <c r="M58" i="41"/>
  <c r="K58" i="41"/>
  <c r="J58" i="41"/>
  <c r="H58" i="41"/>
  <c r="G58" i="41"/>
  <c r="G54" i="41" s="1"/>
  <c r="F58" i="41"/>
  <c r="E58" i="41"/>
  <c r="D58" i="41"/>
  <c r="O57" i="41"/>
  <c r="C57" i="41" s="1"/>
  <c r="L57" i="41"/>
  <c r="I57" i="41"/>
  <c r="F57" i="41"/>
  <c r="O56" i="41"/>
  <c r="L56" i="41"/>
  <c r="L55" i="41" s="1"/>
  <c r="I56" i="41"/>
  <c r="F56" i="41"/>
  <c r="N55" i="41"/>
  <c r="N54" i="41" s="1"/>
  <c r="N53" i="41" s="1"/>
  <c r="M55" i="41"/>
  <c r="K55" i="41"/>
  <c r="J55" i="41"/>
  <c r="J54" i="41" s="1"/>
  <c r="I55" i="41"/>
  <c r="H55" i="41"/>
  <c r="H54" i="41" s="1"/>
  <c r="G55" i="41"/>
  <c r="E55" i="41"/>
  <c r="E54" i="41" s="1"/>
  <c r="D55" i="41"/>
  <c r="D54" i="41" s="1"/>
  <c r="O47" i="41"/>
  <c r="C47" i="41" s="1"/>
  <c r="O46" i="41"/>
  <c r="C46" i="41" s="1"/>
  <c r="N45" i="41"/>
  <c r="M45" i="41"/>
  <c r="L44" i="41"/>
  <c r="L43" i="41" s="1"/>
  <c r="I44" i="41"/>
  <c r="I43" i="41" s="1"/>
  <c r="F44" i="41"/>
  <c r="K43" i="41"/>
  <c r="J43" i="41"/>
  <c r="H43" i="41"/>
  <c r="G43" i="41"/>
  <c r="F43" i="41"/>
  <c r="E43" i="41"/>
  <c r="D43" i="41"/>
  <c r="F42" i="41"/>
  <c r="C42" i="41"/>
  <c r="F41" i="41"/>
  <c r="C41" i="41" s="1"/>
  <c r="E41" i="41"/>
  <c r="D41" i="41"/>
  <c r="L40" i="41"/>
  <c r="C40" i="41" s="1"/>
  <c r="L39" i="41"/>
  <c r="C39" i="41" s="1"/>
  <c r="L38" i="41"/>
  <c r="C38" i="41" s="1"/>
  <c r="L37" i="41"/>
  <c r="K36" i="41"/>
  <c r="J36" i="41"/>
  <c r="L35" i="41"/>
  <c r="C35" i="41" s="1"/>
  <c r="L34" i="41"/>
  <c r="C34" i="41"/>
  <c r="L33" i="41"/>
  <c r="C33" i="41" s="1"/>
  <c r="K33" i="41"/>
  <c r="J33" i="41"/>
  <c r="L32" i="41"/>
  <c r="C32" i="41" s="1"/>
  <c r="K31" i="41"/>
  <c r="K26" i="41" s="1"/>
  <c r="J31" i="41"/>
  <c r="L30" i="41"/>
  <c r="C30" i="41"/>
  <c r="L29" i="41"/>
  <c r="C29" i="41" s="1"/>
  <c r="L28" i="41"/>
  <c r="C28" i="41" s="1"/>
  <c r="K27" i="41"/>
  <c r="J27" i="41"/>
  <c r="F25" i="41"/>
  <c r="C25" i="41" s="1"/>
  <c r="G24" i="41"/>
  <c r="I24" i="41" s="1"/>
  <c r="F24" i="41"/>
  <c r="O23" i="41"/>
  <c r="L23" i="41"/>
  <c r="I23" i="41"/>
  <c r="F23" i="41"/>
  <c r="O22" i="41"/>
  <c r="L22" i="41"/>
  <c r="I22" i="41"/>
  <c r="F22" i="41"/>
  <c r="F21" i="41" s="1"/>
  <c r="N21" i="41"/>
  <c r="M21" i="41"/>
  <c r="M292" i="41" s="1"/>
  <c r="M291" i="41" s="1"/>
  <c r="K21" i="41"/>
  <c r="J21" i="41"/>
  <c r="H21" i="41"/>
  <c r="G21" i="41"/>
  <c r="E21" i="41"/>
  <c r="D21" i="41"/>
  <c r="N20" i="41"/>
  <c r="M20" i="41"/>
  <c r="E79" i="40"/>
  <c r="E78" i="40"/>
  <c r="J76" i="41" l="1"/>
  <c r="C81" i="41"/>
  <c r="C90" i="41"/>
  <c r="C206" i="41"/>
  <c r="C210" i="41"/>
  <c r="C212" i="41"/>
  <c r="C213" i="41"/>
  <c r="C250" i="41"/>
  <c r="L272" i="41"/>
  <c r="O95" i="41"/>
  <c r="C155" i="41"/>
  <c r="E20" i="41"/>
  <c r="O136" i="41"/>
  <c r="H174" i="41"/>
  <c r="O21" i="41"/>
  <c r="C62" i="41"/>
  <c r="N76" i="41"/>
  <c r="C171" i="41"/>
  <c r="M204" i="41"/>
  <c r="C254" i="41"/>
  <c r="C255" i="41"/>
  <c r="C257" i="41"/>
  <c r="N292" i="41"/>
  <c r="N291" i="41" s="1"/>
  <c r="C72" i="41"/>
  <c r="O69" i="41"/>
  <c r="O67" i="41" s="1"/>
  <c r="J83" i="41"/>
  <c r="C127" i="41"/>
  <c r="C169" i="41"/>
  <c r="C226" i="41"/>
  <c r="G231" i="41"/>
  <c r="G230" i="41" s="1"/>
  <c r="H259" i="41"/>
  <c r="C274" i="41"/>
  <c r="J292" i="41"/>
  <c r="J291" i="41" s="1"/>
  <c r="I122" i="41"/>
  <c r="C149" i="41"/>
  <c r="M173" i="41"/>
  <c r="C183" i="41"/>
  <c r="H187" i="41"/>
  <c r="C224" i="41"/>
  <c r="C234" i="41"/>
  <c r="J231" i="41"/>
  <c r="J230" i="41" s="1"/>
  <c r="O238" i="41"/>
  <c r="C262" i="41"/>
  <c r="J259" i="41"/>
  <c r="C278" i="41"/>
  <c r="D269" i="41"/>
  <c r="C294" i="41"/>
  <c r="C298" i="41"/>
  <c r="O116" i="41"/>
  <c r="O144" i="41"/>
  <c r="H292" i="41"/>
  <c r="C43" i="41"/>
  <c r="D83" i="41"/>
  <c r="C121" i="41"/>
  <c r="C170" i="41"/>
  <c r="N231" i="41"/>
  <c r="N259" i="41"/>
  <c r="E292" i="41"/>
  <c r="E291" i="41" s="1"/>
  <c r="K54" i="41"/>
  <c r="E83" i="41"/>
  <c r="C96" i="41"/>
  <c r="C107" i="41"/>
  <c r="M83" i="41"/>
  <c r="C124" i="41"/>
  <c r="D130" i="41"/>
  <c r="L151" i="41"/>
  <c r="I173" i="41"/>
  <c r="N174" i="41"/>
  <c r="N173" i="41" s="1"/>
  <c r="K187" i="41"/>
  <c r="D187" i="41"/>
  <c r="C202" i="41"/>
  <c r="H231" i="41"/>
  <c r="H230" i="41" s="1"/>
  <c r="C242" i="41"/>
  <c r="O246" i="41"/>
  <c r="O252" i="41"/>
  <c r="G270" i="41"/>
  <c r="G269" i="41" s="1"/>
  <c r="C299" i="41"/>
  <c r="F166" i="41"/>
  <c r="C37" i="41"/>
  <c r="L36" i="41"/>
  <c r="C36" i="41" s="1"/>
  <c r="C65" i="41"/>
  <c r="K53" i="41"/>
  <c r="C93" i="41"/>
  <c r="C119" i="41"/>
  <c r="F116" i="41"/>
  <c r="C135" i="41"/>
  <c r="M130" i="41"/>
  <c r="M75" i="41" s="1"/>
  <c r="I205" i="41"/>
  <c r="C218" i="41"/>
  <c r="C222" i="41"/>
  <c r="C123" i="41"/>
  <c r="E130" i="41"/>
  <c r="H204" i="41"/>
  <c r="H195" i="41" s="1"/>
  <c r="D292" i="41"/>
  <c r="D291" i="41" s="1"/>
  <c r="D20" i="41"/>
  <c r="C148" i="41"/>
  <c r="C227" i="41"/>
  <c r="H20" i="41"/>
  <c r="J53" i="41"/>
  <c r="E53" i="41"/>
  <c r="C56" i="41"/>
  <c r="C61" i="41"/>
  <c r="C66" i="41"/>
  <c r="G53" i="41"/>
  <c r="C71" i="41"/>
  <c r="C88" i="41"/>
  <c r="C94" i="41"/>
  <c r="C100" i="41"/>
  <c r="C101" i="41"/>
  <c r="C102" i="41"/>
  <c r="C105" i="41"/>
  <c r="C110" i="41"/>
  <c r="K130" i="41"/>
  <c r="I136" i="41"/>
  <c r="O141" i="41"/>
  <c r="C159" i="41"/>
  <c r="L165" i="41"/>
  <c r="C176" i="41"/>
  <c r="K195" i="41"/>
  <c r="C201" i="41"/>
  <c r="D204" i="41"/>
  <c r="D195" i="41" s="1"/>
  <c r="J204" i="41"/>
  <c r="J195" i="41" s="1"/>
  <c r="J194" i="41" s="1"/>
  <c r="N204" i="41"/>
  <c r="N195" i="41" s="1"/>
  <c r="F233" i="41"/>
  <c r="C233" i="41" s="1"/>
  <c r="C243" i="41"/>
  <c r="C256" i="41"/>
  <c r="C267" i="41"/>
  <c r="C268" i="41"/>
  <c r="H270" i="41"/>
  <c r="H269" i="41" s="1"/>
  <c r="C275" i="41"/>
  <c r="L276" i="41"/>
  <c r="L270" i="41" s="1"/>
  <c r="L269" i="41" s="1"/>
  <c r="F281" i="41"/>
  <c r="C60" i="41"/>
  <c r="C64" i="41"/>
  <c r="H53" i="41"/>
  <c r="C70" i="41"/>
  <c r="C87" i="41"/>
  <c r="K83" i="41"/>
  <c r="F89" i="41"/>
  <c r="C92" i="41"/>
  <c r="L95" i="41"/>
  <c r="C99" i="41"/>
  <c r="I103" i="41"/>
  <c r="N83" i="41"/>
  <c r="L112" i="41"/>
  <c r="C112" i="41" s="1"/>
  <c r="C120" i="41"/>
  <c r="C125" i="41"/>
  <c r="C126" i="41"/>
  <c r="I131" i="41"/>
  <c r="N130" i="41"/>
  <c r="L136" i="41"/>
  <c r="C143" i="41"/>
  <c r="C147" i="41"/>
  <c r="H130" i="41"/>
  <c r="C157" i="41"/>
  <c r="D174" i="41"/>
  <c r="D173" i="41" s="1"/>
  <c r="J174" i="41"/>
  <c r="J173" i="41" s="1"/>
  <c r="O174" i="41"/>
  <c r="O173" i="41" s="1"/>
  <c r="C180" i="41"/>
  <c r="E187" i="41"/>
  <c r="J187" i="41"/>
  <c r="O187" i="41"/>
  <c r="M195" i="41"/>
  <c r="L196" i="41"/>
  <c r="G195" i="41"/>
  <c r="E204" i="41"/>
  <c r="E195" i="41" s="1"/>
  <c r="C219" i="41"/>
  <c r="C220" i="41"/>
  <c r="C221" i="41"/>
  <c r="C237" i="41"/>
  <c r="L246" i="41"/>
  <c r="L252" i="41"/>
  <c r="L251" i="41" s="1"/>
  <c r="O260" i="41"/>
  <c r="L260" i="41"/>
  <c r="I264" i="41"/>
  <c r="I259" i="41" s="1"/>
  <c r="C286" i="41"/>
  <c r="C297" i="41"/>
  <c r="J26" i="41"/>
  <c r="M54" i="41"/>
  <c r="M53" i="41" s="1"/>
  <c r="L54" i="41"/>
  <c r="I58" i="41"/>
  <c r="C63" i="41"/>
  <c r="C68" i="41"/>
  <c r="D53" i="41"/>
  <c r="C74" i="41"/>
  <c r="K76" i="41"/>
  <c r="C79" i="41"/>
  <c r="C82" i="41"/>
  <c r="H83" i="41"/>
  <c r="H75" i="41" s="1"/>
  <c r="C86" i="41"/>
  <c r="G83" i="41"/>
  <c r="C91" i="41"/>
  <c r="C98" i="41"/>
  <c r="C104" i="41"/>
  <c r="C108" i="41"/>
  <c r="C118" i="41"/>
  <c r="C132" i="41"/>
  <c r="J130" i="41"/>
  <c r="C140" i="41"/>
  <c r="C150" i="41"/>
  <c r="O151" i="41"/>
  <c r="C156" i="41"/>
  <c r="C163" i="41"/>
  <c r="C168" i="41"/>
  <c r="C172" i="41"/>
  <c r="H173" i="41"/>
  <c r="K174" i="41"/>
  <c r="K173" i="41" s="1"/>
  <c r="C184" i="41"/>
  <c r="C189" i="41"/>
  <c r="C190" i="41"/>
  <c r="C207" i="41"/>
  <c r="C208" i="41"/>
  <c r="I216" i="41"/>
  <c r="I204" i="41" s="1"/>
  <c r="C225" i="41"/>
  <c r="C228" i="41"/>
  <c r="C229" i="41"/>
  <c r="D230" i="41"/>
  <c r="K231" i="41"/>
  <c r="K230" i="41" s="1"/>
  <c r="C245" i="41"/>
  <c r="C258" i="41"/>
  <c r="L264" i="41"/>
  <c r="C287" i="41"/>
  <c r="C288" i="41"/>
  <c r="C295" i="41"/>
  <c r="I293" i="41"/>
  <c r="C300" i="41"/>
  <c r="F77" i="41"/>
  <c r="F76" i="41" s="1"/>
  <c r="C78" i="41"/>
  <c r="E77" i="41"/>
  <c r="E76" i="41" s="1"/>
  <c r="C22" i="41"/>
  <c r="L21" i="41"/>
  <c r="O292" i="41"/>
  <c r="K292" i="41"/>
  <c r="K291" i="41" s="1"/>
  <c r="K20" i="41"/>
  <c r="F292" i="41"/>
  <c r="F20" i="41"/>
  <c r="C24" i="41"/>
  <c r="O76" i="41"/>
  <c r="C80" i="41"/>
  <c r="J20" i="41"/>
  <c r="G292" i="41"/>
  <c r="G291" i="41" s="1"/>
  <c r="G20" i="41"/>
  <c r="C23" i="41"/>
  <c r="I21" i="41"/>
  <c r="L27" i="41"/>
  <c r="C85" i="41"/>
  <c r="C106" i="41"/>
  <c r="F103" i="41"/>
  <c r="C152" i="41"/>
  <c r="I160" i="41"/>
  <c r="C160" i="41" s="1"/>
  <c r="C161" i="41"/>
  <c r="C193" i="41"/>
  <c r="F192" i="41"/>
  <c r="H291" i="41"/>
  <c r="C44" i="41"/>
  <c r="F55" i="41"/>
  <c r="O58" i="41"/>
  <c r="F67" i="41"/>
  <c r="L69" i="41"/>
  <c r="L67" i="41" s="1"/>
  <c r="L53" i="41" s="1"/>
  <c r="L77" i="41"/>
  <c r="L76" i="41" s="1"/>
  <c r="I84" i="41"/>
  <c r="C84" i="41" s="1"/>
  <c r="L89" i="41"/>
  <c r="F95" i="41"/>
  <c r="C95" i="41" s="1"/>
  <c r="I128" i="41"/>
  <c r="C128" i="41" s="1"/>
  <c r="C129" i="41"/>
  <c r="G130" i="41"/>
  <c r="G75" i="41" s="1"/>
  <c r="L131" i="41"/>
  <c r="C154" i="41"/>
  <c r="F151" i="41"/>
  <c r="C240" i="41"/>
  <c r="I238" i="41"/>
  <c r="O45" i="41"/>
  <c r="O20" i="41" s="1"/>
  <c r="C209" i="41"/>
  <c r="F205" i="41"/>
  <c r="C301" i="41"/>
  <c r="L31" i="41"/>
  <c r="C31" i="41" s="1"/>
  <c r="O55" i="41"/>
  <c r="C59" i="41"/>
  <c r="I69" i="41"/>
  <c r="I67" i="41" s="1"/>
  <c r="I77" i="41"/>
  <c r="I76" i="41" s="1"/>
  <c r="I89" i="41"/>
  <c r="O103" i="41"/>
  <c r="C109" i="41"/>
  <c r="C113" i="41"/>
  <c r="C117" i="41"/>
  <c r="O122" i="41"/>
  <c r="C133" i="41"/>
  <c r="C134" i="41"/>
  <c r="F131" i="41"/>
  <c r="C137" i="41"/>
  <c r="F141" i="41"/>
  <c r="C141" i="41" s="1"/>
  <c r="C153" i="41"/>
  <c r="I151" i="41"/>
  <c r="F165" i="41"/>
  <c r="G173" i="41"/>
  <c r="L175" i="41"/>
  <c r="L179" i="41"/>
  <c r="C188" i="41"/>
  <c r="M187" i="41"/>
  <c r="I144" i="41"/>
  <c r="C145" i="41"/>
  <c r="L103" i="41"/>
  <c r="I116" i="41"/>
  <c r="C116" i="41" s="1"/>
  <c r="L122" i="41"/>
  <c r="F122" i="41"/>
  <c r="C142" i="41"/>
  <c r="F144" i="41"/>
  <c r="C144" i="41" s="1"/>
  <c r="C146" i="41"/>
  <c r="C158" i="41"/>
  <c r="C162" i="41"/>
  <c r="C167" i="41"/>
  <c r="O166" i="41"/>
  <c r="O165" i="41" s="1"/>
  <c r="C177" i="41"/>
  <c r="C178" i="41"/>
  <c r="F175" i="41"/>
  <c r="C181" i="41"/>
  <c r="C182" i="41"/>
  <c r="F179" i="41"/>
  <c r="C179" i="41" s="1"/>
  <c r="C185" i="41"/>
  <c r="C186" i="41"/>
  <c r="N187" i="41"/>
  <c r="C200" i="41"/>
  <c r="I198" i="41"/>
  <c r="I196" i="41" s="1"/>
  <c r="I195" i="41" s="1"/>
  <c r="C203" i="41"/>
  <c r="C211" i="41"/>
  <c r="C223" i="41"/>
  <c r="O231" i="41"/>
  <c r="C239" i="41"/>
  <c r="L238" i="41"/>
  <c r="M230" i="41"/>
  <c r="E259" i="41"/>
  <c r="E230" i="41" s="1"/>
  <c r="C261" i="41"/>
  <c r="F260" i="41"/>
  <c r="C271" i="41"/>
  <c r="M270" i="41"/>
  <c r="M269" i="41" s="1"/>
  <c r="C277" i="41"/>
  <c r="F276" i="41"/>
  <c r="C285" i="41"/>
  <c r="F284" i="41"/>
  <c r="C197" i="41"/>
  <c r="F196" i="41"/>
  <c r="D194" i="41"/>
  <c r="C215" i="41"/>
  <c r="L216" i="41"/>
  <c r="L204" i="41" s="1"/>
  <c r="L231" i="41"/>
  <c r="I235" i="41"/>
  <c r="C235" i="41" s="1"/>
  <c r="C236" i="41"/>
  <c r="C247" i="41"/>
  <c r="C249" i="41"/>
  <c r="F246" i="41"/>
  <c r="I252" i="41"/>
  <c r="I251" i="41" s="1"/>
  <c r="C263" i="41"/>
  <c r="O264" i="41"/>
  <c r="I270" i="41"/>
  <c r="I269" i="41" s="1"/>
  <c r="E270" i="41"/>
  <c r="E269" i="41" s="1"/>
  <c r="O272" i="41"/>
  <c r="O270" i="41" s="1"/>
  <c r="O269" i="41" s="1"/>
  <c r="C279" i="41"/>
  <c r="C280" i="41"/>
  <c r="C281" i="41"/>
  <c r="O293" i="41"/>
  <c r="O196" i="41"/>
  <c r="O205" i="41"/>
  <c r="C217" i="41"/>
  <c r="F216" i="41"/>
  <c r="O216" i="41"/>
  <c r="C232" i="41"/>
  <c r="C241" i="41"/>
  <c r="F238" i="41"/>
  <c r="C248" i="41"/>
  <c r="I246" i="41"/>
  <c r="C253" i="41"/>
  <c r="F252" i="41"/>
  <c r="O251" i="41"/>
  <c r="C265" i="41"/>
  <c r="F264" i="41"/>
  <c r="C264" i="41" s="1"/>
  <c r="C273" i="41"/>
  <c r="F272" i="41"/>
  <c r="C296" i="41"/>
  <c r="C199" i="41"/>
  <c r="F293" i="41"/>
  <c r="C293" i="41" s="1"/>
  <c r="O301" i="40"/>
  <c r="L301" i="40"/>
  <c r="I301" i="40"/>
  <c r="F301" i="40"/>
  <c r="O300" i="40"/>
  <c r="L300" i="40"/>
  <c r="I300" i="40"/>
  <c r="F300" i="40"/>
  <c r="O299" i="40"/>
  <c r="L299" i="40"/>
  <c r="I299" i="40"/>
  <c r="F299" i="40"/>
  <c r="O298" i="40"/>
  <c r="L298" i="40"/>
  <c r="I298" i="40"/>
  <c r="F298" i="40"/>
  <c r="O297" i="40"/>
  <c r="L297" i="40"/>
  <c r="I297" i="40"/>
  <c r="F297" i="40"/>
  <c r="O296" i="40"/>
  <c r="L296" i="40"/>
  <c r="I296" i="40"/>
  <c r="F296" i="40"/>
  <c r="O295" i="40"/>
  <c r="L295" i="40"/>
  <c r="I295" i="40"/>
  <c r="F295" i="40"/>
  <c r="O294" i="40"/>
  <c r="O293" i="40" s="1"/>
  <c r="L294" i="40"/>
  <c r="I294" i="40"/>
  <c r="F294" i="40"/>
  <c r="N293" i="40"/>
  <c r="M293" i="40"/>
  <c r="K293" i="40"/>
  <c r="J293" i="40"/>
  <c r="H293" i="40"/>
  <c r="G293" i="40"/>
  <c r="E293" i="40"/>
  <c r="D293" i="40"/>
  <c r="O288" i="40"/>
  <c r="L288" i="40"/>
  <c r="I288" i="40"/>
  <c r="F288" i="40"/>
  <c r="O287" i="40"/>
  <c r="L287" i="40"/>
  <c r="I287" i="40"/>
  <c r="F287" i="40"/>
  <c r="O286" i="40"/>
  <c r="N286" i="40"/>
  <c r="M286" i="40"/>
  <c r="K286" i="40"/>
  <c r="J286" i="40"/>
  <c r="H286" i="40"/>
  <c r="G286" i="40"/>
  <c r="F286" i="40"/>
  <c r="E286" i="40"/>
  <c r="D286" i="40"/>
  <c r="O285" i="40"/>
  <c r="L285" i="40"/>
  <c r="I285" i="40"/>
  <c r="F285" i="40"/>
  <c r="F284" i="40" s="1"/>
  <c r="O284" i="40"/>
  <c r="O283" i="40" s="1"/>
  <c r="N284" i="40"/>
  <c r="M284" i="40"/>
  <c r="M283" i="40" s="1"/>
  <c r="L284" i="40"/>
  <c r="L283" i="40" s="1"/>
  <c r="K284" i="40"/>
  <c r="J284" i="40"/>
  <c r="J283" i="40" s="1"/>
  <c r="I284" i="40"/>
  <c r="I283" i="40" s="1"/>
  <c r="H284" i="40"/>
  <c r="G284" i="40"/>
  <c r="G283" i="40" s="1"/>
  <c r="E284" i="40"/>
  <c r="E283" i="40" s="1"/>
  <c r="D284" i="40"/>
  <c r="D283" i="40" s="1"/>
  <c r="N283" i="40"/>
  <c r="K283" i="40"/>
  <c r="H283" i="40"/>
  <c r="O282" i="40"/>
  <c r="O281" i="40" s="1"/>
  <c r="L282" i="40"/>
  <c r="L281" i="40" s="1"/>
  <c r="I282" i="40"/>
  <c r="F282" i="40"/>
  <c r="F281" i="40" s="1"/>
  <c r="N281" i="40"/>
  <c r="M281" i="40"/>
  <c r="K281" i="40"/>
  <c r="J281" i="40"/>
  <c r="I281" i="40"/>
  <c r="H281" i="40"/>
  <c r="G281" i="40"/>
  <c r="E281" i="40"/>
  <c r="D281" i="40"/>
  <c r="O280" i="40"/>
  <c r="L280" i="40"/>
  <c r="I280" i="40"/>
  <c r="F280" i="40"/>
  <c r="O279" i="40"/>
  <c r="L279" i="40"/>
  <c r="I279" i="40"/>
  <c r="F279" i="40"/>
  <c r="O278" i="40"/>
  <c r="L278" i="40"/>
  <c r="I278" i="40"/>
  <c r="F278" i="40"/>
  <c r="O277" i="40"/>
  <c r="L277" i="40"/>
  <c r="I277" i="40"/>
  <c r="F277" i="40"/>
  <c r="N276" i="40"/>
  <c r="M276" i="40"/>
  <c r="K276" i="40"/>
  <c r="J276" i="40"/>
  <c r="H276" i="40"/>
  <c r="G276" i="40"/>
  <c r="E276" i="40"/>
  <c r="D276" i="40"/>
  <c r="O275" i="40"/>
  <c r="L275" i="40"/>
  <c r="C275" i="40" s="1"/>
  <c r="I275" i="40"/>
  <c r="F275" i="40"/>
  <c r="O274" i="40"/>
  <c r="L274" i="40"/>
  <c r="I274" i="40"/>
  <c r="F274" i="40"/>
  <c r="O273" i="40"/>
  <c r="L273" i="40"/>
  <c r="L272" i="40" s="1"/>
  <c r="I273" i="40"/>
  <c r="I272" i="40" s="1"/>
  <c r="F273" i="40"/>
  <c r="N272" i="40"/>
  <c r="N270" i="40" s="1"/>
  <c r="N269" i="40" s="1"/>
  <c r="M272" i="40"/>
  <c r="K272" i="40"/>
  <c r="K270" i="40" s="1"/>
  <c r="J272" i="40"/>
  <c r="H272" i="40"/>
  <c r="G272" i="40"/>
  <c r="E272" i="40"/>
  <c r="E270" i="40" s="1"/>
  <c r="D272" i="40"/>
  <c r="D270" i="40" s="1"/>
  <c r="D269" i="40" s="1"/>
  <c r="O271" i="40"/>
  <c r="L271" i="40"/>
  <c r="I271" i="40"/>
  <c r="F271" i="40"/>
  <c r="C271" i="40" s="1"/>
  <c r="H270" i="40"/>
  <c r="H269" i="40" s="1"/>
  <c r="E269" i="40"/>
  <c r="O268" i="40"/>
  <c r="L268" i="40"/>
  <c r="I268" i="40"/>
  <c r="F268" i="40"/>
  <c r="O267" i="40"/>
  <c r="L267" i="40"/>
  <c r="I267" i="40"/>
  <c r="F267" i="40"/>
  <c r="O266" i="40"/>
  <c r="L266" i="40"/>
  <c r="I266" i="40"/>
  <c r="F266" i="40"/>
  <c r="C266" i="40" s="1"/>
  <c r="O265" i="40"/>
  <c r="L265" i="40"/>
  <c r="I265" i="40"/>
  <c r="F265" i="40"/>
  <c r="N264" i="40"/>
  <c r="M264" i="40"/>
  <c r="K264" i="40"/>
  <c r="J264" i="40"/>
  <c r="H264" i="40"/>
  <c r="G264" i="40"/>
  <c r="E264" i="40"/>
  <c r="D264" i="40"/>
  <c r="O263" i="40"/>
  <c r="L263" i="40"/>
  <c r="I263" i="40"/>
  <c r="F263" i="40"/>
  <c r="O262" i="40"/>
  <c r="L262" i="40"/>
  <c r="I262" i="40"/>
  <c r="F262" i="40"/>
  <c r="O261" i="40"/>
  <c r="L261" i="40"/>
  <c r="I261" i="40"/>
  <c r="F261" i="40"/>
  <c r="N260" i="40"/>
  <c r="N259" i="40" s="1"/>
  <c r="M260" i="40"/>
  <c r="M259" i="40" s="1"/>
  <c r="K260" i="40"/>
  <c r="J260" i="40"/>
  <c r="I260" i="40"/>
  <c r="H260" i="40"/>
  <c r="H259" i="40" s="1"/>
  <c r="G260" i="40"/>
  <c r="E260" i="40"/>
  <c r="E259" i="40" s="1"/>
  <c r="D260" i="40"/>
  <c r="D259" i="40" s="1"/>
  <c r="G259" i="40"/>
  <c r="O258" i="40"/>
  <c r="L258" i="40"/>
  <c r="I258" i="40"/>
  <c r="F258" i="40"/>
  <c r="C258" i="40" s="1"/>
  <c r="O257" i="40"/>
  <c r="L257" i="40"/>
  <c r="I257" i="40"/>
  <c r="F257" i="40"/>
  <c r="O256" i="40"/>
  <c r="L256" i="40"/>
  <c r="I256" i="40"/>
  <c r="F256" i="40"/>
  <c r="O255" i="40"/>
  <c r="L255" i="40"/>
  <c r="I255" i="40"/>
  <c r="F255" i="40"/>
  <c r="O254" i="40"/>
  <c r="L254" i="40"/>
  <c r="I254" i="40"/>
  <c r="F254" i="40"/>
  <c r="O253" i="40"/>
  <c r="L253" i="40"/>
  <c r="I253" i="40"/>
  <c r="F253" i="40"/>
  <c r="N252" i="40"/>
  <c r="N251" i="40" s="1"/>
  <c r="M252" i="40"/>
  <c r="M251" i="40" s="1"/>
  <c r="K252" i="40"/>
  <c r="J252" i="40"/>
  <c r="J251" i="40" s="1"/>
  <c r="H252" i="40"/>
  <c r="H251" i="40" s="1"/>
  <c r="G252" i="40"/>
  <c r="G251" i="40" s="1"/>
  <c r="E252" i="40"/>
  <c r="E251" i="40" s="1"/>
  <c r="D252" i="40"/>
  <c r="K251" i="40"/>
  <c r="D251" i="40"/>
  <c r="O250" i="40"/>
  <c r="L250" i="40"/>
  <c r="I250" i="40"/>
  <c r="F250" i="40"/>
  <c r="O249" i="40"/>
  <c r="L249" i="40"/>
  <c r="I249" i="40"/>
  <c r="F249" i="40"/>
  <c r="O248" i="40"/>
  <c r="L248" i="40"/>
  <c r="I248" i="40"/>
  <c r="F248" i="40"/>
  <c r="O247" i="40"/>
  <c r="L247" i="40"/>
  <c r="I247" i="40"/>
  <c r="F247" i="40"/>
  <c r="O246" i="40"/>
  <c r="N246" i="40"/>
  <c r="M246" i="40"/>
  <c r="K246" i="40"/>
  <c r="J246" i="40"/>
  <c r="H246" i="40"/>
  <c r="G246" i="40"/>
  <c r="E246" i="40"/>
  <c r="D246" i="40"/>
  <c r="O245" i="40"/>
  <c r="L245" i="40"/>
  <c r="I245" i="40"/>
  <c r="F245" i="40"/>
  <c r="O244" i="40"/>
  <c r="L244" i="40"/>
  <c r="I244" i="40"/>
  <c r="F244" i="40"/>
  <c r="O243" i="40"/>
  <c r="L243" i="40"/>
  <c r="I243" i="40"/>
  <c r="F243" i="40"/>
  <c r="O242" i="40"/>
  <c r="L242" i="40"/>
  <c r="I242" i="40"/>
  <c r="F242" i="40"/>
  <c r="O241" i="40"/>
  <c r="L241" i="40"/>
  <c r="I241" i="40"/>
  <c r="F241" i="40"/>
  <c r="O240" i="40"/>
  <c r="L240" i="40"/>
  <c r="I240" i="40"/>
  <c r="F240" i="40"/>
  <c r="O239" i="40"/>
  <c r="L239" i="40"/>
  <c r="I239" i="40"/>
  <c r="F239" i="40"/>
  <c r="N238" i="40"/>
  <c r="M238" i="40"/>
  <c r="K238" i="40"/>
  <c r="J238" i="40"/>
  <c r="H238" i="40"/>
  <c r="G238" i="40"/>
  <c r="E238" i="40"/>
  <c r="D238" i="40"/>
  <c r="O237" i="40"/>
  <c r="L237" i="40"/>
  <c r="I237" i="40"/>
  <c r="F237" i="40"/>
  <c r="O236" i="40"/>
  <c r="L236" i="40"/>
  <c r="I236" i="40"/>
  <c r="F236" i="40"/>
  <c r="O235" i="40"/>
  <c r="N235" i="40"/>
  <c r="M235" i="40"/>
  <c r="K235" i="40"/>
  <c r="J235" i="40"/>
  <c r="H235" i="40"/>
  <c r="G235" i="40"/>
  <c r="F235" i="40"/>
  <c r="E235" i="40"/>
  <c r="D235" i="40"/>
  <c r="O234" i="40"/>
  <c r="O233" i="40" s="1"/>
  <c r="L234" i="40"/>
  <c r="I234" i="40"/>
  <c r="I233" i="40" s="1"/>
  <c r="F234" i="40"/>
  <c r="N233" i="40"/>
  <c r="M233" i="40"/>
  <c r="L233" i="40"/>
  <c r="K233" i="40"/>
  <c r="J233" i="40"/>
  <c r="H233" i="40"/>
  <c r="G233" i="40"/>
  <c r="E233" i="40"/>
  <c r="D233" i="40"/>
  <c r="O232" i="40"/>
  <c r="L232" i="40"/>
  <c r="I232" i="40"/>
  <c r="F232" i="40"/>
  <c r="O229" i="40"/>
  <c r="L229" i="40"/>
  <c r="I229" i="40"/>
  <c r="F229" i="40"/>
  <c r="C229" i="40" s="1"/>
  <c r="O228" i="40"/>
  <c r="L228" i="40"/>
  <c r="L227" i="40" s="1"/>
  <c r="I228" i="40"/>
  <c r="I227" i="40" s="1"/>
  <c r="F228" i="40"/>
  <c r="C228" i="40" s="1"/>
  <c r="O227" i="40"/>
  <c r="N227" i="40"/>
  <c r="M227" i="40"/>
  <c r="K227" i="40"/>
  <c r="J227" i="40"/>
  <c r="H227" i="40"/>
  <c r="G227" i="40"/>
  <c r="F227" i="40"/>
  <c r="C227" i="40" s="1"/>
  <c r="E227" i="40"/>
  <c r="D227" i="40"/>
  <c r="O226" i="40"/>
  <c r="L226" i="40"/>
  <c r="C226" i="40" s="1"/>
  <c r="I226" i="40"/>
  <c r="F226" i="40"/>
  <c r="O225" i="40"/>
  <c r="L225" i="40"/>
  <c r="I225" i="40"/>
  <c r="F225" i="40"/>
  <c r="O224" i="40"/>
  <c r="L224" i="40"/>
  <c r="I224" i="40"/>
  <c r="F224" i="40"/>
  <c r="O223" i="40"/>
  <c r="L223" i="40"/>
  <c r="I223" i="40"/>
  <c r="F223" i="40"/>
  <c r="C223" i="40" s="1"/>
  <c r="O222" i="40"/>
  <c r="L222" i="40"/>
  <c r="I222" i="40"/>
  <c r="F222" i="40"/>
  <c r="O221" i="40"/>
  <c r="L221" i="40"/>
  <c r="I221" i="40"/>
  <c r="F221" i="40"/>
  <c r="O220" i="40"/>
  <c r="L220" i="40"/>
  <c r="I220" i="40"/>
  <c r="F220" i="40"/>
  <c r="O219" i="40"/>
  <c r="L219" i="40"/>
  <c r="I219" i="40"/>
  <c r="F219" i="40"/>
  <c r="O218" i="40"/>
  <c r="L218" i="40"/>
  <c r="I218" i="40"/>
  <c r="F218" i="40"/>
  <c r="O217" i="40"/>
  <c r="L217" i="40"/>
  <c r="I217" i="40"/>
  <c r="F217" i="40"/>
  <c r="N216" i="40"/>
  <c r="M216" i="40"/>
  <c r="K216" i="40"/>
  <c r="J216" i="40"/>
  <c r="H216" i="40"/>
  <c r="G216" i="40"/>
  <c r="E216" i="40"/>
  <c r="D216" i="40"/>
  <c r="O215" i="40"/>
  <c r="L215" i="40"/>
  <c r="I215" i="40"/>
  <c r="F215" i="40"/>
  <c r="O214" i="40"/>
  <c r="L214" i="40"/>
  <c r="I214" i="40"/>
  <c r="F214" i="40"/>
  <c r="O213" i="40"/>
  <c r="L213" i="40"/>
  <c r="I213" i="40"/>
  <c r="F213" i="40"/>
  <c r="O212" i="40"/>
  <c r="L212" i="40"/>
  <c r="I212" i="40"/>
  <c r="F212" i="40"/>
  <c r="O211" i="40"/>
  <c r="L211" i="40"/>
  <c r="I211" i="40"/>
  <c r="F211" i="40"/>
  <c r="C211" i="40"/>
  <c r="O210" i="40"/>
  <c r="L210" i="40"/>
  <c r="I210" i="40"/>
  <c r="F210" i="40"/>
  <c r="C210" i="40" s="1"/>
  <c r="O209" i="40"/>
  <c r="L209" i="40"/>
  <c r="I209" i="40"/>
  <c r="F209" i="40"/>
  <c r="O208" i="40"/>
  <c r="L208" i="40"/>
  <c r="I208" i="40"/>
  <c r="F208" i="40"/>
  <c r="O207" i="40"/>
  <c r="L207" i="40"/>
  <c r="I207" i="40"/>
  <c r="F207" i="40"/>
  <c r="O206" i="40"/>
  <c r="L206" i="40"/>
  <c r="I206" i="40"/>
  <c r="F206" i="40"/>
  <c r="C206" i="40" s="1"/>
  <c r="N205" i="40"/>
  <c r="M205" i="40"/>
  <c r="M204" i="40" s="1"/>
  <c r="K205" i="40"/>
  <c r="J205" i="40"/>
  <c r="J204" i="40" s="1"/>
  <c r="H205" i="40"/>
  <c r="H204" i="40" s="1"/>
  <c r="G205" i="40"/>
  <c r="E205" i="40"/>
  <c r="D205" i="40"/>
  <c r="D204" i="40" s="1"/>
  <c r="O203" i="40"/>
  <c r="L203" i="40"/>
  <c r="I203" i="40"/>
  <c r="F203" i="40"/>
  <c r="C203" i="40" s="1"/>
  <c r="O202" i="40"/>
  <c r="L202" i="40"/>
  <c r="I202" i="40"/>
  <c r="F202" i="40"/>
  <c r="O201" i="40"/>
  <c r="L201" i="40"/>
  <c r="I201" i="40"/>
  <c r="F201" i="40"/>
  <c r="O200" i="40"/>
  <c r="L200" i="40"/>
  <c r="I200" i="40"/>
  <c r="F200" i="40"/>
  <c r="O199" i="40"/>
  <c r="L199" i="40"/>
  <c r="I199" i="40"/>
  <c r="F199" i="40"/>
  <c r="F198" i="40" s="1"/>
  <c r="O198" i="40"/>
  <c r="N198" i="40"/>
  <c r="M198" i="40"/>
  <c r="K198" i="40"/>
  <c r="K196" i="40" s="1"/>
  <c r="J198" i="40"/>
  <c r="H198" i="40"/>
  <c r="H196" i="40" s="1"/>
  <c r="G198" i="40"/>
  <c r="G196" i="40" s="1"/>
  <c r="E198" i="40"/>
  <c r="E196" i="40" s="1"/>
  <c r="D198" i="40"/>
  <c r="D196" i="40" s="1"/>
  <c r="D195" i="40" s="1"/>
  <c r="O197" i="40"/>
  <c r="L197" i="40"/>
  <c r="I197" i="40"/>
  <c r="F197" i="40"/>
  <c r="N196" i="40"/>
  <c r="M196" i="40"/>
  <c r="J196" i="40"/>
  <c r="O193" i="40"/>
  <c r="L193" i="40"/>
  <c r="L192" i="40" s="1"/>
  <c r="L191" i="40" s="1"/>
  <c r="I193" i="40"/>
  <c r="I192" i="40" s="1"/>
  <c r="I191" i="40" s="1"/>
  <c r="F193" i="40"/>
  <c r="F192" i="40" s="1"/>
  <c r="O192" i="40"/>
  <c r="O191" i="40" s="1"/>
  <c r="N192" i="40"/>
  <c r="N191" i="40" s="1"/>
  <c r="M192" i="40"/>
  <c r="M191" i="40" s="1"/>
  <c r="K192" i="40"/>
  <c r="K191" i="40" s="1"/>
  <c r="J192" i="40"/>
  <c r="H192" i="40"/>
  <c r="H191" i="40" s="1"/>
  <c r="H187" i="40" s="1"/>
  <c r="G192" i="40"/>
  <c r="E192" i="40"/>
  <c r="E191" i="40" s="1"/>
  <c r="D192" i="40"/>
  <c r="D191" i="40" s="1"/>
  <c r="J191" i="40"/>
  <c r="G191" i="40"/>
  <c r="O190" i="40"/>
  <c r="L190" i="40"/>
  <c r="C190" i="40" s="1"/>
  <c r="I190" i="40"/>
  <c r="F190" i="40"/>
  <c r="O189" i="40"/>
  <c r="L189" i="40"/>
  <c r="I189" i="40"/>
  <c r="F189" i="40"/>
  <c r="N188" i="40"/>
  <c r="M188" i="40"/>
  <c r="K188" i="40"/>
  <c r="J188" i="40"/>
  <c r="I188" i="40"/>
  <c r="H188" i="40"/>
  <c r="G188" i="40"/>
  <c r="F188" i="40"/>
  <c r="E188" i="40"/>
  <c r="E187" i="40" s="1"/>
  <c r="D188" i="40"/>
  <c r="D187" i="40" s="1"/>
  <c r="K187" i="40"/>
  <c r="G187" i="40"/>
  <c r="O186" i="40"/>
  <c r="L186" i="40"/>
  <c r="I186" i="40"/>
  <c r="F186" i="40"/>
  <c r="C186" i="40" s="1"/>
  <c r="O185" i="40"/>
  <c r="L185" i="40"/>
  <c r="I185" i="40"/>
  <c r="F185" i="40"/>
  <c r="N184" i="40"/>
  <c r="M184" i="40"/>
  <c r="K184" i="40"/>
  <c r="J184" i="40"/>
  <c r="I184" i="40"/>
  <c r="H184" i="40"/>
  <c r="G184" i="40"/>
  <c r="F184" i="40"/>
  <c r="E184" i="40"/>
  <c r="D184" i="40"/>
  <c r="O183" i="40"/>
  <c r="L183" i="40"/>
  <c r="I183" i="40"/>
  <c r="F183" i="40"/>
  <c r="O182" i="40"/>
  <c r="L182" i="40"/>
  <c r="I182" i="40"/>
  <c r="F182" i="40"/>
  <c r="O181" i="40"/>
  <c r="L181" i="40"/>
  <c r="I181" i="40"/>
  <c r="F181" i="40"/>
  <c r="O180" i="40"/>
  <c r="L180" i="40"/>
  <c r="L179" i="40" s="1"/>
  <c r="I180" i="40"/>
  <c r="F180" i="40"/>
  <c r="O179" i="40"/>
  <c r="N179" i="40"/>
  <c r="M179" i="40"/>
  <c r="K179" i="40"/>
  <c r="J179" i="40"/>
  <c r="H179" i="40"/>
  <c r="G179" i="40"/>
  <c r="E179" i="40"/>
  <c r="D179" i="40"/>
  <c r="O178" i="40"/>
  <c r="L178" i="40"/>
  <c r="I178" i="40"/>
  <c r="F178" i="40"/>
  <c r="O177" i="40"/>
  <c r="L177" i="40"/>
  <c r="I177" i="40"/>
  <c r="F177" i="40"/>
  <c r="O176" i="40"/>
  <c r="L176" i="40"/>
  <c r="L175" i="40" s="1"/>
  <c r="I176" i="40"/>
  <c r="F176" i="40"/>
  <c r="N175" i="40"/>
  <c r="M175" i="40"/>
  <c r="M174" i="40" s="1"/>
  <c r="K175" i="40"/>
  <c r="K174" i="40" s="1"/>
  <c r="K173" i="40" s="1"/>
  <c r="J175" i="40"/>
  <c r="H175" i="40"/>
  <c r="H174" i="40" s="1"/>
  <c r="H173" i="40" s="1"/>
  <c r="G175" i="40"/>
  <c r="E175" i="40"/>
  <c r="D175" i="40"/>
  <c r="D174" i="40" s="1"/>
  <c r="D173" i="40" s="1"/>
  <c r="G174" i="40"/>
  <c r="G173" i="40" s="1"/>
  <c r="E174" i="40"/>
  <c r="E173" i="40"/>
  <c r="O172" i="40"/>
  <c r="L172" i="40"/>
  <c r="I172" i="40"/>
  <c r="F172" i="40"/>
  <c r="O171" i="40"/>
  <c r="L171" i="40"/>
  <c r="I171" i="40"/>
  <c r="F171" i="40"/>
  <c r="O170" i="40"/>
  <c r="L170" i="40"/>
  <c r="I170" i="40"/>
  <c r="F170" i="40"/>
  <c r="O169" i="40"/>
  <c r="L169" i="40"/>
  <c r="I169" i="40"/>
  <c r="F169" i="40"/>
  <c r="O168" i="40"/>
  <c r="L168" i="40"/>
  <c r="I168" i="40"/>
  <c r="F168" i="40"/>
  <c r="O167" i="40"/>
  <c r="L167" i="40"/>
  <c r="I167" i="40"/>
  <c r="F167" i="40"/>
  <c r="F166" i="40" s="1"/>
  <c r="F165" i="40" s="1"/>
  <c r="O166" i="40"/>
  <c r="O165" i="40" s="1"/>
  <c r="N166" i="40"/>
  <c r="M166" i="40"/>
  <c r="K166" i="40"/>
  <c r="K165" i="40" s="1"/>
  <c r="J166" i="40"/>
  <c r="J165" i="40" s="1"/>
  <c r="H166" i="40"/>
  <c r="G166" i="40"/>
  <c r="G165" i="40" s="1"/>
  <c r="E166" i="40"/>
  <c r="E165" i="40" s="1"/>
  <c r="D166" i="40"/>
  <c r="D165" i="40" s="1"/>
  <c r="N165" i="40"/>
  <c r="M165" i="40"/>
  <c r="H165" i="40"/>
  <c r="O164" i="40"/>
  <c r="L164" i="40"/>
  <c r="I164" i="40"/>
  <c r="F164" i="40"/>
  <c r="O163" i="40"/>
  <c r="L163" i="40"/>
  <c r="I163" i="40"/>
  <c r="F163" i="40"/>
  <c r="O162" i="40"/>
  <c r="L162" i="40"/>
  <c r="I162" i="40"/>
  <c r="C162" i="40" s="1"/>
  <c r="F162" i="40"/>
  <c r="O161" i="40"/>
  <c r="L161" i="40"/>
  <c r="L160" i="40" s="1"/>
  <c r="I161" i="40"/>
  <c r="F161" i="40"/>
  <c r="N160" i="40"/>
  <c r="M160" i="40"/>
  <c r="K160" i="40"/>
  <c r="J160" i="40"/>
  <c r="H160" i="40"/>
  <c r="G160" i="40"/>
  <c r="E160" i="40"/>
  <c r="D160" i="40"/>
  <c r="O159" i="40"/>
  <c r="L159" i="40"/>
  <c r="I159" i="40"/>
  <c r="F159" i="40"/>
  <c r="O158" i="40"/>
  <c r="L158" i="40"/>
  <c r="I158" i="40"/>
  <c r="F158" i="40"/>
  <c r="O157" i="40"/>
  <c r="L157" i="40"/>
  <c r="I157" i="40"/>
  <c r="F157" i="40"/>
  <c r="O156" i="40"/>
  <c r="L156" i="40"/>
  <c r="I156" i="40"/>
  <c r="F156" i="40"/>
  <c r="O155" i="40"/>
  <c r="L155" i="40"/>
  <c r="I155" i="40"/>
  <c r="F155" i="40"/>
  <c r="O154" i="40"/>
  <c r="L154" i="40"/>
  <c r="I154" i="40"/>
  <c r="F154" i="40"/>
  <c r="C154" i="40" s="1"/>
  <c r="O153" i="40"/>
  <c r="L153" i="40"/>
  <c r="I153" i="40"/>
  <c r="F153" i="40"/>
  <c r="C153" i="40" s="1"/>
  <c r="O152" i="40"/>
  <c r="L152" i="40"/>
  <c r="I152" i="40"/>
  <c r="F152" i="40"/>
  <c r="N151" i="40"/>
  <c r="M151" i="40"/>
  <c r="K151" i="40"/>
  <c r="J151" i="40"/>
  <c r="H151" i="40"/>
  <c r="G151" i="40"/>
  <c r="E151" i="40"/>
  <c r="D151" i="40"/>
  <c r="O150" i="40"/>
  <c r="L150" i="40"/>
  <c r="I150" i="40"/>
  <c r="F150" i="40"/>
  <c r="O149" i="40"/>
  <c r="L149" i="40"/>
  <c r="I149" i="40"/>
  <c r="F149" i="40"/>
  <c r="O148" i="40"/>
  <c r="L148" i="40"/>
  <c r="I148" i="40"/>
  <c r="F148" i="40"/>
  <c r="O147" i="40"/>
  <c r="L147" i="40"/>
  <c r="I147" i="40"/>
  <c r="F147" i="40"/>
  <c r="O146" i="40"/>
  <c r="L146" i="40"/>
  <c r="I146" i="40"/>
  <c r="F146" i="40"/>
  <c r="C146" i="40" s="1"/>
  <c r="O145" i="40"/>
  <c r="L145" i="40"/>
  <c r="I145" i="40"/>
  <c r="F145" i="40"/>
  <c r="N144" i="40"/>
  <c r="M144" i="40"/>
  <c r="K144" i="40"/>
  <c r="J144" i="40"/>
  <c r="H144" i="40"/>
  <c r="G144" i="40"/>
  <c r="E144" i="40"/>
  <c r="D144" i="40"/>
  <c r="O143" i="40"/>
  <c r="L143" i="40"/>
  <c r="I143" i="40"/>
  <c r="F143" i="40"/>
  <c r="O142" i="40"/>
  <c r="O141" i="40" s="1"/>
  <c r="L142" i="40"/>
  <c r="I142" i="40"/>
  <c r="F142" i="40"/>
  <c r="F141" i="40" s="1"/>
  <c r="C142" i="40"/>
  <c r="N141" i="40"/>
  <c r="M141" i="40"/>
  <c r="K141" i="40"/>
  <c r="J141" i="40"/>
  <c r="I141" i="40"/>
  <c r="H141" i="40"/>
  <c r="G141" i="40"/>
  <c r="E141" i="40"/>
  <c r="D141" i="40"/>
  <c r="O140" i="40"/>
  <c r="L140" i="40"/>
  <c r="I140" i="40"/>
  <c r="F140" i="40"/>
  <c r="O139" i="40"/>
  <c r="L139" i="40"/>
  <c r="I139" i="40"/>
  <c r="F139" i="40"/>
  <c r="O138" i="40"/>
  <c r="L138" i="40"/>
  <c r="I138" i="40"/>
  <c r="F138" i="40"/>
  <c r="O137" i="40"/>
  <c r="L137" i="40"/>
  <c r="I137" i="40"/>
  <c r="F137" i="40"/>
  <c r="N136" i="40"/>
  <c r="M136" i="40"/>
  <c r="K136" i="40"/>
  <c r="J136" i="40"/>
  <c r="H136" i="40"/>
  <c r="G136" i="40"/>
  <c r="F136" i="40"/>
  <c r="E136" i="40"/>
  <c r="D136" i="40"/>
  <c r="O135" i="40"/>
  <c r="L135" i="40"/>
  <c r="I135" i="40"/>
  <c r="F135" i="40"/>
  <c r="O134" i="40"/>
  <c r="O131" i="40" s="1"/>
  <c r="L134" i="40"/>
  <c r="I134" i="40"/>
  <c r="F134" i="40"/>
  <c r="C134" i="40"/>
  <c r="O133" i="40"/>
  <c r="L133" i="40"/>
  <c r="I133" i="40"/>
  <c r="F133" i="40"/>
  <c r="C133" i="40" s="1"/>
  <c r="O132" i="40"/>
  <c r="L132" i="40"/>
  <c r="I132" i="40"/>
  <c r="F132" i="40"/>
  <c r="N131" i="40"/>
  <c r="M131" i="40"/>
  <c r="K131" i="40"/>
  <c r="J131" i="40"/>
  <c r="H131" i="40"/>
  <c r="G131" i="40"/>
  <c r="E131" i="40"/>
  <c r="D131" i="40"/>
  <c r="O129" i="40"/>
  <c r="L129" i="40"/>
  <c r="L128" i="40" s="1"/>
  <c r="I129" i="40"/>
  <c r="F129" i="40"/>
  <c r="F128" i="40" s="1"/>
  <c r="C128" i="40" s="1"/>
  <c r="O128" i="40"/>
  <c r="N128" i="40"/>
  <c r="M128" i="40"/>
  <c r="K128" i="40"/>
  <c r="J128" i="40"/>
  <c r="I128" i="40"/>
  <c r="H128" i="40"/>
  <c r="G128" i="40"/>
  <c r="E128" i="40"/>
  <c r="D128" i="40"/>
  <c r="O127" i="40"/>
  <c r="L127" i="40"/>
  <c r="I127" i="40"/>
  <c r="F127" i="40"/>
  <c r="O126" i="40"/>
  <c r="L126" i="40"/>
  <c r="I126" i="40"/>
  <c r="F126" i="40"/>
  <c r="O125" i="40"/>
  <c r="L125" i="40"/>
  <c r="I125" i="40"/>
  <c r="F125" i="40"/>
  <c r="O124" i="40"/>
  <c r="L124" i="40"/>
  <c r="I124" i="40"/>
  <c r="F124" i="40"/>
  <c r="O123" i="40"/>
  <c r="L123" i="40"/>
  <c r="I123" i="40"/>
  <c r="F123" i="40"/>
  <c r="N122" i="40"/>
  <c r="M122" i="40"/>
  <c r="K122" i="40"/>
  <c r="J122" i="40"/>
  <c r="H122" i="40"/>
  <c r="G122" i="40"/>
  <c r="E122" i="40"/>
  <c r="D122" i="40"/>
  <c r="O121" i="40"/>
  <c r="L121" i="40"/>
  <c r="I121" i="40"/>
  <c r="F121" i="40"/>
  <c r="O120" i="40"/>
  <c r="L120" i="40"/>
  <c r="I120" i="40"/>
  <c r="F120" i="40"/>
  <c r="O119" i="40"/>
  <c r="L119" i="40"/>
  <c r="I119" i="40"/>
  <c r="F119" i="40"/>
  <c r="O118" i="40"/>
  <c r="L118" i="40"/>
  <c r="I118" i="40"/>
  <c r="F118" i="40"/>
  <c r="O117" i="40"/>
  <c r="O116" i="40" s="1"/>
  <c r="L117" i="40"/>
  <c r="I117" i="40"/>
  <c r="F117" i="40"/>
  <c r="F116" i="40" s="1"/>
  <c r="N116" i="40"/>
  <c r="M116" i="40"/>
  <c r="K116" i="40"/>
  <c r="J116" i="40"/>
  <c r="H116" i="40"/>
  <c r="G116" i="40"/>
  <c r="E116" i="40"/>
  <c r="D116" i="40"/>
  <c r="O115" i="40"/>
  <c r="L115" i="40"/>
  <c r="I115" i="40"/>
  <c r="F115" i="40"/>
  <c r="O114" i="40"/>
  <c r="L114" i="40"/>
  <c r="I114" i="40"/>
  <c r="F114" i="40"/>
  <c r="O113" i="40"/>
  <c r="O112" i="40" s="1"/>
  <c r="L113" i="40"/>
  <c r="I113" i="40"/>
  <c r="F113" i="40"/>
  <c r="N112" i="40"/>
  <c r="M112" i="40"/>
  <c r="L112" i="40"/>
  <c r="K112" i="40"/>
  <c r="J112" i="40"/>
  <c r="H112" i="40"/>
  <c r="G112" i="40"/>
  <c r="E112" i="40"/>
  <c r="D112" i="40"/>
  <c r="O111" i="40"/>
  <c r="L111" i="40"/>
  <c r="I111" i="40"/>
  <c r="F111" i="40"/>
  <c r="O110" i="40"/>
  <c r="L110" i="40"/>
  <c r="I110" i="40"/>
  <c r="F110" i="40"/>
  <c r="O109" i="40"/>
  <c r="L109" i="40"/>
  <c r="I109" i="40"/>
  <c r="F109" i="40"/>
  <c r="O108" i="40"/>
  <c r="L108" i="40"/>
  <c r="I108" i="40"/>
  <c r="F108" i="40"/>
  <c r="O107" i="40"/>
  <c r="L107" i="40"/>
  <c r="I107" i="40"/>
  <c r="F107" i="40"/>
  <c r="O106" i="40"/>
  <c r="L106" i="40"/>
  <c r="I106" i="40"/>
  <c r="F106" i="40"/>
  <c r="O105" i="40"/>
  <c r="L105" i="40"/>
  <c r="I105" i="40"/>
  <c r="F105" i="40"/>
  <c r="C105" i="40" s="1"/>
  <c r="O104" i="40"/>
  <c r="L104" i="40"/>
  <c r="I104" i="40"/>
  <c r="I103" i="40" s="1"/>
  <c r="F104" i="40"/>
  <c r="N103" i="40"/>
  <c r="M103" i="40"/>
  <c r="K103" i="40"/>
  <c r="J103" i="40"/>
  <c r="H103" i="40"/>
  <c r="G103" i="40"/>
  <c r="E103" i="40"/>
  <c r="D103" i="40"/>
  <c r="O102" i="40"/>
  <c r="L102" i="40"/>
  <c r="I102" i="40"/>
  <c r="F102" i="40"/>
  <c r="O101" i="40"/>
  <c r="L101" i="40"/>
  <c r="I101" i="40"/>
  <c r="F101" i="40"/>
  <c r="C101" i="40" s="1"/>
  <c r="O100" i="40"/>
  <c r="L100" i="40"/>
  <c r="I100" i="40"/>
  <c r="F100" i="40"/>
  <c r="O99" i="40"/>
  <c r="L99" i="40"/>
  <c r="I99" i="40"/>
  <c r="F99" i="40"/>
  <c r="O98" i="40"/>
  <c r="L98" i="40"/>
  <c r="I98" i="40"/>
  <c r="F98" i="40"/>
  <c r="O97" i="40"/>
  <c r="O95" i="40" s="1"/>
  <c r="L97" i="40"/>
  <c r="I97" i="40"/>
  <c r="F97" i="40"/>
  <c r="C97" i="40" s="1"/>
  <c r="O96" i="40"/>
  <c r="L96" i="40"/>
  <c r="I96" i="40"/>
  <c r="F96" i="40"/>
  <c r="N95" i="40"/>
  <c r="M95" i="40"/>
  <c r="K95" i="40"/>
  <c r="J95" i="40"/>
  <c r="H95" i="40"/>
  <c r="G95" i="40"/>
  <c r="E95" i="40"/>
  <c r="D95" i="40"/>
  <c r="O94" i="40"/>
  <c r="L94" i="40"/>
  <c r="I94" i="40"/>
  <c r="F94" i="40"/>
  <c r="O93" i="40"/>
  <c r="L93" i="40"/>
  <c r="I93" i="40"/>
  <c r="F93" i="40"/>
  <c r="O92" i="40"/>
  <c r="L92" i="40"/>
  <c r="I92" i="40"/>
  <c r="F92" i="40"/>
  <c r="O91" i="40"/>
  <c r="L91" i="40"/>
  <c r="I91" i="40"/>
  <c r="F91" i="40"/>
  <c r="O90" i="40"/>
  <c r="L90" i="40"/>
  <c r="I90" i="40"/>
  <c r="F90" i="40"/>
  <c r="N89" i="40"/>
  <c r="M89" i="40"/>
  <c r="K89" i="40"/>
  <c r="J89" i="40"/>
  <c r="H89" i="40"/>
  <c r="G89" i="40"/>
  <c r="E89" i="40"/>
  <c r="D89" i="40"/>
  <c r="O88" i="40"/>
  <c r="L88" i="40"/>
  <c r="I88" i="40"/>
  <c r="F88" i="40"/>
  <c r="O87" i="40"/>
  <c r="L87" i="40"/>
  <c r="I87" i="40"/>
  <c r="F87" i="40"/>
  <c r="O86" i="40"/>
  <c r="L86" i="40"/>
  <c r="I86" i="40"/>
  <c r="F86" i="40"/>
  <c r="O85" i="40"/>
  <c r="O84" i="40" s="1"/>
  <c r="L85" i="40"/>
  <c r="I85" i="40"/>
  <c r="F85" i="40"/>
  <c r="N84" i="40"/>
  <c r="M84" i="40"/>
  <c r="K84" i="40"/>
  <c r="J84" i="40"/>
  <c r="H84" i="40"/>
  <c r="G84" i="40"/>
  <c r="E84" i="40"/>
  <c r="E83" i="40" s="1"/>
  <c r="D84" i="40"/>
  <c r="O82" i="40"/>
  <c r="L82" i="40"/>
  <c r="I82" i="40"/>
  <c r="F82" i="40"/>
  <c r="O81" i="40"/>
  <c r="O80" i="40" s="1"/>
  <c r="L81" i="40"/>
  <c r="L80" i="40" s="1"/>
  <c r="I81" i="40"/>
  <c r="I80" i="40" s="1"/>
  <c r="F81" i="40"/>
  <c r="F80" i="40" s="1"/>
  <c r="N80" i="40"/>
  <c r="M80" i="40"/>
  <c r="K80" i="40"/>
  <c r="J80" i="40"/>
  <c r="H80" i="40"/>
  <c r="G80" i="40"/>
  <c r="E80" i="40"/>
  <c r="D80" i="40"/>
  <c r="O79" i="40"/>
  <c r="L79" i="40"/>
  <c r="I79" i="40"/>
  <c r="F79" i="40"/>
  <c r="O78" i="40"/>
  <c r="L78" i="40"/>
  <c r="I78" i="40"/>
  <c r="F78" i="40"/>
  <c r="F77" i="40" s="1"/>
  <c r="O77" i="40"/>
  <c r="N77" i="40"/>
  <c r="M77" i="40"/>
  <c r="K77" i="40"/>
  <c r="J77" i="40"/>
  <c r="H77" i="40"/>
  <c r="G77" i="40"/>
  <c r="G76" i="40" s="1"/>
  <c r="E77" i="40"/>
  <c r="D77" i="40"/>
  <c r="M76" i="40"/>
  <c r="D76" i="40"/>
  <c r="O74" i="40"/>
  <c r="L74" i="40"/>
  <c r="I74" i="40"/>
  <c r="F74" i="40"/>
  <c r="O73" i="40"/>
  <c r="L73" i="40"/>
  <c r="I73" i="40"/>
  <c r="F73" i="40"/>
  <c r="C73" i="40"/>
  <c r="O72" i="40"/>
  <c r="L72" i="40"/>
  <c r="I72" i="40"/>
  <c r="F72" i="40"/>
  <c r="C72" i="40" s="1"/>
  <c r="O71" i="40"/>
  <c r="L71" i="40"/>
  <c r="I71" i="40"/>
  <c r="F71" i="40"/>
  <c r="O70" i="40"/>
  <c r="L70" i="40"/>
  <c r="I70" i="40"/>
  <c r="F70" i="40"/>
  <c r="F69" i="40" s="1"/>
  <c r="N69" i="40"/>
  <c r="M69" i="40"/>
  <c r="K69" i="40"/>
  <c r="K67" i="40" s="1"/>
  <c r="J69" i="40"/>
  <c r="H69" i="40"/>
  <c r="H67" i="40" s="1"/>
  <c r="G69" i="40"/>
  <c r="G67" i="40" s="1"/>
  <c r="E69" i="40"/>
  <c r="E67" i="40" s="1"/>
  <c r="D69" i="40"/>
  <c r="D67" i="40" s="1"/>
  <c r="O68" i="40"/>
  <c r="L68" i="40"/>
  <c r="I68" i="40"/>
  <c r="F68" i="40"/>
  <c r="N67" i="40"/>
  <c r="M67" i="40"/>
  <c r="J67" i="40"/>
  <c r="O66" i="40"/>
  <c r="L66" i="40"/>
  <c r="I66" i="40"/>
  <c r="F66" i="40"/>
  <c r="O65" i="40"/>
  <c r="L65" i="40"/>
  <c r="I65" i="40"/>
  <c r="F65" i="40"/>
  <c r="O64" i="40"/>
  <c r="L64" i="40"/>
  <c r="I64" i="40"/>
  <c r="F64" i="40"/>
  <c r="O63" i="40"/>
  <c r="L63" i="40"/>
  <c r="I63" i="40"/>
  <c r="F63" i="40"/>
  <c r="O62" i="40"/>
  <c r="L62" i="40"/>
  <c r="I62" i="40"/>
  <c r="F62" i="40"/>
  <c r="O61" i="40"/>
  <c r="L61" i="40"/>
  <c r="I61" i="40"/>
  <c r="F61" i="40"/>
  <c r="O60" i="40"/>
  <c r="L60" i="40"/>
  <c r="I60" i="40"/>
  <c r="F60" i="40"/>
  <c r="O59" i="40"/>
  <c r="L59" i="40"/>
  <c r="L58" i="40" s="1"/>
  <c r="I59" i="40"/>
  <c r="F59" i="40"/>
  <c r="N58" i="40"/>
  <c r="M58" i="40"/>
  <c r="K58" i="40"/>
  <c r="J58" i="40"/>
  <c r="H58" i="40"/>
  <c r="G58" i="40"/>
  <c r="E58" i="40"/>
  <c r="D58" i="40"/>
  <c r="O57" i="40"/>
  <c r="L57" i="40"/>
  <c r="C57" i="40" s="1"/>
  <c r="I57" i="40"/>
  <c r="F57" i="40"/>
  <c r="O56" i="40"/>
  <c r="L56" i="40"/>
  <c r="I56" i="40"/>
  <c r="F56" i="40"/>
  <c r="N55" i="40"/>
  <c r="N54" i="40" s="1"/>
  <c r="N53" i="40" s="1"/>
  <c r="M55" i="40"/>
  <c r="K55" i="40"/>
  <c r="J55" i="40"/>
  <c r="I55" i="40"/>
  <c r="H55" i="40"/>
  <c r="G55" i="40"/>
  <c r="E55" i="40"/>
  <c r="E54" i="40" s="1"/>
  <c r="D55" i="40"/>
  <c r="D54" i="40" s="1"/>
  <c r="K54" i="40"/>
  <c r="O47" i="40"/>
  <c r="C47" i="40" s="1"/>
  <c r="O46" i="40"/>
  <c r="C46" i="40" s="1"/>
  <c r="N45" i="40"/>
  <c r="M45" i="40"/>
  <c r="L44" i="40"/>
  <c r="I44" i="40"/>
  <c r="F44" i="40"/>
  <c r="F43" i="40" s="1"/>
  <c r="K43" i="40"/>
  <c r="J43" i="40"/>
  <c r="I43" i="40"/>
  <c r="H43" i="40"/>
  <c r="G43" i="40"/>
  <c r="E43" i="40"/>
  <c r="D43" i="40"/>
  <c r="F42" i="40"/>
  <c r="E41" i="40"/>
  <c r="D41" i="40"/>
  <c r="L40" i="40"/>
  <c r="C40" i="40" s="1"/>
  <c r="L39" i="40"/>
  <c r="C39" i="40"/>
  <c r="L38" i="40"/>
  <c r="C38" i="40" s="1"/>
  <c r="L37" i="40"/>
  <c r="C37" i="40" s="1"/>
  <c r="K36" i="40"/>
  <c r="J36" i="40"/>
  <c r="L35" i="40"/>
  <c r="C35" i="40" s="1"/>
  <c r="L34" i="40"/>
  <c r="C34" i="40"/>
  <c r="K33" i="40"/>
  <c r="J33" i="40"/>
  <c r="L32" i="40"/>
  <c r="K31" i="40"/>
  <c r="J31" i="40"/>
  <c r="L30" i="40"/>
  <c r="C30" i="40"/>
  <c r="L29" i="40"/>
  <c r="C29" i="40" s="1"/>
  <c r="L28" i="40"/>
  <c r="C28" i="40" s="1"/>
  <c r="K27" i="40"/>
  <c r="J27" i="40"/>
  <c r="F25" i="40"/>
  <c r="C25" i="40" s="1"/>
  <c r="I24" i="40"/>
  <c r="F24" i="40"/>
  <c r="C24" i="40"/>
  <c r="O23" i="40"/>
  <c r="L23" i="40"/>
  <c r="I23" i="40"/>
  <c r="F23" i="40"/>
  <c r="C23" i="40" s="1"/>
  <c r="O22" i="40"/>
  <c r="L22" i="40"/>
  <c r="L21" i="40" s="1"/>
  <c r="I22" i="40"/>
  <c r="F22" i="40"/>
  <c r="O21" i="40"/>
  <c r="O292" i="40" s="1"/>
  <c r="O291" i="40" s="1"/>
  <c r="N21" i="40"/>
  <c r="M21" i="40"/>
  <c r="M292" i="40" s="1"/>
  <c r="M291" i="40" s="1"/>
  <c r="K21" i="40"/>
  <c r="K292" i="40" s="1"/>
  <c r="K291" i="40" s="1"/>
  <c r="J21" i="40"/>
  <c r="H21" i="40"/>
  <c r="H292" i="40" s="1"/>
  <c r="H291" i="40" s="1"/>
  <c r="G21" i="40"/>
  <c r="G292" i="40" s="1"/>
  <c r="G291" i="40" s="1"/>
  <c r="F21" i="40"/>
  <c r="E21" i="40"/>
  <c r="E292" i="40" s="1"/>
  <c r="E291" i="40" s="1"/>
  <c r="D21" i="40"/>
  <c r="D292" i="40" s="1"/>
  <c r="M20" i="40"/>
  <c r="H20" i="40"/>
  <c r="H54" i="40" l="1"/>
  <c r="O69" i="40"/>
  <c r="O67" i="40" s="1"/>
  <c r="N76" i="40"/>
  <c r="O89" i="40"/>
  <c r="O175" i="40"/>
  <c r="O174" i="40" s="1"/>
  <c r="C183" i="40"/>
  <c r="C185" i="40"/>
  <c r="O184" i="40"/>
  <c r="C218" i="40"/>
  <c r="C222" i="40"/>
  <c r="N231" i="40"/>
  <c r="G231" i="40"/>
  <c r="G230" i="40" s="1"/>
  <c r="C262" i="40"/>
  <c r="G270" i="40"/>
  <c r="G269" i="40" s="1"/>
  <c r="I293" i="40"/>
  <c r="K53" i="40"/>
  <c r="J76" i="40"/>
  <c r="C93" i="40"/>
  <c r="C109" i="40"/>
  <c r="C110" i="40"/>
  <c r="C170" i="40"/>
  <c r="J195" i="40"/>
  <c r="J231" i="40"/>
  <c r="K259" i="40"/>
  <c r="C294" i="40"/>
  <c r="C295" i="40"/>
  <c r="F231" i="41"/>
  <c r="C136" i="41"/>
  <c r="C44" i="40"/>
  <c r="C61" i="40"/>
  <c r="C63" i="40"/>
  <c r="O103" i="40"/>
  <c r="C121" i="40"/>
  <c r="C123" i="40"/>
  <c r="C127" i="40"/>
  <c r="C158" i="40"/>
  <c r="C159" i="40"/>
  <c r="C172" i="40"/>
  <c r="C214" i="40"/>
  <c r="C215" i="40"/>
  <c r="C242" i="40"/>
  <c r="K26" i="40"/>
  <c r="G54" i="40"/>
  <c r="C82" i="40"/>
  <c r="N83" i="40"/>
  <c r="G130" i="40"/>
  <c r="M130" i="40"/>
  <c r="J187" i="40"/>
  <c r="K204" i="40"/>
  <c r="K195" i="40" s="1"/>
  <c r="K231" i="40"/>
  <c r="O264" i="40"/>
  <c r="L174" i="41"/>
  <c r="L173" i="41" s="1"/>
  <c r="K83" i="40"/>
  <c r="L235" i="40"/>
  <c r="L252" i="40"/>
  <c r="L251" i="40" s="1"/>
  <c r="O272" i="40"/>
  <c r="L276" i="40"/>
  <c r="C62" i="40"/>
  <c r="C163" i="40"/>
  <c r="C178" i="40"/>
  <c r="F175" i="40"/>
  <c r="C274" i="40"/>
  <c r="L293" i="40"/>
  <c r="C299" i="40"/>
  <c r="M194" i="41"/>
  <c r="N230" i="41"/>
  <c r="D291" i="40"/>
  <c r="C42" i="40"/>
  <c r="F41" i="40"/>
  <c r="C41" i="40" s="1"/>
  <c r="L43" i="40"/>
  <c r="C81" i="40"/>
  <c r="C108" i="40"/>
  <c r="K130" i="40"/>
  <c r="H130" i="40"/>
  <c r="O151" i="40"/>
  <c r="C171" i="40"/>
  <c r="C182" i="40"/>
  <c r="C189" i="40"/>
  <c r="O188" i="40"/>
  <c r="O187" i="40" s="1"/>
  <c r="F216" i="40"/>
  <c r="C224" i="40"/>
  <c r="C225" i="40"/>
  <c r="G204" i="40"/>
  <c r="G195" i="40" s="1"/>
  <c r="G194" i="40" s="1"/>
  <c r="M231" i="40"/>
  <c r="C239" i="40"/>
  <c r="C255" i="40"/>
  <c r="C268" i="40"/>
  <c r="K269" i="40"/>
  <c r="C278" i="40"/>
  <c r="I286" i="40"/>
  <c r="C58" i="41"/>
  <c r="I54" i="41"/>
  <c r="I53" i="41" s="1"/>
  <c r="F112" i="40"/>
  <c r="C113" i="40"/>
  <c r="C117" i="40"/>
  <c r="F233" i="40"/>
  <c r="C234" i="40"/>
  <c r="D75" i="41"/>
  <c r="D289" i="41" s="1"/>
  <c r="L36" i="40"/>
  <c r="C36" i="40" s="1"/>
  <c r="C120" i="40"/>
  <c r="C139" i="40"/>
  <c r="C150" i="40"/>
  <c r="F144" i="40"/>
  <c r="E53" i="40"/>
  <c r="O55" i="40"/>
  <c r="D20" i="40"/>
  <c r="C65" i="40"/>
  <c r="D53" i="40"/>
  <c r="C74" i="40"/>
  <c r="F84" i="40"/>
  <c r="C85" i="40"/>
  <c r="C88" i="40"/>
  <c r="F89" i="40"/>
  <c r="C92" i="40"/>
  <c r="C98" i="40"/>
  <c r="C102" i="40"/>
  <c r="C126" i="40"/>
  <c r="C138" i="40"/>
  <c r="C147" i="40"/>
  <c r="L174" i="40"/>
  <c r="I205" i="40"/>
  <c r="C212" i="40"/>
  <c r="C213" i="40"/>
  <c r="C244" i="40"/>
  <c r="K230" i="40"/>
  <c r="C250" i="40"/>
  <c r="C282" i="40"/>
  <c r="C287" i="40"/>
  <c r="C298" i="40"/>
  <c r="D52" i="41"/>
  <c r="D51" i="41" s="1"/>
  <c r="E20" i="40"/>
  <c r="J54" i="40"/>
  <c r="J53" i="40" s="1"/>
  <c r="C60" i="40"/>
  <c r="O58" i="40"/>
  <c r="C66" i="40"/>
  <c r="G53" i="40"/>
  <c r="H76" i="40"/>
  <c r="C86" i="40"/>
  <c r="G83" i="40"/>
  <c r="C100" i="40"/>
  <c r="C107" i="40"/>
  <c r="C114" i="40"/>
  <c r="J83" i="40"/>
  <c r="C125" i="40"/>
  <c r="O122" i="40"/>
  <c r="E130" i="40"/>
  <c r="C137" i="40"/>
  <c r="O136" i="40"/>
  <c r="C145" i="40"/>
  <c r="O144" i="40"/>
  <c r="L151" i="40"/>
  <c r="C156" i="40"/>
  <c r="C161" i="40"/>
  <c r="O160" i="40"/>
  <c r="C169" i="40"/>
  <c r="J174" i="40"/>
  <c r="J173" i="40" s="1"/>
  <c r="F179" i="40"/>
  <c r="C181" i="40"/>
  <c r="N204" i="40"/>
  <c r="E231" i="40"/>
  <c r="C237" i="40"/>
  <c r="O238" i="40"/>
  <c r="O231" i="40" s="1"/>
  <c r="C243" i="40"/>
  <c r="F260" i="40"/>
  <c r="C261" i="40"/>
  <c r="O260" i="40"/>
  <c r="O259" i="40" s="1"/>
  <c r="C277" i="40"/>
  <c r="O276" i="40"/>
  <c r="F293" i="40"/>
  <c r="C293" i="40" s="1"/>
  <c r="C297" i="40"/>
  <c r="C89" i="41"/>
  <c r="H194" i="41"/>
  <c r="J26" i="40"/>
  <c r="J20" i="40" s="1"/>
  <c r="M54" i="40"/>
  <c r="M53" i="40" s="1"/>
  <c r="L55" i="40"/>
  <c r="L54" i="40" s="1"/>
  <c r="C64" i="40"/>
  <c r="H53" i="40"/>
  <c r="E76" i="40"/>
  <c r="K76" i="40"/>
  <c r="D83" i="40"/>
  <c r="C94" i="40"/>
  <c r="M83" i="40"/>
  <c r="M75" i="40" s="1"/>
  <c r="L95" i="40"/>
  <c r="C99" i="40"/>
  <c r="C106" i="40"/>
  <c r="C111" i="40"/>
  <c r="C118" i="40"/>
  <c r="C124" i="40"/>
  <c r="C135" i="40"/>
  <c r="I136" i="40"/>
  <c r="D130" i="40"/>
  <c r="I144" i="40"/>
  <c r="C149" i="40"/>
  <c r="C155" i="40"/>
  <c r="I160" i="40"/>
  <c r="C177" i="40"/>
  <c r="M173" i="40"/>
  <c r="L184" i="40"/>
  <c r="L188" i="40"/>
  <c r="L187" i="40" s="1"/>
  <c r="O196" i="40"/>
  <c r="O205" i="40"/>
  <c r="E204" i="40"/>
  <c r="E195" i="40" s="1"/>
  <c r="C217" i="40"/>
  <c r="I252" i="40"/>
  <c r="I251" i="40" s="1"/>
  <c r="C256" i="40"/>
  <c r="C257" i="40"/>
  <c r="C265" i="40"/>
  <c r="M270" i="40"/>
  <c r="M269" i="40" s="1"/>
  <c r="I276" i="40"/>
  <c r="I270" i="40" s="1"/>
  <c r="I269" i="40" s="1"/>
  <c r="C288" i="40"/>
  <c r="C300" i="40"/>
  <c r="L195" i="41"/>
  <c r="E75" i="41"/>
  <c r="J75" i="41"/>
  <c r="J52" i="41" s="1"/>
  <c r="L259" i="41"/>
  <c r="L230" i="41" s="1"/>
  <c r="N194" i="41"/>
  <c r="K194" i="41"/>
  <c r="O130" i="41"/>
  <c r="H289" i="41"/>
  <c r="H52" i="41"/>
  <c r="O259" i="41"/>
  <c r="O230" i="41" s="1"/>
  <c r="C276" i="41"/>
  <c r="C122" i="41"/>
  <c r="O83" i="41"/>
  <c r="C103" i="41"/>
  <c r="M52" i="41"/>
  <c r="I130" i="41"/>
  <c r="O54" i="41"/>
  <c r="O53" i="41" s="1"/>
  <c r="I231" i="41"/>
  <c r="I230" i="41" s="1"/>
  <c r="I194" i="41" s="1"/>
  <c r="L130" i="41"/>
  <c r="C69" i="41"/>
  <c r="O291" i="41"/>
  <c r="E52" i="41"/>
  <c r="E51" i="41" s="1"/>
  <c r="N75" i="41"/>
  <c r="N289" i="41" s="1"/>
  <c r="G194" i="41"/>
  <c r="O204" i="41"/>
  <c r="M289" i="41"/>
  <c r="E194" i="41"/>
  <c r="C198" i="41"/>
  <c r="L83" i="41"/>
  <c r="F291" i="41"/>
  <c r="K75" i="41"/>
  <c r="K52" i="41" s="1"/>
  <c r="K51" i="41" s="1"/>
  <c r="E289" i="41"/>
  <c r="G52" i="41"/>
  <c r="G289" i="41"/>
  <c r="C77" i="41"/>
  <c r="C252" i="41"/>
  <c r="F251" i="41"/>
  <c r="C251" i="41" s="1"/>
  <c r="C284" i="41"/>
  <c r="F283" i="41"/>
  <c r="C283" i="41" s="1"/>
  <c r="C45" i="41"/>
  <c r="F83" i="41"/>
  <c r="J51" i="41"/>
  <c r="C238" i="41"/>
  <c r="O195" i="41"/>
  <c r="C246" i="41"/>
  <c r="F174" i="41"/>
  <c r="C175" i="41"/>
  <c r="C165" i="41"/>
  <c r="C67" i="41"/>
  <c r="I292" i="41"/>
  <c r="I291" i="41" s="1"/>
  <c r="I20" i="41"/>
  <c r="C21" i="41"/>
  <c r="L292" i="41"/>
  <c r="L291" i="41" s="1"/>
  <c r="C205" i="41"/>
  <c r="F204" i="41"/>
  <c r="C204" i="41" s="1"/>
  <c r="C55" i="41"/>
  <c r="F54" i="41"/>
  <c r="O75" i="41"/>
  <c r="O52" i="41" s="1"/>
  <c r="H51" i="41"/>
  <c r="F270" i="41"/>
  <c r="C272" i="41"/>
  <c r="C216" i="41"/>
  <c r="C196" i="41"/>
  <c r="C260" i="41"/>
  <c r="F259" i="41"/>
  <c r="F130" i="41"/>
  <c r="C131" i="41"/>
  <c r="C166" i="41"/>
  <c r="C151" i="41"/>
  <c r="I83" i="41"/>
  <c r="C192" i="41"/>
  <c r="F191" i="41"/>
  <c r="L26" i="41"/>
  <c r="L20" i="41" s="1"/>
  <c r="C20" i="41" s="1"/>
  <c r="C27" i="41"/>
  <c r="C76" i="41"/>
  <c r="C78" i="40"/>
  <c r="L77" i="40"/>
  <c r="L76" i="40" s="1"/>
  <c r="I116" i="40"/>
  <c r="C119" i="40"/>
  <c r="C143" i="40"/>
  <c r="L141" i="40"/>
  <c r="C141" i="40" s="1"/>
  <c r="C192" i="40"/>
  <c r="F191" i="40"/>
  <c r="C301" i="40"/>
  <c r="K20" i="40"/>
  <c r="I21" i="40"/>
  <c r="C22" i="40"/>
  <c r="L27" i="40"/>
  <c r="C32" i="40"/>
  <c r="L31" i="40"/>
  <c r="C31" i="40" s="1"/>
  <c r="L33" i="40"/>
  <c r="C33" i="40" s="1"/>
  <c r="O45" i="40"/>
  <c r="F58" i="40"/>
  <c r="I58" i="40"/>
  <c r="I54" i="40" s="1"/>
  <c r="C59" i="40"/>
  <c r="O76" i="40"/>
  <c r="C80" i="40"/>
  <c r="O83" i="40"/>
  <c r="C91" i="40"/>
  <c r="I89" i="40"/>
  <c r="I95" i="40"/>
  <c r="C104" i="40"/>
  <c r="F103" i="40"/>
  <c r="F160" i="40"/>
  <c r="L260" i="40"/>
  <c r="C263" i="40"/>
  <c r="F264" i="40"/>
  <c r="N20" i="40"/>
  <c r="N292" i="40"/>
  <c r="N291" i="40" s="1"/>
  <c r="C56" i="40"/>
  <c r="F55" i="40"/>
  <c r="C71" i="40"/>
  <c r="I69" i="40"/>
  <c r="I67" i="40" s="1"/>
  <c r="F76" i="40"/>
  <c r="L84" i="40"/>
  <c r="C90" i="40"/>
  <c r="L89" i="40"/>
  <c r="C96" i="40"/>
  <c r="F95" i="40"/>
  <c r="C95" i="40" s="1"/>
  <c r="C115" i="40"/>
  <c r="I112" i="40"/>
  <c r="C112" i="40" s="1"/>
  <c r="F122" i="40"/>
  <c r="F131" i="40"/>
  <c r="C157" i="40"/>
  <c r="F151" i="40"/>
  <c r="C167" i="40"/>
  <c r="L166" i="40"/>
  <c r="L165" i="40" s="1"/>
  <c r="M187" i="40"/>
  <c r="C220" i="40"/>
  <c r="I216" i="40"/>
  <c r="G20" i="40"/>
  <c r="J292" i="40"/>
  <c r="J291" i="40" s="1"/>
  <c r="C43" i="40"/>
  <c r="C68" i="40"/>
  <c r="F67" i="40"/>
  <c r="C70" i="40"/>
  <c r="L69" i="40"/>
  <c r="L67" i="40" s="1"/>
  <c r="L53" i="40" s="1"/>
  <c r="G75" i="40"/>
  <c r="G52" i="40" s="1"/>
  <c r="C79" i="40"/>
  <c r="I77" i="40"/>
  <c r="H83" i="40"/>
  <c r="H75" i="40" s="1"/>
  <c r="C87" i="40"/>
  <c r="I84" i="40"/>
  <c r="C84" i="40" s="1"/>
  <c r="L103" i="40"/>
  <c r="L116" i="40"/>
  <c r="C116" i="40" s="1"/>
  <c r="N174" i="40"/>
  <c r="N173" i="40" s="1"/>
  <c r="N187" i="40"/>
  <c r="C207" i="40"/>
  <c r="L205" i="40"/>
  <c r="F292" i="40"/>
  <c r="I187" i="40"/>
  <c r="L216" i="40"/>
  <c r="C219" i="40"/>
  <c r="C248" i="40"/>
  <c r="I246" i="40"/>
  <c r="C284" i="40"/>
  <c r="F283" i="40"/>
  <c r="C283" i="40" s="1"/>
  <c r="L122" i="40"/>
  <c r="C129" i="40"/>
  <c r="N130" i="40"/>
  <c r="N75" i="40" s="1"/>
  <c r="L131" i="40"/>
  <c r="L136" i="40"/>
  <c r="C136" i="40" s="1"/>
  <c r="L144" i="40"/>
  <c r="C184" i="40"/>
  <c r="C188" i="40"/>
  <c r="M195" i="40"/>
  <c r="C200" i="40"/>
  <c r="I198" i="40"/>
  <c r="I196" i="40" s="1"/>
  <c r="O216" i="40"/>
  <c r="O204" i="40" s="1"/>
  <c r="O195" i="40" s="1"/>
  <c r="L238" i="40"/>
  <c r="L231" i="40" s="1"/>
  <c r="C241" i="40"/>
  <c r="F238" i="40"/>
  <c r="C247" i="40"/>
  <c r="L246" i="40"/>
  <c r="I131" i="40"/>
  <c r="C132" i="40"/>
  <c r="C202" i="40"/>
  <c r="F196" i="40"/>
  <c r="N230" i="40"/>
  <c r="J259" i="40"/>
  <c r="J230" i="40" s="1"/>
  <c r="J194" i="40" s="1"/>
  <c r="O270" i="40"/>
  <c r="O269" i="40" s="1"/>
  <c r="I122" i="40"/>
  <c r="J130" i="40"/>
  <c r="J75" i="40" s="1"/>
  <c r="J52" i="40" s="1"/>
  <c r="C140" i="40"/>
  <c r="C148" i="40"/>
  <c r="I151" i="40"/>
  <c r="C152" i="40"/>
  <c r="C164" i="40"/>
  <c r="C168" i="40"/>
  <c r="I166" i="40"/>
  <c r="I175" i="40"/>
  <c r="C176" i="40"/>
  <c r="I179" i="40"/>
  <c r="C179" i="40" s="1"/>
  <c r="C180" i="40"/>
  <c r="C193" i="40"/>
  <c r="N195" i="40"/>
  <c r="C199" i="40"/>
  <c r="L198" i="40"/>
  <c r="L196" i="40" s="1"/>
  <c r="E230" i="40"/>
  <c r="C254" i="40"/>
  <c r="F252" i="40"/>
  <c r="I264" i="40"/>
  <c r="I259" i="40" s="1"/>
  <c r="L264" i="40"/>
  <c r="C267" i="40"/>
  <c r="C273" i="40"/>
  <c r="F272" i="40"/>
  <c r="L270" i="40"/>
  <c r="L269" i="40" s="1"/>
  <c r="F276" i="40"/>
  <c r="C276" i="40" s="1"/>
  <c r="C279" i="40"/>
  <c r="C281" i="40"/>
  <c r="F205" i="40"/>
  <c r="H231" i="40"/>
  <c r="H230" i="40" s="1"/>
  <c r="C233" i="40"/>
  <c r="I235" i="40"/>
  <c r="C236" i="40"/>
  <c r="C240" i="40"/>
  <c r="I238" i="40"/>
  <c r="C280" i="40"/>
  <c r="C296" i="40"/>
  <c r="C197" i="40"/>
  <c r="H195" i="40"/>
  <c r="C201" i="40"/>
  <c r="C208" i="40"/>
  <c r="C209" i="40"/>
  <c r="C221" i="40"/>
  <c r="C232" i="40"/>
  <c r="D231" i="40"/>
  <c r="D230" i="40" s="1"/>
  <c r="D194" i="40" s="1"/>
  <c r="M230" i="40"/>
  <c r="C245" i="40"/>
  <c r="C249" i="40"/>
  <c r="F246" i="40"/>
  <c r="C253" i="40"/>
  <c r="O252" i="40"/>
  <c r="O251" i="40" s="1"/>
  <c r="J270" i="40"/>
  <c r="J269" i="40" s="1"/>
  <c r="C285" i="40"/>
  <c r="L286" i="40"/>
  <c r="O130" i="40" l="1"/>
  <c r="E75" i="40"/>
  <c r="E52" i="40" s="1"/>
  <c r="M52" i="40"/>
  <c r="K194" i="40"/>
  <c r="I204" i="40"/>
  <c r="C89" i="40"/>
  <c r="O54" i="40"/>
  <c r="O53" i="40" s="1"/>
  <c r="K75" i="40"/>
  <c r="K52" i="40" s="1"/>
  <c r="H194" i="40"/>
  <c r="D75" i="40"/>
  <c r="D52" i="40" s="1"/>
  <c r="D51" i="40" s="1"/>
  <c r="J289" i="41"/>
  <c r="L194" i="41"/>
  <c r="O173" i="40"/>
  <c r="K51" i="40"/>
  <c r="D290" i="41"/>
  <c r="D50" i="41"/>
  <c r="O230" i="40"/>
  <c r="O194" i="40" s="1"/>
  <c r="C216" i="40"/>
  <c r="C292" i="41"/>
  <c r="F174" i="40"/>
  <c r="F173" i="40" s="1"/>
  <c r="E194" i="40"/>
  <c r="E51" i="40" s="1"/>
  <c r="C160" i="40"/>
  <c r="C58" i="40"/>
  <c r="C259" i="41"/>
  <c r="L75" i="41"/>
  <c r="L289" i="41" s="1"/>
  <c r="L173" i="40"/>
  <c r="M289" i="40"/>
  <c r="M51" i="41"/>
  <c r="J289" i="40"/>
  <c r="I231" i="40"/>
  <c r="I230" i="40" s="1"/>
  <c r="I174" i="40"/>
  <c r="C144" i="40"/>
  <c r="G51" i="40"/>
  <c r="G290" i="40" s="1"/>
  <c r="C264" i="40"/>
  <c r="C103" i="40"/>
  <c r="C231" i="41"/>
  <c r="O289" i="41"/>
  <c r="F20" i="40"/>
  <c r="K50" i="41"/>
  <c r="K290" i="41"/>
  <c r="N52" i="41"/>
  <c r="N51" i="41" s="1"/>
  <c r="I75" i="41"/>
  <c r="I289" i="41" s="1"/>
  <c r="C291" i="41"/>
  <c r="K289" i="41"/>
  <c r="C130" i="41"/>
  <c r="G51" i="41"/>
  <c r="G50" i="41" s="1"/>
  <c r="H290" i="41"/>
  <c r="H50" i="41"/>
  <c r="J50" i="41"/>
  <c r="J290" i="41"/>
  <c r="F75" i="41"/>
  <c r="C191" i="41"/>
  <c r="F187" i="41"/>
  <c r="C187" i="41" s="1"/>
  <c r="F230" i="41"/>
  <c r="C230" i="41" s="1"/>
  <c r="C83" i="41"/>
  <c r="E290" i="41"/>
  <c r="E50" i="41"/>
  <c r="G290" i="41"/>
  <c r="O194" i="41"/>
  <c r="O51" i="41" s="1"/>
  <c r="C26" i="41"/>
  <c r="F195" i="41"/>
  <c r="F269" i="41"/>
  <c r="C270" i="41"/>
  <c r="F53" i="41"/>
  <c r="C54" i="41"/>
  <c r="C174" i="41"/>
  <c r="F173" i="41"/>
  <c r="C173" i="41" s="1"/>
  <c r="H52" i="40"/>
  <c r="H51" i="40" s="1"/>
  <c r="H289" i="40"/>
  <c r="D290" i="40"/>
  <c r="D50" i="40"/>
  <c r="N52" i="40"/>
  <c r="N289" i="40"/>
  <c r="J51" i="40"/>
  <c r="G50" i="40"/>
  <c r="K50" i="40"/>
  <c r="K290" i="40"/>
  <c r="L204" i="40"/>
  <c r="L195" i="40" s="1"/>
  <c r="C55" i="40"/>
  <c r="F54" i="40"/>
  <c r="I173" i="40"/>
  <c r="C174" i="40"/>
  <c r="F130" i="40"/>
  <c r="C131" i="40"/>
  <c r="F83" i="40"/>
  <c r="I292" i="40"/>
  <c r="I291" i="40" s="1"/>
  <c r="I20" i="40"/>
  <c r="C191" i="40"/>
  <c r="F187" i="40"/>
  <c r="C187" i="40" s="1"/>
  <c r="C235" i="40"/>
  <c r="C175" i="40"/>
  <c r="C286" i="40"/>
  <c r="C238" i="40"/>
  <c r="F231" i="40"/>
  <c r="L130" i="40"/>
  <c r="I195" i="40"/>
  <c r="I194" i="40" s="1"/>
  <c r="C122" i="40"/>
  <c r="I53" i="40"/>
  <c r="C21" i="40"/>
  <c r="C69" i="40"/>
  <c r="G289" i="40"/>
  <c r="K289" i="40"/>
  <c r="F270" i="40"/>
  <c r="C272" i="40"/>
  <c r="C166" i="40"/>
  <c r="I165" i="40"/>
  <c r="C165" i="40" s="1"/>
  <c r="C196" i="40"/>
  <c r="M194" i="40"/>
  <c r="M51" i="40" s="1"/>
  <c r="I76" i="40"/>
  <c r="C76" i="40" s="1"/>
  <c r="C77" i="40"/>
  <c r="F259" i="40"/>
  <c r="C151" i="40"/>
  <c r="L83" i="40"/>
  <c r="D289" i="40"/>
  <c r="L259" i="40"/>
  <c r="L230" i="40" s="1"/>
  <c r="C45" i="40"/>
  <c r="O20" i="40"/>
  <c r="C27" i="40"/>
  <c r="L26" i="40"/>
  <c r="C246" i="40"/>
  <c r="C205" i="40"/>
  <c r="F204" i="40"/>
  <c r="C204" i="40" s="1"/>
  <c r="C252" i="40"/>
  <c r="F251" i="40"/>
  <c r="C251" i="40" s="1"/>
  <c r="N194" i="40"/>
  <c r="C260" i="40"/>
  <c r="I130" i="40"/>
  <c r="C198" i="40"/>
  <c r="I83" i="40"/>
  <c r="C67" i="40"/>
  <c r="L292" i="40"/>
  <c r="L291" i="40" s="1"/>
  <c r="E289" i="40"/>
  <c r="O75" i="40"/>
  <c r="O289" i="40" s="1"/>
  <c r="F291" i="40"/>
  <c r="O52" i="40" l="1"/>
  <c r="F75" i="40"/>
  <c r="O51" i="40"/>
  <c r="O50" i="40" s="1"/>
  <c r="C292" i="40"/>
  <c r="M50" i="41"/>
  <c r="M290" i="41"/>
  <c r="L75" i="40"/>
  <c r="L52" i="40" s="1"/>
  <c r="L51" i="40" s="1"/>
  <c r="L50" i="40" s="1"/>
  <c r="C173" i="40"/>
  <c r="L52" i="41"/>
  <c r="L51" i="41" s="1"/>
  <c r="C291" i="40"/>
  <c r="L289" i="40"/>
  <c r="I52" i="41"/>
  <c r="I51" i="41" s="1"/>
  <c r="I50" i="41" s="1"/>
  <c r="C75" i="41"/>
  <c r="N290" i="41"/>
  <c r="N50" i="41"/>
  <c r="O50" i="41"/>
  <c r="O290" i="41"/>
  <c r="C269" i="41"/>
  <c r="F289" i="41"/>
  <c r="C289" i="41" s="1"/>
  <c r="F194" i="41"/>
  <c r="C194" i="41" s="1"/>
  <c r="C195" i="41"/>
  <c r="F52" i="41"/>
  <c r="C53" i="41"/>
  <c r="I290" i="41"/>
  <c r="M50" i="40"/>
  <c r="M290" i="40"/>
  <c r="L194" i="40"/>
  <c r="C259" i="40"/>
  <c r="F195" i="40"/>
  <c r="N51" i="40"/>
  <c r="H290" i="40"/>
  <c r="H50" i="40"/>
  <c r="L20" i="40"/>
  <c r="C20" i="40" s="1"/>
  <c r="C26" i="40"/>
  <c r="O290" i="40"/>
  <c r="I75" i="40"/>
  <c r="I289" i="40" s="1"/>
  <c r="F53" i="40"/>
  <c r="C54" i="40"/>
  <c r="J50" i="40"/>
  <c r="J290" i="40"/>
  <c r="F230" i="40"/>
  <c r="C230" i="40" s="1"/>
  <c r="C231" i="40"/>
  <c r="C130" i="40"/>
  <c r="E290" i="40"/>
  <c r="E50" i="40"/>
  <c r="F269" i="40"/>
  <c r="C270" i="40"/>
  <c r="C83" i="40"/>
  <c r="L50" i="41" l="1"/>
  <c r="L290" i="41"/>
  <c r="C52" i="41"/>
  <c r="F51" i="41"/>
  <c r="C269" i="40"/>
  <c r="F289" i="40"/>
  <c r="C289" i="40" s="1"/>
  <c r="F52" i="40"/>
  <c r="C53" i="40"/>
  <c r="N50" i="40"/>
  <c r="N290" i="40"/>
  <c r="I52" i="40"/>
  <c r="I51" i="40" s="1"/>
  <c r="L290" i="40"/>
  <c r="F194" i="40"/>
  <c r="C194" i="40" s="1"/>
  <c r="C195" i="40"/>
  <c r="C75" i="40"/>
  <c r="F290" i="41" l="1"/>
  <c r="C290" i="41" s="1"/>
  <c r="C51" i="41"/>
  <c r="F50" i="41"/>
  <c r="C50" i="41" s="1"/>
  <c r="I290" i="40"/>
  <c r="I50" i="40"/>
  <c r="C52" i="40"/>
  <c r="F51" i="40"/>
  <c r="F290" i="40" l="1"/>
  <c r="C290" i="40" s="1"/>
  <c r="C51" i="40"/>
  <c r="F50" i="40"/>
  <c r="C50" i="40" s="1"/>
  <c r="O301" i="39" l="1"/>
  <c r="L301" i="39"/>
  <c r="I301" i="39"/>
  <c r="F301" i="39"/>
  <c r="O300" i="39"/>
  <c r="L300" i="39"/>
  <c r="I300" i="39"/>
  <c r="F300" i="39"/>
  <c r="O299" i="39"/>
  <c r="L299" i="39"/>
  <c r="I299" i="39"/>
  <c r="F299" i="39"/>
  <c r="C299" i="39" s="1"/>
  <c r="O298" i="39"/>
  <c r="L298" i="39"/>
  <c r="I298" i="39"/>
  <c r="F298" i="39"/>
  <c r="C298" i="39" s="1"/>
  <c r="O297" i="39"/>
  <c r="L297" i="39"/>
  <c r="I297" i="39"/>
  <c r="F297" i="39"/>
  <c r="O296" i="39"/>
  <c r="L296" i="39"/>
  <c r="I296" i="39"/>
  <c r="F296" i="39"/>
  <c r="O295" i="39"/>
  <c r="L295" i="39"/>
  <c r="I295" i="39"/>
  <c r="F295" i="39"/>
  <c r="O294" i="39"/>
  <c r="O293" i="39" s="1"/>
  <c r="L294" i="39"/>
  <c r="I294" i="39"/>
  <c r="I293" i="39" s="1"/>
  <c r="F294" i="39"/>
  <c r="N293" i="39"/>
  <c r="M293" i="39"/>
  <c r="K293" i="39"/>
  <c r="J293" i="39"/>
  <c r="H293" i="39"/>
  <c r="G293" i="39"/>
  <c r="E293" i="39"/>
  <c r="D293" i="39"/>
  <c r="O288" i="39"/>
  <c r="L288" i="39"/>
  <c r="I288" i="39"/>
  <c r="F288" i="39"/>
  <c r="O287" i="39"/>
  <c r="L287" i="39"/>
  <c r="L286" i="39" s="1"/>
  <c r="I287" i="39"/>
  <c r="F287" i="39"/>
  <c r="F286" i="39" s="1"/>
  <c r="O286" i="39"/>
  <c r="N286" i="39"/>
  <c r="M286" i="39"/>
  <c r="K286" i="39"/>
  <c r="J286" i="39"/>
  <c r="H286" i="39"/>
  <c r="G286" i="39"/>
  <c r="E286" i="39"/>
  <c r="D286" i="39"/>
  <c r="O285" i="39"/>
  <c r="O284" i="39" s="1"/>
  <c r="O283" i="39" s="1"/>
  <c r="L285" i="39"/>
  <c r="L284" i="39" s="1"/>
  <c r="L283" i="39" s="1"/>
  <c r="I285" i="39"/>
  <c r="F285" i="39"/>
  <c r="N284" i="39"/>
  <c r="M284" i="39"/>
  <c r="M283" i="39" s="1"/>
  <c r="K284" i="39"/>
  <c r="K283" i="39" s="1"/>
  <c r="J284" i="39"/>
  <c r="J283" i="39" s="1"/>
  <c r="I284" i="39"/>
  <c r="I283" i="39" s="1"/>
  <c r="H284" i="39"/>
  <c r="G284" i="39"/>
  <c r="G283" i="39" s="1"/>
  <c r="E284" i="39"/>
  <c r="E283" i="39" s="1"/>
  <c r="D284" i="39"/>
  <c r="N283" i="39"/>
  <c r="H283" i="39"/>
  <c r="D283" i="39"/>
  <c r="O282" i="39"/>
  <c r="O281" i="39" s="1"/>
  <c r="L282" i="39"/>
  <c r="L281" i="39" s="1"/>
  <c r="I282" i="39"/>
  <c r="I281" i="39" s="1"/>
  <c r="F282" i="39"/>
  <c r="N281" i="39"/>
  <c r="M281" i="39"/>
  <c r="K281" i="39"/>
  <c r="J281" i="39"/>
  <c r="H281" i="39"/>
  <c r="G281" i="39"/>
  <c r="F281" i="39"/>
  <c r="E281" i="39"/>
  <c r="D281" i="39"/>
  <c r="O280" i="39"/>
  <c r="L280" i="39"/>
  <c r="I280" i="39"/>
  <c r="F280" i="39"/>
  <c r="O279" i="39"/>
  <c r="L279" i="39"/>
  <c r="I279" i="39"/>
  <c r="F279" i="39"/>
  <c r="C279" i="39" s="1"/>
  <c r="O278" i="39"/>
  <c r="L278" i="39"/>
  <c r="I278" i="39"/>
  <c r="F278" i="39"/>
  <c r="C278" i="39" s="1"/>
  <c r="O277" i="39"/>
  <c r="L277" i="39"/>
  <c r="I277" i="39"/>
  <c r="I276" i="39" s="1"/>
  <c r="F277" i="39"/>
  <c r="N276" i="39"/>
  <c r="M276" i="39"/>
  <c r="K276" i="39"/>
  <c r="J276" i="39"/>
  <c r="H276" i="39"/>
  <c r="G276" i="39"/>
  <c r="E276" i="39"/>
  <c r="D276" i="39"/>
  <c r="O275" i="39"/>
  <c r="L275" i="39"/>
  <c r="I275" i="39"/>
  <c r="F275" i="39"/>
  <c r="O274" i="39"/>
  <c r="L274" i="39"/>
  <c r="I274" i="39"/>
  <c r="F274" i="39"/>
  <c r="O273" i="39"/>
  <c r="L273" i="39"/>
  <c r="I273" i="39"/>
  <c r="I272" i="39" s="1"/>
  <c r="F273" i="39"/>
  <c r="N272" i="39"/>
  <c r="N270" i="39" s="1"/>
  <c r="N269" i="39" s="1"/>
  <c r="M272" i="39"/>
  <c r="K272" i="39"/>
  <c r="J272" i="39"/>
  <c r="H272" i="39"/>
  <c r="G272" i="39"/>
  <c r="E272" i="39"/>
  <c r="E270" i="39" s="1"/>
  <c r="E269" i="39" s="1"/>
  <c r="D272" i="39"/>
  <c r="D270" i="39" s="1"/>
  <c r="O271" i="39"/>
  <c r="L271" i="39"/>
  <c r="I271" i="39"/>
  <c r="F271" i="39"/>
  <c r="J270" i="39"/>
  <c r="H270" i="39"/>
  <c r="J269" i="39"/>
  <c r="O268" i="39"/>
  <c r="L268" i="39"/>
  <c r="I268" i="39"/>
  <c r="F268" i="39"/>
  <c r="O267" i="39"/>
  <c r="L267" i="39"/>
  <c r="I267" i="39"/>
  <c r="F267" i="39"/>
  <c r="O266" i="39"/>
  <c r="L266" i="39"/>
  <c r="I266" i="39"/>
  <c r="F266" i="39"/>
  <c r="C266" i="39" s="1"/>
  <c r="O265" i="39"/>
  <c r="L265" i="39"/>
  <c r="L264" i="39" s="1"/>
  <c r="I265" i="39"/>
  <c r="F265" i="39"/>
  <c r="N264" i="39"/>
  <c r="M264" i="39"/>
  <c r="K264" i="39"/>
  <c r="J264" i="39"/>
  <c r="H264" i="39"/>
  <c r="G264" i="39"/>
  <c r="E264" i="39"/>
  <c r="D264" i="39"/>
  <c r="O263" i="39"/>
  <c r="L263" i="39"/>
  <c r="I263" i="39"/>
  <c r="F263" i="39"/>
  <c r="O262" i="39"/>
  <c r="L262" i="39"/>
  <c r="I262" i="39"/>
  <c r="F262" i="39"/>
  <c r="C262" i="39" s="1"/>
  <c r="O261" i="39"/>
  <c r="L261" i="39"/>
  <c r="I261" i="39"/>
  <c r="F261" i="39"/>
  <c r="N260" i="39"/>
  <c r="M260" i="39"/>
  <c r="K260" i="39"/>
  <c r="J260" i="39"/>
  <c r="J259" i="39" s="1"/>
  <c r="H260" i="39"/>
  <c r="H259" i="39" s="1"/>
  <c r="G260" i="39"/>
  <c r="E260" i="39"/>
  <c r="D260" i="39"/>
  <c r="D259" i="39" s="1"/>
  <c r="N259" i="39"/>
  <c r="G259" i="39"/>
  <c r="O258" i="39"/>
  <c r="L258" i="39"/>
  <c r="I258" i="39"/>
  <c r="F258" i="39"/>
  <c r="O257" i="39"/>
  <c r="L257" i="39"/>
  <c r="I257" i="39"/>
  <c r="F257" i="39"/>
  <c r="O256" i="39"/>
  <c r="L256" i="39"/>
  <c r="I256" i="39"/>
  <c r="F256" i="39"/>
  <c r="O255" i="39"/>
  <c r="L255" i="39"/>
  <c r="I255" i="39"/>
  <c r="F255" i="39"/>
  <c r="O254" i="39"/>
  <c r="L254" i="39"/>
  <c r="I254" i="39"/>
  <c r="F254" i="39"/>
  <c r="O253" i="39"/>
  <c r="L253" i="39"/>
  <c r="I253" i="39"/>
  <c r="F253" i="39"/>
  <c r="N252" i="39"/>
  <c r="M252" i="39"/>
  <c r="M251" i="39" s="1"/>
  <c r="K252" i="39"/>
  <c r="J252" i="39"/>
  <c r="J251" i="39" s="1"/>
  <c r="H252" i="39"/>
  <c r="H251" i="39" s="1"/>
  <c r="G252" i="39"/>
  <c r="E252" i="39"/>
  <c r="E251" i="39" s="1"/>
  <c r="D252" i="39"/>
  <c r="D251" i="39" s="1"/>
  <c r="N251" i="39"/>
  <c r="K251" i="39"/>
  <c r="G251" i="39"/>
  <c r="O250" i="39"/>
  <c r="L250" i="39"/>
  <c r="I250" i="39"/>
  <c r="F250" i="39"/>
  <c r="O249" i="39"/>
  <c r="L249" i="39"/>
  <c r="I249" i="39"/>
  <c r="F249" i="39"/>
  <c r="O248" i="39"/>
  <c r="L248" i="39"/>
  <c r="I248" i="39"/>
  <c r="F248" i="39"/>
  <c r="O247" i="39"/>
  <c r="L247" i="39"/>
  <c r="I247" i="39"/>
  <c r="F247" i="39"/>
  <c r="O246" i="39"/>
  <c r="N246" i="39"/>
  <c r="M246" i="39"/>
  <c r="K246" i="39"/>
  <c r="J246" i="39"/>
  <c r="H246" i="39"/>
  <c r="G246" i="39"/>
  <c r="E246" i="39"/>
  <c r="D246" i="39"/>
  <c r="O245" i="39"/>
  <c r="L245" i="39"/>
  <c r="I245" i="39"/>
  <c r="F245" i="39"/>
  <c r="O244" i="39"/>
  <c r="L244" i="39"/>
  <c r="I244" i="39"/>
  <c r="F244" i="39"/>
  <c r="O243" i="39"/>
  <c r="L243" i="39"/>
  <c r="I243" i="39"/>
  <c r="F243" i="39"/>
  <c r="O242" i="39"/>
  <c r="L242" i="39"/>
  <c r="I242" i="39"/>
  <c r="F242" i="39"/>
  <c r="C242" i="39"/>
  <c r="O241" i="39"/>
  <c r="L241" i="39"/>
  <c r="I241" i="39"/>
  <c r="F241" i="39"/>
  <c r="O240" i="39"/>
  <c r="L240" i="39"/>
  <c r="I240" i="39"/>
  <c r="F240" i="39"/>
  <c r="O239" i="39"/>
  <c r="L239" i="39"/>
  <c r="I239" i="39"/>
  <c r="F239" i="39"/>
  <c r="N238" i="39"/>
  <c r="M238" i="39"/>
  <c r="K238" i="39"/>
  <c r="J238" i="39"/>
  <c r="H238" i="39"/>
  <c r="G238" i="39"/>
  <c r="E238" i="39"/>
  <c r="D238" i="39"/>
  <c r="O237" i="39"/>
  <c r="L237" i="39"/>
  <c r="I237" i="39"/>
  <c r="F237" i="39"/>
  <c r="O236" i="39"/>
  <c r="L236" i="39"/>
  <c r="I236" i="39"/>
  <c r="F236" i="39"/>
  <c r="O235" i="39"/>
  <c r="N235" i="39"/>
  <c r="M235" i="39"/>
  <c r="L235" i="39"/>
  <c r="K235" i="39"/>
  <c r="J235" i="39"/>
  <c r="H235" i="39"/>
  <c r="G235" i="39"/>
  <c r="E235" i="39"/>
  <c r="D235" i="39"/>
  <c r="O234" i="39"/>
  <c r="O233" i="39" s="1"/>
  <c r="L234" i="39"/>
  <c r="I234" i="39"/>
  <c r="F234" i="39"/>
  <c r="N233" i="39"/>
  <c r="N231" i="39" s="1"/>
  <c r="N230" i="39" s="1"/>
  <c r="M233" i="39"/>
  <c r="K233" i="39"/>
  <c r="J233" i="39"/>
  <c r="J231" i="39" s="1"/>
  <c r="I233" i="39"/>
  <c r="H233" i="39"/>
  <c r="G233" i="39"/>
  <c r="F233" i="39"/>
  <c r="E233" i="39"/>
  <c r="D233" i="39"/>
  <c r="O232" i="39"/>
  <c r="L232" i="39"/>
  <c r="I232" i="39"/>
  <c r="F232" i="39"/>
  <c r="M231" i="39"/>
  <c r="O229" i="39"/>
  <c r="L229" i="39"/>
  <c r="I229" i="39"/>
  <c r="F229" i="39"/>
  <c r="O228" i="39"/>
  <c r="L228" i="39"/>
  <c r="L227" i="39" s="1"/>
  <c r="I228" i="39"/>
  <c r="F228" i="39"/>
  <c r="O227" i="39"/>
  <c r="N227" i="39"/>
  <c r="M227" i="39"/>
  <c r="K227" i="39"/>
  <c r="J227" i="39"/>
  <c r="H227" i="39"/>
  <c r="G227" i="39"/>
  <c r="F227" i="39"/>
  <c r="E227" i="39"/>
  <c r="D227" i="39"/>
  <c r="O226" i="39"/>
  <c r="L226" i="39"/>
  <c r="I226" i="39"/>
  <c r="F226" i="39"/>
  <c r="O225" i="39"/>
  <c r="L225" i="39"/>
  <c r="I225" i="39"/>
  <c r="F225" i="39"/>
  <c r="O224" i="39"/>
  <c r="L224" i="39"/>
  <c r="I224" i="39"/>
  <c r="F224" i="39"/>
  <c r="O223" i="39"/>
  <c r="L223" i="39"/>
  <c r="I223" i="39"/>
  <c r="F223" i="39"/>
  <c r="O222" i="39"/>
  <c r="L222" i="39"/>
  <c r="I222" i="39"/>
  <c r="F222" i="39"/>
  <c r="C222" i="39" s="1"/>
  <c r="O221" i="39"/>
  <c r="L221" i="39"/>
  <c r="I221" i="39"/>
  <c r="F221" i="39"/>
  <c r="O220" i="39"/>
  <c r="L220" i="39"/>
  <c r="I220" i="39"/>
  <c r="F220" i="39"/>
  <c r="O219" i="39"/>
  <c r="L219" i="39"/>
  <c r="I219" i="39"/>
  <c r="F219" i="39"/>
  <c r="O218" i="39"/>
  <c r="L218" i="39"/>
  <c r="I218" i="39"/>
  <c r="F218" i="39"/>
  <c r="O217" i="39"/>
  <c r="L217" i="39"/>
  <c r="I217" i="39"/>
  <c r="F217" i="39"/>
  <c r="N216" i="39"/>
  <c r="M216" i="39"/>
  <c r="K216" i="39"/>
  <c r="J216" i="39"/>
  <c r="H216" i="39"/>
  <c r="G216" i="39"/>
  <c r="E216" i="39"/>
  <c r="D216" i="39"/>
  <c r="O215" i="39"/>
  <c r="L215" i="39"/>
  <c r="I215" i="39"/>
  <c r="F215" i="39"/>
  <c r="O214" i="39"/>
  <c r="L214" i="39"/>
  <c r="I214" i="39"/>
  <c r="F214" i="39"/>
  <c r="O213" i="39"/>
  <c r="L213" i="39"/>
  <c r="I213" i="39"/>
  <c r="F213" i="39"/>
  <c r="O212" i="39"/>
  <c r="L212" i="39"/>
  <c r="I212" i="39"/>
  <c r="F212" i="39"/>
  <c r="O211" i="39"/>
  <c r="L211" i="39"/>
  <c r="C211" i="39" s="1"/>
  <c r="I211" i="39"/>
  <c r="F211" i="39"/>
  <c r="O210" i="39"/>
  <c r="L210" i="39"/>
  <c r="C210" i="39" s="1"/>
  <c r="I210" i="39"/>
  <c r="F210" i="39"/>
  <c r="O209" i="39"/>
  <c r="L209" i="39"/>
  <c r="I209" i="39"/>
  <c r="F209" i="39"/>
  <c r="O208" i="39"/>
  <c r="L208" i="39"/>
  <c r="I208" i="39"/>
  <c r="F208" i="39"/>
  <c r="O207" i="39"/>
  <c r="L207" i="39"/>
  <c r="I207" i="39"/>
  <c r="F207" i="39"/>
  <c r="O206" i="39"/>
  <c r="L206" i="39"/>
  <c r="I206" i="39"/>
  <c r="C206" i="39" s="1"/>
  <c r="F206" i="39"/>
  <c r="N205" i="39"/>
  <c r="M205" i="39"/>
  <c r="K205" i="39"/>
  <c r="K204" i="39" s="1"/>
  <c r="J205" i="39"/>
  <c r="H205" i="39"/>
  <c r="H204" i="39" s="1"/>
  <c r="G205" i="39"/>
  <c r="E205" i="39"/>
  <c r="E204" i="39" s="1"/>
  <c r="D205" i="39"/>
  <c r="D204" i="39" s="1"/>
  <c r="O203" i="39"/>
  <c r="L203" i="39"/>
  <c r="I203" i="39"/>
  <c r="F203" i="39"/>
  <c r="O202" i="39"/>
  <c r="L202" i="39"/>
  <c r="I202" i="39"/>
  <c r="F202" i="39"/>
  <c r="C202" i="39"/>
  <c r="O201" i="39"/>
  <c r="L201" i="39"/>
  <c r="I201" i="39"/>
  <c r="F201" i="39"/>
  <c r="C201" i="39" s="1"/>
  <c r="O200" i="39"/>
  <c r="L200" i="39"/>
  <c r="I200" i="39"/>
  <c r="F200" i="39"/>
  <c r="O199" i="39"/>
  <c r="L199" i="39"/>
  <c r="L198" i="39" s="1"/>
  <c r="I199" i="39"/>
  <c r="F199" i="39"/>
  <c r="F198" i="39" s="1"/>
  <c r="O198" i="39"/>
  <c r="N198" i="39"/>
  <c r="M198" i="39"/>
  <c r="K198" i="39"/>
  <c r="K196" i="39" s="1"/>
  <c r="J198" i="39"/>
  <c r="H198" i="39"/>
  <c r="G198" i="39"/>
  <c r="G196" i="39" s="1"/>
  <c r="E198" i="39"/>
  <c r="E196" i="39" s="1"/>
  <c r="D198" i="39"/>
  <c r="O197" i="39"/>
  <c r="L197" i="39"/>
  <c r="I197" i="39"/>
  <c r="F197" i="39"/>
  <c r="N196" i="39"/>
  <c r="M196" i="39"/>
  <c r="J196" i="39"/>
  <c r="H196" i="39"/>
  <c r="D196" i="39"/>
  <c r="O193" i="39"/>
  <c r="L193" i="39"/>
  <c r="L192" i="39" s="1"/>
  <c r="L191" i="39" s="1"/>
  <c r="I193" i="39"/>
  <c r="I192" i="39" s="1"/>
  <c r="I191" i="39" s="1"/>
  <c r="F193" i="39"/>
  <c r="F192" i="39" s="1"/>
  <c r="F191" i="39" s="1"/>
  <c r="O192" i="39"/>
  <c r="N192" i="39"/>
  <c r="N191" i="39" s="1"/>
  <c r="M192" i="39"/>
  <c r="K192" i="39"/>
  <c r="K191" i="39" s="1"/>
  <c r="J192" i="39"/>
  <c r="H192" i="39"/>
  <c r="H191" i="39" s="1"/>
  <c r="G192" i="39"/>
  <c r="G191" i="39" s="1"/>
  <c r="E192" i="39"/>
  <c r="E191" i="39" s="1"/>
  <c r="D192" i="39"/>
  <c r="O191" i="39"/>
  <c r="M191" i="39"/>
  <c r="J191" i="39"/>
  <c r="D191" i="39"/>
  <c r="O190" i="39"/>
  <c r="L190" i="39"/>
  <c r="I190" i="39"/>
  <c r="F190" i="39"/>
  <c r="O189" i="39"/>
  <c r="L189" i="39"/>
  <c r="L188" i="39" s="1"/>
  <c r="I189" i="39"/>
  <c r="I188" i="39" s="1"/>
  <c r="F189" i="39"/>
  <c r="N188" i="39"/>
  <c r="M188" i="39"/>
  <c r="K188" i="39"/>
  <c r="K187" i="39" s="1"/>
  <c r="J188" i="39"/>
  <c r="H188" i="39"/>
  <c r="G188" i="39"/>
  <c r="G187" i="39" s="1"/>
  <c r="E188" i="39"/>
  <c r="D188" i="39"/>
  <c r="D187" i="39" s="1"/>
  <c r="J187" i="39"/>
  <c r="O186" i="39"/>
  <c r="L186" i="39"/>
  <c r="I186" i="39"/>
  <c r="F186" i="39"/>
  <c r="O185" i="39"/>
  <c r="L185" i="39"/>
  <c r="L184" i="39" s="1"/>
  <c r="I185" i="39"/>
  <c r="F185" i="39"/>
  <c r="N184" i="39"/>
  <c r="M184" i="39"/>
  <c r="K184" i="39"/>
  <c r="J184" i="39"/>
  <c r="H184" i="39"/>
  <c r="G184" i="39"/>
  <c r="E184" i="39"/>
  <c r="D184" i="39"/>
  <c r="O183" i="39"/>
  <c r="L183" i="39"/>
  <c r="I183" i="39"/>
  <c r="F183" i="39"/>
  <c r="O182" i="39"/>
  <c r="L182" i="39"/>
  <c r="I182" i="39"/>
  <c r="F182" i="39"/>
  <c r="C182" i="39" s="1"/>
  <c r="O181" i="39"/>
  <c r="L181" i="39"/>
  <c r="I181" i="39"/>
  <c r="F181" i="39"/>
  <c r="O180" i="39"/>
  <c r="L180" i="39"/>
  <c r="I180" i="39"/>
  <c r="F180" i="39"/>
  <c r="N179" i="39"/>
  <c r="M179" i="39"/>
  <c r="K179" i="39"/>
  <c r="J179" i="39"/>
  <c r="H179" i="39"/>
  <c r="G179" i="39"/>
  <c r="E179" i="39"/>
  <c r="D179" i="39"/>
  <c r="O178" i="39"/>
  <c r="L178" i="39"/>
  <c r="I178" i="39"/>
  <c r="F178" i="39"/>
  <c r="O177" i="39"/>
  <c r="L177" i="39"/>
  <c r="I177" i="39"/>
  <c r="F177" i="39"/>
  <c r="O176" i="39"/>
  <c r="L176" i="39"/>
  <c r="L175" i="39" s="1"/>
  <c r="I176" i="39"/>
  <c r="F176" i="39"/>
  <c r="N175" i="39"/>
  <c r="N174" i="39" s="1"/>
  <c r="N173" i="39" s="1"/>
  <c r="M175" i="39"/>
  <c r="M174" i="39" s="1"/>
  <c r="M173" i="39" s="1"/>
  <c r="K175" i="39"/>
  <c r="J175" i="39"/>
  <c r="H175" i="39"/>
  <c r="H174" i="39" s="1"/>
  <c r="H173" i="39" s="1"/>
  <c r="G175" i="39"/>
  <c r="F175" i="39"/>
  <c r="E175" i="39"/>
  <c r="D175" i="39"/>
  <c r="D174" i="39" s="1"/>
  <c r="D173" i="39" s="1"/>
  <c r="G174" i="39"/>
  <c r="G173" i="39" s="1"/>
  <c r="E174" i="39"/>
  <c r="O172" i="39"/>
  <c r="L172" i="39"/>
  <c r="I172" i="39"/>
  <c r="F172" i="39"/>
  <c r="O171" i="39"/>
  <c r="L171" i="39"/>
  <c r="I171" i="39"/>
  <c r="F171" i="39"/>
  <c r="O170" i="39"/>
  <c r="L170" i="39"/>
  <c r="C170" i="39" s="1"/>
  <c r="I170" i="39"/>
  <c r="F170" i="39"/>
  <c r="O169" i="39"/>
  <c r="L169" i="39"/>
  <c r="I169" i="39"/>
  <c r="F169" i="39"/>
  <c r="O168" i="39"/>
  <c r="L168" i="39"/>
  <c r="I168" i="39"/>
  <c r="F168" i="39"/>
  <c r="O167" i="39"/>
  <c r="L167" i="39"/>
  <c r="I167" i="39"/>
  <c r="F167" i="39"/>
  <c r="F166" i="39" s="1"/>
  <c r="F165" i="39" s="1"/>
  <c r="N166" i="39"/>
  <c r="M166" i="39"/>
  <c r="M165" i="39" s="1"/>
  <c r="K166" i="39"/>
  <c r="K165" i="39" s="1"/>
  <c r="J166" i="39"/>
  <c r="J165" i="39" s="1"/>
  <c r="H166" i="39"/>
  <c r="H165" i="39" s="1"/>
  <c r="G166" i="39"/>
  <c r="G165" i="39" s="1"/>
  <c r="E166" i="39"/>
  <c r="E165" i="39" s="1"/>
  <c r="D166" i="39"/>
  <c r="N165" i="39"/>
  <c r="D165" i="39"/>
  <c r="O164" i="39"/>
  <c r="L164" i="39"/>
  <c r="I164" i="39"/>
  <c r="F164" i="39"/>
  <c r="O163" i="39"/>
  <c r="L163" i="39"/>
  <c r="I163" i="39"/>
  <c r="F163" i="39"/>
  <c r="O162" i="39"/>
  <c r="L162" i="39"/>
  <c r="I162" i="39"/>
  <c r="F162" i="39"/>
  <c r="C162" i="39" s="1"/>
  <c r="O161" i="39"/>
  <c r="L161" i="39"/>
  <c r="L160" i="39" s="1"/>
  <c r="I161" i="39"/>
  <c r="I160" i="39" s="1"/>
  <c r="F161" i="39"/>
  <c r="N160" i="39"/>
  <c r="M160" i="39"/>
  <c r="K160" i="39"/>
  <c r="J160" i="39"/>
  <c r="H160" i="39"/>
  <c r="G160" i="39"/>
  <c r="E160" i="39"/>
  <c r="D160" i="39"/>
  <c r="O159" i="39"/>
  <c r="L159" i="39"/>
  <c r="I159" i="39"/>
  <c r="F159" i="39"/>
  <c r="O158" i="39"/>
  <c r="L158" i="39"/>
  <c r="C158" i="39" s="1"/>
  <c r="I158" i="39"/>
  <c r="F158" i="39"/>
  <c r="O157" i="39"/>
  <c r="L157" i="39"/>
  <c r="I157" i="39"/>
  <c r="F157" i="39"/>
  <c r="O156" i="39"/>
  <c r="L156" i="39"/>
  <c r="I156" i="39"/>
  <c r="F156" i="39"/>
  <c r="O155" i="39"/>
  <c r="L155" i="39"/>
  <c r="I155" i="39"/>
  <c r="F155" i="39"/>
  <c r="O154" i="39"/>
  <c r="L154" i="39"/>
  <c r="I154" i="39"/>
  <c r="F154" i="39"/>
  <c r="C154" i="39" s="1"/>
  <c r="O153" i="39"/>
  <c r="L153" i="39"/>
  <c r="I153" i="39"/>
  <c r="F153" i="39"/>
  <c r="O152" i="39"/>
  <c r="L152" i="39"/>
  <c r="I152" i="39"/>
  <c r="F152" i="39"/>
  <c r="F151" i="39" s="1"/>
  <c r="N151" i="39"/>
  <c r="M151" i="39"/>
  <c r="K151" i="39"/>
  <c r="J151" i="39"/>
  <c r="H151" i="39"/>
  <c r="G151" i="39"/>
  <c r="E151" i="39"/>
  <c r="D151" i="39"/>
  <c r="O150" i="39"/>
  <c r="L150" i="39"/>
  <c r="I150" i="39"/>
  <c r="F150" i="39"/>
  <c r="O149" i="39"/>
  <c r="L149" i="39"/>
  <c r="I149" i="39"/>
  <c r="F149" i="39"/>
  <c r="O148" i="39"/>
  <c r="L148" i="39"/>
  <c r="I148" i="39"/>
  <c r="F148" i="39"/>
  <c r="O147" i="39"/>
  <c r="L147" i="39"/>
  <c r="I147" i="39"/>
  <c r="F147" i="39"/>
  <c r="O146" i="39"/>
  <c r="L146" i="39"/>
  <c r="I146" i="39"/>
  <c r="F146" i="39"/>
  <c r="O145" i="39"/>
  <c r="L145" i="39"/>
  <c r="I145" i="39"/>
  <c r="F145" i="39"/>
  <c r="N144" i="39"/>
  <c r="M144" i="39"/>
  <c r="K144" i="39"/>
  <c r="J144" i="39"/>
  <c r="H144" i="39"/>
  <c r="G144" i="39"/>
  <c r="E144" i="39"/>
  <c r="D144" i="39"/>
  <c r="O143" i="39"/>
  <c r="L143" i="39"/>
  <c r="I143" i="39"/>
  <c r="F143" i="39"/>
  <c r="O142" i="39"/>
  <c r="O141" i="39" s="1"/>
  <c r="L142" i="39"/>
  <c r="I142" i="39"/>
  <c r="I141" i="39" s="1"/>
  <c r="F142" i="39"/>
  <c r="C142" i="39"/>
  <c r="N141" i="39"/>
  <c r="M141" i="39"/>
  <c r="K141" i="39"/>
  <c r="J141" i="39"/>
  <c r="H141" i="39"/>
  <c r="G141" i="39"/>
  <c r="F141" i="39"/>
  <c r="E141" i="39"/>
  <c r="D141" i="39"/>
  <c r="O140" i="39"/>
  <c r="L140" i="39"/>
  <c r="I140" i="39"/>
  <c r="C140" i="39" s="1"/>
  <c r="F140" i="39"/>
  <c r="O139" i="39"/>
  <c r="L139" i="39"/>
  <c r="I139" i="39"/>
  <c r="F139" i="39"/>
  <c r="O138" i="39"/>
  <c r="L138" i="39"/>
  <c r="I138" i="39"/>
  <c r="C138" i="39" s="1"/>
  <c r="F138" i="39"/>
  <c r="O137" i="39"/>
  <c r="L137" i="39"/>
  <c r="I137" i="39"/>
  <c r="F137" i="39"/>
  <c r="N136" i="39"/>
  <c r="M136" i="39"/>
  <c r="K136" i="39"/>
  <c r="J136" i="39"/>
  <c r="H136" i="39"/>
  <c r="G136" i="39"/>
  <c r="E136" i="39"/>
  <c r="D136" i="39"/>
  <c r="O135" i="39"/>
  <c r="L135" i="39"/>
  <c r="I135" i="39"/>
  <c r="F135" i="39"/>
  <c r="O134" i="39"/>
  <c r="L134" i="39"/>
  <c r="I134" i="39"/>
  <c r="F134" i="39"/>
  <c r="C134" i="39" s="1"/>
  <c r="O133" i="39"/>
  <c r="L133" i="39"/>
  <c r="I133" i="39"/>
  <c r="F133" i="39"/>
  <c r="O132" i="39"/>
  <c r="L132" i="39"/>
  <c r="I132" i="39"/>
  <c r="F132" i="39"/>
  <c r="F131" i="39" s="1"/>
  <c r="N131" i="39"/>
  <c r="M131" i="39"/>
  <c r="K131" i="39"/>
  <c r="K130" i="39" s="1"/>
  <c r="J131" i="39"/>
  <c r="J130" i="39" s="1"/>
  <c r="H131" i="39"/>
  <c r="G131" i="39"/>
  <c r="E131" i="39"/>
  <c r="D131" i="39"/>
  <c r="O129" i="39"/>
  <c r="L129" i="39"/>
  <c r="L128" i="39" s="1"/>
  <c r="I129" i="39"/>
  <c r="I128" i="39" s="1"/>
  <c r="F129" i="39"/>
  <c r="O128" i="39"/>
  <c r="N128" i="39"/>
  <c r="M128" i="39"/>
  <c r="K128" i="39"/>
  <c r="J128" i="39"/>
  <c r="H128" i="39"/>
  <c r="G128" i="39"/>
  <c r="E128" i="39"/>
  <c r="D128" i="39"/>
  <c r="O127" i="39"/>
  <c r="L127" i="39"/>
  <c r="I127" i="39"/>
  <c r="F127" i="39"/>
  <c r="O126" i="39"/>
  <c r="L126" i="39"/>
  <c r="I126" i="39"/>
  <c r="F126" i="39"/>
  <c r="O125" i="39"/>
  <c r="L125" i="39"/>
  <c r="I125" i="39"/>
  <c r="F125" i="39"/>
  <c r="O124" i="39"/>
  <c r="L124" i="39"/>
  <c r="I124" i="39"/>
  <c r="F124" i="39"/>
  <c r="O123" i="39"/>
  <c r="L123" i="39"/>
  <c r="I123" i="39"/>
  <c r="F123" i="39"/>
  <c r="F122" i="39" s="1"/>
  <c r="N122" i="39"/>
  <c r="M122" i="39"/>
  <c r="K122" i="39"/>
  <c r="J122" i="39"/>
  <c r="H122" i="39"/>
  <c r="G122" i="39"/>
  <c r="E122" i="39"/>
  <c r="D122" i="39"/>
  <c r="O121" i="39"/>
  <c r="L121" i="39"/>
  <c r="I121" i="39"/>
  <c r="F121" i="39"/>
  <c r="O120" i="39"/>
  <c r="L120" i="39"/>
  <c r="I120" i="39"/>
  <c r="F120" i="39"/>
  <c r="O119" i="39"/>
  <c r="L119" i="39"/>
  <c r="I119" i="39"/>
  <c r="F119" i="39"/>
  <c r="O118" i="39"/>
  <c r="L118" i="39"/>
  <c r="I118" i="39"/>
  <c r="F118" i="39"/>
  <c r="O117" i="39"/>
  <c r="L117" i="39"/>
  <c r="I117" i="39"/>
  <c r="F117" i="39"/>
  <c r="N116" i="39"/>
  <c r="M116" i="39"/>
  <c r="K116" i="39"/>
  <c r="J116" i="39"/>
  <c r="I116" i="39"/>
  <c r="H116" i="39"/>
  <c r="G116" i="39"/>
  <c r="E116" i="39"/>
  <c r="D116" i="39"/>
  <c r="O115" i="39"/>
  <c r="L115" i="39"/>
  <c r="I115" i="39"/>
  <c r="F115" i="39"/>
  <c r="O114" i="39"/>
  <c r="L114" i="39"/>
  <c r="I114" i="39"/>
  <c r="F114" i="39"/>
  <c r="C114" i="39" s="1"/>
  <c r="O113" i="39"/>
  <c r="L113" i="39"/>
  <c r="L112" i="39" s="1"/>
  <c r="I113" i="39"/>
  <c r="I112" i="39" s="1"/>
  <c r="F113" i="39"/>
  <c r="N112" i="39"/>
  <c r="M112" i="39"/>
  <c r="K112" i="39"/>
  <c r="J112" i="39"/>
  <c r="H112" i="39"/>
  <c r="G112" i="39"/>
  <c r="E112" i="39"/>
  <c r="D112" i="39"/>
  <c r="O111" i="39"/>
  <c r="L111" i="39"/>
  <c r="I111" i="39"/>
  <c r="F111" i="39"/>
  <c r="O110" i="39"/>
  <c r="L110" i="39"/>
  <c r="I110" i="39"/>
  <c r="F110" i="39"/>
  <c r="O109" i="39"/>
  <c r="L109" i="39"/>
  <c r="I109" i="39"/>
  <c r="F109" i="39"/>
  <c r="O108" i="39"/>
  <c r="L108" i="39"/>
  <c r="I108" i="39"/>
  <c r="F108" i="39"/>
  <c r="O107" i="39"/>
  <c r="L107" i="39"/>
  <c r="I107" i="39"/>
  <c r="F107" i="39"/>
  <c r="O106" i="39"/>
  <c r="L106" i="39"/>
  <c r="I106" i="39"/>
  <c r="F106" i="39"/>
  <c r="C106" i="39" s="1"/>
  <c r="O105" i="39"/>
  <c r="L105" i="39"/>
  <c r="I105" i="39"/>
  <c r="F105" i="39"/>
  <c r="O104" i="39"/>
  <c r="L104" i="39"/>
  <c r="I104" i="39"/>
  <c r="F104" i="39"/>
  <c r="N103" i="39"/>
  <c r="M103" i="39"/>
  <c r="K103" i="39"/>
  <c r="J103" i="39"/>
  <c r="H103" i="39"/>
  <c r="G103" i="39"/>
  <c r="E103" i="39"/>
  <c r="D103" i="39"/>
  <c r="O102" i="39"/>
  <c r="L102" i="39"/>
  <c r="I102" i="39"/>
  <c r="F102" i="39"/>
  <c r="O101" i="39"/>
  <c r="L101" i="39"/>
  <c r="I101" i="39"/>
  <c r="F101" i="39"/>
  <c r="O100" i="39"/>
  <c r="L100" i="39"/>
  <c r="I100" i="39"/>
  <c r="F100" i="39"/>
  <c r="O99" i="39"/>
  <c r="L99" i="39"/>
  <c r="I99" i="39"/>
  <c r="F99" i="39"/>
  <c r="O98" i="39"/>
  <c r="L98" i="39"/>
  <c r="I98" i="39"/>
  <c r="F98" i="39"/>
  <c r="O97" i="39"/>
  <c r="L97" i="39"/>
  <c r="I97" i="39"/>
  <c r="F97" i="39"/>
  <c r="O96" i="39"/>
  <c r="L96" i="39"/>
  <c r="I96" i="39"/>
  <c r="F96" i="39"/>
  <c r="N95" i="39"/>
  <c r="M95" i="39"/>
  <c r="K95" i="39"/>
  <c r="J95" i="39"/>
  <c r="H95" i="39"/>
  <c r="G95" i="39"/>
  <c r="E95" i="39"/>
  <c r="D95" i="39"/>
  <c r="O94" i="39"/>
  <c r="L94" i="39"/>
  <c r="I94" i="39"/>
  <c r="F94" i="39"/>
  <c r="C94" i="39" s="1"/>
  <c r="O93" i="39"/>
  <c r="L93" i="39"/>
  <c r="I93" i="39"/>
  <c r="F93" i="39"/>
  <c r="O92" i="39"/>
  <c r="L92" i="39"/>
  <c r="I92" i="39"/>
  <c r="F92" i="39"/>
  <c r="O91" i="39"/>
  <c r="L91" i="39"/>
  <c r="I91" i="39"/>
  <c r="F91" i="39"/>
  <c r="O90" i="39"/>
  <c r="L90" i="39"/>
  <c r="I90" i="39"/>
  <c r="F90" i="39"/>
  <c r="N89" i="39"/>
  <c r="M89" i="39"/>
  <c r="K89" i="39"/>
  <c r="J89" i="39"/>
  <c r="H89" i="39"/>
  <c r="G89" i="39"/>
  <c r="E89" i="39"/>
  <c r="D89" i="39"/>
  <c r="O88" i="39"/>
  <c r="L88" i="39"/>
  <c r="I88" i="39"/>
  <c r="F88" i="39"/>
  <c r="O87" i="39"/>
  <c r="L87" i="39"/>
  <c r="I87" i="39"/>
  <c r="F87" i="39"/>
  <c r="O86" i="39"/>
  <c r="L86" i="39"/>
  <c r="I86" i="39"/>
  <c r="F86" i="39"/>
  <c r="O85" i="39"/>
  <c r="O84" i="39" s="1"/>
  <c r="L85" i="39"/>
  <c r="L84" i="39" s="1"/>
  <c r="I85" i="39"/>
  <c r="I84" i="39" s="1"/>
  <c r="F85" i="39"/>
  <c r="N84" i="39"/>
  <c r="M84" i="39"/>
  <c r="K84" i="39"/>
  <c r="J84" i="39"/>
  <c r="H84" i="39"/>
  <c r="G84" i="39"/>
  <c r="G83" i="39" s="1"/>
  <c r="F84" i="39"/>
  <c r="E84" i="39"/>
  <c r="D84" i="39"/>
  <c r="K83" i="39"/>
  <c r="O82" i="39"/>
  <c r="L82" i="39"/>
  <c r="I82" i="39"/>
  <c r="F82" i="39"/>
  <c r="O81" i="39"/>
  <c r="O80" i="39" s="1"/>
  <c r="L81" i="39"/>
  <c r="I81" i="39"/>
  <c r="I80" i="39" s="1"/>
  <c r="F81" i="39"/>
  <c r="N80" i="39"/>
  <c r="M80" i="39"/>
  <c r="L80" i="39"/>
  <c r="K80" i="39"/>
  <c r="J80" i="39"/>
  <c r="H80" i="39"/>
  <c r="G80" i="39"/>
  <c r="F80" i="39"/>
  <c r="E80" i="39"/>
  <c r="D80" i="39"/>
  <c r="O79" i="39"/>
  <c r="L79" i="39"/>
  <c r="I79" i="39"/>
  <c r="F79" i="39"/>
  <c r="C79" i="39"/>
  <c r="O78" i="39"/>
  <c r="L78" i="39"/>
  <c r="I78" i="39"/>
  <c r="I77" i="39" s="1"/>
  <c r="F78" i="39"/>
  <c r="C78" i="39" s="1"/>
  <c r="N77" i="39"/>
  <c r="N76" i="39" s="1"/>
  <c r="M77" i="39"/>
  <c r="L77" i="39"/>
  <c r="K77" i="39"/>
  <c r="K76" i="39" s="1"/>
  <c r="J77" i="39"/>
  <c r="H77" i="39"/>
  <c r="G77" i="39"/>
  <c r="G76" i="39" s="1"/>
  <c r="E77" i="39"/>
  <c r="E76" i="39" s="1"/>
  <c r="D77" i="39"/>
  <c r="J76" i="39"/>
  <c r="O74" i="39"/>
  <c r="L74" i="39"/>
  <c r="I74" i="39"/>
  <c r="F74" i="39"/>
  <c r="O73" i="39"/>
  <c r="L73" i="39"/>
  <c r="I73" i="39"/>
  <c r="F73" i="39"/>
  <c r="O72" i="39"/>
  <c r="L72" i="39"/>
  <c r="I72" i="39"/>
  <c r="F72" i="39"/>
  <c r="O71" i="39"/>
  <c r="L71" i="39"/>
  <c r="I71" i="39"/>
  <c r="F71" i="39"/>
  <c r="C71" i="39" s="1"/>
  <c r="O70" i="39"/>
  <c r="O69" i="39" s="1"/>
  <c r="L70" i="39"/>
  <c r="I70" i="39"/>
  <c r="I69" i="39" s="1"/>
  <c r="F70" i="39"/>
  <c r="N69" i="39"/>
  <c r="M69" i="39"/>
  <c r="M67" i="39" s="1"/>
  <c r="K69" i="39"/>
  <c r="J69" i="39"/>
  <c r="J67" i="39" s="1"/>
  <c r="H69" i="39"/>
  <c r="H67" i="39" s="1"/>
  <c r="G69" i="39"/>
  <c r="G67" i="39" s="1"/>
  <c r="E69" i="39"/>
  <c r="E67" i="39" s="1"/>
  <c r="D69" i="39"/>
  <c r="D67" i="39" s="1"/>
  <c r="O68" i="39"/>
  <c r="L68" i="39"/>
  <c r="I68" i="39"/>
  <c r="F68" i="39"/>
  <c r="N67" i="39"/>
  <c r="K67" i="39"/>
  <c r="O66" i="39"/>
  <c r="L66" i="39"/>
  <c r="I66" i="39"/>
  <c r="F66" i="39"/>
  <c r="O65" i="39"/>
  <c r="L65" i="39"/>
  <c r="I65" i="39"/>
  <c r="F65" i="39"/>
  <c r="O64" i="39"/>
  <c r="L64" i="39"/>
  <c r="I64" i="39"/>
  <c r="F64" i="39"/>
  <c r="O63" i="39"/>
  <c r="L63" i="39"/>
  <c r="C63" i="39" s="1"/>
  <c r="I63" i="39"/>
  <c r="F63" i="39"/>
  <c r="O62" i="39"/>
  <c r="L62" i="39"/>
  <c r="I62" i="39"/>
  <c r="F62" i="39"/>
  <c r="O61" i="39"/>
  <c r="L61" i="39"/>
  <c r="I61" i="39"/>
  <c r="F61" i="39"/>
  <c r="O60" i="39"/>
  <c r="L60" i="39"/>
  <c r="I60" i="39"/>
  <c r="F60" i="39"/>
  <c r="O59" i="39"/>
  <c r="O58" i="39" s="1"/>
  <c r="L59" i="39"/>
  <c r="I59" i="39"/>
  <c r="I58" i="39" s="1"/>
  <c r="F59" i="39"/>
  <c r="C59" i="39"/>
  <c r="N58" i="39"/>
  <c r="M58" i="39"/>
  <c r="K58" i="39"/>
  <c r="J58" i="39"/>
  <c r="H58" i="39"/>
  <c r="G58" i="39"/>
  <c r="E58" i="39"/>
  <c r="D58" i="39"/>
  <c r="O57" i="39"/>
  <c r="L57" i="39"/>
  <c r="I57" i="39"/>
  <c r="F57" i="39"/>
  <c r="O56" i="39"/>
  <c r="L56" i="39"/>
  <c r="L55" i="39" s="1"/>
  <c r="I56" i="39"/>
  <c r="I55" i="39" s="1"/>
  <c r="F56" i="39"/>
  <c r="O55" i="39"/>
  <c r="N55" i="39"/>
  <c r="M55" i="39"/>
  <c r="M54" i="39" s="1"/>
  <c r="M53" i="39" s="1"/>
  <c r="K55" i="39"/>
  <c r="J55" i="39"/>
  <c r="J54" i="39" s="1"/>
  <c r="H55" i="39"/>
  <c r="G55" i="39"/>
  <c r="G54" i="39" s="1"/>
  <c r="F55" i="39"/>
  <c r="E55" i="39"/>
  <c r="D55" i="39"/>
  <c r="H54" i="39"/>
  <c r="H53" i="39" s="1"/>
  <c r="O47" i="39"/>
  <c r="C47" i="39" s="1"/>
  <c r="O46" i="39"/>
  <c r="N45" i="39"/>
  <c r="M45" i="39"/>
  <c r="L44" i="39"/>
  <c r="L43" i="39" s="1"/>
  <c r="I44" i="39"/>
  <c r="F44" i="39"/>
  <c r="K43" i="39"/>
  <c r="J43" i="39"/>
  <c r="I43" i="39"/>
  <c r="H43" i="39"/>
  <c r="G43" i="39"/>
  <c r="E43" i="39"/>
  <c r="D43" i="39"/>
  <c r="F42" i="39"/>
  <c r="E41" i="39"/>
  <c r="D41" i="39"/>
  <c r="L40" i="39"/>
  <c r="C40" i="39" s="1"/>
  <c r="L39" i="39"/>
  <c r="C39" i="39" s="1"/>
  <c r="L38" i="39"/>
  <c r="C38" i="39" s="1"/>
  <c r="L37" i="39"/>
  <c r="K36" i="39"/>
  <c r="J36" i="39"/>
  <c r="L35" i="39"/>
  <c r="C35" i="39" s="1"/>
  <c r="L34" i="39"/>
  <c r="K33" i="39"/>
  <c r="J33" i="39"/>
  <c r="L32" i="39"/>
  <c r="C32" i="39" s="1"/>
  <c r="L31" i="39"/>
  <c r="C31" i="39" s="1"/>
  <c r="K31" i="39"/>
  <c r="J31" i="39"/>
  <c r="L30" i="39"/>
  <c r="C30" i="39" s="1"/>
  <c r="L29" i="39"/>
  <c r="C29" i="39" s="1"/>
  <c r="L28" i="39"/>
  <c r="K27" i="39"/>
  <c r="J27" i="39"/>
  <c r="J26" i="39" s="1"/>
  <c r="F25" i="39"/>
  <c r="C25" i="39" s="1"/>
  <c r="I24" i="39"/>
  <c r="F24" i="39"/>
  <c r="O23" i="39"/>
  <c r="L23" i="39"/>
  <c r="I23" i="39"/>
  <c r="F23" i="39"/>
  <c r="O22" i="39"/>
  <c r="O21" i="39" s="1"/>
  <c r="L22" i="39"/>
  <c r="I22" i="39"/>
  <c r="I21" i="39" s="1"/>
  <c r="F22" i="39"/>
  <c r="N21" i="39"/>
  <c r="N292" i="39" s="1"/>
  <c r="N291" i="39" s="1"/>
  <c r="M21" i="39"/>
  <c r="M292" i="39" s="1"/>
  <c r="K21" i="39"/>
  <c r="K292" i="39" s="1"/>
  <c r="K291" i="39" s="1"/>
  <c r="J21" i="39"/>
  <c r="J292" i="39" s="1"/>
  <c r="J291" i="39" s="1"/>
  <c r="H21" i="39"/>
  <c r="G21" i="39"/>
  <c r="G292" i="39" s="1"/>
  <c r="F21" i="39"/>
  <c r="F292" i="39" s="1"/>
  <c r="E21" i="39"/>
  <c r="E292" i="39" s="1"/>
  <c r="E291" i="39" s="1"/>
  <c r="D21" i="39"/>
  <c r="H76" i="39" l="1"/>
  <c r="C90" i="39"/>
  <c r="C110" i="39"/>
  <c r="C150" i="39"/>
  <c r="C153" i="39"/>
  <c r="C186" i="39"/>
  <c r="C190" i="39"/>
  <c r="D195" i="39"/>
  <c r="C226" i="39"/>
  <c r="C250" i="39"/>
  <c r="C274" i="39"/>
  <c r="G270" i="39"/>
  <c r="G269" i="39" s="1"/>
  <c r="C24" i="39"/>
  <c r="C44" i="39"/>
  <c r="D54" i="39"/>
  <c r="N54" i="39"/>
  <c r="N53" i="39" s="1"/>
  <c r="C88" i="39"/>
  <c r="C102" i="39"/>
  <c r="F103" i="39"/>
  <c r="C105" i="39"/>
  <c r="C118" i="39"/>
  <c r="C133" i="39"/>
  <c r="C214" i="39"/>
  <c r="C218" i="39"/>
  <c r="C221" i="39"/>
  <c r="C254" i="39"/>
  <c r="C296" i="39"/>
  <c r="I20" i="39"/>
  <c r="J53" i="39"/>
  <c r="C115" i="39"/>
  <c r="C146" i="39"/>
  <c r="C178" i="39"/>
  <c r="F179" i="39"/>
  <c r="C181" i="39"/>
  <c r="C234" i="39"/>
  <c r="O238" i="39"/>
  <c r="C22" i="39"/>
  <c r="L21" i="39"/>
  <c r="C72" i="39"/>
  <c r="C73" i="39"/>
  <c r="C74" i="39"/>
  <c r="C98" i="39"/>
  <c r="L95" i="39"/>
  <c r="C126" i="39"/>
  <c r="G130" i="39"/>
  <c r="K174" i="39"/>
  <c r="K173" i="39" s="1"/>
  <c r="H187" i="39"/>
  <c r="G204" i="39"/>
  <c r="M204" i="39"/>
  <c r="E231" i="39"/>
  <c r="C258" i="39"/>
  <c r="I260" i="39"/>
  <c r="K259" i="39"/>
  <c r="K270" i="39"/>
  <c r="K269" i="39" s="1"/>
  <c r="K75" i="39"/>
  <c r="I270" i="39"/>
  <c r="I269" i="39" s="1"/>
  <c r="D269" i="39"/>
  <c r="C60" i="39"/>
  <c r="C62" i="39"/>
  <c r="L76" i="39"/>
  <c r="H83" i="39"/>
  <c r="C97" i="39"/>
  <c r="C107" i="39"/>
  <c r="O116" i="39"/>
  <c r="C135" i="39"/>
  <c r="I136" i="39"/>
  <c r="C157" i="39"/>
  <c r="C164" i="39"/>
  <c r="C169" i="39"/>
  <c r="O166" i="39"/>
  <c r="O165" i="39" s="1"/>
  <c r="J174" i="39"/>
  <c r="J173" i="39" s="1"/>
  <c r="C183" i="39"/>
  <c r="I184" i="39"/>
  <c r="C203" i="39"/>
  <c r="C225" i="39"/>
  <c r="C229" i="39"/>
  <c r="K231" i="39"/>
  <c r="K230" i="39" s="1"/>
  <c r="C245" i="39"/>
  <c r="C280" i="39"/>
  <c r="L293" i="39"/>
  <c r="E20" i="39"/>
  <c r="E54" i="39"/>
  <c r="E53" i="39" s="1"/>
  <c r="C64" i="39"/>
  <c r="C65" i="39"/>
  <c r="C66" i="39"/>
  <c r="C68" i="39"/>
  <c r="O67" i="39"/>
  <c r="L69" i="39"/>
  <c r="D76" i="39"/>
  <c r="M76" i="39"/>
  <c r="E83" i="39"/>
  <c r="J83" i="39"/>
  <c r="J75" i="39" s="1"/>
  <c r="J52" i="39" s="1"/>
  <c r="N83" i="39"/>
  <c r="L89" i="39"/>
  <c r="C101" i="39"/>
  <c r="C108" i="39"/>
  <c r="C121" i="39"/>
  <c r="C125" i="39"/>
  <c r="O122" i="39"/>
  <c r="O136" i="39"/>
  <c r="C147" i="39"/>
  <c r="C149" i="39"/>
  <c r="C156" i="39"/>
  <c r="C159" i="39"/>
  <c r="C177" i="39"/>
  <c r="O184" i="39"/>
  <c r="N187" i="39"/>
  <c r="C213" i="39"/>
  <c r="C224" i="39"/>
  <c r="D231" i="39"/>
  <c r="D230" i="39" s="1"/>
  <c r="D194" i="39" s="1"/>
  <c r="H231" i="39"/>
  <c r="H230" i="39" s="1"/>
  <c r="L233" i="39"/>
  <c r="C244" i="39"/>
  <c r="C257" i="39"/>
  <c r="E259" i="39"/>
  <c r="O260" i="39"/>
  <c r="C282" i="39"/>
  <c r="C294" i="39"/>
  <c r="G53" i="39"/>
  <c r="L67" i="39"/>
  <c r="G75" i="39"/>
  <c r="K195" i="39"/>
  <c r="L252" i="39"/>
  <c r="L251" i="39" s="1"/>
  <c r="H269" i="39"/>
  <c r="F43" i="39"/>
  <c r="C43" i="39" s="1"/>
  <c r="L58" i="39"/>
  <c r="L54" i="39" s="1"/>
  <c r="L53" i="39" s="1"/>
  <c r="C61" i="39"/>
  <c r="D83" i="39"/>
  <c r="M83" i="39"/>
  <c r="C109" i="39"/>
  <c r="M187" i="39"/>
  <c r="G195" i="39"/>
  <c r="C223" i="39"/>
  <c r="O252" i="39"/>
  <c r="O251" i="39" s="1"/>
  <c r="L260" i="39"/>
  <c r="O272" i="39"/>
  <c r="G291" i="39"/>
  <c r="M291" i="39"/>
  <c r="K26" i="39"/>
  <c r="K20" i="39" s="1"/>
  <c r="K54" i="39"/>
  <c r="K53" i="39" s="1"/>
  <c r="K52" i="39" s="1"/>
  <c r="C56" i="39"/>
  <c r="C57" i="39"/>
  <c r="I67" i="39"/>
  <c r="C70" i="39"/>
  <c r="O77" i="39"/>
  <c r="C81" i="39"/>
  <c r="C82" i="39"/>
  <c r="C85" i="39"/>
  <c r="C86" i="39"/>
  <c r="C87" i="39"/>
  <c r="C100" i="39"/>
  <c r="O112" i="39"/>
  <c r="C120" i="39"/>
  <c r="C127" i="39"/>
  <c r="D130" i="39"/>
  <c r="H130" i="39"/>
  <c r="H75" i="39" s="1"/>
  <c r="L131" i="39"/>
  <c r="L141" i="39"/>
  <c r="L144" i="39"/>
  <c r="C148" i="39"/>
  <c r="O151" i="39"/>
  <c r="L151" i="39"/>
  <c r="O160" i="39"/>
  <c r="L166" i="39"/>
  <c r="L165" i="39" s="1"/>
  <c r="C172" i="39"/>
  <c r="L179" i="39"/>
  <c r="L174" i="39" s="1"/>
  <c r="L173" i="39" s="1"/>
  <c r="O188" i="39"/>
  <c r="O187" i="39" s="1"/>
  <c r="O196" i="39"/>
  <c r="H195" i="39"/>
  <c r="L205" i="39"/>
  <c r="C212" i="39"/>
  <c r="C215" i="39"/>
  <c r="O216" i="39"/>
  <c r="J204" i="39"/>
  <c r="J195" i="39" s="1"/>
  <c r="N204" i="39"/>
  <c r="N195" i="39" s="1"/>
  <c r="N194" i="39" s="1"/>
  <c r="C243" i="39"/>
  <c r="C263" i="39"/>
  <c r="O264" i="39"/>
  <c r="L272" i="39"/>
  <c r="O276" i="39"/>
  <c r="L292" i="39"/>
  <c r="L291" i="39" s="1"/>
  <c r="C28" i="39"/>
  <c r="L27" i="39"/>
  <c r="C55" i="39"/>
  <c r="I54" i="39"/>
  <c r="O292" i="39"/>
  <c r="O291" i="39" s="1"/>
  <c r="C34" i="39"/>
  <c r="L33" i="39"/>
  <c r="C33" i="39" s="1"/>
  <c r="C37" i="39"/>
  <c r="L36" i="39"/>
  <c r="C36" i="39" s="1"/>
  <c r="C23" i="39"/>
  <c r="I76" i="39"/>
  <c r="M20" i="39"/>
  <c r="C46" i="39"/>
  <c r="O45" i="39"/>
  <c r="O54" i="39"/>
  <c r="O53" i="39" s="1"/>
  <c r="D292" i="39"/>
  <c r="D291" i="39" s="1"/>
  <c r="D20" i="39"/>
  <c r="H292" i="39"/>
  <c r="H291" i="39" s="1"/>
  <c r="H20" i="39"/>
  <c r="C21" i="39"/>
  <c r="C42" i="39"/>
  <c r="F41" i="39"/>
  <c r="C41" i="39" s="1"/>
  <c r="D53" i="39"/>
  <c r="O76" i="39"/>
  <c r="C80" i="39"/>
  <c r="I103" i="39"/>
  <c r="C104" i="39"/>
  <c r="C117" i="39"/>
  <c r="F116" i="39"/>
  <c r="C124" i="39"/>
  <c r="I122" i="39"/>
  <c r="I131" i="39"/>
  <c r="C132" i="39"/>
  <c r="C141" i="39"/>
  <c r="C161" i="39"/>
  <c r="F160" i="39"/>
  <c r="C160" i="39" s="1"/>
  <c r="F174" i="39"/>
  <c r="C185" i="39"/>
  <c r="F184" i="39"/>
  <c r="C220" i="39"/>
  <c r="I216" i="39"/>
  <c r="C237" i="39"/>
  <c r="F235" i="39"/>
  <c r="C256" i="39"/>
  <c r="I252" i="39"/>
  <c r="I251" i="39" s="1"/>
  <c r="C301" i="39"/>
  <c r="J20" i="39"/>
  <c r="N20" i="39"/>
  <c r="F69" i="39"/>
  <c r="F77" i="39"/>
  <c r="C84" i="39"/>
  <c r="O89" i="39"/>
  <c r="F95" i="39"/>
  <c r="I95" i="39"/>
  <c r="C96" i="39"/>
  <c r="C99" i="39"/>
  <c r="C111" i="39"/>
  <c r="C119" i="39"/>
  <c r="L122" i="39"/>
  <c r="C122" i="39" s="1"/>
  <c r="E130" i="39"/>
  <c r="E75" i="39" s="1"/>
  <c r="C137" i="39"/>
  <c r="F136" i="39"/>
  <c r="C143" i="39"/>
  <c r="I144" i="39"/>
  <c r="C163" i="39"/>
  <c r="C168" i="39"/>
  <c r="I166" i="39"/>
  <c r="I165" i="39" s="1"/>
  <c r="C165" i="39" s="1"/>
  <c r="C171" i="39"/>
  <c r="E173" i="39"/>
  <c r="I175" i="39"/>
  <c r="C176" i="39"/>
  <c r="O179" i="39"/>
  <c r="L187" i="39"/>
  <c r="C191" i="39"/>
  <c r="C192" i="39"/>
  <c r="C208" i="39"/>
  <c r="I205" i="39"/>
  <c r="O231" i="39"/>
  <c r="G20" i="39"/>
  <c r="F58" i="39"/>
  <c r="C58" i="39" s="1"/>
  <c r="C91" i="39"/>
  <c r="C93" i="39"/>
  <c r="F89" i="39"/>
  <c r="O103" i="39"/>
  <c r="L103" i="39"/>
  <c r="C113" i="39"/>
  <c r="F112" i="39"/>
  <c r="L116" i="39"/>
  <c r="C129" i="39"/>
  <c r="F128" i="39"/>
  <c r="C128" i="39" s="1"/>
  <c r="N130" i="39"/>
  <c r="N75" i="39" s="1"/>
  <c r="N289" i="39" s="1"/>
  <c r="O131" i="39"/>
  <c r="C139" i="39"/>
  <c r="C145" i="39"/>
  <c r="F144" i="39"/>
  <c r="O144" i="39"/>
  <c r="I151" i="39"/>
  <c r="C151" i="39" s="1"/>
  <c r="C152" i="39"/>
  <c r="C155" i="39"/>
  <c r="I187" i="39"/>
  <c r="C268" i="39"/>
  <c r="I264" i="39"/>
  <c r="I259" i="39" s="1"/>
  <c r="K289" i="39"/>
  <c r="C92" i="39"/>
  <c r="I89" i="39"/>
  <c r="I83" i="39" s="1"/>
  <c r="O95" i="39"/>
  <c r="M130" i="39"/>
  <c r="L136" i="39"/>
  <c r="O175" i="39"/>
  <c r="O174" i="39" s="1"/>
  <c r="I179" i="39"/>
  <c r="C179" i="39" s="1"/>
  <c r="C180" i="39"/>
  <c r="E187" i="39"/>
  <c r="C189" i="39"/>
  <c r="F188" i="39"/>
  <c r="C200" i="39"/>
  <c r="I198" i="39"/>
  <c r="C239" i="39"/>
  <c r="L238" i="39"/>
  <c r="C261" i="39"/>
  <c r="F260" i="39"/>
  <c r="C123" i="39"/>
  <c r="C167" i="39"/>
  <c r="C197" i="39"/>
  <c r="F196" i="39"/>
  <c r="L216" i="39"/>
  <c r="L204" i="39" s="1"/>
  <c r="I227" i="39"/>
  <c r="C227" i="39" s="1"/>
  <c r="C228" i="39"/>
  <c r="I235" i="39"/>
  <c r="C236" i="39"/>
  <c r="C249" i="39"/>
  <c r="F246" i="39"/>
  <c r="C273" i="39"/>
  <c r="F272" i="39"/>
  <c r="C272" i="39" s="1"/>
  <c r="L276" i="39"/>
  <c r="C288" i="39"/>
  <c r="I286" i="39"/>
  <c r="C286" i="39" s="1"/>
  <c r="C300" i="39"/>
  <c r="C193" i="39"/>
  <c r="O205" i="39"/>
  <c r="O204" i="39" s="1"/>
  <c r="C217" i="39"/>
  <c r="F216" i="39"/>
  <c r="J230" i="39"/>
  <c r="C232" i="39"/>
  <c r="C241" i="39"/>
  <c r="F238" i="39"/>
  <c r="C248" i="39"/>
  <c r="I246" i="39"/>
  <c r="E230" i="39"/>
  <c r="C253" i="39"/>
  <c r="F252" i="39"/>
  <c r="M259" i="39"/>
  <c r="M230" i="39" s="1"/>
  <c r="C265" i="39"/>
  <c r="F264" i="39"/>
  <c r="C275" i="39"/>
  <c r="C281" i="39"/>
  <c r="C285" i="39"/>
  <c r="F284" i="39"/>
  <c r="E195" i="39"/>
  <c r="M195" i="39"/>
  <c r="L196" i="39"/>
  <c r="C207" i="39"/>
  <c r="C209" i="39"/>
  <c r="F205" i="39"/>
  <c r="C219" i="39"/>
  <c r="C233" i="39"/>
  <c r="G231" i="39"/>
  <c r="G230" i="39" s="1"/>
  <c r="G194" i="39" s="1"/>
  <c r="C240" i="39"/>
  <c r="I238" i="39"/>
  <c r="C247" i="39"/>
  <c r="L246" i="39"/>
  <c r="C255" i="39"/>
  <c r="L259" i="39"/>
  <c r="C267" i="39"/>
  <c r="M270" i="39"/>
  <c r="M269" i="39" s="1"/>
  <c r="C277" i="39"/>
  <c r="F276" i="39"/>
  <c r="C295" i="39"/>
  <c r="C297" i="39"/>
  <c r="F293" i="39"/>
  <c r="C293" i="39" s="1"/>
  <c r="C199" i="39"/>
  <c r="C271" i="39"/>
  <c r="C287" i="39"/>
  <c r="J289" i="39" l="1"/>
  <c r="H194" i="39"/>
  <c r="J194" i="39"/>
  <c r="L270" i="39"/>
  <c r="L269" i="39" s="1"/>
  <c r="H52" i="39"/>
  <c r="H289" i="39"/>
  <c r="H51" i="39"/>
  <c r="H290" i="39" s="1"/>
  <c r="E52" i="39"/>
  <c r="K194" i="39"/>
  <c r="K51" i="39" s="1"/>
  <c r="I231" i="39"/>
  <c r="I230" i="39" s="1"/>
  <c r="G289" i="39"/>
  <c r="L130" i="39"/>
  <c r="O130" i="39"/>
  <c r="L83" i="39"/>
  <c r="L75" i="39" s="1"/>
  <c r="L52" i="39" s="1"/>
  <c r="C103" i="39"/>
  <c r="I204" i="39"/>
  <c r="C95" i="39"/>
  <c r="C184" i="39"/>
  <c r="O259" i="39"/>
  <c r="E289" i="39"/>
  <c r="L231" i="39"/>
  <c r="L230" i="39" s="1"/>
  <c r="O270" i="39"/>
  <c r="O269" i="39" s="1"/>
  <c r="C276" i="39"/>
  <c r="O195" i="39"/>
  <c r="O173" i="39"/>
  <c r="O230" i="39"/>
  <c r="O194" i="39" s="1"/>
  <c r="F20" i="39"/>
  <c r="I130" i="39"/>
  <c r="D75" i="39"/>
  <c r="D289" i="39" s="1"/>
  <c r="M75" i="39"/>
  <c r="M52" i="39" s="1"/>
  <c r="C144" i="39"/>
  <c r="C112" i="39"/>
  <c r="O83" i="39"/>
  <c r="N52" i="39"/>
  <c r="N51" i="39" s="1"/>
  <c r="N50" i="39" s="1"/>
  <c r="I53" i="39"/>
  <c r="G52" i="39"/>
  <c r="G51" i="39" s="1"/>
  <c r="L195" i="39"/>
  <c r="C264" i="39"/>
  <c r="C238" i="39"/>
  <c r="C246" i="39"/>
  <c r="F270" i="39"/>
  <c r="C89" i="39"/>
  <c r="I174" i="39"/>
  <c r="I173" i="39" s="1"/>
  <c r="C136" i="39"/>
  <c r="C77" i="39"/>
  <c r="F76" i="39"/>
  <c r="C235" i="39"/>
  <c r="F231" i="39"/>
  <c r="O75" i="39"/>
  <c r="O289" i="39" s="1"/>
  <c r="I292" i="39"/>
  <c r="C45" i="39"/>
  <c r="J51" i="39"/>
  <c r="O20" i="39"/>
  <c r="C284" i="39"/>
  <c r="F283" i="39"/>
  <c r="C283" i="39" s="1"/>
  <c r="C252" i="39"/>
  <c r="F251" i="39"/>
  <c r="C251" i="39" s="1"/>
  <c r="F173" i="39"/>
  <c r="F54" i="39"/>
  <c r="I75" i="39"/>
  <c r="I52" i="39" s="1"/>
  <c r="C205" i="39"/>
  <c r="F204" i="39"/>
  <c r="C204" i="39" s="1"/>
  <c r="M194" i="39"/>
  <c r="M51" i="39" s="1"/>
  <c r="C216" i="39"/>
  <c r="C260" i="39"/>
  <c r="F259" i="39"/>
  <c r="C259" i="39" s="1"/>
  <c r="C198" i="39"/>
  <c r="I196" i="39"/>
  <c r="I195" i="39" s="1"/>
  <c r="I194" i="39" s="1"/>
  <c r="C166" i="39"/>
  <c r="F67" i="39"/>
  <c r="C67" i="39" s="1"/>
  <c r="C69" i="39"/>
  <c r="C188" i="39"/>
  <c r="F187" i="39"/>
  <c r="C187" i="39" s="1"/>
  <c r="F130" i="39"/>
  <c r="E194" i="39"/>
  <c r="E51" i="39" s="1"/>
  <c r="F291" i="39"/>
  <c r="C175" i="39"/>
  <c r="C131" i="39"/>
  <c r="C116" i="39"/>
  <c r="F83" i="39"/>
  <c r="C27" i="39"/>
  <c r="L26" i="39"/>
  <c r="C173" i="39" l="1"/>
  <c r="I289" i="39"/>
  <c r="G50" i="39"/>
  <c r="G290" i="39"/>
  <c r="N290" i="39"/>
  <c r="K50" i="39"/>
  <c r="K290" i="39"/>
  <c r="I51" i="39"/>
  <c r="I290" i="39" s="1"/>
  <c r="L194" i="39"/>
  <c r="L51" i="39" s="1"/>
  <c r="O52" i="39"/>
  <c r="O51" i="39" s="1"/>
  <c r="O50" i="39" s="1"/>
  <c r="C130" i="39"/>
  <c r="H50" i="39"/>
  <c r="M289" i="39"/>
  <c r="C83" i="39"/>
  <c r="C174" i="39"/>
  <c r="D52" i="39"/>
  <c r="D51" i="39" s="1"/>
  <c r="M50" i="39"/>
  <c r="M290" i="39"/>
  <c r="C26" i="39"/>
  <c r="L20" i="39"/>
  <c r="C20" i="39" s="1"/>
  <c r="E290" i="39"/>
  <c r="E50" i="39"/>
  <c r="C54" i="39"/>
  <c r="F53" i="39"/>
  <c r="J50" i="39"/>
  <c r="J290" i="39"/>
  <c r="I291" i="39"/>
  <c r="C291" i="39" s="1"/>
  <c r="C292" i="39"/>
  <c r="F230" i="39"/>
  <c r="C230" i="39" s="1"/>
  <c r="C231" i="39"/>
  <c r="F195" i="39"/>
  <c r="C196" i="39"/>
  <c r="F269" i="39"/>
  <c r="C270" i="39"/>
  <c r="F75" i="39"/>
  <c r="C75" i="39" s="1"/>
  <c r="C76" i="39"/>
  <c r="L289" i="39"/>
  <c r="L50" i="39" l="1"/>
  <c r="L290" i="39"/>
  <c r="D290" i="39"/>
  <c r="D50" i="39"/>
  <c r="I50" i="39"/>
  <c r="O290" i="39"/>
  <c r="C53" i="39"/>
  <c r="F52" i="39"/>
  <c r="F194" i="39"/>
  <c r="C194" i="39" s="1"/>
  <c r="C195" i="39"/>
  <c r="C269" i="39"/>
  <c r="F289" i="39"/>
  <c r="C289" i="39" s="1"/>
  <c r="F51" i="39" l="1"/>
  <c r="C52" i="39"/>
  <c r="F290" i="39" l="1"/>
  <c r="C290" i="39" s="1"/>
  <c r="C51" i="39"/>
  <c r="F50" i="39"/>
  <c r="C50" i="39" s="1"/>
  <c r="E115" i="38" l="1"/>
  <c r="E78" i="38"/>
  <c r="E77" i="38" s="1"/>
  <c r="O301" i="38"/>
  <c r="L301" i="38"/>
  <c r="I301" i="38"/>
  <c r="F301" i="38"/>
  <c r="O300" i="38"/>
  <c r="L300" i="38"/>
  <c r="I300" i="38"/>
  <c r="F300" i="38"/>
  <c r="O299" i="38"/>
  <c r="L299" i="38"/>
  <c r="C299" i="38" s="1"/>
  <c r="I299" i="38"/>
  <c r="F299" i="38"/>
  <c r="O298" i="38"/>
  <c r="L298" i="38"/>
  <c r="I298" i="38"/>
  <c r="F298" i="38"/>
  <c r="O297" i="38"/>
  <c r="L297" i="38"/>
  <c r="I297" i="38"/>
  <c r="F297" i="38"/>
  <c r="O296" i="38"/>
  <c r="L296" i="38"/>
  <c r="I296" i="38"/>
  <c r="F296" i="38"/>
  <c r="O295" i="38"/>
  <c r="L295" i="38"/>
  <c r="I295" i="38"/>
  <c r="F295" i="38"/>
  <c r="O294" i="38"/>
  <c r="L294" i="38"/>
  <c r="I294" i="38"/>
  <c r="F294" i="38"/>
  <c r="F293" i="38" s="1"/>
  <c r="N293" i="38"/>
  <c r="M293" i="38"/>
  <c r="K293" i="38"/>
  <c r="J293" i="38"/>
  <c r="H293" i="38"/>
  <c r="G293" i="38"/>
  <c r="E293" i="38"/>
  <c r="D293" i="38"/>
  <c r="O288" i="38"/>
  <c r="L288" i="38"/>
  <c r="I288" i="38"/>
  <c r="F288" i="38"/>
  <c r="O287" i="38"/>
  <c r="O286" i="38" s="1"/>
  <c r="L287" i="38"/>
  <c r="L286" i="38" s="1"/>
  <c r="I287" i="38"/>
  <c r="F287" i="38"/>
  <c r="N286" i="38"/>
  <c r="M286" i="38"/>
  <c r="K286" i="38"/>
  <c r="J286" i="38"/>
  <c r="H286" i="38"/>
  <c r="G286" i="38"/>
  <c r="F286" i="38"/>
  <c r="E286" i="38"/>
  <c r="D286" i="38"/>
  <c r="O285" i="38"/>
  <c r="L285" i="38"/>
  <c r="L284" i="38" s="1"/>
  <c r="L283" i="38" s="1"/>
  <c r="I285" i="38"/>
  <c r="I284" i="38" s="1"/>
  <c r="I283" i="38" s="1"/>
  <c r="F285" i="38"/>
  <c r="O284" i="38"/>
  <c r="O283" i="38" s="1"/>
  <c r="N284" i="38"/>
  <c r="N283" i="38" s="1"/>
  <c r="M284" i="38"/>
  <c r="M283" i="38" s="1"/>
  <c r="K284" i="38"/>
  <c r="J284" i="38"/>
  <c r="J283" i="38" s="1"/>
  <c r="H284" i="38"/>
  <c r="H283" i="38" s="1"/>
  <c r="G284" i="38"/>
  <c r="G283" i="38" s="1"/>
  <c r="F284" i="38"/>
  <c r="E284" i="38"/>
  <c r="E283" i="38" s="1"/>
  <c r="D284" i="38"/>
  <c r="D283" i="38" s="1"/>
  <c r="K283" i="38"/>
  <c r="O282" i="38"/>
  <c r="O281" i="38" s="1"/>
  <c r="L282" i="38"/>
  <c r="I282" i="38"/>
  <c r="I281" i="38" s="1"/>
  <c r="F282" i="38"/>
  <c r="F281" i="38" s="1"/>
  <c r="N281" i="38"/>
  <c r="M281" i="38"/>
  <c r="L281" i="38"/>
  <c r="K281" i="38"/>
  <c r="J281" i="38"/>
  <c r="H281" i="38"/>
  <c r="G281" i="38"/>
  <c r="E281" i="38"/>
  <c r="D281" i="38"/>
  <c r="O280" i="38"/>
  <c r="L280" i="38"/>
  <c r="I280" i="38"/>
  <c r="F280" i="38"/>
  <c r="O279" i="38"/>
  <c r="L279" i="38"/>
  <c r="I279" i="38"/>
  <c r="F279" i="38"/>
  <c r="O278" i="38"/>
  <c r="L278" i="38"/>
  <c r="I278" i="38"/>
  <c r="F278" i="38"/>
  <c r="O277" i="38"/>
  <c r="L277" i="38"/>
  <c r="I277" i="38"/>
  <c r="F277" i="38"/>
  <c r="F276" i="38" s="1"/>
  <c r="N276" i="38"/>
  <c r="M276" i="38"/>
  <c r="K276" i="38"/>
  <c r="J276" i="38"/>
  <c r="H276" i="38"/>
  <c r="G276" i="38"/>
  <c r="E276" i="38"/>
  <c r="D276" i="38"/>
  <c r="O275" i="38"/>
  <c r="L275" i="38"/>
  <c r="I275" i="38"/>
  <c r="F275" i="38"/>
  <c r="O274" i="38"/>
  <c r="L274" i="38"/>
  <c r="I274" i="38"/>
  <c r="F274" i="38"/>
  <c r="O273" i="38"/>
  <c r="L273" i="38"/>
  <c r="L272" i="38" s="1"/>
  <c r="I273" i="38"/>
  <c r="I272" i="38" s="1"/>
  <c r="F273" i="38"/>
  <c r="N272" i="38"/>
  <c r="M272" i="38"/>
  <c r="M270" i="38" s="1"/>
  <c r="M269" i="38" s="1"/>
  <c r="K272" i="38"/>
  <c r="K270" i="38" s="1"/>
  <c r="J272" i="38"/>
  <c r="H272" i="38"/>
  <c r="H270" i="38" s="1"/>
  <c r="H269" i="38" s="1"/>
  <c r="G272" i="38"/>
  <c r="G270" i="38" s="1"/>
  <c r="G269" i="38" s="1"/>
  <c r="E272" i="38"/>
  <c r="D272" i="38"/>
  <c r="O271" i="38"/>
  <c r="L271" i="38"/>
  <c r="C271" i="38" s="1"/>
  <c r="I271" i="38"/>
  <c r="F271" i="38"/>
  <c r="D270" i="38"/>
  <c r="D269" i="38" s="1"/>
  <c r="O268" i="38"/>
  <c r="L268" i="38"/>
  <c r="I268" i="38"/>
  <c r="F268" i="38"/>
  <c r="O267" i="38"/>
  <c r="L267" i="38"/>
  <c r="I267" i="38"/>
  <c r="F267" i="38"/>
  <c r="O266" i="38"/>
  <c r="L266" i="38"/>
  <c r="I266" i="38"/>
  <c r="F266" i="38"/>
  <c r="O265" i="38"/>
  <c r="L265" i="38"/>
  <c r="I265" i="38"/>
  <c r="F265" i="38"/>
  <c r="F264" i="38" s="1"/>
  <c r="N264" i="38"/>
  <c r="M264" i="38"/>
  <c r="K264" i="38"/>
  <c r="J264" i="38"/>
  <c r="H264" i="38"/>
  <c r="G264" i="38"/>
  <c r="E264" i="38"/>
  <c r="D264" i="38"/>
  <c r="O263" i="38"/>
  <c r="L263" i="38"/>
  <c r="I263" i="38"/>
  <c r="F263" i="38"/>
  <c r="O262" i="38"/>
  <c r="L262" i="38"/>
  <c r="I262" i="38"/>
  <c r="F262" i="38"/>
  <c r="O261" i="38"/>
  <c r="L261" i="38"/>
  <c r="I261" i="38"/>
  <c r="I260" i="38" s="1"/>
  <c r="F261" i="38"/>
  <c r="N260" i="38"/>
  <c r="M260" i="38"/>
  <c r="M259" i="38" s="1"/>
  <c r="K260" i="38"/>
  <c r="K259" i="38" s="1"/>
  <c r="J260" i="38"/>
  <c r="H260" i="38"/>
  <c r="G260" i="38"/>
  <c r="G259" i="38" s="1"/>
  <c r="E260" i="38"/>
  <c r="E259" i="38" s="1"/>
  <c r="D260" i="38"/>
  <c r="D259" i="38" s="1"/>
  <c r="N259" i="38"/>
  <c r="O258" i="38"/>
  <c r="L258" i="38"/>
  <c r="I258" i="38"/>
  <c r="F258" i="38"/>
  <c r="O257" i="38"/>
  <c r="L257" i="38"/>
  <c r="I257" i="38"/>
  <c r="F257" i="38"/>
  <c r="O256" i="38"/>
  <c r="L256" i="38"/>
  <c r="I256" i="38"/>
  <c r="F256" i="38"/>
  <c r="O255" i="38"/>
  <c r="L255" i="38"/>
  <c r="I255" i="38"/>
  <c r="F255" i="38"/>
  <c r="O254" i="38"/>
  <c r="L254" i="38"/>
  <c r="I254" i="38"/>
  <c r="F254" i="38"/>
  <c r="O253" i="38"/>
  <c r="L253" i="38"/>
  <c r="I253" i="38"/>
  <c r="F253" i="38"/>
  <c r="N252" i="38"/>
  <c r="M252" i="38"/>
  <c r="M251" i="38" s="1"/>
  <c r="K252" i="38"/>
  <c r="K251" i="38" s="1"/>
  <c r="J252" i="38"/>
  <c r="J251" i="38" s="1"/>
  <c r="H252" i="38"/>
  <c r="H251" i="38" s="1"/>
  <c r="G252" i="38"/>
  <c r="G251" i="38" s="1"/>
  <c r="E252" i="38"/>
  <c r="E251" i="38" s="1"/>
  <c r="D252" i="38"/>
  <c r="N251" i="38"/>
  <c r="D251" i="38"/>
  <c r="O250" i="38"/>
  <c r="L250" i="38"/>
  <c r="I250" i="38"/>
  <c r="F250" i="38"/>
  <c r="O249" i="38"/>
  <c r="L249" i="38"/>
  <c r="I249" i="38"/>
  <c r="F249" i="38"/>
  <c r="O248" i="38"/>
  <c r="L248" i="38"/>
  <c r="I248" i="38"/>
  <c r="F248" i="38"/>
  <c r="O247" i="38"/>
  <c r="L247" i="38"/>
  <c r="I247" i="38"/>
  <c r="F247" i="38"/>
  <c r="O246" i="38"/>
  <c r="N246" i="38"/>
  <c r="M246" i="38"/>
  <c r="K246" i="38"/>
  <c r="J246" i="38"/>
  <c r="H246" i="38"/>
  <c r="G246" i="38"/>
  <c r="E246" i="38"/>
  <c r="D246" i="38"/>
  <c r="O245" i="38"/>
  <c r="L245" i="38"/>
  <c r="I245" i="38"/>
  <c r="F245" i="38"/>
  <c r="O244" i="38"/>
  <c r="L244" i="38"/>
  <c r="I244" i="38"/>
  <c r="F244" i="38"/>
  <c r="O243" i="38"/>
  <c r="L243" i="38"/>
  <c r="I243" i="38"/>
  <c r="F243" i="38"/>
  <c r="O242" i="38"/>
  <c r="L242" i="38"/>
  <c r="I242" i="38"/>
  <c r="F242" i="38"/>
  <c r="O241" i="38"/>
  <c r="L241" i="38"/>
  <c r="I241" i="38"/>
  <c r="F241" i="38"/>
  <c r="O240" i="38"/>
  <c r="L240" i="38"/>
  <c r="I240" i="38"/>
  <c r="F240" i="38"/>
  <c r="O239" i="38"/>
  <c r="L239" i="38"/>
  <c r="I239" i="38"/>
  <c r="F239" i="38"/>
  <c r="C239" i="38" s="1"/>
  <c r="N238" i="38"/>
  <c r="M238" i="38"/>
  <c r="L238" i="38"/>
  <c r="K238" i="38"/>
  <c r="J238" i="38"/>
  <c r="H238" i="38"/>
  <c r="G238" i="38"/>
  <c r="E238" i="38"/>
  <c r="D238" i="38"/>
  <c r="O237" i="38"/>
  <c r="L237" i="38"/>
  <c r="I237" i="38"/>
  <c r="F237" i="38"/>
  <c r="O236" i="38"/>
  <c r="L236" i="38"/>
  <c r="L235" i="38" s="1"/>
  <c r="I236" i="38"/>
  <c r="I235" i="38" s="1"/>
  <c r="F236" i="38"/>
  <c r="O235" i="38"/>
  <c r="N235" i="38"/>
  <c r="M235" i="38"/>
  <c r="K235" i="38"/>
  <c r="J235" i="38"/>
  <c r="H235" i="38"/>
  <c r="G235" i="38"/>
  <c r="F235" i="38"/>
  <c r="E235" i="38"/>
  <c r="D235" i="38"/>
  <c r="O234" i="38"/>
  <c r="O233" i="38" s="1"/>
  <c r="L234" i="38"/>
  <c r="I234" i="38"/>
  <c r="I233" i="38" s="1"/>
  <c r="F234" i="38"/>
  <c r="N233" i="38"/>
  <c r="N231" i="38" s="1"/>
  <c r="M233" i="38"/>
  <c r="L233" i="38"/>
  <c r="K233" i="38"/>
  <c r="J233" i="38"/>
  <c r="H233" i="38"/>
  <c r="G233" i="38"/>
  <c r="E233" i="38"/>
  <c r="E231" i="38" s="1"/>
  <c r="E230" i="38" s="1"/>
  <c r="D233" i="38"/>
  <c r="O232" i="38"/>
  <c r="L232" i="38"/>
  <c r="I232" i="38"/>
  <c r="F232" i="38"/>
  <c r="O229" i="38"/>
  <c r="L229" i="38"/>
  <c r="I229" i="38"/>
  <c r="F229" i="38"/>
  <c r="O228" i="38"/>
  <c r="L228" i="38"/>
  <c r="L227" i="38" s="1"/>
  <c r="I228" i="38"/>
  <c r="I227" i="38" s="1"/>
  <c r="F228" i="38"/>
  <c r="O227" i="38"/>
  <c r="N227" i="38"/>
  <c r="M227" i="38"/>
  <c r="K227" i="38"/>
  <c r="J227" i="38"/>
  <c r="H227" i="38"/>
  <c r="G227" i="38"/>
  <c r="F227" i="38"/>
  <c r="E227" i="38"/>
  <c r="D227" i="38"/>
  <c r="O226" i="38"/>
  <c r="L226" i="38"/>
  <c r="I226" i="38"/>
  <c r="F226" i="38"/>
  <c r="O225" i="38"/>
  <c r="L225" i="38"/>
  <c r="I225" i="38"/>
  <c r="F225" i="38"/>
  <c r="O224" i="38"/>
  <c r="L224" i="38"/>
  <c r="I224" i="38"/>
  <c r="F224" i="38"/>
  <c r="O223" i="38"/>
  <c r="L223" i="38"/>
  <c r="I223" i="38"/>
  <c r="F223" i="38"/>
  <c r="O222" i="38"/>
  <c r="L222" i="38"/>
  <c r="I222" i="38"/>
  <c r="F222" i="38"/>
  <c r="O221" i="38"/>
  <c r="L221" i="38"/>
  <c r="I221" i="38"/>
  <c r="F221" i="38"/>
  <c r="O220" i="38"/>
  <c r="L220" i="38"/>
  <c r="I220" i="38"/>
  <c r="F220" i="38"/>
  <c r="O219" i="38"/>
  <c r="L219" i="38"/>
  <c r="I219" i="38"/>
  <c r="F219" i="38"/>
  <c r="O218" i="38"/>
  <c r="L218" i="38"/>
  <c r="I218" i="38"/>
  <c r="F218" i="38"/>
  <c r="O217" i="38"/>
  <c r="L217" i="38"/>
  <c r="I217" i="38"/>
  <c r="I216" i="38" s="1"/>
  <c r="F217" i="38"/>
  <c r="N216" i="38"/>
  <c r="M216" i="38"/>
  <c r="K216" i="38"/>
  <c r="J216" i="38"/>
  <c r="H216" i="38"/>
  <c r="G216" i="38"/>
  <c r="E216" i="38"/>
  <c r="D216" i="38"/>
  <c r="O215" i="38"/>
  <c r="L215" i="38"/>
  <c r="I215" i="38"/>
  <c r="F215" i="38"/>
  <c r="O214" i="38"/>
  <c r="L214" i="38"/>
  <c r="I214" i="38"/>
  <c r="F214" i="38"/>
  <c r="O213" i="38"/>
  <c r="L213" i="38"/>
  <c r="I213" i="38"/>
  <c r="F213" i="38"/>
  <c r="O212" i="38"/>
  <c r="L212" i="38"/>
  <c r="I212" i="38"/>
  <c r="F212" i="38"/>
  <c r="O211" i="38"/>
  <c r="L211" i="38"/>
  <c r="I211" i="38"/>
  <c r="F211" i="38"/>
  <c r="O210" i="38"/>
  <c r="L210" i="38"/>
  <c r="I210" i="38"/>
  <c r="F210" i="38"/>
  <c r="O209" i="38"/>
  <c r="L209" i="38"/>
  <c r="I209" i="38"/>
  <c r="F209" i="38"/>
  <c r="O208" i="38"/>
  <c r="L208" i="38"/>
  <c r="I208" i="38"/>
  <c r="F208" i="38"/>
  <c r="O207" i="38"/>
  <c r="L207" i="38"/>
  <c r="I207" i="38"/>
  <c r="F207" i="38"/>
  <c r="O206" i="38"/>
  <c r="L206" i="38"/>
  <c r="I206" i="38"/>
  <c r="F206" i="38"/>
  <c r="N205" i="38"/>
  <c r="M205" i="38"/>
  <c r="K205" i="38"/>
  <c r="J205" i="38"/>
  <c r="H205" i="38"/>
  <c r="G205" i="38"/>
  <c r="E205" i="38"/>
  <c r="D205" i="38"/>
  <c r="D204" i="38" s="1"/>
  <c r="O203" i="38"/>
  <c r="L203" i="38"/>
  <c r="I203" i="38"/>
  <c r="F203" i="38"/>
  <c r="O202" i="38"/>
  <c r="L202" i="38"/>
  <c r="I202" i="38"/>
  <c r="F202" i="38"/>
  <c r="O201" i="38"/>
  <c r="L201" i="38"/>
  <c r="I201" i="38"/>
  <c r="F201" i="38"/>
  <c r="O200" i="38"/>
  <c r="L200" i="38"/>
  <c r="I200" i="38"/>
  <c r="F200" i="38"/>
  <c r="O199" i="38"/>
  <c r="L199" i="38"/>
  <c r="I199" i="38"/>
  <c r="F199" i="38"/>
  <c r="O198" i="38"/>
  <c r="N198" i="38"/>
  <c r="N196" i="38" s="1"/>
  <c r="M198" i="38"/>
  <c r="K198" i="38"/>
  <c r="K196" i="38" s="1"/>
  <c r="J198" i="38"/>
  <c r="H198" i="38"/>
  <c r="H196" i="38" s="1"/>
  <c r="G198" i="38"/>
  <c r="G196" i="38" s="1"/>
  <c r="F198" i="38"/>
  <c r="E198" i="38"/>
  <c r="D198" i="38"/>
  <c r="D196" i="38" s="1"/>
  <c r="O197" i="38"/>
  <c r="L197" i="38"/>
  <c r="I197" i="38"/>
  <c r="F197" i="38"/>
  <c r="M196" i="38"/>
  <c r="J196" i="38"/>
  <c r="E196" i="38"/>
  <c r="O193" i="38"/>
  <c r="O192" i="38" s="1"/>
  <c r="O191" i="38" s="1"/>
  <c r="L193" i="38"/>
  <c r="I193" i="38"/>
  <c r="I192" i="38" s="1"/>
  <c r="F193" i="38"/>
  <c r="N192" i="38"/>
  <c r="N191" i="38" s="1"/>
  <c r="M192" i="38"/>
  <c r="L192" i="38"/>
  <c r="L191" i="38" s="1"/>
  <c r="K192" i="38"/>
  <c r="K191" i="38" s="1"/>
  <c r="J192" i="38"/>
  <c r="J191" i="38" s="1"/>
  <c r="H192" i="38"/>
  <c r="H191" i="38" s="1"/>
  <c r="G192" i="38"/>
  <c r="G191" i="38" s="1"/>
  <c r="E192" i="38"/>
  <c r="E191" i="38" s="1"/>
  <c r="D192" i="38"/>
  <c r="D191" i="38" s="1"/>
  <c r="M191" i="38"/>
  <c r="I191" i="38"/>
  <c r="O190" i="38"/>
  <c r="L190" i="38"/>
  <c r="I190" i="38"/>
  <c r="F190" i="38"/>
  <c r="O189" i="38"/>
  <c r="L189" i="38"/>
  <c r="I189" i="38"/>
  <c r="I188" i="38" s="1"/>
  <c r="F189" i="38"/>
  <c r="O188" i="38"/>
  <c r="O187" i="38" s="1"/>
  <c r="N188" i="38"/>
  <c r="N187" i="38" s="1"/>
  <c r="M188" i="38"/>
  <c r="K188" i="38"/>
  <c r="K187" i="38" s="1"/>
  <c r="J188" i="38"/>
  <c r="H188" i="38"/>
  <c r="G188" i="38"/>
  <c r="F188" i="38"/>
  <c r="E188" i="38"/>
  <c r="D188" i="38"/>
  <c r="M187" i="38"/>
  <c r="O186" i="38"/>
  <c r="L186" i="38"/>
  <c r="I186" i="38"/>
  <c r="F186" i="38"/>
  <c r="O185" i="38"/>
  <c r="L185" i="38"/>
  <c r="I185" i="38"/>
  <c r="I184" i="38" s="1"/>
  <c r="F185" i="38"/>
  <c r="F184" i="38" s="1"/>
  <c r="O184" i="38"/>
  <c r="N184" i="38"/>
  <c r="M184" i="38"/>
  <c r="K184" i="38"/>
  <c r="J184" i="38"/>
  <c r="H184" i="38"/>
  <c r="G184" i="38"/>
  <c r="E184" i="38"/>
  <c r="D184" i="38"/>
  <c r="O183" i="38"/>
  <c r="L183" i="38"/>
  <c r="I183" i="38"/>
  <c r="F183" i="38"/>
  <c r="O182" i="38"/>
  <c r="L182" i="38"/>
  <c r="I182" i="38"/>
  <c r="F182" i="38"/>
  <c r="O181" i="38"/>
  <c r="L181" i="38"/>
  <c r="I181" i="38"/>
  <c r="F181" i="38"/>
  <c r="O180" i="38"/>
  <c r="O179" i="38" s="1"/>
  <c r="L180" i="38"/>
  <c r="I180" i="38"/>
  <c r="F180" i="38"/>
  <c r="N179" i="38"/>
  <c r="M179" i="38"/>
  <c r="K179" i="38"/>
  <c r="J179" i="38"/>
  <c r="H179" i="38"/>
  <c r="G179" i="38"/>
  <c r="E179" i="38"/>
  <c r="D179" i="38"/>
  <c r="O178" i="38"/>
  <c r="L178" i="38"/>
  <c r="I178" i="38"/>
  <c r="F178" i="38"/>
  <c r="O177" i="38"/>
  <c r="L177" i="38"/>
  <c r="I177" i="38"/>
  <c r="F177" i="38"/>
  <c r="O176" i="38"/>
  <c r="O175" i="38" s="1"/>
  <c r="L176" i="38"/>
  <c r="I176" i="38"/>
  <c r="F176" i="38"/>
  <c r="F175" i="38" s="1"/>
  <c r="N175" i="38"/>
  <c r="M175" i="38"/>
  <c r="M174" i="38" s="1"/>
  <c r="M173" i="38" s="1"/>
  <c r="K175" i="38"/>
  <c r="J175" i="38"/>
  <c r="H175" i="38"/>
  <c r="G175" i="38"/>
  <c r="G174" i="38" s="1"/>
  <c r="G173" i="38" s="1"/>
  <c r="E175" i="38"/>
  <c r="D175" i="38"/>
  <c r="D174" i="38" s="1"/>
  <c r="J174" i="38"/>
  <c r="J173" i="38" s="1"/>
  <c r="O172" i="38"/>
  <c r="L172" i="38"/>
  <c r="I172" i="38"/>
  <c r="F172" i="38"/>
  <c r="O171" i="38"/>
  <c r="L171" i="38"/>
  <c r="I171" i="38"/>
  <c r="F171" i="38"/>
  <c r="O170" i="38"/>
  <c r="L170" i="38"/>
  <c r="I170" i="38"/>
  <c r="F170" i="38"/>
  <c r="O169" i="38"/>
  <c r="L169" i="38"/>
  <c r="I169" i="38"/>
  <c r="F169" i="38"/>
  <c r="O168" i="38"/>
  <c r="L168" i="38"/>
  <c r="I168" i="38"/>
  <c r="F168" i="38"/>
  <c r="O167" i="38"/>
  <c r="L167" i="38"/>
  <c r="I167" i="38"/>
  <c r="I166" i="38" s="1"/>
  <c r="I165" i="38" s="1"/>
  <c r="F167" i="38"/>
  <c r="N166" i="38"/>
  <c r="M166" i="38"/>
  <c r="M165" i="38" s="1"/>
  <c r="K166" i="38"/>
  <c r="K165" i="38" s="1"/>
  <c r="J166" i="38"/>
  <c r="J165" i="38" s="1"/>
  <c r="H166" i="38"/>
  <c r="H165" i="38" s="1"/>
  <c r="G166" i="38"/>
  <c r="E166" i="38"/>
  <c r="E165" i="38" s="1"/>
  <c r="D166" i="38"/>
  <c r="N165" i="38"/>
  <c r="G165" i="38"/>
  <c r="D165" i="38"/>
  <c r="O164" i="38"/>
  <c r="L164" i="38"/>
  <c r="I164" i="38"/>
  <c r="F164" i="38"/>
  <c r="O163" i="38"/>
  <c r="L163" i="38"/>
  <c r="I163" i="38"/>
  <c r="F163" i="38"/>
  <c r="O162" i="38"/>
  <c r="L162" i="38"/>
  <c r="I162" i="38"/>
  <c r="F162" i="38"/>
  <c r="O161" i="38"/>
  <c r="O160" i="38" s="1"/>
  <c r="L161" i="38"/>
  <c r="I161" i="38"/>
  <c r="F161" i="38"/>
  <c r="N160" i="38"/>
  <c r="M160" i="38"/>
  <c r="L160" i="38"/>
  <c r="K160" i="38"/>
  <c r="J160" i="38"/>
  <c r="H160" i="38"/>
  <c r="G160" i="38"/>
  <c r="F160" i="38"/>
  <c r="E160" i="38"/>
  <c r="D160" i="38"/>
  <c r="O159" i="38"/>
  <c r="L159" i="38"/>
  <c r="I159" i="38"/>
  <c r="F159" i="38"/>
  <c r="O158" i="38"/>
  <c r="L158" i="38"/>
  <c r="I158" i="38"/>
  <c r="F158" i="38"/>
  <c r="O157" i="38"/>
  <c r="L157" i="38"/>
  <c r="I157" i="38"/>
  <c r="F157" i="38"/>
  <c r="O156" i="38"/>
  <c r="L156" i="38"/>
  <c r="I156" i="38"/>
  <c r="F156" i="38"/>
  <c r="O155" i="38"/>
  <c r="L155" i="38"/>
  <c r="I155" i="38"/>
  <c r="F155" i="38"/>
  <c r="O154" i="38"/>
  <c r="L154" i="38"/>
  <c r="I154" i="38"/>
  <c r="F154" i="38"/>
  <c r="O153" i="38"/>
  <c r="L153" i="38"/>
  <c r="I153" i="38"/>
  <c r="F153" i="38"/>
  <c r="O152" i="38"/>
  <c r="L152" i="38"/>
  <c r="L151" i="38" s="1"/>
  <c r="I152" i="38"/>
  <c r="F152" i="38"/>
  <c r="N151" i="38"/>
  <c r="M151" i="38"/>
  <c r="K151" i="38"/>
  <c r="J151" i="38"/>
  <c r="H151" i="38"/>
  <c r="G151" i="38"/>
  <c r="E151" i="38"/>
  <c r="D151" i="38"/>
  <c r="O150" i="38"/>
  <c r="L150" i="38"/>
  <c r="I150" i="38"/>
  <c r="F150" i="38"/>
  <c r="O149" i="38"/>
  <c r="L149" i="38"/>
  <c r="I149" i="38"/>
  <c r="F149" i="38"/>
  <c r="O148" i="38"/>
  <c r="L148" i="38"/>
  <c r="I148" i="38"/>
  <c r="F148" i="38"/>
  <c r="O147" i="38"/>
  <c r="L147" i="38"/>
  <c r="I147" i="38"/>
  <c r="F147" i="38"/>
  <c r="O146" i="38"/>
  <c r="L146" i="38"/>
  <c r="I146" i="38"/>
  <c r="F146" i="38"/>
  <c r="O145" i="38"/>
  <c r="L145" i="38"/>
  <c r="C145" i="38" s="1"/>
  <c r="I145" i="38"/>
  <c r="F145" i="38"/>
  <c r="N144" i="38"/>
  <c r="M144" i="38"/>
  <c r="K144" i="38"/>
  <c r="J144" i="38"/>
  <c r="H144" i="38"/>
  <c r="G144" i="38"/>
  <c r="E144" i="38"/>
  <c r="D144" i="38"/>
  <c r="O143" i="38"/>
  <c r="L143" i="38"/>
  <c r="C143" i="38" s="1"/>
  <c r="I143" i="38"/>
  <c r="F143" i="38"/>
  <c r="O142" i="38"/>
  <c r="O141" i="38" s="1"/>
  <c r="L142" i="38"/>
  <c r="I142" i="38"/>
  <c r="F142" i="38"/>
  <c r="N141" i="38"/>
  <c r="M141" i="38"/>
  <c r="K141" i="38"/>
  <c r="J141" i="38"/>
  <c r="I141" i="38"/>
  <c r="H141" i="38"/>
  <c r="G141" i="38"/>
  <c r="E141" i="38"/>
  <c r="D141" i="38"/>
  <c r="O140" i="38"/>
  <c r="L140" i="38"/>
  <c r="I140" i="38"/>
  <c r="F140" i="38"/>
  <c r="O139" i="38"/>
  <c r="L139" i="38"/>
  <c r="I139" i="38"/>
  <c r="F139" i="38"/>
  <c r="O138" i="38"/>
  <c r="L138" i="38"/>
  <c r="I138" i="38"/>
  <c r="F138" i="38"/>
  <c r="O137" i="38"/>
  <c r="L137" i="38"/>
  <c r="I137" i="38"/>
  <c r="F137" i="38"/>
  <c r="N136" i="38"/>
  <c r="M136" i="38"/>
  <c r="K136" i="38"/>
  <c r="J136" i="38"/>
  <c r="I136" i="38"/>
  <c r="H136" i="38"/>
  <c r="G136" i="38"/>
  <c r="E136" i="38"/>
  <c r="D136" i="38"/>
  <c r="O135" i="38"/>
  <c r="L135" i="38"/>
  <c r="I135" i="38"/>
  <c r="F135" i="38"/>
  <c r="O134" i="38"/>
  <c r="L134" i="38"/>
  <c r="I134" i="38"/>
  <c r="F134" i="38"/>
  <c r="C134" i="38" s="1"/>
  <c r="O133" i="38"/>
  <c r="L133" i="38"/>
  <c r="I133" i="38"/>
  <c r="F133" i="38"/>
  <c r="O132" i="38"/>
  <c r="L132" i="38"/>
  <c r="I132" i="38"/>
  <c r="I131" i="38" s="1"/>
  <c r="F132" i="38"/>
  <c r="N131" i="38"/>
  <c r="M131" i="38"/>
  <c r="K131" i="38"/>
  <c r="J131" i="38"/>
  <c r="H131" i="38"/>
  <c r="G131" i="38"/>
  <c r="E131" i="38"/>
  <c r="D131" i="38"/>
  <c r="O129" i="38"/>
  <c r="O128" i="38" s="1"/>
  <c r="L129" i="38"/>
  <c r="I129" i="38"/>
  <c r="I128" i="38" s="1"/>
  <c r="F129" i="38"/>
  <c r="N128" i="38"/>
  <c r="M128" i="38"/>
  <c r="L128" i="38"/>
  <c r="K128" i="38"/>
  <c r="J128" i="38"/>
  <c r="H128" i="38"/>
  <c r="G128" i="38"/>
  <c r="E128" i="38"/>
  <c r="D128" i="38"/>
  <c r="O127" i="38"/>
  <c r="L127" i="38"/>
  <c r="I127" i="38"/>
  <c r="F127" i="38"/>
  <c r="O126" i="38"/>
  <c r="L126" i="38"/>
  <c r="I126" i="38"/>
  <c r="C126" i="38" s="1"/>
  <c r="F126" i="38"/>
  <c r="O125" i="38"/>
  <c r="L125" i="38"/>
  <c r="I125" i="38"/>
  <c r="F125" i="38"/>
  <c r="O124" i="38"/>
  <c r="L124" i="38"/>
  <c r="I124" i="38"/>
  <c r="F124" i="38"/>
  <c r="O123" i="38"/>
  <c r="L123" i="38"/>
  <c r="I123" i="38"/>
  <c r="F123" i="38"/>
  <c r="N122" i="38"/>
  <c r="M122" i="38"/>
  <c r="K122" i="38"/>
  <c r="J122" i="38"/>
  <c r="H122" i="38"/>
  <c r="G122" i="38"/>
  <c r="E122" i="38"/>
  <c r="D122" i="38"/>
  <c r="O121" i="38"/>
  <c r="L121" i="38"/>
  <c r="I121" i="38"/>
  <c r="F121" i="38"/>
  <c r="O120" i="38"/>
  <c r="L120" i="38"/>
  <c r="I120" i="38"/>
  <c r="F120" i="38"/>
  <c r="O119" i="38"/>
  <c r="L119" i="38"/>
  <c r="I119" i="38"/>
  <c r="F119" i="38"/>
  <c r="O118" i="38"/>
  <c r="L118" i="38"/>
  <c r="I118" i="38"/>
  <c r="F118" i="38"/>
  <c r="O117" i="38"/>
  <c r="L117" i="38"/>
  <c r="I117" i="38"/>
  <c r="F117" i="38"/>
  <c r="N116" i="38"/>
  <c r="M116" i="38"/>
  <c r="K116" i="38"/>
  <c r="J116" i="38"/>
  <c r="H116" i="38"/>
  <c r="G116" i="38"/>
  <c r="E116" i="38"/>
  <c r="D116" i="38"/>
  <c r="O115" i="38"/>
  <c r="L115" i="38"/>
  <c r="I115" i="38"/>
  <c r="F115" i="38"/>
  <c r="O114" i="38"/>
  <c r="L114" i="38"/>
  <c r="I114" i="38"/>
  <c r="F114" i="38"/>
  <c r="O113" i="38"/>
  <c r="L113" i="38"/>
  <c r="I113" i="38"/>
  <c r="I112" i="38" s="1"/>
  <c r="F113" i="38"/>
  <c r="N112" i="38"/>
  <c r="M112" i="38"/>
  <c r="K112" i="38"/>
  <c r="J112" i="38"/>
  <c r="H112" i="38"/>
  <c r="G112" i="38"/>
  <c r="E112" i="38"/>
  <c r="D112" i="38"/>
  <c r="O111" i="38"/>
  <c r="L111" i="38"/>
  <c r="I111" i="38"/>
  <c r="F111" i="38"/>
  <c r="O110" i="38"/>
  <c r="L110" i="38"/>
  <c r="I110" i="38"/>
  <c r="F110" i="38"/>
  <c r="O109" i="38"/>
  <c r="L109" i="38"/>
  <c r="I109" i="38"/>
  <c r="F109" i="38"/>
  <c r="O108" i="38"/>
  <c r="L108" i="38"/>
  <c r="I108" i="38"/>
  <c r="F108" i="38"/>
  <c r="O107" i="38"/>
  <c r="L107" i="38"/>
  <c r="I107" i="38"/>
  <c r="F107" i="38"/>
  <c r="O106" i="38"/>
  <c r="L106" i="38"/>
  <c r="I106" i="38"/>
  <c r="F106" i="38"/>
  <c r="O105" i="38"/>
  <c r="L105" i="38"/>
  <c r="I105" i="38"/>
  <c r="F105" i="38"/>
  <c r="O104" i="38"/>
  <c r="L104" i="38"/>
  <c r="I104" i="38"/>
  <c r="F104" i="38"/>
  <c r="N103" i="38"/>
  <c r="M103" i="38"/>
  <c r="K103" i="38"/>
  <c r="J103" i="38"/>
  <c r="H103" i="38"/>
  <c r="G103" i="38"/>
  <c r="E103" i="38"/>
  <c r="D103" i="38"/>
  <c r="O102" i="38"/>
  <c r="L102" i="38"/>
  <c r="I102" i="38"/>
  <c r="F102" i="38"/>
  <c r="O101" i="38"/>
  <c r="L101" i="38"/>
  <c r="I101" i="38"/>
  <c r="F101" i="38"/>
  <c r="O100" i="38"/>
  <c r="L100" i="38"/>
  <c r="I100" i="38"/>
  <c r="F100" i="38"/>
  <c r="O99" i="38"/>
  <c r="L99" i="38"/>
  <c r="I99" i="38"/>
  <c r="F99" i="38"/>
  <c r="O98" i="38"/>
  <c r="L98" i="38"/>
  <c r="I98" i="38"/>
  <c r="F98" i="38"/>
  <c r="O97" i="38"/>
  <c r="L97" i="38"/>
  <c r="I97" i="38"/>
  <c r="F97" i="38"/>
  <c r="O96" i="38"/>
  <c r="L96" i="38"/>
  <c r="I96" i="38"/>
  <c r="F96" i="38"/>
  <c r="F95" i="38" s="1"/>
  <c r="N95" i="38"/>
  <c r="M95" i="38"/>
  <c r="K95" i="38"/>
  <c r="J95" i="38"/>
  <c r="H95" i="38"/>
  <c r="G95" i="38"/>
  <c r="E95" i="38"/>
  <c r="D95" i="38"/>
  <c r="O94" i="38"/>
  <c r="L94" i="38"/>
  <c r="I94" i="38"/>
  <c r="F94" i="38"/>
  <c r="C94" i="38" s="1"/>
  <c r="O93" i="38"/>
  <c r="L93" i="38"/>
  <c r="I93" i="38"/>
  <c r="F93" i="38"/>
  <c r="O92" i="38"/>
  <c r="L92" i="38"/>
  <c r="I92" i="38"/>
  <c r="F92" i="38"/>
  <c r="O91" i="38"/>
  <c r="L91" i="38"/>
  <c r="I91" i="38"/>
  <c r="F91" i="38"/>
  <c r="O90" i="38"/>
  <c r="L90" i="38"/>
  <c r="I90" i="38"/>
  <c r="F90" i="38"/>
  <c r="N89" i="38"/>
  <c r="M89" i="38"/>
  <c r="L89" i="38"/>
  <c r="K89" i="38"/>
  <c r="J89" i="38"/>
  <c r="H89" i="38"/>
  <c r="G89" i="38"/>
  <c r="E89" i="38"/>
  <c r="D89" i="38"/>
  <c r="O88" i="38"/>
  <c r="L88" i="38"/>
  <c r="I88" i="38"/>
  <c r="F88" i="38"/>
  <c r="O87" i="38"/>
  <c r="L87" i="38"/>
  <c r="I87" i="38"/>
  <c r="F87" i="38"/>
  <c r="O86" i="38"/>
  <c r="L86" i="38"/>
  <c r="I86" i="38"/>
  <c r="F86" i="38"/>
  <c r="O85" i="38"/>
  <c r="O84" i="38" s="1"/>
  <c r="L85" i="38"/>
  <c r="I85" i="38"/>
  <c r="I84" i="38" s="1"/>
  <c r="F85" i="38"/>
  <c r="N84" i="38"/>
  <c r="M84" i="38"/>
  <c r="K84" i="38"/>
  <c r="J84" i="38"/>
  <c r="H84" i="38"/>
  <c r="G84" i="38"/>
  <c r="E84" i="38"/>
  <c r="D84" i="38"/>
  <c r="O82" i="38"/>
  <c r="L82" i="38"/>
  <c r="I82" i="38"/>
  <c r="F82" i="38"/>
  <c r="O81" i="38"/>
  <c r="L81" i="38"/>
  <c r="I81" i="38"/>
  <c r="I80" i="38" s="1"/>
  <c r="F81" i="38"/>
  <c r="N80" i="38"/>
  <c r="M80" i="38"/>
  <c r="K80" i="38"/>
  <c r="J80" i="38"/>
  <c r="H80" i="38"/>
  <c r="G80" i="38"/>
  <c r="E80" i="38"/>
  <c r="D80" i="38"/>
  <c r="O79" i="38"/>
  <c r="L79" i="38"/>
  <c r="I79" i="38"/>
  <c r="F79" i="38"/>
  <c r="O78" i="38"/>
  <c r="O77" i="38" s="1"/>
  <c r="L78" i="38"/>
  <c r="I78" i="38"/>
  <c r="I77" i="38" s="1"/>
  <c r="I76" i="38" s="1"/>
  <c r="F78" i="38"/>
  <c r="F77" i="38" s="1"/>
  <c r="N77" i="38"/>
  <c r="N76" i="38" s="1"/>
  <c r="M77" i="38"/>
  <c r="M76" i="38" s="1"/>
  <c r="K77" i="38"/>
  <c r="K76" i="38" s="1"/>
  <c r="J77" i="38"/>
  <c r="H77" i="38"/>
  <c r="G77" i="38"/>
  <c r="G76" i="38" s="1"/>
  <c r="D77" i="38"/>
  <c r="D76" i="38" s="1"/>
  <c r="O74" i="38"/>
  <c r="L74" i="38"/>
  <c r="I74" i="38"/>
  <c r="F74" i="38"/>
  <c r="O73" i="38"/>
  <c r="L73" i="38"/>
  <c r="I73" i="38"/>
  <c r="F73" i="38"/>
  <c r="O72" i="38"/>
  <c r="L72" i="38"/>
  <c r="I72" i="38"/>
  <c r="F72" i="38"/>
  <c r="O71" i="38"/>
  <c r="L71" i="38"/>
  <c r="I71" i="38"/>
  <c r="F71" i="38"/>
  <c r="O70" i="38"/>
  <c r="L70" i="38"/>
  <c r="I70" i="38"/>
  <c r="F70" i="38"/>
  <c r="F69" i="38" s="1"/>
  <c r="N69" i="38"/>
  <c r="M69" i="38"/>
  <c r="M67" i="38" s="1"/>
  <c r="K69" i="38"/>
  <c r="K67" i="38" s="1"/>
  <c r="J69" i="38"/>
  <c r="J67" i="38" s="1"/>
  <c r="H69" i="38"/>
  <c r="H67" i="38" s="1"/>
  <c r="G69" i="38"/>
  <c r="E69" i="38"/>
  <c r="E67" i="38" s="1"/>
  <c r="D69" i="38"/>
  <c r="D67" i="38" s="1"/>
  <c r="O68" i="38"/>
  <c r="L68" i="38"/>
  <c r="I68" i="38"/>
  <c r="F68" i="38"/>
  <c r="N67" i="38"/>
  <c r="G67" i="38"/>
  <c r="O66" i="38"/>
  <c r="L66" i="38"/>
  <c r="I66" i="38"/>
  <c r="F66" i="38"/>
  <c r="C66" i="38" s="1"/>
  <c r="O65" i="38"/>
  <c r="L65" i="38"/>
  <c r="I65" i="38"/>
  <c r="F65" i="38"/>
  <c r="O64" i="38"/>
  <c r="L64" i="38"/>
  <c r="I64" i="38"/>
  <c r="F64" i="38"/>
  <c r="O63" i="38"/>
  <c r="L63" i="38"/>
  <c r="I63" i="38"/>
  <c r="F63" i="38"/>
  <c r="O62" i="38"/>
  <c r="L62" i="38"/>
  <c r="I62" i="38"/>
  <c r="F62" i="38"/>
  <c r="O61" i="38"/>
  <c r="L61" i="38"/>
  <c r="I61" i="38"/>
  <c r="F61" i="38"/>
  <c r="O60" i="38"/>
  <c r="L60" i="38"/>
  <c r="I60" i="38"/>
  <c r="F60" i="38"/>
  <c r="O59" i="38"/>
  <c r="L59" i="38"/>
  <c r="I59" i="38"/>
  <c r="F59" i="38"/>
  <c r="O58" i="38"/>
  <c r="N58" i="38"/>
  <c r="M58" i="38"/>
  <c r="K58" i="38"/>
  <c r="J58" i="38"/>
  <c r="H58" i="38"/>
  <c r="G58" i="38"/>
  <c r="E58" i="38"/>
  <c r="D58" i="38"/>
  <c r="O57" i="38"/>
  <c r="L57" i="38"/>
  <c r="I57" i="38"/>
  <c r="F57" i="38"/>
  <c r="O56" i="38"/>
  <c r="L56" i="38"/>
  <c r="L55" i="38" s="1"/>
  <c r="I56" i="38"/>
  <c r="F56" i="38"/>
  <c r="O55" i="38"/>
  <c r="N55" i="38"/>
  <c r="N54" i="38" s="1"/>
  <c r="M55" i="38"/>
  <c r="K55" i="38"/>
  <c r="J55" i="38"/>
  <c r="H55" i="38"/>
  <c r="H54" i="38" s="1"/>
  <c r="G55" i="38"/>
  <c r="F55" i="38"/>
  <c r="E55" i="38"/>
  <c r="E54" i="38" s="1"/>
  <c r="D55" i="38"/>
  <c r="O47" i="38"/>
  <c r="C47" i="38" s="1"/>
  <c r="O46" i="38"/>
  <c r="N45" i="38"/>
  <c r="M45" i="38"/>
  <c r="L44" i="38"/>
  <c r="L43" i="38" s="1"/>
  <c r="I44" i="38"/>
  <c r="I43" i="38" s="1"/>
  <c r="F44" i="38"/>
  <c r="K43" i="38"/>
  <c r="J43" i="38"/>
  <c r="H43" i="38"/>
  <c r="G43" i="38"/>
  <c r="F43" i="38"/>
  <c r="E43" i="38"/>
  <c r="D43" i="38"/>
  <c r="F42" i="38"/>
  <c r="F41" i="38" s="1"/>
  <c r="C41" i="38" s="1"/>
  <c r="E41" i="38"/>
  <c r="D41" i="38"/>
  <c r="L40" i="38"/>
  <c r="C40" i="38" s="1"/>
  <c r="L39" i="38"/>
  <c r="C39" i="38" s="1"/>
  <c r="L38" i="38"/>
  <c r="C38" i="38" s="1"/>
  <c r="L37" i="38"/>
  <c r="K36" i="38"/>
  <c r="J36" i="38"/>
  <c r="L35" i="38"/>
  <c r="C35" i="38" s="1"/>
  <c r="L34" i="38"/>
  <c r="K33" i="38"/>
  <c r="J33" i="38"/>
  <c r="L32" i="38"/>
  <c r="C32" i="38" s="1"/>
  <c r="K31" i="38"/>
  <c r="J31" i="38"/>
  <c r="L30" i="38"/>
  <c r="C30" i="38" s="1"/>
  <c r="L29" i="38"/>
  <c r="C29" i="38" s="1"/>
  <c r="L28" i="38"/>
  <c r="C28" i="38" s="1"/>
  <c r="K27" i="38"/>
  <c r="J27" i="38"/>
  <c r="F25" i="38"/>
  <c r="C25" i="38" s="1"/>
  <c r="I24" i="38"/>
  <c r="F24" i="38"/>
  <c r="O23" i="38"/>
  <c r="L23" i="38"/>
  <c r="I23" i="38"/>
  <c r="F23" i="38"/>
  <c r="O22" i="38"/>
  <c r="L22" i="38"/>
  <c r="L21" i="38" s="1"/>
  <c r="I22" i="38"/>
  <c r="F22" i="38"/>
  <c r="F21" i="38" s="1"/>
  <c r="F292" i="38" s="1"/>
  <c r="N21" i="38"/>
  <c r="N292" i="38" s="1"/>
  <c r="M21" i="38"/>
  <c r="M292" i="38" s="1"/>
  <c r="M291" i="38" s="1"/>
  <c r="K21" i="38"/>
  <c r="J21" i="38"/>
  <c r="J292" i="38" s="1"/>
  <c r="J291" i="38" s="1"/>
  <c r="H21" i="38"/>
  <c r="H292" i="38" s="1"/>
  <c r="H291" i="38" s="1"/>
  <c r="G21" i="38"/>
  <c r="E21" i="38"/>
  <c r="E292" i="38" s="1"/>
  <c r="E291" i="38" s="1"/>
  <c r="D21" i="38"/>
  <c r="D292" i="38" s="1"/>
  <c r="D291" i="38" s="1"/>
  <c r="C22" i="38" l="1"/>
  <c r="J26" i="38"/>
  <c r="C62" i="38"/>
  <c r="C65" i="38"/>
  <c r="C118" i="38"/>
  <c r="C211" i="38"/>
  <c r="C212" i="38"/>
  <c r="C213" i="38"/>
  <c r="C92" i="38"/>
  <c r="C93" i="38"/>
  <c r="C98" i="38"/>
  <c r="C279" i="38"/>
  <c r="L31" i="38"/>
  <c r="C31" i="38" s="1"/>
  <c r="C74" i="38"/>
  <c r="C73" i="38"/>
  <c r="C214" i="38"/>
  <c r="C266" i="38"/>
  <c r="C287" i="38"/>
  <c r="D20" i="38"/>
  <c r="N20" i="38"/>
  <c r="H53" i="38"/>
  <c r="N53" i="38"/>
  <c r="M54" i="38"/>
  <c r="M53" i="38" s="1"/>
  <c r="L80" i="38"/>
  <c r="C97" i="38"/>
  <c r="C114" i="38"/>
  <c r="K130" i="38"/>
  <c r="C138" i="38"/>
  <c r="C140" i="38"/>
  <c r="O144" i="38"/>
  <c r="C161" i="38"/>
  <c r="N174" i="38"/>
  <c r="N173" i="38" s="1"/>
  <c r="C203" i="38"/>
  <c r="C226" i="38"/>
  <c r="G231" i="38"/>
  <c r="G230" i="38" s="1"/>
  <c r="C242" i="38"/>
  <c r="C250" i="38"/>
  <c r="C258" i="38"/>
  <c r="C298" i="38"/>
  <c r="O103" i="38"/>
  <c r="O21" i="38"/>
  <c r="E20" i="38"/>
  <c r="C106" i="38"/>
  <c r="C124" i="38"/>
  <c r="O122" i="38"/>
  <c r="C156" i="38"/>
  <c r="C185" i="38"/>
  <c r="F196" i="38"/>
  <c r="M204" i="38"/>
  <c r="M195" i="38" s="1"/>
  <c r="C223" i="38"/>
  <c r="C255" i="38"/>
  <c r="C278" i="38"/>
  <c r="C42" i="38"/>
  <c r="K54" i="38"/>
  <c r="K53" i="38" s="1"/>
  <c r="O54" i="38"/>
  <c r="J76" i="38"/>
  <c r="C111" i="38"/>
  <c r="I116" i="38"/>
  <c r="C149" i="38"/>
  <c r="C153" i="38"/>
  <c r="C176" i="38"/>
  <c r="K174" i="38"/>
  <c r="E187" i="38"/>
  <c r="C206" i="38"/>
  <c r="M231" i="38"/>
  <c r="J259" i="38"/>
  <c r="C262" i="38"/>
  <c r="H259" i="38"/>
  <c r="K269" i="38"/>
  <c r="C275" i="38"/>
  <c r="F89" i="38"/>
  <c r="C90" i="38"/>
  <c r="C68" i="38"/>
  <c r="F67" i="38"/>
  <c r="D130" i="38"/>
  <c r="D54" i="38"/>
  <c r="D53" i="38" s="1"/>
  <c r="C82" i="38"/>
  <c r="J83" i="38"/>
  <c r="C105" i="38"/>
  <c r="G130" i="38"/>
  <c r="C157" i="38"/>
  <c r="I205" i="38"/>
  <c r="I204" i="38" s="1"/>
  <c r="N204" i="38"/>
  <c r="N195" i="38" s="1"/>
  <c r="K204" i="38"/>
  <c r="K195" i="38" s="1"/>
  <c r="C228" i="38"/>
  <c r="C229" i="38"/>
  <c r="F179" i="38"/>
  <c r="C180" i="38"/>
  <c r="C193" i="38"/>
  <c r="F192" i="38"/>
  <c r="C43" i="38"/>
  <c r="I175" i="38"/>
  <c r="D195" i="38"/>
  <c r="F233" i="38"/>
  <c r="C234" i="38"/>
  <c r="D83" i="38"/>
  <c r="C91" i="38"/>
  <c r="C102" i="38"/>
  <c r="C104" i="38"/>
  <c r="K83" i="38"/>
  <c r="K75" i="38" s="1"/>
  <c r="C135" i="38"/>
  <c r="F141" i="38"/>
  <c r="C142" i="38"/>
  <c r="K173" i="38"/>
  <c r="I21" i="38"/>
  <c r="L33" i="38"/>
  <c r="C33" i="38" s="1"/>
  <c r="C34" i="38"/>
  <c r="L36" i="38"/>
  <c r="C36" i="38" s="1"/>
  <c r="C63" i="38"/>
  <c r="C71" i="38"/>
  <c r="C86" i="38"/>
  <c r="L95" i="38"/>
  <c r="C110" i="38"/>
  <c r="N130" i="38"/>
  <c r="C164" i="38"/>
  <c r="C168" i="38"/>
  <c r="C172" i="38"/>
  <c r="C202" i="38"/>
  <c r="C218" i="38"/>
  <c r="F216" i="38"/>
  <c r="C222" i="38"/>
  <c r="K231" i="38"/>
  <c r="K230" i="38" s="1"/>
  <c r="K194" i="38" s="1"/>
  <c r="C236" i="38"/>
  <c r="C237" i="38"/>
  <c r="C274" i="38"/>
  <c r="I286" i="38"/>
  <c r="C295" i="38"/>
  <c r="L293" i="38"/>
  <c r="L292" i="38"/>
  <c r="C23" i="38"/>
  <c r="K26" i="38"/>
  <c r="C44" i="38"/>
  <c r="J54" i="38"/>
  <c r="O69" i="38"/>
  <c r="O67" i="38" s="1"/>
  <c r="H76" i="38"/>
  <c r="C79" i="38"/>
  <c r="C101" i="38"/>
  <c r="C107" i="38"/>
  <c r="O116" i="38"/>
  <c r="G83" i="38"/>
  <c r="I122" i="38"/>
  <c r="J130" i="38"/>
  <c r="C132" i="38"/>
  <c r="C133" i="38"/>
  <c r="O131" i="38"/>
  <c r="C155" i="38"/>
  <c r="C163" i="38"/>
  <c r="E174" i="38"/>
  <c r="E173" i="38" s="1"/>
  <c r="I187" i="38"/>
  <c r="H187" i="38"/>
  <c r="D187" i="38"/>
  <c r="H204" i="38"/>
  <c r="H195" i="38" s="1"/>
  <c r="C224" i="38"/>
  <c r="C225" i="38"/>
  <c r="G204" i="38"/>
  <c r="G195" i="38" s="1"/>
  <c r="G194" i="38" s="1"/>
  <c r="J231" i="38"/>
  <c r="J230" i="38" s="1"/>
  <c r="I252" i="38"/>
  <c r="I251" i="38" s="1"/>
  <c r="C256" i="38"/>
  <c r="C257" i="38"/>
  <c r="F260" i="38"/>
  <c r="C261" i="38"/>
  <c r="O260" i="38"/>
  <c r="C268" i="38"/>
  <c r="L276" i="38"/>
  <c r="L270" i="38" s="1"/>
  <c r="L269" i="38" s="1"/>
  <c r="C294" i="38"/>
  <c r="O293" i="38"/>
  <c r="N291" i="38"/>
  <c r="O45" i="38"/>
  <c r="C45" i="38" s="1"/>
  <c r="G54" i="38"/>
  <c r="G53" i="38" s="1"/>
  <c r="E53" i="38"/>
  <c r="I69" i="38"/>
  <c r="I67" i="38" s="1"/>
  <c r="I89" i="38"/>
  <c r="N83" i="38"/>
  <c r="C99" i="38"/>
  <c r="C109" i="38"/>
  <c r="C121" i="38"/>
  <c r="C127" i="38"/>
  <c r="H130" i="38"/>
  <c r="C150" i="38"/>
  <c r="I151" i="38"/>
  <c r="C167" i="38"/>
  <c r="O166" i="38"/>
  <c r="O165" i="38" s="1"/>
  <c r="H174" i="38"/>
  <c r="H173" i="38" s="1"/>
  <c r="I179" i="38"/>
  <c r="J187" i="38"/>
  <c r="E204" i="38"/>
  <c r="C210" i="38"/>
  <c r="C215" i="38"/>
  <c r="J204" i="38"/>
  <c r="J195" i="38" s="1"/>
  <c r="C217" i="38"/>
  <c r="C243" i="38"/>
  <c r="I246" i="38"/>
  <c r="L252" i="38"/>
  <c r="L251" i="38" s="1"/>
  <c r="C265" i="38"/>
  <c r="O264" i="38"/>
  <c r="N270" i="38"/>
  <c r="N269" i="38" s="1"/>
  <c r="O272" i="38"/>
  <c r="I276" i="38"/>
  <c r="I270" i="38" s="1"/>
  <c r="I269" i="38" s="1"/>
  <c r="I293" i="38"/>
  <c r="C300" i="38"/>
  <c r="E76" i="38"/>
  <c r="C78" i="38"/>
  <c r="O292" i="38"/>
  <c r="O291" i="38" s="1"/>
  <c r="O20" i="38"/>
  <c r="C21" i="38"/>
  <c r="G292" i="38"/>
  <c r="G291" i="38" s="1"/>
  <c r="G20" i="38"/>
  <c r="C81" i="38"/>
  <c r="F80" i="38"/>
  <c r="C129" i="38"/>
  <c r="F128" i="38"/>
  <c r="C128" i="38" s="1"/>
  <c r="C301" i="38"/>
  <c r="F291" i="38"/>
  <c r="C24" i="38"/>
  <c r="F20" i="38"/>
  <c r="C61" i="38"/>
  <c r="F58" i="38"/>
  <c r="C70" i="38"/>
  <c r="L116" i="38"/>
  <c r="C119" i="38"/>
  <c r="E130" i="38"/>
  <c r="F151" i="38"/>
  <c r="C152" i="38"/>
  <c r="L188" i="38"/>
  <c r="C189" i="38"/>
  <c r="M20" i="38"/>
  <c r="L27" i="38"/>
  <c r="C46" i="38"/>
  <c r="J53" i="38"/>
  <c r="C60" i="38"/>
  <c r="I58" i="38"/>
  <c r="C64" i="38"/>
  <c r="L69" i="38"/>
  <c r="L67" i="38" s="1"/>
  <c r="C72" i="38"/>
  <c r="L77" i="38"/>
  <c r="L76" i="38" s="1"/>
  <c r="C77" i="38"/>
  <c r="F76" i="38"/>
  <c r="C88" i="38"/>
  <c r="C96" i="38"/>
  <c r="O95" i="38"/>
  <c r="F103" i="38"/>
  <c r="I103" i="38"/>
  <c r="C108" i="38"/>
  <c r="C117" i="38"/>
  <c r="F116" i="38"/>
  <c r="F131" i="38"/>
  <c r="O136" i="38"/>
  <c r="L136" i="38"/>
  <c r="C139" i="38"/>
  <c r="F166" i="38"/>
  <c r="C177" i="38"/>
  <c r="L175" i="38"/>
  <c r="C241" i="38"/>
  <c r="F238" i="38"/>
  <c r="C247" i="38"/>
  <c r="L246" i="38"/>
  <c r="I55" i="38"/>
  <c r="C56" i="38"/>
  <c r="L84" i="38"/>
  <c r="C87" i="38"/>
  <c r="C113" i="38"/>
  <c r="F112" i="38"/>
  <c r="I144" i="38"/>
  <c r="L166" i="38"/>
  <c r="L165" i="38" s="1"/>
  <c r="C169" i="38"/>
  <c r="J20" i="38"/>
  <c r="E83" i="38"/>
  <c r="C85" i="38"/>
  <c r="F84" i="38"/>
  <c r="C125" i="38"/>
  <c r="F122" i="38"/>
  <c r="E195" i="38"/>
  <c r="C200" i="38"/>
  <c r="I198" i="38"/>
  <c r="H20" i="38"/>
  <c r="K292" i="38"/>
  <c r="K291" i="38" s="1"/>
  <c r="K20" i="38"/>
  <c r="C37" i="38"/>
  <c r="F54" i="38"/>
  <c r="C57" i="38"/>
  <c r="L58" i="38"/>
  <c r="L54" i="38" s="1"/>
  <c r="C59" i="38"/>
  <c r="D75" i="38"/>
  <c r="O80" i="38"/>
  <c r="O76" i="38" s="1"/>
  <c r="H83" i="38"/>
  <c r="M83" i="38"/>
  <c r="M75" i="38" s="1"/>
  <c r="M52" i="38" s="1"/>
  <c r="O89" i="38"/>
  <c r="I95" i="38"/>
  <c r="C95" i="38" s="1"/>
  <c r="C100" i="38"/>
  <c r="L103" i="38"/>
  <c r="O112" i="38"/>
  <c r="L112" i="38"/>
  <c r="C115" i="38"/>
  <c r="C120" i="38"/>
  <c r="C123" i="38"/>
  <c r="L122" i="38"/>
  <c r="M130" i="38"/>
  <c r="L131" i="38"/>
  <c r="C137" i="38"/>
  <c r="F136" i="38"/>
  <c r="L141" i="38"/>
  <c r="C141" i="38"/>
  <c r="C148" i="38"/>
  <c r="F144" i="38"/>
  <c r="O174" i="38"/>
  <c r="O173" i="38" s="1"/>
  <c r="C181" i="38"/>
  <c r="L179" i="38"/>
  <c r="F259" i="38"/>
  <c r="C162" i="38"/>
  <c r="I160" i="38"/>
  <c r="C160" i="38" s="1"/>
  <c r="G187" i="38"/>
  <c r="C199" i="38"/>
  <c r="L198" i="38"/>
  <c r="L196" i="38" s="1"/>
  <c r="C227" i="38"/>
  <c r="L144" i="38"/>
  <c r="C154" i="38"/>
  <c r="C170" i="38"/>
  <c r="C171" i="38"/>
  <c r="D173" i="38"/>
  <c r="C178" i="38"/>
  <c r="C182" i="38"/>
  <c r="C183" i="38"/>
  <c r="L184" i="38"/>
  <c r="C184" i="38" s="1"/>
  <c r="C190" i="38"/>
  <c r="I196" i="38"/>
  <c r="I195" i="38" s="1"/>
  <c r="O196" i="38"/>
  <c r="C207" i="38"/>
  <c r="L205" i="38"/>
  <c r="L231" i="38"/>
  <c r="C254" i="38"/>
  <c r="F252" i="38"/>
  <c r="I264" i="38"/>
  <c r="I259" i="38" s="1"/>
  <c r="L264" i="38"/>
  <c r="C267" i="38"/>
  <c r="C277" i="38"/>
  <c r="O276" i="38"/>
  <c r="O270" i="38" s="1"/>
  <c r="O269" i="38" s="1"/>
  <c r="C282" i="38"/>
  <c r="C288" i="38"/>
  <c r="C235" i="38"/>
  <c r="C284" i="38"/>
  <c r="F283" i="38"/>
  <c r="C283" i="38" s="1"/>
  <c r="C146" i="38"/>
  <c r="C147" i="38"/>
  <c r="O151" i="38"/>
  <c r="C158" i="38"/>
  <c r="C159" i="38"/>
  <c r="F174" i="38"/>
  <c r="C186" i="38"/>
  <c r="O205" i="38"/>
  <c r="O216" i="38"/>
  <c r="L216" i="38"/>
  <c r="C219" i="38"/>
  <c r="N230" i="38"/>
  <c r="O238" i="38"/>
  <c r="O231" i="38" s="1"/>
  <c r="L260" i="38"/>
  <c r="C263" i="38"/>
  <c r="C273" i="38"/>
  <c r="F272" i="38"/>
  <c r="C281" i="38"/>
  <c r="C286" i="38"/>
  <c r="C197" i="38"/>
  <c r="F205" i="38"/>
  <c r="H231" i="38"/>
  <c r="H230" i="38" s="1"/>
  <c r="C233" i="38"/>
  <c r="C240" i="38"/>
  <c r="I238" i="38"/>
  <c r="E270" i="38"/>
  <c r="E269" i="38" s="1"/>
  <c r="C280" i="38"/>
  <c r="C296" i="38"/>
  <c r="C297" i="38"/>
  <c r="L291" i="38"/>
  <c r="C201" i="38"/>
  <c r="C208" i="38"/>
  <c r="C209" i="38"/>
  <c r="C220" i="38"/>
  <c r="C221" i="38"/>
  <c r="C232" i="38"/>
  <c r="D231" i="38"/>
  <c r="D230" i="38" s="1"/>
  <c r="M230" i="38"/>
  <c r="C244" i="38"/>
  <c r="C245" i="38"/>
  <c r="C248" i="38"/>
  <c r="C249" i="38"/>
  <c r="F246" i="38"/>
  <c r="C246" i="38" s="1"/>
  <c r="C253" i="38"/>
  <c r="O252" i="38"/>
  <c r="O251" i="38" s="1"/>
  <c r="J270" i="38"/>
  <c r="J269" i="38" s="1"/>
  <c r="J194" i="38" s="1"/>
  <c r="C285" i="38"/>
  <c r="G75" i="38" l="1"/>
  <c r="K52" i="38"/>
  <c r="K51" i="38" s="1"/>
  <c r="K50" i="38" s="1"/>
  <c r="K289" i="38"/>
  <c r="I130" i="38"/>
  <c r="I75" i="38" s="1"/>
  <c r="I83" i="38"/>
  <c r="C216" i="38"/>
  <c r="C179" i="38"/>
  <c r="C116" i="38"/>
  <c r="C69" i="38"/>
  <c r="C293" i="38"/>
  <c r="O53" i="38"/>
  <c r="D194" i="38"/>
  <c r="H194" i="38"/>
  <c r="C264" i="38"/>
  <c r="N194" i="38"/>
  <c r="G289" i="38"/>
  <c r="D289" i="38"/>
  <c r="E194" i="38"/>
  <c r="E75" i="38"/>
  <c r="E52" i="38" s="1"/>
  <c r="I292" i="38"/>
  <c r="I20" i="38"/>
  <c r="C198" i="38"/>
  <c r="M289" i="38"/>
  <c r="C196" i="38"/>
  <c r="L130" i="38"/>
  <c r="O83" i="38"/>
  <c r="D52" i="38"/>
  <c r="D51" i="38" s="1"/>
  <c r="D290" i="38" s="1"/>
  <c r="O130" i="38"/>
  <c r="C67" i="38"/>
  <c r="G52" i="38"/>
  <c r="G51" i="38" s="1"/>
  <c r="G290" i="38" s="1"/>
  <c r="O259" i="38"/>
  <c r="O230" i="38" s="1"/>
  <c r="I174" i="38"/>
  <c r="I173" i="38" s="1"/>
  <c r="J75" i="38"/>
  <c r="J289" i="38" s="1"/>
  <c r="I231" i="38"/>
  <c r="I230" i="38" s="1"/>
  <c r="I194" i="38" s="1"/>
  <c r="C276" i="38"/>
  <c r="C175" i="38"/>
  <c r="H75" i="38"/>
  <c r="H52" i="38" s="1"/>
  <c r="H51" i="38" s="1"/>
  <c r="N75" i="38"/>
  <c r="N52" i="38" s="1"/>
  <c r="F191" i="38"/>
  <c r="C192" i="38"/>
  <c r="H289" i="38"/>
  <c r="D50" i="38"/>
  <c r="C84" i="38"/>
  <c r="F83" i="38"/>
  <c r="O204" i="38"/>
  <c r="O195" i="38" s="1"/>
  <c r="C89" i="38"/>
  <c r="C166" i="38"/>
  <c r="F165" i="38"/>
  <c r="C165" i="38" s="1"/>
  <c r="F270" i="38"/>
  <c r="C272" i="38"/>
  <c r="L259" i="38"/>
  <c r="L230" i="38" s="1"/>
  <c r="M194" i="38"/>
  <c r="C252" i="38"/>
  <c r="F251" i="38"/>
  <c r="C251" i="38" s="1"/>
  <c r="L204" i="38"/>
  <c r="L195" i="38" s="1"/>
  <c r="C260" i="38"/>
  <c r="C122" i="38"/>
  <c r="I54" i="38"/>
  <c r="I53" i="38" s="1"/>
  <c r="C55" i="38"/>
  <c r="F130" i="38"/>
  <c r="C131" i="38"/>
  <c r="C58" i="38"/>
  <c r="L26" i="38"/>
  <c r="C27" i="38"/>
  <c r="L187" i="38"/>
  <c r="C188" i="38"/>
  <c r="F173" i="38"/>
  <c r="L53" i="38"/>
  <c r="F231" i="38"/>
  <c r="C238" i="38"/>
  <c r="C205" i="38"/>
  <c r="F204" i="38"/>
  <c r="C144" i="38"/>
  <c r="C136" i="38"/>
  <c r="F53" i="38"/>
  <c r="M51" i="38"/>
  <c r="C112" i="38"/>
  <c r="L83" i="38"/>
  <c r="L75" i="38" s="1"/>
  <c r="L174" i="38"/>
  <c r="L173" i="38" s="1"/>
  <c r="C103" i="38"/>
  <c r="C76" i="38"/>
  <c r="C151" i="38"/>
  <c r="C80" i="38"/>
  <c r="O75" i="38" l="1"/>
  <c r="O52" i="38" s="1"/>
  <c r="E51" i="38"/>
  <c r="E290" i="38" s="1"/>
  <c r="C130" i="38"/>
  <c r="C173" i="38"/>
  <c r="I291" i="38"/>
  <c r="C291" i="38" s="1"/>
  <c r="C292" i="38"/>
  <c r="J52" i="38"/>
  <c r="J51" i="38" s="1"/>
  <c r="J50" i="38" s="1"/>
  <c r="I52" i="38"/>
  <c r="I51" i="38" s="1"/>
  <c r="E289" i="38"/>
  <c r="G50" i="38"/>
  <c r="C83" i="38"/>
  <c r="N51" i="38"/>
  <c r="L289" i="38"/>
  <c r="N289" i="38"/>
  <c r="C191" i="38"/>
  <c r="F187" i="38"/>
  <c r="C187" i="38" s="1"/>
  <c r="K290" i="38"/>
  <c r="O194" i="38"/>
  <c r="O51" i="38" s="1"/>
  <c r="O289" i="38"/>
  <c r="M50" i="38"/>
  <c r="M290" i="38"/>
  <c r="F230" i="38"/>
  <c r="C230" i="38" s="1"/>
  <c r="C231" i="38"/>
  <c r="L194" i="38"/>
  <c r="C54" i="38"/>
  <c r="C204" i="38"/>
  <c r="F195" i="38"/>
  <c r="L52" i="38"/>
  <c r="L51" i="38" s="1"/>
  <c r="L50" i="38" s="1"/>
  <c r="C174" i="38"/>
  <c r="F75" i="38"/>
  <c r="C75" i="38" s="1"/>
  <c r="C53" i="38"/>
  <c r="C259" i="38"/>
  <c r="C26" i="38"/>
  <c r="L20" i="38"/>
  <c r="C20" i="38" s="1"/>
  <c r="I290" i="38"/>
  <c r="I50" i="38"/>
  <c r="H290" i="38"/>
  <c r="H50" i="38"/>
  <c r="F269" i="38"/>
  <c r="C270" i="38"/>
  <c r="I289" i="38"/>
  <c r="E50" i="38" l="1"/>
  <c r="F52" i="38"/>
  <c r="F51" i="38" s="1"/>
  <c r="J290" i="38"/>
  <c r="L290" i="38"/>
  <c r="N290" i="38"/>
  <c r="N50" i="38"/>
  <c r="O50" i="38"/>
  <c r="O290" i="38"/>
  <c r="F194" i="38"/>
  <c r="C194" i="38" s="1"/>
  <c r="C195" i="38"/>
  <c r="C269" i="38"/>
  <c r="F289" i="38"/>
  <c r="C289" i="38" s="1"/>
  <c r="C52" i="38" l="1"/>
  <c r="F290" i="38"/>
  <c r="C290" i="38" s="1"/>
  <c r="F50" i="38"/>
  <c r="C50" i="38" s="1"/>
  <c r="C51" i="38"/>
  <c r="E117" i="37" l="1"/>
  <c r="E78" i="37"/>
  <c r="O301" i="37"/>
  <c r="L301" i="37"/>
  <c r="I301" i="37"/>
  <c r="F301" i="37"/>
  <c r="O300" i="37"/>
  <c r="L300" i="37"/>
  <c r="I300" i="37"/>
  <c r="F300" i="37"/>
  <c r="O299" i="37"/>
  <c r="L299" i="37"/>
  <c r="I299" i="37"/>
  <c r="F299" i="37"/>
  <c r="O298" i="37"/>
  <c r="L298" i="37"/>
  <c r="I298" i="37"/>
  <c r="F298" i="37"/>
  <c r="O297" i="37"/>
  <c r="L297" i="37"/>
  <c r="I297" i="37"/>
  <c r="F297" i="37"/>
  <c r="O296" i="37"/>
  <c r="L296" i="37"/>
  <c r="I296" i="37"/>
  <c r="F296" i="37"/>
  <c r="O295" i="37"/>
  <c r="L295" i="37"/>
  <c r="I295" i="37"/>
  <c r="F295" i="37"/>
  <c r="O294" i="37"/>
  <c r="O293" i="37" s="1"/>
  <c r="L294" i="37"/>
  <c r="I294" i="37"/>
  <c r="I293" i="37" s="1"/>
  <c r="F294" i="37"/>
  <c r="F293" i="37" s="1"/>
  <c r="N293" i="37"/>
  <c r="M293" i="37"/>
  <c r="K293" i="37"/>
  <c r="J293" i="37"/>
  <c r="H293" i="37"/>
  <c r="G293" i="37"/>
  <c r="E293" i="37"/>
  <c r="D293" i="37"/>
  <c r="O288" i="37"/>
  <c r="L288" i="37"/>
  <c r="I288" i="37"/>
  <c r="F288" i="37"/>
  <c r="O287" i="37"/>
  <c r="O286" i="37" s="1"/>
  <c r="L287" i="37"/>
  <c r="I287" i="37"/>
  <c r="F287" i="37"/>
  <c r="F286" i="37" s="1"/>
  <c r="N286" i="37"/>
  <c r="M286" i="37"/>
  <c r="K286" i="37"/>
  <c r="J286" i="37"/>
  <c r="H286" i="37"/>
  <c r="G286" i="37"/>
  <c r="E286" i="37"/>
  <c r="D286" i="37"/>
  <c r="O285" i="37"/>
  <c r="O284" i="37" s="1"/>
  <c r="O283" i="37" s="1"/>
  <c r="L285" i="37"/>
  <c r="L284" i="37" s="1"/>
  <c r="L283" i="37" s="1"/>
  <c r="I285" i="37"/>
  <c r="I284" i="37" s="1"/>
  <c r="I283" i="37" s="1"/>
  <c r="F285" i="37"/>
  <c r="F284" i="37" s="1"/>
  <c r="N284" i="37"/>
  <c r="N283" i="37" s="1"/>
  <c r="M284" i="37"/>
  <c r="M283" i="37" s="1"/>
  <c r="K284" i="37"/>
  <c r="K283" i="37" s="1"/>
  <c r="J284" i="37"/>
  <c r="J283" i="37" s="1"/>
  <c r="H284" i="37"/>
  <c r="H283" i="37" s="1"/>
  <c r="G284" i="37"/>
  <c r="G283" i="37" s="1"/>
  <c r="E284" i="37"/>
  <c r="E283" i="37" s="1"/>
  <c r="D284" i="37"/>
  <c r="D283" i="37" s="1"/>
  <c r="O282" i="37"/>
  <c r="O281" i="37" s="1"/>
  <c r="L282" i="37"/>
  <c r="L281" i="37" s="1"/>
  <c r="I282" i="37"/>
  <c r="F282" i="37"/>
  <c r="F281" i="37" s="1"/>
  <c r="N281" i="37"/>
  <c r="M281" i="37"/>
  <c r="K281" i="37"/>
  <c r="J281" i="37"/>
  <c r="H281" i="37"/>
  <c r="G281" i="37"/>
  <c r="E281" i="37"/>
  <c r="D281" i="37"/>
  <c r="O280" i="37"/>
  <c r="L280" i="37"/>
  <c r="I280" i="37"/>
  <c r="F280" i="37"/>
  <c r="O279" i="37"/>
  <c r="L279" i="37"/>
  <c r="I279" i="37"/>
  <c r="F279" i="37"/>
  <c r="O278" i="37"/>
  <c r="L278" i="37"/>
  <c r="I278" i="37"/>
  <c r="F278" i="37"/>
  <c r="O277" i="37"/>
  <c r="L277" i="37"/>
  <c r="I277" i="37"/>
  <c r="F277" i="37"/>
  <c r="N276" i="37"/>
  <c r="M276" i="37"/>
  <c r="K276" i="37"/>
  <c r="J276" i="37"/>
  <c r="H276" i="37"/>
  <c r="G276" i="37"/>
  <c r="E276" i="37"/>
  <c r="D276" i="37"/>
  <c r="O275" i="37"/>
  <c r="L275" i="37"/>
  <c r="I275" i="37"/>
  <c r="F275" i="37"/>
  <c r="O274" i="37"/>
  <c r="L274" i="37"/>
  <c r="I274" i="37"/>
  <c r="F274" i="37"/>
  <c r="O273" i="37"/>
  <c r="L273" i="37"/>
  <c r="L272" i="37" s="1"/>
  <c r="I273" i="37"/>
  <c r="I272" i="37" s="1"/>
  <c r="F273" i="37"/>
  <c r="N272" i="37"/>
  <c r="M272" i="37"/>
  <c r="K272" i="37"/>
  <c r="K270" i="37" s="1"/>
  <c r="J272" i="37"/>
  <c r="H272" i="37"/>
  <c r="G272" i="37"/>
  <c r="E272" i="37"/>
  <c r="E270" i="37" s="1"/>
  <c r="D272" i="37"/>
  <c r="O271" i="37"/>
  <c r="L271" i="37"/>
  <c r="I271" i="37"/>
  <c r="F271" i="37"/>
  <c r="G270" i="37"/>
  <c r="O268" i="37"/>
  <c r="L268" i="37"/>
  <c r="I268" i="37"/>
  <c r="F268" i="37"/>
  <c r="O267" i="37"/>
  <c r="L267" i="37"/>
  <c r="I267" i="37"/>
  <c r="F267" i="37"/>
  <c r="O266" i="37"/>
  <c r="L266" i="37"/>
  <c r="I266" i="37"/>
  <c r="F266" i="37"/>
  <c r="O265" i="37"/>
  <c r="L265" i="37"/>
  <c r="I265" i="37"/>
  <c r="F265" i="37"/>
  <c r="N264" i="37"/>
  <c r="M264" i="37"/>
  <c r="K264" i="37"/>
  <c r="J264" i="37"/>
  <c r="H264" i="37"/>
  <c r="G264" i="37"/>
  <c r="E264" i="37"/>
  <c r="D264" i="37"/>
  <c r="O263" i="37"/>
  <c r="L263" i="37"/>
  <c r="I263" i="37"/>
  <c r="F263" i="37"/>
  <c r="O262" i="37"/>
  <c r="L262" i="37"/>
  <c r="I262" i="37"/>
  <c r="F262" i="37"/>
  <c r="O261" i="37"/>
  <c r="L261" i="37"/>
  <c r="I261" i="37"/>
  <c r="I260" i="37" s="1"/>
  <c r="F261" i="37"/>
  <c r="F260" i="37" s="1"/>
  <c r="N260" i="37"/>
  <c r="N259" i="37" s="1"/>
  <c r="M260" i="37"/>
  <c r="K260" i="37"/>
  <c r="J260" i="37"/>
  <c r="H260" i="37"/>
  <c r="H259" i="37" s="1"/>
  <c r="G260" i="37"/>
  <c r="E260" i="37"/>
  <c r="D260" i="37"/>
  <c r="O258" i="37"/>
  <c r="L258" i="37"/>
  <c r="I258" i="37"/>
  <c r="F258" i="37"/>
  <c r="O257" i="37"/>
  <c r="L257" i="37"/>
  <c r="I257" i="37"/>
  <c r="F257" i="37"/>
  <c r="O256" i="37"/>
  <c r="L256" i="37"/>
  <c r="I256" i="37"/>
  <c r="F256" i="37"/>
  <c r="O255" i="37"/>
  <c r="L255" i="37"/>
  <c r="I255" i="37"/>
  <c r="F255" i="37"/>
  <c r="O254" i="37"/>
  <c r="L254" i="37"/>
  <c r="I254" i="37"/>
  <c r="F254" i="37"/>
  <c r="O253" i="37"/>
  <c r="L253" i="37"/>
  <c r="I253" i="37"/>
  <c r="F253" i="37"/>
  <c r="N252" i="37"/>
  <c r="M252" i="37"/>
  <c r="M251" i="37" s="1"/>
  <c r="K252" i="37"/>
  <c r="K251" i="37" s="1"/>
  <c r="J252" i="37"/>
  <c r="J251" i="37" s="1"/>
  <c r="H252" i="37"/>
  <c r="H251" i="37" s="1"/>
  <c r="G252" i="37"/>
  <c r="G251" i="37" s="1"/>
  <c r="E252" i="37"/>
  <c r="E251" i="37" s="1"/>
  <c r="D252" i="37"/>
  <c r="N251" i="37"/>
  <c r="D251" i="37"/>
  <c r="O250" i="37"/>
  <c r="L250" i="37"/>
  <c r="I250" i="37"/>
  <c r="F250" i="37"/>
  <c r="O249" i="37"/>
  <c r="L249" i="37"/>
  <c r="I249" i="37"/>
  <c r="F249" i="37"/>
  <c r="O248" i="37"/>
  <c r="L248" i="37"/>
  <c r="I248" i="37"/>
  <c r="F248" i="37"/>
  <c r="O247" i="37"/>
  <c r="L247" i="37"/>
  <c r="I247" i="37"/>
  <c r="F247" i="37"/>
  <c r="O246" i="37"/>
  <c r="N246" i="37"/>
  <c r="M246" i="37"/>
  <c r="K246" i="37"/>
  <c r="J246" i="37"/>
  <c r="H246" i="37"/>
  <c r="G246" i="37"/>
  <c r="E246" i="37"/>
  <c r="D246" i="37"/>
  <c r="O245" i="37"/>
  <c r="L245" i="37"/>
  <c r="I245" i="37"/>
  <c r="F245" i="37"/>
  <c r="O244" i="37"/>
  <c r="L244" i="37"/>
  <c r="I244" i="37"/>
  <c r="F244" i="37"/>
  <c r="O243" i="37"/>
  <c r="L243" i="37"/>
  <c r="I243" i="37"/>
  <c r="F243" i="37"/>
  <c r="O242" i="37"/>
  <c r="L242" i="37"/>
  <c r="I242" i="37"/>
  <c r="F242" i="37"/>
  <c r="O241" i="37"/>
  <c r="L241" i="37"/>
  <c r="I241" i="37"/>
  <c r="F241" i="37"/>
  <c r="O240" i="37"/>
  <c r="L240" i="37"/>
  <c r="I240" i="37"/>
  <c r="F240" i="37"/>
  <c r="O239" i="37"/>
  <c r="L239" i="37"/>
  <c r="L238" i="37" s="1"/>
  <c r="I239" i="37"/>
  <c r="F239" i="37"/>
  <c r="N238" i="37"/>
  <c r="M238" i="37"/>
  <c r="K238" i="37"/>
  <c r="J238" i="37"/>
  <c r="H238" i="37"/>
  <c r="G238" i="37"/>
  <c r="E238" i="37"/>
  <c r="D238" i="37"/>
  <c r="O237" i="37"/>
  <c r="L237" i="37"/>
  <c r="I237" i="37"/>
  <c r="F237" i="37"/>
  <c r="O236" i="37"/>
  <c r="O235" i="37" s="1"/>
  <c r="L236" i="37"/>
  <c r="L235" i="37" s="1"/>
  <c r="I236" i="37"/>
  <c r="I235" i="37" s="1"/>
  <c r="F236" i="37"/>
  <c r="F235" i="37" s="1"/>
  <c r="N235" i="37"/>
  <c r="M235" i="37"/>
  <c r="K235" i="37"/>
  <c r="J235" i="37"/>
  <c r="H235" i="37"/>
  <c r="G235" i="37"/>
  <c r="E235" i="37"/>
  <c r="D235" i="37"/>
  <c r="O234" i="37"/>
  <c r="O233" i="37" s="1"/>
  <c r="L234" i="37"/>
  <c r="L233" i="37" s="1"/>
  <c r="I234" i="37"/>
  <c r="I233" i="37" s="1"/>
  <c r="F234" i="37"/>
  <c r="F233" i="37" s="1"/>
  <c r="N233" i="37"/>
  <c r="M233" i="37"/>
  <c r="K233" i="37"/>
  <c r="J233" i="37"/>
  <c r="H233" i="37"/>
  <c r="G233" i="37"/>
  <c r="E233" i="37"/>
  <c r="D233" i="37"/>
  <c r="O232" i="37"/>
  <c r="L232" i="37"/>
  <c r="I232" i="37"/>
  <c r="F232" i="37"/>
  <c r="O229" i="37"/>
  <c r="L229" i="37"/>
  <c r="I229" i="37"/>
  <c r="F229" i="37"/>
  <c r="O228" i="37"/>
  <c r="L228" i="37"/>
  <c r="L227" i="37" s="1"/>
  <c r="I228" i="37"/>
  <c r="I227" i="37" s="1"/>
  <c r="F228" i="37"/>
  <c r="O227" i="37"/>
  <c r="N227" i="37"/>
  <c r="M227" i="37"/>
  <c r="K227" i="37"/>
  <c r="J227" i="37"/>
  <c r="H227" i="37"/>
  <c r="G227" i="37"/>
  <c r="F227" i="37"/>
  <c r="E227" i="37"/>
  <c r="D227" i="37"/>
  <c r="O226" i="37"/>
  <c r="L226" i="37"/>
  <c r="I226" i="37"/>
  <c r="F226" i="37"/>
  <c r="O225" i="37"/>
  <c r="L225" i="37"/>
  <c r="I225" i="37"/>
  <c r="F225" i="37"/>
  <c r="O224" i="37"/>
  <c r="L224" i="37"/>
  <c r="I224" i="37"/>
  <c r="F224" i="37"/>
  <c r="O223" i="37"/>
  <c r="L223" i="37"/>
  <c r="I223" i="37"/>
  <c r="F223" i="37"/>
  <c r="O222" i="37"/>
  <c r="L222" i="37"/>
  <c r="I222" i="37"/>
  <c r="F222" i="37"/>
  <c r="O221" i="37"/>
  <c r="L221" i="37"/>
  <c r="I221" i="37"/>
  <c r="F221" i="37"/>
  <c r="O220" i="37"/>
  <c r="L220" i="37"/>
  <c r="I220" i="37"/>
  <c r="F220" i="37"/>
  <c r="O219" i="37"/>
  <c r="L219" i="37"/>
  <c r="I219" i="37"/>
  <c r="F219" i="37"/>
  <c r="O218" i="37"/>
  <c r="L218" i="37"/>
  <c r="I218" i="37"/>
  <c r="F218" i="37"/>
  <c r="O217" i="37"/>
  <c r="L217" i="37"/>
  <c r="I217" i="37"/>
  <c r="I216" i="37" s="1"/>
  <c r="F217" i="37"/>
  <c r="N216" i="37"/>
  <c r="M216" i="37"/>
  <c r="K216" i="37"/>
  <c r="J216" i="37"/>
  <c r="H216" i="37"/>
  <c r="G216" i="37"/>
  <c r="E216" i="37"/>
  <c r="D216" i="37"/>
  <c r="O215" i="37"/>
  <c r="L215" i="37"/>
  <c r="I215" i="37"/>
  <c r="F215" i="37"/>
  <c r="O214" i="37"/>
  <c r="L214" i="37"/>
  <c r="I214" i="37"/>
  <c r="F214" i="37"/>
  <c r="O213" i="37"/>
  <c r="L213" i="37"/>
  <c r="I213" i="37"/>
  <c r="F213" i="37"/>
  <c r="O212" i="37"/>
  <c r="L212" i="37"/>
  <c r="I212" i="37"/>
  <c r="F212" i="37"/>
  <c r="O211" i="37"/>
  <c r="L211" i="37"/>
  <c r="I211" i="37"/>
  <c r="F211" i="37"/>
  <c r="O210" i="37"/>
  <c r="L210" i="37"/>
  <c r="I210" i="37"/>
  <c r="F210" i="37"/>
  <c r="O209" i="37"/>
  <c r="L209" i="37"/>
  <c r="I209" i="37"/>
  <c r="F209" i="37"/>
  <c r="O208" i="37"/>
  <c r="L208" i="37"/>
  <c r="I208" i="37"/>
  <c r="F208" i="37"/>
  <c r="O207" i="37"/>
  <c r="L207" i="37"/>
  <c r="I207" i="37"/>
  <c r="F207" i="37"/>
  <c r="O206" i="37"/>
  <c r="L206" i="37"/>
  <c r="I206" i="37"/>
  <c r="F206" i="37"/>
  <c r="N205" i="37"/>
  <c r="M205" i="37"/>
  <c r="K205" i="37"/>
  <c r="J205" i="37"/>
  <c r="H205" i="37"/>
  <c r="G205" i="37"/>
  <c r="E205" i="37"/>
  <c r="D205" i="37"/>
  <c r="D204" i="37" s="1"/>
  <c r="O203" i="37"/>
  <c r="L203" i="37"/>
  <c r="I203" i="37"/>
  <c r="F203" i="37"/>
  <c r="O202" i="37"/>
  <c r="L202" i="37"/>
  <c r="I202" i="37"/>
  <c r="F202" i="37"/>
  <c r="O201" i="37"/>
  <c r="L201" i="37"/>
  <c r="I201" i="37"/>
  <c r="F201" i="37"/>
  <c r="O200" i="37"/>
  <c r="L200" i="37"/>
  <c r="I200" i="37"/>
  <c r="F200" i="37"/>
  <c r="O199" i="37"/>
  <c r="O198" i="37" s="1"/>
  <c r="L199" i="37"/>
  <c r="I199" i="37"/>
  <c r="F199" i="37"/>
  <c r="N198" i="37"/>
  <c r="N196" i="37" s="1"/>
  <c r="M198" i="37"/>
  <c r="M196" i="37" s="1"/>
  <c r="K198" i="37"/>
  <c r="K196" i="37" s="1"/>
  <c r="J198" i="37"/>
  <c r="J196" i="37" s="1"/>
  <c r="H198" i="37"/>
  <c r="H196" i="37" s="1"/>
  <c r="G198" i="37"/>
  <c r="G196" i="37" s="1"/>
  <c r="F198" i="37"/>
  <c r="E198" i="37"/>
  <c r="E196" i="37" s="1"/>
  <c r="D198" i="37"/>
  <c r="D196" i="37" s="1"/>
  <c r="O197" i="37"/>
  <c r="L197" i="37"/>
  <c r="I197" i="37"/>
  <c r="F197" i="37"/>
  <c r="O193" i="37"/>
  <c r="O192" i="37" s="1"/>
  <c r="L193" i="37"/>
  <c r="L192" i="37" s="1"/>
  <c r="L191" i="37" s="1"/>
  <c r="I193" i="37"/>
  <c r="I192" i="37" s="1"/>
  <c r="I191" i="37" s="1"/>
  <c r="F193" i="37"/>
  <c r="F192" i="37" s="1"/>
  <c r="F191" i="37" s="1"/>
  <c r="N192" i="37"/>
  <c r="M192" i="37"/>
  <c r="M191" i="37" s="1"/>
  <c r="K192" i="37"/>
  <c r="K191" i="37" s="1"/>
  <c r="J192" i="37"/>
  <c r="J191" i="37" s="1"/>
  <c r="H192" i="37"/>
  <c r="H191" i="37" s="1"/>
  <c r="G192" i="37"/>
  <c r="G191" i="37" s="1"/>
  <c r="E192" i="37"/>
  <c r="E191" i="37" s="1"/>
  <c r="D192" i="37"/>
  <c r="D191" i="37" s="1"/>
  <c r="N191" i="37"/>
  <c r="O190" i="37"/>
  <c r="L190" i="37"/>
  <c r="I190" i="37"/>
  <c r="F190" i="37"/>
  <c r="O189" i="37"/>
  <c r="O188" i="37" s="1"/>
  <c r="L189" i="37"/>
  <c r="L188" i="37" s="1"/>
  <c r="I189" i="37"/>
  <c r="F189" i="37"/>
  <c r="F188" i="37" s="1"/>
  <c r="N188" i="37"/>
  <c r="M188" i="37"/>
  <c r="K188" i="37"/>
  <c r="J188" i="37"/>
  <c r="H188" i="37"/>
  <c r="G188" i="37"/>
  <c r="E188" i="37"/>
  <c r="D188" i="37"/>
  <c r="O186" i="37"/>
  <c r="L186" i="37"/>
  <c r="I186" i="37"/>
  <c r="F186" i="37"/>
  <c r="O185" i="37"/>
  <c r="O184" i="37" s="1"/>
  <c r="L185" i="37"/>
  <c r="L184" i="37" s="1"/>
  <c r="I185" i="37"/>
  <c r="F185" i="37"/>
  <c r="F184" i="37" s="1"/>
  <c r="N184" i="37"/>
  <c r="M184" i="37"/>
  <c r="K184" i="37"/>
  <c r="J184" i="37"/>
  <c r="H184" i="37"/>
  <c r="G184" i="37"/>
  <c r="E184" i="37"/>
  <c r="D184" i="37"/>
  <c r="O183" i="37"/>
  <c r="L183" i="37"/>
  <c r="I183" i="37"/>
  <c r="F183" i="37"/>
  <c r="O182" i="37"/>
  <c r="L182" i="37"/>
  <c r="I182" i="37"/>
  <c r="F182" i="37"/>
  <c r="O181" i="37"/>
  <c r="L181" i="37"/>
  <c r="I181" i="37"/>
  <c r="F181" i="37"/>
  <c r="O180" i="37"/>
  <c r="L180" i="37"/>
  <c r="I180" i="37"/>
  <c r="I179" i="37" s="1"/>
  <c r="F180" i="37"/>
  <c r="N179" i="37"/>
  <c r="M179" i="37"/>
  <c r="K179" i="37"/>
  <c r="J179" i="37"/>
  <c r="H179" i="37"/>
  <c r="G179" i="37"/>
  <c r="E179" i="37"/>
  <c r="D179" i="37"/>
  <c r="O178" i="37"/>
  <c r="L178" i="37"/>
  <c r="I178" i="37"/>
  <c r="F178" i="37"/>
  <c r="O177" i="37"/>
  <c r="L177" i="37"/>
  <c r="I177" i="37"/>
  <c r="F177" i="37"/>
  <c r="O176" i="37"/>
  <c r="L176" i="37"/>
  <c r="I176" i="37"/>
  <c r="I175" i="37" s="1"/>
  <c r="F176" i="37"/>
  <c r="N175" i="37"/>
  <c r="M175" i="37"/>
  <c r="M174" i="37" s="1"/>
  <c r="K175" i="37"/>
  <c r="J175" i="37"/>
  <c r="J174" i="37" s="1"/>
  <c r="J173" i="37" s="1"/>
  <c r="H175" i="37"/>
  <c r="H174" i="37" s="1"/>
  <c r="G175" i="37"/>
  <c r="E175" i="37"/>
  <c r="E174" i="37" s="1"/>
  <c r="D175" i="37"/>
  <c r="O172" i="37"/>
  <c r="L172" i="37"/>
  <c r="I172" i="37"/>
  <c r="F172" i="37"/>
  <c r="O171" i="37"/>
  <c r="L171" i="37"/>
  <c r="I171" i="37"/>
  <c r="F171" i="37"/>
  <c r="O170" i="37"/>
  <c r="L170" i="37"/>
  <c r="I170" i="37"/>
  <c r="F170" i="37"/>
  <c r="O169" i="37"/>
  <c r="L169" i="37"/>
  <c r="I169" i="37"/>
  <c r="F169" i="37"/>
  <c r="O168" i="37"/>
  <c r="L168" i="37"/>
  <c r="I168" i="37"/>
  <c r="F168" i="37"/>
  <c r="O167" i="37"/>
  <c r="L167" i="37"/>
  <c r="I167" i="37"/>
  <c r="I166" i="37" s="1"/>
  <c r="I165" i="37" s="1"/>
  <c r="F167" i="37"/>
  <c r="N166" i="37"/>
  <c r="N165" i="37" s="1"/>
  <c r="M166" i="37"/>
  <c r="M165" i="37" s="1"/>
  <c r="K166" i="37"/>
  <c r="K165" i="37" s="1"/>
  <c r="J166" i="37"/>
  <c r="J165" i="37" s="1"/>
  <c r="H166" i="37"/>
  <c r="H165" i="37" s="1"/>
  <c r="G166" i="37"/>
  <c r="G165" i="37" s="1"/>
  <c r="E166" i="37"/>
  <c r="E165" i="37" s="1"/>
  <c r="D166" i="37"/>
  <c r="D165" i="37" s="1"/>
  <c r="O164" i="37"/>
  <c r="L164" i="37"/>
  <c r="I164" i="37"/>
  <c r="F164" i="37"/>
  <c r="O163" i="37"/>
  <c r="L163" i="37"/>
  <c r="I163" i="37"/>
  <c r="F163" i="37"/>
  <c r="O162" i="37"/>
  <c r="L162" i="37"/>
  <c r="I162" i="37"/>
  <c r="F162" i="37"/>
  <c r="O161" i="37"/>
  <c r="L161" i="37"/>
  <c r="I161" i="37"/>
  <c r="F161" i="37"/>
  <c r="N160" i="37"/>
  <c r="M160" i="37"/>
  <c r="K160" i="37"/>
  <c r="J160" i="37"/>
  <c r="H160" i="37"/>
  <c r="G160" i="37"/>
  <c r="E160" i="37"/>
  <c r="D160" i="37"/>
  <c r="O159" i="37"/>
  <c r="L159" i="37"/>
  <c r="I159" i="37"/>
  <c r="F159" i="37"/>
  <c r="O158" i="37"/>
  <c r="L158" i="37"/>
  <c r="I158" i="37"/>
  <c r="F158" i="37"/>
  <c r="O157" i="37"/>
  <c r="L157" i="37"/>
  <c r="I157" i="37"/>
  <c r="F157" i="37"/>
  <c r="O156" i="37"/>
  <c r="L156" i="37"/>
  <c r="I156" i="37"/>
  <c r="F156" i="37"/>
  <c r="O155" i="37"/>
  <c r="L155" i="37"/>
  <c r="I155" i="37"/>
  <c r="F155" i="37"/>
  <c r="O154" i="37"/>
  <c r="L154" i="37"/>
  <c r="I154" i="37"/>
  <c r="F154" i="37"/>
  <c r="O153" i="37"/>
  <c r="L153" i="37"/>
  <c r="I153" i="37"/>
  <c r="F153" i="37"/>
  <c r="O152" i="37"/>
  <c r="L152" i="37"/>
  <c r="I152" i="37"/>
  <c r="I151" i="37" s="1"/>
  <c r="F152" i="37"/>
  <c r="N151" i="37"/>
  <c r="M151" i="37"/>
  <c r="K151" i="37"/>
  <c r="J151" i="37"/>
  <c r="H151" i="37"/>
  <c r="G151" i="37"/>
  <c r="E151" i="37"/>
  <c r="D151" i="37"/>
  <c r="O150" i="37"/>
  <c r="L150" i="37"/>
  <c r="I150" i="37"/>
  <c r="F150" i="37"/>
  <c r="O149" i="37"/>
  <c r="L149" i="37"/>
  <c r="I149" i="37"/>
  <c r="F149" i="37"/>
  <c r="O148" i="37"/>
  <c r="L148" i="37"/>
  <c r="I148" i="37"/>
  <c r="F148" i="37"/>
  <c r="O147" i="37"/>
  <c r="L147" i="37"/>
  <c r="I147" i="37"/>
  <c r="F147" i="37"/>
  <c r="O146" i="37"/>
  <c r="L146" i="37"/>
  <c r="I146" i="37"/>
  <c r="F146" i="37"/>
  <c r="O145" i="37"/>
  <c r="O144" i="37" s="1"/>
  <c r="L145" i="37"/>
  <c r="I145" i="37"/>
  <c r="F145" i="37"/>
  <c r="N144" i="37"/>
  <c r="M144" i="37"/>
  <c r="K144" i="37"/>
  <c r="J144" i="37"/>
  <c r="H144" i="37"/>
  <c r="G144" i="37"/>
  <c r="E144" i="37"/>
  <c r="D144" i="37"/>
  <c r="O143" i="37"/>
  <c r="L143" i="37"/>
  <c r="I143" i="37"/>
  <c r="F143" i="37"/>
  <c r="O142" i="37"/>
  <c r="O141" i="37" s="1"/>
  <c r="L142" i="37"/>
  <c r="L141" i="37" s="1"/>
  <c r="I142" i="37"/>
  <c r="I141" i="37" s="1"/>
  <c r="F142" i="37"/>
  <c r="F141" i="37" s="1"/>
  <c r="N141" i="37"/>
  <c r="M141" i="37"/>
  <c r="K141" i="37"/>
  <c r="J141" i="37"/>
  <c r="H141" i="37"/>
  <c r="G141" i="37"/>
  <c r="E141" i="37"/>
  <c r="D141" i="37"/>
  <c r="O140" i="37"/>
  <c r="L140" i="37"/>
  <c r="I140" i="37"/>
  <c r="F140" i="37"/>
  <c r="O139" i="37"/>
  <c r="L139" i="37"/>
  <c r="I139" i="37"/>
  <c r="F139" i="37"/>
  <c r="O138" i="37"/>
  <c r="L138" i="37"/>
  <c r="I138" i="37"/>
  <c r="F138" i="37"/>
  <c r="O137" i="37"/>
  <c r="L137" i="37"/>
  <c r="I137" i="37"/>
  <c r="F137" i="37"/>
  <c r="O136" i="37"/>
  <c r="N136" i="37"/>
  <c r="M136" i="37"/>
  <c r="K136" i="37"/>
  <c r="J136" i="37"/>
  <c r="H136" i="37"/>
  <c r="G136" i="37"/>
  <c r="E136" i="37"/>
  <c r="D136" i="37"/>
  <c r="O135" i="37"/>
  <c r="L135" i="37"/>
  <c r="I135" i="37"/>
  <c r="F135" i="37"/>
  <c r="O134" i="37"/>
  <c r="L134" i="37"/>
  <c r="I134" i="37"/>
  <c r="F134" i="37"/>
  <c r="O133" i="37"/>
  <c r="L133" i="37"/>
  <c r="I133" i="37"/>
  <c r="F133" i="37"/>
  <c r="O132" i="37"/>
  <c r="L132" i="37"/>
  <c r="I132" i="37"/>
  <c r="I131" i="37" s="1"/>
  <c r="F132" i="37"/>
  <c r="N131" i="37"/>
  <c r="M131" i="37"/>
  <c r="K131" i="37"/>
  <c r="J131" i="37"/>
  <c r="H131" i="37"/>
  <c r="G131" i="37"/>
  <c r="E131" i="37"/>
  <c r="D131" i="37"/>
  <c r="O129" i="37"/>
  <c r="L129" i="37"/>
  <c r="I129" i="37"/>
  <c r="I128" i="37" s="1"/>
  <c r="F129" i="37"/>
  <c r="F128" i="37" s="1"/>
  <c r="O128" i="37"/>
  <c r="N128" i="37"/>
  <c r="M128" i="37"/>
  <c r="K128" i="37"/>
  <c r="J128" i="37"/>
  <c r="H128" i="37"/>
  <c r="G128" i="37"/>
  <c r="E128" i="37"/>
  <c r="D128" i="37"/>
  <c r="O127" i="37"/>
  <c r="L127" i="37"/>
  <c r="I127" i="37"/>
  <c r="F127" i="37"/>
  <c r="O126" i="37"/>
  <c r="L126" i="37"/>
  <c r="I126" i="37"/>
  <c r="F126" i="37"/>
  <c r="O125" i="37"/>
  <c r="L125" i="37"/>
  <c r="I125" i="37"/>
  <c r="F125" i="37"/>
  <c r="O124" i="37"/>
  <c r="L124" i="37"/>
  <c r="I124" i="37"/>
  <c r="F124" i="37"/>
  <c r="O123" i="37"/>
  <c r="L123" i="37"/>
  <c r="L122" i="37" s="1"/>
  <c r="I123" i="37"/>
  <c r="F123" i="37"/>
  <c r="N122" i="37"/>
  <c r="M122" i="37"/>
  <c r="K122" i="37"/>
  <c r="J122" i="37"/>
  <c r="H122" i="37"/>
  <c r="G122" i="37"/>
  <c r="E122" i="37"/>
  <c r="D122" i="37"/>
  <c r="O121" i="37"/>
  <c r="L121" i="37"/>
  <c r="I121" i="37"/>
  <c r="F121" i="37"/>
  <c r="O120" i="37"/>
  <c r="L120" i="37"/>
  <c r="I120" i="37"/>
  <c r="F120" i="37"/>
  <c r="O119" i="37"/>
  <c r="L119" i="37"/>
  <c r="I119" i="37"/>
  <c r="F119" i="37"/>
  <c r="O118" i="37"/>
  <c r="L118" i="37"/>
  <c r="I118" i="37"/>
  <c r="F118" i="37"/>
  <c r="O117" i="37"/>
  <c r="L117" i="37"/>
  <c r="I117" i="37"/>
  <c r="F117" i="37"/>
  <c r="N116" i="37"/>
  <c r="M116" i="37"/>
  <c r="K116" i="37"/>
  <c r="J116" i="37"/>
  <c r="H116" i="37"/>
  <c r="G116" i="37"/>
  <c r="E116" i="37"/>
  <c r="D116" i="37"/>
  <c r="O115" i="37"/>
  <c r="L115" i="37"/>
  <c r="I115" i="37"/>
  <c r="F115" i="37"/>
  <c r="O114" i="37"/>
  <c r="L114" i="37"/>
  <c r="I114" i="37"/>
  <c r="F114" i="37"/>
  <c r="O113" i="37"/>
  <c r="O112" i="37" s="1"/>
  <c r="L113" i="37"/>
  <c r="I113" i="37"/>
  <c r="I112" i="37" s="1"/>
  <c r="F113" i="37"/>
  <c r="F112" i="37" s="1"/>
  <c r="N112" i="37"/>
  <c r="M112" i="37"/>
  <c r="K112" i="37"/>
  <c r="J112" i="37"/>
  <c r="H112" i="37"/>
  <c r="G112" i="37"/>
  <c r="E112" i="37"/>
  <c r="D112" i="37"/>
  <c r="O111" i="37"/>
  <c r="L111" i="37"/>
  <c r="I111" i="37"/>
  <c r="F111" i="37"/>
  <c r="O110" i="37"/>
  <c r="L110" i="37"/>
  <c r="I110" i="37"/>
  <c r="F110" i="37"/>
  <c r="O109" i="37"/>
  <c r="L109" i="37"/>
  <c r="I109" i="37"/>
  <c r="F109" i="37"/>
  <c r="O108" i="37"/>
  <c r="L108" i="37"/>
  <c r="I108" i="37"/>
  <c r="F108" i="37"/>
  <c r="O107" i="37"/>
  <c r="L107" i="37"/>
  <c r="I107" i="37"/>
  <c r="F107" i="37"/>
  <c r="O106" i="37"/>
  <c r="L106" i="37"/>
  <c r="I106" i="37"/>
  <c r="F106" i="37"/>
  <c r="O105" i="37"/>
  <c r="L105" i="37"/>
  <c r="I105" i="37"/>
  <c r="F105" i="37"/>
  <c r="O104" i="37"/>
  <c r="L104" i="37"/>
  <c r="I104" i="37"/>
  <c r="F104" i="37"/>
  <c r="N103" i="37"/>
  <c r="M103" i="37"/>
  <c r="K103" i="37"/>
  <c r="J103" i="37"/>
  <c r="H103" i="37"/>
  <c r="G103" i="37"/>
  <c r="E103" i="37"/>
  <c r="D103" i="37"/>
  <c r="O102" i="37"/>
  <c r="L102" i="37"/>
  <c r="I102" i="37"/>
  <c r="F102" i="37"/>
  <c r="O101" i="37"/>
  <c r="L101" i="37"/>
  <c r="I101" i="37"/>
  <c r="F101" i="37"/>
  <c r="O100" i="37"/>
  <c r="L100" i="37"/>
  <c r="I100" i="37"/>
  <c r="F100" i="37"/>
  <c r="O99" i="37"/>
  <c r="L99" i="37"/>
  <c r="I99" i="37"/>
  <c r="F99" i="37"/>
  <c r="O98" i="37"/>
  <c r="L98" i="37"/>
  <c r="I98" i="37"/>
  <c r="F98" i="37"/>
  <c r="O97" i="37"/>
  <c r="L97" i="37"/>
  <c r="I97" i="37"/>
  <c r="F97" i="37"/>
  <c r="O96" i="37"/>
  <c r="L96" i="37"/>
  <c r="I96" i="37"/>
  <c r="F96" i="37"/>
  <c r="N95" i="37"/>
  <c r="M95" i="37"/>
  <c r="K95" i="37"/>
  <c r="J95" i="37"/>
  <c r="H95" i="37"/>
  <c r="G95" i="37"/>
  <c r="E95" i="37"/>
  <c r="D95" i="37"/>
  <c r="O94" i="37"/>
  <c r="L94" i="37"/>
  <c r="I94" i="37"/>
  <c r="F94" i="37"/>
  <c r="O93" i="37"/>
  <c r="L93" i="37"/>
  <c r="I93" i="37"/>
  <c r="F93" i="37"/>
  <c r="O92" i="37"/>
  <c r="L92" i="37"/>
  <c r="I92" i="37"/>
  <c r="F92" i="37"/>
  <c r="O91" i="37"/>
  <c r="L91" i="37"/>
  <c r="I91" i="37"/>
  <c r="F91" i="37"/>
  <c r="O90" i="37"/>
  <c r="L90" i="37"/>
  <c r="I90" i="37"/>
  <c r="F90" i="37"/>
  <c r="N89" i="37"/>
  <c r="M89" i="37"/>
  <c r="K89" i="37"/>
  <c r="J89" i="37"/>
  <c r="H89" i="37"/>
  <c r="G89" i="37"/>
  <c r="E89" i="37"/>
  <c r="D89" i="37"/>
  <c r="O88" i="37"/>
  <c r="L88" i="37"/>
  <c r="I88" i="37"/>
  <c r="F88" i="37"/>
  <c r="O87" i="37"/>
  <c r="L87" i="37"/>
  <c r="I87" i="37"/>
  <c r="F87" i="37"/>
  <c r="O86" i="37"/>
  <c r="L86" i="37"/>
  <c r="I86" i="37"/>
  <c r="F86" i="37"/>
  <c r="O85" i="37"/>
  <c r="L85" i="37"/>
  <c r="L84" i="37" s="1"/>
  <c r="I85" i="37"/>
  <c r="I84" i="37" s="1"/>
  <c r="F85" i="37"/>
  <c r="N84" i="37"/>
  <c r="M84" i="37"/>
  <c r="K84" i="37"/>
  <c r="J84" i="37"/>
  <c r="H84" i="37"/>
  <c r="G84" i="37"/>
  <c r="E84" i="37"/>
  <c r="D84" i="37"/>
  <c r="O82" i="37"/>
  <c r="L82" i="37"/>
  <c r="I82" i="37"/>
  <c r="F82" i="37"/>
  <c r="O81" i="37"/>
  <c r="L81" i="37"/>
  <c r="L80" i="37" s="1"/>
  <c r="I81" i="37"/>
  <c r="I80" i="37" s="1"/>
  <c r="F81" i="37"/>
  <c r="F80" i="37" s="1"/>
  <c r="N80" i="37"/>
  <c r="M80" i="37"/>
  <c r="K80" i="37"/>
  <c r="J80" i="37"/>
  <c r="H80" i="37"/>
  <c r="G80" i="37"/>
  <c r="E80" i="37"/>
  <c r="D80" i="37"/>
  <c r="O79" i="37"/>
  <c r="L79" i="37"/>
  <c r="I79" i="37"/>
  <c r="F79" i="37"/>
  <c r="O78" i="37"/>
  <c r="L78" i="37"/>
  <c r="L77" i="37" s="1"/>
  <c r="I78" i="37"/>
  <c r="F78" i="37"/>
  <c r="O77" i="37"/>
  <c r="N77" i="37"/>
  <c r="M77" i="37"/>
  <c r="K77" i="37"/>
  <c r="J77" i="37"/>
  <c r="H77" i="37"/>
  <c r="G77" i="37"/>
  <c r="E77" i="37"/>
  <c r="D77" i="37"/>
  <c r="O74" i="37"/>
  <c r="L74" i="37"/>
  <c r="I74" i="37"/>
  <c r="F74" i="37"/>
  <c r="O73" i="37"/>
  <c r="L73" i="37"/>
  <c r="I73" i="37"/>
  <c r="F73" i="37"/>
  <c r="O72" i="37"/>
  <c r="L72" i="37"/>
  <c r="I72" i="37"/>
  <c r="F72" i="37"/>
  <c r="O71" i="37"/>
  <c r="L71" i="37"/>
  <c r="I71" i="37"/>
  <c r="F71" i="37"/>
  <c r="O70" i="37"/>
  <c r="O69" i="37" s="1"/>
  <c r="L70" i="37"/>
  <c r="I70" i="37"/>
  <c r="F70" i="37"/>
  <c r="N69" i="37"/>
  <c r="M69" i="37"/>
  <c r="K69" i="37"/>
  <c r="K67" i="37" s="1"/>
  <c r="J69" i="37"/>
  <c r="J67" i="37" s="1"/>
  <c r="H69" i="37"/>
  <c r="H67" i="37" s="1"/>
  <c r="G69" i="37"/>
  <c r="G67" i="37" s="1"/>
  <c r="E69" i="37"/>
  <c r="D69" i="37"/>
  <c r="D67" i="37" s="1"/>
  <c r="O68" i="37"/>
  <c r="L68" i="37"/>
  <c r="I68" i="37"/>
  <c r="F68" i="37"/>
  <c r="N67" i="37"/>
  <c r="M67" i="37"/>
  <c r="E67" i="37"/>
  <c r="O66" i="37"/>
  <c r="L66" i="37"/>
  <c r="I66" i="37"/>
  <c r="F66" i="37"/>
  <c r="O65" i="37"/>
  <c r="L65" i="37"/>
  <c r="I65" i="37"/>
  <c r="F65" i="37"/>
  <c r="O64" i="37"/>
  <c r="L64" i="37"/>
  <c r="I64" i="37"/>
  <c r="F64" i="37"/>
  <c r="O63" i="37"/>
  <c r="L63" i="37"/>
  <c r="I63" i="37"/>
  <c r="F63" i="37"/>
  <c r="O62" i="37"/>
  <c r="L62" i="37"/>
  <c r="I62" i="37"/>
  <c r="F62" i="37"/>
  <c r="O61" i="37"/>
  <c r="L61" i="37"/>
  <c r="I61" i="37"/>
  <c r="F61" i="37"/>
  <c r="O60" i="37"/>
  <c r="L60" i="37"/>
  <c r="I60" i="37"/>
  <c r="F60" i="37"/>
  <c r="O59" i="37"/>
  <c r="L59" i="37"/>
  <c r="I59" i="37"/>
  <c r="F59" i="37"/>
  <c r="F58" i="37" s="1"/>
  <c r="N58" i="37"/>
  <c r="M58" i="37"/>
  <c r="K58" i="37"/>
  <c r="J58" i="37"/>
  <c r="H58" i="37"/>
  <c r="G58" i="37"/>
  <c r="E58" i="37"/>
  <c r="D58" i="37"/>
  <c r="O57" i="37"/>
  <c r="L57" i="37"/>
  <c r="I57" i="37"/>
  <c r="F57" i="37"/>
  <c r="O56" i="37"/>
  <c r="L56" i="37"/>
  <c r="I56" i="37"/>
  <c r="F56" i="37"/>
  <c r="N55" i="37"/>
  <c r="M55" i="37"/>
  <c r="K55" i="37"/>
  <c r="J55" i="37"/>
  <c r="J54" i="37" s="1"/>
  <c r="H55" i="37"/>
  <c r="G55" i="37"/>
  <c r="E55" i="37"/>
  <c r="E54" i="37" s="1"/>
  <c r="D55" i="37"/>
  <c r="D54" i="37" s="1"/>
  <c r="O47" i="37"/>
  <c r="C47" i="37" s="1"/>
  <c r="O46" i="37"/>
  <c r="N45" i="37"/>
  <c r="M45" i="37"/>
  <c r="L44" i="37"/>
  <c r="I44" i="37"/>
  <c r="I43" i="37" s="1"/>
  <c r="F44" i="37"/>
  <c r="K43" i="37"/>
  <c r="J43" i="37"/>
  <c r="H43" i="37"/>
  <c r="G43" i="37"/>
  <c r="F43" i="37"/>
  <c r="E43" i="37"/>
  <c r="D43" i="37"/>
  <c r="F42" i="37"/>
  <c r="C42" i="37" s="1"/>
  <c r="E41" i="37"/>
  <c r="D41" i="37"/>
  <c r="L40" i="37"/>
  <c r="C40" i="37" s="1"/>
  <c r="L39" i="37"/>
  <c r="C39" i="37" s="1"/>
  <c r="L38" i="37"/>
  <c r="C38" i="37" s="1"/>
  <c r="L37" i="37"/>
  <c r="C37" i="37" s="1"/>
  <c r="K36" i="37"/>
  <c r="J36" i="37"/>
  <c r="L35" i="37"/>
  <c r="C35" i="37" s="1"/>
  <c r="L34" i="37"/>
  <c r="C34" i="37" s="1"/>
  <c r="K33" i="37"/>
  <c r="J33" i="37"/>
  <c r="L32" i="37"/>
  <c r="L31" i="37" s="1"/>
  <c r="C31" i="37" s="1"/>
  <c r="K31" i="37"/>
  <c r="J31" i="37"/>
  <c r="L30" i="37"/>
  <c r="C30" i="37" s="1"/>
  <c r="L29" i="37"/>
  <c r="C29" i="37" s="1"/>
  <c r="L28" i="37"/>
  <c r="C28" i="37" s="1"/>
  <c r="K27" i="37"/>
  <c r="J27" i="37"/>
  <c r="F25" i="37"/>
  <c r="C25" i="37" s="1"/>
  <c r="I24" i="37"/>
  <c r="F24" i="37"/>
  <c r="O23" i="37"/>
  <c r="L23" i="37"/>
  <c r="I23" i="37"/>
  <c r="F23" i="37"/>
  <c r="O22" i="37"/>
  <c r="L22" i="37"/>
  <c r="I22" i="37"/>
  <c r="I21" i="37" s="1"/>
  <c r="F22" i="37"/>
  <c r="N21" i="37"/>
  <c r="N292" i="37" s="1"/>
  <c r="N291" i="37" s="1"/>
  <c r="M21" i="37"/>
  <c r="K21" i="37"/>
  <c r="J21" i="37"/>
  <c r="H21" i="37"/>
  <c r="G21" i="37"/>
  <c r="E21" i="37"/>
  <c r="D21" i="37"/>
  <c r="D20" i="37" s="1"/>
  <c r="N20" i="37"/>
  <c r="F41" i="37" l="1"/>
  <c r="C41" i="37" s="1"/>
  <c r="E269" i="37"/>
  <c r="K269" i="37"/>
  <c r="G292" i="37"/>
  <c r="G291" i="37" s="1"/>
  <c r="E187" i="37"/>
  <c r="F166" i="37"/>
  <c r="F165" i="37" s="1"/>
  <c r="E53" i="37"/>
  <c r="E76" i="37"/>
  <c r="K76" i="37"/>
  <c r="G259" i="37"/>
  <c r="O45" i="37"/>
  <c r="C45" i="37" s="1"/>
  <c r="N76" i="37"/>
  <c r="M204" i="37"/>
  <c r="M195" i="37" s="1"/>
  <c r="M20" i="37"/>
  <c r="J76" i="37"/>
  <c r="N187" i="37"/>
  <c r="E259" i="37"/>
  <c r="N54" i="37"/>
  <c r="N53" i="37" s="1"/>
  <c r="J292" i="37"/>
  <c r="I160" i="37"/>
  <c r="C162" i="37"/>
  <c r="C44" i="37"/>
  <c r="C70" i="37"/>
  <c r="G76" i="37"/>
  <c r="F160" i="37"/>
  <c r="C181" i="37"/>
  <c r="C214" i="37"/>
  <c r="E204" i="37"/>
  <c r="C226" i="37"/>
  <c r="M231" i="37"/>
  <c r="K231" i="37"/>
  <c r="C236" i="37"/>
  <c r="C237" i="37"/>
  <c r="C239" i="37"/>
  <c r="C242" i="37"/>
  <c r="C271" i="37"/>
  <c r="D270" i="37"/>
  <c r="D269" i="37" s="1"/>
  <c r="C275" i="37"/>
  <c r="H270" i="37"/>
  <c r="H269" i="37" s="1"/>
  <c r="C294" i="37"/>
  <c r="K292" i="37"/>
  <c r="C24" i="37"/>
  <c r="L43" i="37"/>
  <c r="C57" i="37"/>
  <c r="C60" i="37"/>
  <c r="C94" i="37"/>
  <c r="M83" i="37"/>
  <c r="L95" i="37"/>
  <c r="K130" i="37"/>
  <c r="C177" i="37"/>
  <c r="D195" i="37"/>
  <c r="N231" i="37"/>
  <c r="N230" i="37" s="1"/>
  <c r="D259" i="37"/>
  <c r="C23" i="37"/>
  <c r="H54" i="37"/>
  <c r="H53" i="37" s="1"/>
  <c r="G54" i="37"/>
  <c r="M54" i="37"/>
  <c r="M53" i="37" s="1"/>
  <c r="L160" i="37"/>
  <c r="E173" i="37"/>
  <c r="I174" i="37"/>
  <c r="D187" i="37"/>
  <c r="H204" i="37"/>
  <c r="C282" i="37"/>
  <c r="G53" i="37"/>
  <c r="C72" i="37"/>
  <c r="C86" i="37"/>
  <c r="C93" i="37"/>
  <c r="C133" i="37"/>
  <c r="C168" i="37"/>
  <c r="C228" i="37"/>
  <c r="C229" i="37"/>
  <c r="C274" i="37"/>
  <c r="K291" i="37"/>
  <c r="L33" i="37"/>
  <c r="C33" i="37" s="1"/>
  <c r="C46" i="37"/>
  <c r="L55" i="37"/>
  <c r="C66" i="37"/>
  <c r="L89" i="37"/>
  <c r="C121" i="37"/>
  <c r="C150" i="37"/>
  <c r="J130" i="37"/>
  <c r="C153" i="37"/>
  <c r="C156" i="37"/>
  <c r="D174" i="37"/>
  <c r="D173" i="37" s="1"/>
  <c r="N174" i="37"/>
  <c r="N173" i="37" s="1"/>
  <c r="L179" i="37"/>
  <c r="C185" i="37"/>
  <c r="J187" i="37"/>
  <c r="F187" i="37"/>
  <c r="H195" i="37"/>
  <c r="C206" i="37"/>
  <c r="I205" i="37"/>
  <c r="C218" i="37"/>
  <c r="C222" i="37"/>
  <c r="C256" i="37"/>
  <c r="K259" i="37"/>
  <c r="L276" i="37"/>
  <c r="L270" i="37" s="1"/>
  <c r="L269" i="37" s="1"/>
  <c r="C299" i="37"/>
  <c r="C142" i="37"/>
  <c r="O166" i="37"/>
  <c r="O165" i="37" s="1"/>
  <c r="C43" i="37"/>
  <c r="C56" i="37"/>
  <c r="L76" i="37"/>
  <c r="C87" i="37"/>
  <c r="C157" i="37"/>
  <c r="C171" i="37"/>
  <c r="C193" i="37"/>
  <c r="C203" i="37"/>
  <c r="C250" i="37"/>
  <c r="I281" i="37"/>
  <c r="C281" i="37" s="1"/>
  <c r="C287" i="37"/>
  <c r="C298" i="37"/>
  <c r="C96" i="37"/>
  <c r="C106" i="37"/>
  <c r="C108" i="37"/>
  <c r="C109" i="37"/>
  <c r="C111" i="37"/>
  <c r="C149" i="37"/>
  <c r="C154" i="37"/>
  <c r="L175" i="37"/>
  <c r="G174" i="37"/>
  <c r="G173" i="37" s="1"/>
  <c r="K174" i="37"/>
  <c r="K173" i="37" s="1"/>
  <c r="M187" i="37"/>
  <c r="C211" i="37"/>
  <c r="C212" i="37"/>
  <c r="C213" i="37"/>
  <c r="C223" i="37"/>
  <c r="E231" i="37"/>
  <c r="C255" i="37"/>
  <c r="C262" i="37"/>
  <c r="C266" i="37"/>
  <c r="C278" i="37"/>
  <c r="K230" i="37"/>
  <c r="C141" i="37"/>
  <c r="I264" i="37"/>
  <c r="J291" i="37"/>
  <c r="C22" i="37"/>
  <c r="O21" i="37"/>
  <c r="O292" i="37" s="1"/>
  <c r="O291" i="37" s="1"/>
  <c r="J26" i="37"/>
  <c r="J20" i="37" s="1"/>
  <c r="J53" i="37"/>
  <c r="I55" i="37"/>
  <c r="C61" i="37"/>
  <c r="H76" i="37"/>
  <c r="D83" i="37"/>
  <c r="C101" i="37"/>
  <c r="C110" i="37"/>
  <c r="C120" i="37"/>
  <c r="O122" i="37"/>
  <c r="C152" i="37"/>
  <c r="C155" i="37"/>
  <c r="C170" i="37"/>
  <c r="C183" i="37"/>
  <c r="C189" i="37"/>
  <c r="C197" i="37"/>
  <c r="C224" i="37"/>
  <c r="C225" i="37"/>
  <c r="G204" i="37"/>
  <c r="G195" i="37" s="1"/>
  <c r="C234" i="37"/>
  <c r="C243" i="37"/>
  <c r="L252" i="37"/>
  <c r="L251" i="37" s="1"/>
  <c r="C261" i="37"/>
  <c r="O260" i="37"/>
  <c r="C277" i="37"/>
  <c r="O276" i="37"/>
  <c r="C297" i="37"/>
  <c r="L27" i="37"/>
  <c r="K26" i="37"/>
  <c r="K20" i="37" s="1"/>
  <c r="L36" i="37"/>
  <c r="C36" i="37" s="1"/>
  <c r="C59" i="37"/>
  <c r="O58" i="37"/>
  <c r="M76" i="37"/>
  <c r="C100" i="37"/>
  <c r="C105" i="37"/>
  <c r="L103" i="37"/>
  <c r="C124" i="37"/>
  <c r="C125" i="37"/>
  <c r="C127" i="37"/>
  <c r="C129" i="37"/>
  <c r="C140" i="37"/>
  <c r="C148" i="37"/>
  <c r="M130" i="37"/>
  <c r="L151" i="37"/>
  <c r="C159" i="37"/>
  <c r="C164" i="37"/>
  <c r="C169" i="37"/>
  <c r="H173" i="37"/>
  <c r="C182" i="37"/>
  <c r="N204" i="37"/>
  <c r="N195" i="37" s="1"/>
  <c r="G231" i="37"/>
  <c r="G230" i="37" s="1"/>
  <c r="C240" i="37"/>
  <c r="C258" i="37"/>
  <c r="C265" i="37"/>
  <c r="O264" i="37"/>
  <c r="M270" i="37"/>
  <c r="M269" i="37" s="1"/>
  <c r="I276" i="37"/>
  <c r="I270" i="37" s="1"/>
  <c r="M292" i="37"/>
  <c r="M291" i="37" s="1"/>
  <c r="C300" i="37"/>
  <c r="L69" i="37"/>
  <c r="L67" i="37" s="1"/>
  <c r="O116" i="37"/>
  <c r="K204" i="37"/>
  <c r="K195" i="37" s="1"/>
  <c r="L21" i="37"/>
  <c r="H20" i="37"/>
  <c r="D53" i="37"/>
  <c r="K54" i="37"/>
  <c r="K53" i="37" s="1"/>
  <c r="I58" i="37"/>
  <c r="C65" i="37"/>
  <c r="C74" i="37"/>
  <c r="C82" i="37"/>
  <c r="C88" i="37"/>
  <c r="N83" i="37"/>
  <c r="O89" i="37"/>
  <c r="I103" i="37"/>
  <c r="C107" i="37"/>
  <c r="H83" i="37"/>
  <c r="C114" i="37"/>
  <c r="I122" i="37"/>
  <c r="C134" i="37"/>
  <c r="G130" i="37"/>
  <c r="N130" i="37"/>
  <c r="C158" i="37"/>
  <c r="C167" i="37"/>
  <c r="C172" i="37"/>
  <c r="M173" i="37"/>
  <c r="C178" i="37"/>
  <c r="C210" i="37"/>
  <c r="C215" i="37"/>
  <c r="F216" i="37"/>
  <c r="J204" i="37"/>
  <c r="J195" i="37" s="1"/>
  <c r="C217" i="37"/>
  <c r="O216" i="37"/>
  <c r="J231" i="37"/>
  <c r="I238" i="37"/>
  <c r="I252" i="37"/>
  <c r="I251" i="37" s="1"/>
  <c r="C257" i="37"/>
  <c r="M259" i="37"/>
  <c r="M230" i="37" s="1"/>
  <c r="G269" i="37"/>
  <c r="N270" i="37"/>
  <c r="N269" i="37" s="1"/>
  <c r="O272" i="37"/>
  <c r="C295" i="37"/>
  <c r="I20" i="37"/>
  <c r="O191" i="37"/>
  <c r="O187" i="37" s="1"/>
  <c r="C192" i="37"/>
  <c r="C79" i="37"/>
  <c r="F77" i="37"/>
  <c r="C98" i="37"/>
  <c r="I95" i="37"/>
  <c r="C118" i="37"/>
  <c r="I116" i="37"/>
  <c r="C126" i="37"/>
  <c r="I77" i="37"/>
  <c r="I76" i="37" s="1"/>
  <c r="C78" i="37"/>
  <c r="L112" i="37"/>
  <c r="C112" i="37" s="1"/>
  <c r="C117" i="37"/>
  <c r="L116" i="37"/>
  <c r="L128" i="37"/>
  <c r="C128" i="37" s="1"/>
  <c r="H130" i="37"/>
  <c r="H75" i="37" s="1"/>
  <c r="L131" i="37"/>
  <c r="C137" i="37"/>
  <c r="L136" i="37"/>
  <c r="F179" i="37"/>
  <c r="C180" i="37"/>
  <c r="E195" i="37"/>
  <c r="L293" i="37"/>
  <c r="C293" i="37" s="1"/>
  <c r="E20" i="37"/>
  <c r="E292" i="37"/>
  <c r="E291" i="37" s="1"/>
  <c r="C32" i="37"/>
  <c r="C63" i="37"/>
  <c r="C64" i="37"/>
  <c r="C71" i="37"/>
  <c r="F69" i="37"/>
  <c r="E83" i="37"/>
  <c r="J83" i="37"/>
  <c r="O95" i="37"/>
  <c r="C102" i="37"/>
  <c r="D130" i="37"/>
  <c r="C147" i="37"/>
  <c r="F151" i="37"/>
  <c r="F175" i="37"/>
  <c r="C176" i="37"/>
  <c r="G187" i="37"/>
  <c r="L187" i="37"/>
  <c r="O205" i="37"/>
  <c r="L216" i="37"/>
  <c r="C219" i="37"/>
  <c r="O238" i="37"/>
  <c r="O231" i="37" s="1"/>
  <c r="C248" i="37"/>
  <c r="I246" i="37"/>
  <c r="I259" i="37"/>
  <c r="L260" i="37"/>
  <c r="C263" i="37"/>
  <c r="F264" i="37"/>
  <c r="F259" i="37" s="1"/>
  <c r="C284" i="37"/>
  <c r="F283" i="37"/>
  <c r="C283" i="37" s="1"/>
  <c r="I89" i="37"/>
  <c r="C90" i="37"/>
  <c r="C113" i="37"/>
  <c r="C132" i="37"/>
  <c r="F131" i="37"/>
  <c r="C138" i="37"/>
  <c r="I136" i="37"/>
  <c r="I130" i="37" s="1"/>
  <c r="C145" i="37"/>
  <c r="L144" i="37"/>
  <c r="C200" i="37"/>
  <c r="I198" i="37"/>
  <c r="C301" i="37"/>
  <c r="G20" i="37"/>
  <c r="F21" i="37"/>
  <c r="F55" i="37"/>
  <c r="C62" i="37"/>
  <c r="C68" i="37"/>
  <c r="C73" i="37"/>
  <c r="D76" i="37"/>
  <c r="C81" i="37"/>
  <c r="O80" i="37"/>
  <c r="F84" i="37"/>
  <c r="C85" i="37"/>
  <c r="O84" i="37"/>
  <c r="F89" i="37"/>
  <c r="C92" i="37"/>
  <c r="F95" i="37"/>
  <c r="C97" i="37"/>
  <c r="C99" i="37"/>
  <c r="F103" i="37"/>
  <c r="C104" i="37"/>
  <c r="C119" i="37"/>
  <c r="F122" i="37"/>
  <c r="E130" i="37"/>
  <c r="C139" i="37"/>
  <c r="C146" i="37"/>
  <c r="I144" i="37"/>
  <c r="C161" i="37"/>
  <c r="O160" i="37"/>
  <c r="H187" i="37"/>
  <c r="C202" i="37"/>
  <c r="F196" i="37"/>
  <c r="C241" i="37"/>
  <c r="F238" i="37"/>
  <c r="C247" i="37"/>
  <c r="L246" i="37"/>
  <c r="L231" i="37" s="1"/>
  <c r="J259" i="37"/>
  <c r="O259" i="37"/>
  <c r="O55" i="37"/>
  <c r="L58" i="37"/>
  <c r="L54" i="37" s="1"/>
  <c r="I69" i="37"/>
  <c r="I67" i="37" s="1"/>
  <c r="G83" i="37"/>
  <c r="K83" i="37"/>
  <c r="O103" i="37"/>
  <c r="C115" i="37"/>
  <c r="C123" i="37"/>
  <c r="C135" i="37"/>
  <c r="C143" i="37"/>
  <c r="O151" i="37"/>
  <c r="C163" i="37"/>
  <c r="C186" i="37"/>
  <c r="I184" i="37"/>
  <c r="C184" i="37" s="1"/>
  <c r="C190" i="37"/>
  <c r="I188" i="37"/>
  <c r="C199" i="37"/>
  <c r="L198" i="37"/>
  <c r="L196" i="37" s="1"/>
  <c r="I204" i="37"/>
  <c r="C227" i="37"/>
  <c r="C235" i="37"/>
  <c r="C288" i="37"/>
  <c r="I286" i="37"/>
  <c r="O67" i="37"/>
  <c r="C91" i="37"/>
  <c r="F116" i="37"/>
  <c r="O131" i="37"/>
  <c r="F136" i="37"/>
  <c r="F144" i="37"/>
  <c r="C144" i="37" s="1"/>
  <c r="L166" i="37"/>
  <c r="O175" i="37"/>
  <c r="O179" i="37"/>
  <c r="K187" i="37"/>
  <c r="O196" i="37"/>
  <c r="C207" i="37"/>
  <c r="L205" i="37"/>
  <c r="C244" i="37"/>
  <c r="C254" i="37"/>
  <c r="F252" i="37"/>
  <c r="L264" i="37"/>
  <c r="C267" i="37"/>
  <c r="C273" i="37"/>
  <c r="F272" i="37"/>
  <c r="F276" i="37"/>
  <c r="C279" i="37"/>
  <c r="F205" i="37"/>
  <c r="H231" i="37"/>
  <c r="H230" i="37" s="1"/>
  <c r="H194" i="37" s="1"/>
  <c r="C233" i="37"/>
  <c r="C280" i="37"/>
  <c r="C296" i="37"/>
  <c r="D292" i="37"/>
  <c r="D291" i="37" s="1"/>
  <c r="H292" i="37"/>
  <c r="H291" i="37" s="1"/>
  <c r="C201" i="37"/>
  <c r="C208" i="37"/>
  <c r="C209" i="37"/>
  <c r="C220" i="37"/>
  <c r="C221" i="37"/>
  <c r="C232" i="37"/>
  <c r="D231" i="37"/>
  <c r="C245" i="37"/>
  <c r="F246" i="37"/>
  <c r="C249" i="37"/>
  <c r="C253" i="37"/>
  <c r="O252" i="37"/>
  <c r="O251" i="37" s="1"/>
  <c r="C268" i="37"/>
  <c r="J270" i="37"/>
  <c r="J269" i="37" s="1"/>
  <c r="C285" i="37"/>
  <c r="L286" i="37"/>
  <c r="K194" i="37" l="1"/>
  <c r="I231" i="37"/>
  <c r="E230" i="37"/>
  <c r="O270" i="37"/>
  <c r="O269" i="37" s="1"/>
  <c r="M75" i="37"/>
  <c r="M289" i="37" s="1"/>
  <c r="L174" i="37"/>
  <c r="L173" i="37" s="1"/>
  <c r="L259" i="37"/>
  <c r="L230" i="37" s="1"/>
  <c r="C179" i="37"/>
  <c r="D230" i="37"/>
  <c r="D194" i="37" s="1"/>
  <c r="L204" i="37"/>
  <c r="L195" i="37" s="1"/>
  <c r="J230" i="37"/>
  <c r="J194" i="37" s="1"/>
  <c r="O20" i="37"/>
  <c r="L53" i="37"/>
  <c r="N194" i="37"/>
  <c r="K75" i="37"/>
  <c r="K52" i="37" s="1"/>
  <c r="K51" i="37" s="1"/>
  <c r="K50" i="37" s="1"/>
  <c r="O54" i="37"/>
  <c r="C160" i="37"/>
  <c r="J75" i="37"/>
  <c r="J52" i="37" s="1"/>
  <c r="C58" i="37"/>
  <c r="D75" i="37"/>
  <c r="D52" i="37" s="1"/>
  <c r="N75" i="37"/>
  <c r="N52" i="37" s="1"/>
  <c r="N51" i="37" s="1"/>
  <c r="N50" i="37" s="1"/>
  <c r="C216" i="37"/>
  <c r="C95" i="37"/>
  <c r="I269" i="37"/>
  <c r="M52" i="37"/>
  <c r="O174" i="37"/>
  <c r="O173" i="37" s="1"/>
  <c r="I54" i="37"/>
  <c r="I53" i="37" s="1"/>
  <c r="C276" i="37"/>
  <c r="C103" i="37"/>
  <c r="I83" i="37"/>
  <c r="I75" i="37" s="1"/>
  <c r="C27" i="37"/>
  <c r="L26" i="37"/>
  <c r="C191" i="37"/>
  <c r="C122" i="37"/>
  <c r="O204" i="37"/>
  <c r="O195" i="37" s="1"/>
  <c r="G194" i="37"/>
  <c r="O130" i="37"/>
  <c r="G75" i="37"/>
  <c r="G289" i="37" s="1"/>
  <c r="O230" i="37"/>
  <c r="H52" i="37"/>
  <c r="H51" i="37" s="1"/>
  <c r="H289" i="37"/>
  <c r="C188" i="37"/>
  <c r="I187" i="37"/>
  <c r="C187" i="37" s="1"/>
  <c r="C175" i="37"/>
  <c r="F174" i="37"/>
  <c r="C116" i="37"/>
  <c r="M194" i="37"/>
  <c r="C84" i="37"/>
  <c r="F83" i="37"/>
  <c r="C198" i="37"/>
  <c r="I196" i="37"/>
  <c r="I195" i="37" s="1"/>
  <c r="L83" i="37"/>
  <c r="C246" i="37"/>
  <c r="F270" i="37"/>
  <c r="C272" i="37"/>
  <c r="C252" i="37"/>
  <c r="F251" i="37"/>
  <c r="C251" i="37" s="1"/>
  <c r="C286" i="37"/>
  <c r="I230" i="37"/>
  <c r="C238" i="37"/>
  <c r="F231" i="37"/>
  <c r="C89" i="37"/>
  <c r="O76" i="37"/>
  <c r="C80" i="37"/>
  <c r="F292" i="37"/>
  <c r="C21" i="37"/>
  <c r="F20" i="37"/>
  <c r="C264" i="37"/>
  <c r="I173" i="37"/>
  <c r="I292" i="37"/>
  <c r="I291" i="37" s="1"/>
  <c r="C55" i="37"/>
  <c r="F54" i="37"/>
  <c r="F76" i="37"/>
  <c r="C77" i="37"/>
  <c r="L165" i="37"/>
  <c r="C165" i="37" s="1"/>
  <c r="C166" i="37"/>
  <c r="C151" i="37"/>
  <c r="C69" i="37"/>
  <c r="F67" i="37"/>
  <c r="C67" i="37" s="1"/>
  <c r="E194" i="37"/>
  <c r="C205" i="37"/>
  <c r="F204" i="37"/>
  <c r="C136" i="37"/>
  <c r="O53" i="37"/>
  <c r="C260" i="37"/>
  <c r="O83" i="37"/>
  <c r="C131" i="37"/>
  <c r="F130" i="37"/>
  <c r="E75" i="37"/>
  <c r="E52" i="37" s="1"/>
  <c r="L292" i="37"/>
  <c r="L291" i="37" s="1"/>
  <c r="L130" i="37"/>
  <c r="D289" i="37"/>
  <c r="D51" i="37" l="1"/>
  <c r="D290" i="37" s="1"/>
  <c r="N289" i="37"/>
  <c r="L194" i="37"/>
  <c r="C259" i="37"/>
  <c r="O194" i="37"/>
  <c r="K289" i="37"/>
  <c r="J289" i="37"/>
  <c r="M51" i="37"/>
  <c r="M290" i="37" s="1"/>
  <c r="C204" i="37"/>
  <c r="J51" i="37"/>
  <c r="J50" i="37" s="1"/>
  <c r="K290" i="37"/>
  <c r="D50" i="37"/>
  <c r="I52" i="37"/>
  <c r="C196" i="37"/>
  <c r="I289" i="37"/>
  <c r="N290" i="37"/>
  <c r="G52" i="37"/>
  <c r="G51" i="37" s="1"/>
  <c r="G290" i="37" s="1"/>
  <c r="C26" i="37"/>
  <c r="L20" i="37"/>
  <c r="C20" i="37" s="1"/>
  <c r="E289" i="37"/>
  <c r="C54" i="37"/>
  <c r="F53" i="37"/>
  <c r="O75" i="37"/>
  <c r="O289" i="37" s="1"/>
  <c r="L75" i="37"/>
  <c r="C83" i="37"/>
  <c r="H50" i="37"/>
  <c r="H290" i="37"/>
  <c r="M50" i="37"/>
  <c r="E51" i="37"/>
  <c r="F269" i="37"/>
  <c r="C270" i="37"/>
  <c r="C174" i="37"/>
  <c r="F173" i="37"/>
  <c r="C173" i="37" s="1"/>
  <c r="G50" i="37"/>
  <c r="F230" i="37"/>
  <c r="C230" i="37" s="1"/>
  <c r="C231" i="37"/>
  <c r="C130" i="37"/>
  <c r="F75" i="37"/>
  <c r="C76" i="37"/>
  <c r="C292" i="37"/>
  <c r="F291" i="37"/>
  <c r="C291" i="37" s="1"/>
  <c r="F195" i="37"/>
  <c r="I194" i="37"/>
  <c r="I51" i="37" l="1"/>
  <c r="I290" i="37" s="1"/>
  <c r="J290" i="37"/>
  <c r="C75" i="37"/>
  <c r="F194" i="37"/>
  <c r="C194" i="37" s="1"/>
  <c r="C195" i="37"/>
  <c r="O52" i="37"/>
  <c r="O51" i="37" s="1"/>
  <c r="F52" i="37"/>
  <c r="C53" i="37"/>
  <c r="C269" i="37"/>
  <c r="F289" i="37"/>
  <c r="E290" i="37"/>
  <c r="E50" i="37"/>
  <c r="L289" i="37"/>
  <c r="L52" i="37"/>
  <c r="L51" i="37" s="1"/>
  <c r="I50" i="37" l="1"/>
  <c r="C289" i="37"/>
  <c r="L50" i="37"/>
  <c r="L290" i="37"/>
  <c r="O50" i="37"/>
  <c r="O290" i="37"/>
  <c r="C52" i="37"/>
  <c r="F51" i="37"/>
  <c r="F290" i="37" l="1"/>
  <c r="C290" i="37" s="1"/>
  <c r="C51" i="37"/>
  <c r="F50" i="37"/>
  <c r="C50" i="37" s="1"/>
  <c r="D122" i="36" l="1"/>
  <c r="F122" i="36" s="1"/>
  <c r="F121" i="36" s="1"/>
  <c r="E121" i="36"/>
  <c r="F114" i="36"/>
  <c r="F113" i="36"/>
  <c r="F112" i="36" s="1"/>
  <c r="E112" i="36"/>
  <c r="D112" i="36"/>
  <c r="F105" i="36"/>
  <c r="F104" i="36"/>
  <c r="D103" i="36"/>
  <c r="F103" i="36" s="1"/>
  <c r="D102" i="36"/>
  <c r="F102" i="36" s="1"/>
  <c r="F101" i="36"/>
  <c r="F100" i="36"/>
  <c r="E99" i="36"/>
  <c r="F99" i="36" s="1"/>
  <c r="F98" i="36"/>
  <c r="F97" i="36"/>
  <c r="D96" i="36"/>
  <c r="F96" i="36" s="1"/>
  <c r="F95" i="36"/>
  <c r="D94" i="36"/>
  <c r="F94" i="36" s="1"/>
  <c r="F93" i="36"/>
  <c r="F92" i="36"/>
  <c r="F91" i="36"/>
  <c r="F90" i="36"/>
  <c r="E89" i="36"/>
  <c r="F89" i="36" s="1"/>
  <c r="E88" i="36"/>
  <c r="F88" i="36" s="1"/>
  <c r="F87" i="36"/>
  <c r="E86" i="36"/>
  <c r="F86" i="36" s="1"/>
  <c r="E85" i="36"/>
  <c r="D85" i="36"/>
  <c r="F84" i="36"/>
  <c r="F83" i="36"/>
  <c r="F82" i="36"/>
  <c r="F81" i="36"/>
  <c r="E80" i="36"/>
  <c r="F80" i="36" s="1"/>
  <c r="F73" i="36"/>
  <c r="F72" i="36"/>
  <c r="D71" i="36"/>
  <c r="F71" i="36" s="1"/>
  <c r="E70" i="36"/>
  <c r="E62" i="36" s="1"/>
  <c r="D70" i="36"/>
  <c r="F69" i="36"/>
  <c r="F68" i="36"/>
  <c r="F67" i="36"/>
  <c r="F66" i="36"/>
  <c r="F65" i="36"/>
  <c r="F64" i="36"/>
  <c r="F63" i="36"/>
  <c r="F56" i="36"/>
  <c r="F55" i="36"/>
  <c r="F54" i="36"/>
  <c r="F53" i="36"/>
  <c r="F52" i="36"/>
  <c r="F51" i="36"/>
  <c r="D50" i="36"/>
  <c r="F50" i="36" s="1"/>
  <c r="F49" i="36"/>
  <c r="F48" i="36"/>
  <c r="F47" i="36"/>
  <c r="F46" i="36"/>
  <c r="F45" i="36"/>
  <c r="F44" i="36"/>
  <c r="F43" i="36"/>
  <c r="F42" i="36"/>
  <c r="D41" i="36"/>
  <c r="F41" i="36" s="1"/>
  <c r="F40" i="36"/>
  <c r="E39" i="36"/>
  <c r="F38" i="36"/>
  <c r="F37" i="36"/>
  <c r="F36" i="36"/>
  <c r="F35" i="36"/>
  <c r="F34" i="36"/>
  <c r="F33" i="36"/>
  <c r="F32" i="36"/>
  <c r="F31" i="36"/>
  <c r="F30" i="36"/>
  <c r="F29" i="36"/>
  <c r="F28" i="36"/>
  <c r="F27" i="36"/>
  <c r="F26" i="36"/>
  <c r="F25" i="36"/>
  <c r="E24" i="36"/>
  <c r="F24" i="36" s="1"/>
  <c r="E23" i="36"/>
  <c r="F23" i="36" s="1"/>
  <c r="F22" i="36"/>
  <c r="E21" i="36"/>
  <c r="F21" i="36" s="1"/>
  <c r="E20" i="36"/>
  <c r="F20" i="36" s="1"/>
  <c r="F19" i="36"/>
  <c r="E18" i="36"/>
  <c r="F18" i="36" s="1"/>
  <c r="E17" i="36"/>
  <c r="F17" i="36" s="1"/>
  <c r="F16" i="36"/>
  <c r="E15" i="36"/>
  <c r="F15" i="36" s="1"/>
  <c r="F14" i="36"/>
  <c r="D13" i="36"/>
  <c r="O301" i="35"/>
  <c r="L301" i="35"/>
  <c r="I301" i="35"/>
  <c r="F301" i="35"/>
  <c r="O300" i="35"/>
  <c r="L300" i="35"/>
  <c r="I300" i="35"/>
  <c r="F300" i="35"/>
  <c r="O299" i="35"/>
  <c r="L299" i="35"/>
  <c r="I299" i="35"/>
  <c r="F299" i="35"/>
  <c r="O298" i="35"/>
  <c r="L298" i="35"/>
  <c r="I298" i="35"/>
  <c r="F298" i="35"/>
  <c r="C298" i="35" s="1"/>
  <c r="O297" i="35"/>
  <c r="L297" i="35"/>
  <c r="I297" i="35"/>
  <c r="F297" i="35"/>
  <c r="O296" i="35"/>
  <c r="L296" i="35"/>
  <c r="I296" i="35"/>
  <c r="F296" i="35"/>
  <c r="O295" i="35"/>
  <c r="L295" i="35"/>
  <c r="I295" i="35"/>
  <c r="F295" i="35"/>
  <c r="O294" i="35"/>
  <c r="L294" i="35"/>
  <c r="I294" i="35"/>
  <c r="F294" i="35"/>
  <c r="C294" i="35" s="1"/>
  <c r="N293" i="35"/>
  <c r="M293" i="35"/>
  <c r="K293" i="35"/>
  <c r="J293" i="35"/>
  <c r="H293" i="35"/>
  <c r="G293" i="35"/>
  <c r="E293" i="35"/>
  <c r="D293" i="35"/>
  <c r="O288" i="35"/>
  <c r="L288" i="35"/>
  <c r="I288" i="35"/>
  <c r="F288" i="35"/>
  <c r="O287" i="35"/>
  <c r="L287" i="35"/>
  <c r="L286" i="35" s="1"/>
  <c r="I287" i="35"/>
  <c r="F287" i="35"/>
  <c r="O286" i="35"/>
  <c r="N286" i="35"/>
  <c r="M286" i="35"/>
  <c r="K286" i="35"/>
  <c r="J286" i="35"/>
  <c r="H286" i="35"/>
  <c r="G286" i="35"/>
  <c r="F286" i="35"/>
  <c r="E286" i="35"/>
  <c r="D286" i="35"/>
  <c r="O285" i="35"/>
  <c r="L285" i="35"/>
  <c r="I285" i="35"/>
  <c r="F285" i="35"/>
  <c r="O284" i="35"/>
  <c r="N284" i="35"/>
  <c r="M284" i="35"/>
  <c r="M283" i="35" s="1"/>
  <c r="L284" i="35"/>
  <c r="L283" i="35" s="1"/>
  <c r="K284" i="35"/>
  <c r="J284" i="35"/>
  <c r="I284" i="35"/>
  <c r="I283" i="35" s="1"/>
  <c r="H284" i="35"/>
  <c r="H283" i="35" s="1"/>
  <c r="G284" i="35"/>
  <c r="E284" i="35"/>
  <c r="E283" i="35" s="1"/>
  <c r="D284" i="35"/>
  <c r="O283" i="35"/>
  <c r="N283" i="35"/>
  <c r="K283" i="35"/>
  <c r="J283" i="35"/>
  <c r="G283" i="35"/>
  <c r="D283" i="35"/>
  <c r="O282" i="35"/>
  <c r="O281" i="35" s="1"/>
  <c r="L282" i="35"/>
  <c r="I282" i="35"/>
  <c r="F282" i="35"/>
  <c r="C282" i="35"/>
  <c r="N281" i="35"/>
  <c r="M281" i="35"/>
  <c r="L281" i="35"/>
  <c r="K281" i="35"/>
  <c r="J281" i="35"/>
  <c r="I281" i="35"/>
  <c r="H281" i="35"/>
  <c r="G281" i="35"/>
  <c r="F281" i="35"/>
  <c r="E281" i="35"/>
  <c r="D281" i="35"/>
  <c r="O280" i="35"/>
  <c r="L280" i="35"/>
  <c r="I280" i="35"/>
  <c r="F280" i="35"/>
  <c r="O279" i="35"/>
  <c r="L279" i="35"/>
  <c r="I279" i="35"/>
  <c r="F279" i="35"/>
  <c r="O278" i="35"/>
  <c r="O276" i="35" s="1"/>
  <c r="L278" i="35"/>
  <c r="I278" i="35"/>
  <c r="F278" i="35"/>
  <c r="C278" i="35"/>
  <c r="O277" i="35"/>
  <c r="L277" i="35"/>
  <c r="I277" i="35"/>
  <c r="F277" i="35"/>
  <c r="N276" i="35"/>
  <c r="M276" i="35"/>
  <c r="K276" i="35"/>
  <c r="J276" i="35"/>
  <c r="I276" i="35"/>
  <c r="H276" i="35"/>
  <c r="G276" i="35"/>
  <c r="E276" i="35"/>
  <c r="D276" i="35"/>
  <c r="O275" i="35"/>
  <c r="L275" i="35"/>
  <c r="I275" i="35"/>
  <c r="F275" i="35"/>
  <c r="O274" i="35"/>
  <c r="L274" i="35"/>
  <c r="I274" i="35"/>
  <c r="C274" i="35" s="1"/>
  <c r="F274" i="35"/>
  <c r="O273" i="35"/>
  <c r="L273" i="35"/>
  <c r="L272" i="35" s="1"/>
  <c r="I273" i="35"/>
  <c r="I272" i="35" s="1"/>
  <c r="I270" i="35" s="1"/>
  <c r="I269" i="35" s="1"/>
  <c r="F273" i="35"/>
  <c r="N272" i="35"/>
  <c r="M272" i="35"/>
  <c r="M270" i="35" s="1"/>
  <c r="M269" i="35" s="1"/>
  <c r="K272" i="35"/>
  <c r="J272" i="35"/>
  <c r="H272" i="35"/>
  <c r="G272" i="35"/>
  <c r="E272" i="35"/>
  <c r="D272" i="35"/>
  <c r="D270" i="35" s="1"/>
  <c r="D269" i="35" s="1"/>
  <c r="O271" i="35"/>
  <c r="L271" i="35"/>
  <c r="I271" i="35"/>
  <c r="F271" i="35"/>
  <c r="C271" i="35" s="1"/>
  <c r="N270" i="35"/>
  <c r="K270" i="35"/>
  <c r="K269" i="35" s="1"/>
  <c r="J270" i="35"/>
  <c r="H270" i="35"/>
  <c r="H269" i="35" s="1"/>
  <c r="G270" i="35"/>
  <c r="G269" i="35" s="1"/>
  <c r="N269" i="35"/>
  <c r="J269" i="35"/>
  <c r="O268" i="35"/>
  <c r="L268" i="35"/>
  <c r="I268" i="35"/>
  <c r="F268" i="35"/>
  <c r="O267" i="35"/>
  <c r="L267" i="35"/>
  <c r="I267" i="35"/>
  <c r="F267" i="35"/>
  <c r="O266" i="35"/>
  <c r="L266" i="35"/>
  <c r="C266" i="35" s="1"/>
  <c r="I266" i="35"/>
  <c r="F266" i="35"/>
  <c r="O265" i="35"/>
  <c r="L265" i="35"/>
  <c r="I265" i="35"/>
  <c r="F265" i="35"/>
  <c r="N264" i="35"/>
  <c r="M264" i="35"/>
  <c r="K264" i="35"/>
  <c r="J264" i="35"/>
  <c r="H264" i="35"/>
  <c r="G264" i="35"/>
  <c r="E264" i="35"/>
  <c r="D264" i="35"/>
  <c r="O263" i="35"/>
  <c r="L263" i="35"/>
  <c r="I263" i="35"/>
  <c r="F263" i="35"/>
  <c r="O262" i="35"/>
  <c r="L262" i="35"/>
  <c r="I262" i="35"/>
  <c r="F262" i="35"/>
  <c r="O261" i="35"/>
  <c r="L261" i="35"/>
  <c r="I261" i="35"/>
  <c r="I260" i="35" s="1"/>
  <c r="F261" i="35"/>
  <c r="N260" i="35"/>
  <c r="M260" i="35"/>
  <c r="K260" i="35"/>
  <c r="J260" i="35"/>
  <c r="H260" i="35"/>
  <c r="H259" i="35" s="1"/>
  <c r="G260" i="35"/>
  <c r="E260" i="35"/>
  <c r="E259" i="35" s="1"/>
  <c r="D260" i="35"/>
  <c r="N259" i="35"/>
  <c r="K259" i="35"/>
  <c r="J259" i="35"/>
  <c r="G259" i="35"/>
  <c r="D259" i="35"/>
  <c r="O258" i="35"/>
  <c r="L258" i="35"/>
  <c r="I258" i="35"/>
  <c r="F258" i="35"/>
  <c r="C258" i="35" s="1"/>
  <c r="O257" i="35"/>
  <c r="L257" i="35"/>
  <c r="I257" i="35"/>
  <c r="F257" i="35"/>
  <c r="O256" i="35"/>
  <c r="L256" i="35"/>
  <c r="I256" i="35"/>
  <c r="F256" i="35"/>
  <c r="O255" i="35"/>
  <c r="L255" i="35"/>
  <c r="I255" i="35"/>
  <c r="F255" i="35"/>
  <c r="C255" i="35" s="1"/>
  <c r="O254" i="35"/>
  <c r="L254" i="35"/>
  <c r="I254" i="35"/>
  <c r="F254" i="35"/>
  <c r="C254" i="35" s="1"/>
  <c r="O253" i="35"/>
  <c r="L253" i="35"/>
  <c r="I253" i="35"/>
  <c r="F253" i="35"/>
  <c r="N252" i="35"/>
  <c r="M252" i="35"/>
  <c r="M251" i="35" s="1"/>
  <c r="K252" i="35"/>
  <c r="J252" i="35"/>
  <c r="H252" i="35"/>
  <c r="G252" i="35"/>
  <c r="G251" i="35" s="1"/>
  <c r="E252" i="35"/>
  <c r="E251" i="35" s="1"/>
  <c r="D252" i="35"/>
  <c r="D251" i="35" s="1"/>
  <c r="N251" i="35"/>
  <c r="K251" i="35"/>
  <c r="J251" i="35"/>
  <c r="H251" i="35"/>
  <c r="O250" i="35"/>
  <c r="L250" i="35"/>
  <c r="C250" i="35" s="1"/>
  <c r="I250" i="35"/>
  <c r="F250" i="35"/>
  <c r="O249" i="35"/>
  <c r="L249" i="35"/>
  <c r="I249" i="35"/>
  <c r="F249" i="35"/>
  <c r="O248" i="35"/>
  <c r="L248" i="35"/>
  <c r="I248" i="35"/>
  <c r="F248" i="35"/>
  <c r="O247" i="35"/>
  <c r="L247" i="35"/>
  <c r="I247" i="35"/>
  <c r="F247" i="35"/>
  <c r="O246" i="35"/>
  <c r="N246" i="35"/>
  <c r="M246" i="35"/>
  <c r="K246" i="35"/>
  <c r="J246" i="35"/>
  <c r="H246" i="35"/>
  <c r="G246" i="35"/>
  <c r="E246" i="35"/>
  <c r="D246" i="35"/>
  <c r="O245" i="35"/>
  <c r="L245" i="35"/>
  <c r="I245" i="35"/>
  <c r="F245" i="35"/>
  <c r="O244" i="35"/>
  <c r="L244" i="35"/>
  <c r="I244" i="35"/>
  <c r="F244" i="35"/>
  <c r="O243" i="35"/>
  <c r="L243" i="35"/>
  <c r="I243" i="35"/>
  <c r="F243" i="35"/>
  <c r="O242" i="35"/>
  <c r="L242" i="35"/>
  <c r="I242" i="35"/>
  <c r="F242" i="35"/>
  <c r="O241" i="35"/>
  <c r="L241" i="35"/>
  <c r="I241" i="35"/>
  <c r="F241" i="35"/>
  <c r="O240" i="35"/>
  <c r="L240" i="35"/>
  <c r="I240" i="35"/>
  <c r="F240" i="35"/>
  <c r="O239" i="35"/>
  <c r="L239" i="35"/>
  <c r="L238" i="35" s="1"/>
  <c r="I239" i="35"/>
  <c r="F239" i="35"/>
  <c r="O238" i="35"/>
  <c r="N238" i="35"/>
  <c r="M238" i="35"/>
  <c r="K238" i="35"/>
  <c r="J238" i="35"/>
  <c r="H238" i="35"/>
  <c r="G238" i="35"/>
  <c r="E238" i="35"/>
  <c r="D238" i="35"/>
  <c r="O237" i="35"/>
  <c r="L237" i="35"/>
  <c r="I237" i="35"/>
  <c r="F237" i="35"/>
  <c r="O236" i="35"/>
  <c r="L236" i="35"/>
  <c r="L235" i="35" s="1"/>
  <c r="I236" i="35"/>
  <c r="F236" i="35"/>
  <c r="O235" i="35"/>
  <c r="N235" i="35"/>
  <c r="M235" i="35"/>
  <c r="K235" i="35"/>
  <c r="J235" i="35"/>
  <c r="H235" i="35"/>
  <c r="G235" i="35"/>
  <c r="E235" i="35"/>
  <c r="D235" i="35"/>
  <c r="O234" i="35"/>
  <c r="O233" i="35" s="1"/>
  <c r="L234" i="35"/>
  <c r="I234" i="35"/>
  <c r="F234" i="35"/>
  <c r="F233" i="35" s="1"/>
  <c r="C234" i="35"/>
  <c r="N233" i="35"/>
  <c r="M233" i="35"/>
  <c r="L233" i="35"/>
  <c r="K233" i="35"/>
  <c r="J233" i="35"/>
  <c r="I233" i="35"/>
  <c r="H233" i="35"/>
  <c r="H231" i="35" s="1"/>
  <c r="G233" i="35"/>
  <c r="E233" i="35"/>
  <c r="D233" i="35"/>
  <c r="D231" i="35" s="1"/>
  <c r="O232" i="35"/>
  <c r="L232" i="35"/>
  <c r="I232" i="35"/>
  <c r="F232" i="35"/>
  <c r="N231" i="35"/>
  <c r="M231" i="35"/>
  <c r="J231" i="35"/>
  <c r="E231" i="35"/>
  <c r="O229" i="35"/>
  <c r="L229" i="35"/>
  <c r="I229" i="35"/>
  <c r="F229" i="35"/>
  <c r="O228" i="35"/>
  <c r="L228" i="35"/>
  <c r="I228" i="35"/>
  <c r="F228" i="35"/>
  <c r="F227" i="35" s="1"/>
  <c r="O227" i="35"/>
  <c r="N227" i="35"/>
  <c r="M227" i="35"/>
  <c r="L227" i="35"/>
  <c r="K227" i="35"/>
  <c r="J227" i="35"/>
  <c r="H227" i="35"/>
  <c r="G227" i="35"/>
  <c r="E227" i="35"/>
  <c r="D227" i="35"/>
  <c r="O226" i="35"/>
  <c r="L226" i="35"/>
  <c r="I226" i="35"/>
  <c r="F226" i="35"/>
  <c r="O225" i="35"/>
  <c r="L225" i="35"/>
  <c r="I225" i="35"/>
  <c r="F225" i="35"/>
  <c r="O224" i="35"/>
  <c r="L224" i="35"/>
  <c r="I224" i="35"/>
  <c r="F224" i="35"/>
  <c r="O223" i="35"/>
  <c r="L223" i="35"/>
  <c r="I223" i="35"/>
  <c r="F223" i="35"/>
  <c r="O222" i="35"/>
  <c r="L222" i="35"/>
  <c r="I222" i="35"/>
  <c r="F222" i="35"/>
  <c r="O221" i="35"/>
  <c r="L221" i="35"/>
  <c r="I221" i="35"/>
  <c r="F221" i="35"/>
  <c r="O220" i="35"/>
  <c r="L220" i="35"/>
  <c r="I220" i="35"/>
  <c r="F220" i="35"/>
  <c r="O219" i="35"/>
  <c r="L219" i="35"/>
  <c r="I219" i="35"/>
  <c r="F219" i="35"/>
  <c r="O218" i="35"/>
  <c r="L218" i="35"/>
  <c r="I218" i="35"/>
  <c r="F218" i="35"/>
  <c r="C218" i="35" s="1"/>
  <c r="O217" i="35"/>
  <c r="L217" i="35"/>
  <c r="I217" i="35"/>
  <c r="F217" i="35"/>
  <c r="N216" i="35"/>
  <c r="M216" i="35"/>
  <c r="K216" i="35"/>
  <c r="J216" i="35"/>
  <c r="H216" i="35"/>
  <c r="G216" i="35"/>
  <c r="E216" i="35"/>
  <c r="D216" i="35"/>
  <c r="O215" i="35"/>
  <c r="L215" i="35"/>
  <c r="I215" i="35"/>
  <c r="F215" i="35"/>
  <c r="O214" i="35"/>
  <c r="L214" i="35"/>
  <c r="I214" i="35"/>
  <c r="F214" i="35"/>
  <c r="O213" i="35"/>
  <c r="L213" i="35"/>
  <c r="I213" i="35"/>
  <c r="F213" i="35"/>
  <c r="O212" i="35"/>
  <c r="L212" i="35"/>
  <c r="I212" i="35"/>
  <c r="F212" i="35"/>
  <c r="O211" i="35"/>
  <c r="L211" i="35"/>
  <c r="I211" i="35"/>
  <c r="F211" i="35"/>
  <c r="O210" i="35"/>
  <c r="L210" i="35"/>
  <c r="I210" i="35"/>
  <c r="F210" i="35"/>
  <c r="C210" i="35" s="1"/>
  <c r="O209" i="35"/>
  <c r="L209" i="35"/>
  <c r="I209" i="35"/>
  <c r="F209" i="35"/>
  <c r="O208" i="35"/>
  <c r="L208" i="35"/>
  <c r="I208" i="35"/>
  <c r="F208" i="35"/>
  <c r="O207" i="35"/>
  <c r="L207" i="35"/>
  <c r="I207" i="35"/>
  <c r="F207" i="35"/>
  <c r="C207" i="35" s="1"/>
  <c r="O206" i="35"/>
  <c r="L206" i="35"/>
  <c r="I206" i="35"/>
  <c r="F206" i="35"/>
  <c r="C206" i="35" s="1"/>
  <c r="N205" i="35"/>
  <c r="M205" i="35"/>
  <c r="L205" i="35"/>
  <c r="K205" i="35"/>
  <c r="J205" i="35"/>
  <c r="H205" i="35"/>
  <c r="H204" i="35" s="1"/>
  <c r="G205" i="35"/>
  <c r="E205" i="35"/>
  <c r="D205" i="35"/>
  <c r="D204" i="35" s="1"/>
  <c r="K204" i="35"/>
  <c r="G204" i="35"/>
  <c r="E204" i="35"/>
  <c r="O203" i="35"/>
  <c r="L203" i="35"/>
  <c r="I203" i="35"/>
  <c r="F203" i="35"/>
  <c r="O202" i="35"/>
  <c r="L202" i="35"/>
  <c r="I202" i="35"/>
  <c r="F202" i="35"/>
  <c r="C202" i="35" s="1"/>
  <c r="O201" i="35"/>
  <c r="L201" i="35"/>
  <c r="I201" i="35"/>
  <c r="F201" i="35"/>
  <c r="C201" i="35" s="1"/>
  <c r="O200" i="35"/>
  <c r="L200" i="35"/>
  <c r="I200" i="35"/>
  <c r="F200" i="35"/>
  <c r="O199" i="35"/>
  <c r="L199" i="35"/>
  <c r="L198" i="35" s="1"/>
  <c r="I199" i="35"/>
  <c r="F199" i="35"/>
  <c r="F198" i="35" s="1"/>
  <c r="O198" i="35"/>
  <c r="N198" i="35"/>
  <c r="M198" i="35"/>
  <c r="K198" i="35"/>
  <c r="K196" i="35" s="1"/>
  <c r="K195" i="35" s="1"/>
  <c r="J198" i="35"/>
  <c r="H198" i="35"/>
  <c r="G198" i="35"/>
  <c r="G196" i="35" s="1"/>
  <c r="G195" i="35" s="1"/>
  <c r="E198" i="35"/>
  <c r="E196" i="35" s="1"/>
  <c r="D198" i="35"/>
  <c r="O197" i="35"/>
  <c r="L197" i="35"/>
  <c r="L196" i="35" s="1"/>
  <c r="I197" i="35"/>
  <c r="F197" i="35"/>
  <c r="N196" i="35"/>
  <c r="M196" i="35"/>
  <c r="J196" i="35"/>
  <c r="H196" i="35"/>
  <c r="D196" i="35"/>
  <c r="O193" i="35"/>
  <c r="L193" i="35"/>
  <c r="L192" i="35" s="1"/>
  <c r="L191" i="35" s="1"/>
  <c r="I193" i="35"/>
  <c r="F193" i="35"/>
  <c r="O192" i="35"/>
  <c r="O191" i="35" s="1"/>
  <c r="N192" i="35"/>
  <c r="N191" i="35" s="1"/>
  <c r="M192" i="35"/>
  <c r="M191" i="35" s="1"/>
  <c r="K192" i="35"/>
  <c r="J192" i="35"/>
  <c r="I192" i="35"/>
  <c r="I191" i="35" s="1"/>
  <c r="H192" i="35"/>
  <c r="G192" i="35"/>
  <c r="E192" i="35"/>
  <c r="E191" i="35" s="1"/>
  <c r="D192" i="35"/>
  <c r="D191" i="35" s="1"/>
  <c r="K191" i="35"/>
  <c r="J191" i="35"/>
  <c r="H191" i="35"/>
  <c r="G191" i="35"/>
  <c r="O190" i="35"/>
  <c r="L190" i="35"/>
  <c r="I190" i="35"/>
  <c r="F190" i="35"/>
  <c r="O189" i="35"/>
  <c r="L189" i="35"/>
  <c r="L188" i="35" s="1"/>
  <c r="L187" i="35" s="1"/>
  <c r="I189" i="35"/>
  <c r="I188" i="35" s="1"/>
  <c r="F189" i="35"/>
  <c r="N188" i="35"/>
  <c r="M188" i="35"/>
  <c r="K188" i="35"/>
  <c r="J188" i="35"/>
  <c r="H188" i="35"/>
  <c r="G188" i="35"/>
  <c r="G187" i="35" s="1"/>
  <c r="F188" i="35"/>
  <c r="E188" i="35"/>
  <c r="E187" i="35" s="1"/>
  <c r="D188" i="35"/>
  <c r="D187" i="35" s="1"/>
  <c r="K187" i="35"/>
  <c r="O186" i="35"/>
  <c r="L186" i="35"/>
  <c r="I186" i="35"/>
  <c r="F186" i="35"/>
  <c r="O185" i="35"/>
  <c r="L185" i="35"/>
  <c r="L184" i="35" s="1"/>
  <c r="I185" i="35"/>
  <c r="I184" i="35" s="1"/>
  <c r="F185" i="35"/>
  <c r="F184" i="35" s="1"/>
  <c r="N184" i="35"/>
  <c r="M184" i="35"/>
  <c r="K184" i="35"/>
  <c r="J184" i="35"/>
  <c r="H184" i="35"/>
  <c r="G184" i="35"/>
  <c r="E184" i="35"/>
  <c r="D184" i="35"/>
  <c r="O183" i="35"/>
  <c r="L183" i="35"/>
  <c r="I183" i="35"/>
  <c r="F183" i="35"/>
  <c r="C183" i="35" s="1"/>
  <c r="O182" i="35"/>
  <c r="L182" i="35"/>
  <c r="I182" i="35"/>
  <c r="F182" i="35"/>
  <c r="O181" i="35"/>
  <c r="L181" i="35"/>
  <c r="I181" i="35"/>
  <c r="F181" i="35"/>
  <c r="O180" i="35"/>
  <c r="L180" i="35"/>
  <c r="L179" i="35" s="1"/>
  <c r="I180" i="35"/>
  <c r="I179" i="35" s="1"/>
  <c r="F180" i="35"/>
  <c r="O179" i="35"/>
  <c r="N179" i="35"/>
  <c r="M179" i="35"/>
  <c r="K179" i="35"/>
  <c r="J179" i="35"/>
  <c r="H179" i="35"/>
  <c r="G179" i="35"/>
  <c r="E179" i="35"/>
  <c r="D179" i="35"/>
  <c r="O178" i="35"/>
  <c r="L178" i="35"/>
  <c r="I178" i="35"/>
  <c r="F178" i="35"/>
  <c r="O177" i="35"/>
  <c r="L177" i="35"/>
  <c r="I177" i="35"/>
  <c r="F177" i="35"/>
  <c r="O176" i="35"/>
  <c r="L176" i="35"/>
  <c r="L175" i="35" s="1"/>
  <c r="L174" i="35" s="1"/>
  <c r="L173" i="35" s="1"/>
  <c r="I176" i="35"/>
  <c r="I175" i="35" s="1"/>
  <c r="F176" i="35"/>
  <c r="O175" i="35"/>
  <c r="O174" i="35" s="1"/>
  <c r="N175" i="35"/>
  <c r="N174" i="35" s="1"/>
  <c r="M175" i="35"/>
  <c r="K175" i="35"/>
  <c r="J175" i="35"/>
  <c r="J174" i="35" s="1"/>
  <c r="J173" i="35" s="1"/>
  <c r="H175" i="35"/>
  <c r="H174" i="35" s="1"/>
  <c r="H173" i="35" s="1"/>
  <c r="G175" i="35"/>
  <c r="E175" i="35"/>
  <c r="D175" i="35"/>
  <c r="D174" i="35" s="1"/>
  <c r="D173" i="35" s="1"/>
  <c r="M174" i="35"/>
  <c r="M173" i="35" s="1"/>
  <c r="E174" i="35"/>
  <c r="E173" i="35"/>
  <c r="O172" i="35"/>
  <c r="L172" i="35"/>
  <c r="I172" i="35"/>
  <c r="F172" i="35"/>
  <c r="O171" i="35"/>
  <c r="L171" i="35"/>
  <c r="I171" i="35"/>
  <c r="F171" i="35"/>
  <c r="C171" i="35" s="1"/>
  <c r="O170" i="35"/>
  <c r="L170" i="35"/>
  <c r="I170" i="35"/>
  <c r="F170" i="35"/>
  <c r="O169" i="35"/>
  <c r="L169" i="35"/>
  <c r="I169" i="35"/>
  <c r="F169" i="35"/>
  <c r="O168" i="35"/>
  <c r="L168" i="35"/>
  <c r="I168" i="35"/>
  <c r="F168" i="35"/>
  <c r="O167" i="35"/>
  <c r="O166" i="35" s="1"/>
  <c r="L167" i="35"/>
  <c r="I167" i="35"/>
  <c r="F167" i="35"/>
  <c r="C167" i="35" s="1"/>
  <c r="N166" i="35"/>
  <c r="M166" i="35"/>
  <c r="K166" i="35"/>
  <c r="K165" i="35" s="1"/>
  <c r="J166" i="35"/>
  <c r="J165" i="35" s="1"/>
  <c r="H166" i="35"/>
  <c r="H165" i="35" s="1"/>
  <c r="G166" i="35"/>
  <c r="G165" i="35" s="1"/>
  <c r="E166" i="35"/>
  <c r="D166" i="35"/>
  <c r="D165" i="35" s="1"/>
  <c r="N165" i="35"/>
  <c r="M165" i="35"/>
  <c r="E165" i="35"/>
  <c r="O164" i="35"/>
  <c r="L164" i="35"/>
  <c r="I164" i="35"/>
  <c r="F164" i="35"/>
  <c r="C164" i="35" s="1"/>
  <c r="O163" i="35"/>
  <c r="L163" i="35"/>
  <c r="I163" i="35"/>
  <c r="F163" i="35"/>
  <c r="C163" i="35" s="1"/>
  <c r="O162" i="35"/>
  <c r="L162" i="35"/>
  <c r="I162" i="35"/>
  <c r="F162" i="35"/>
  <c r="O161" i="35"/>
  <c r="L161" i="35"/>
  <c r="I161" i="35"/>
  <c r="I160" i="35" s="1"/>
  <c r="F161" i="35"/>
  <c r="N160" i="35"/>
  <c r="M160" i="35"/>
  <c r="L160" i="35"/>
  <c r="K160" i="35"/>
  <c r="J160" i="35"/>
  <c r="H160" i="35"/>
  <c r="G160" i="35"/>
  <c r="F160" i="35"/>
  <c r="E160" i="35"/>
  <c r="D160" i="35"/>
  <c r="O159" i="35"/>
  <c r="L159" i="35"/>
  <c r="C159" i="35" s="1"/>
  <c r="I159" i="35"/>
  <c r="F159" i="35"/>
  <c r="O158" i="35"/>
  <c r="L158" i="35"/>
  <c r="I158" i="35"/>
  <c r="F158" i="35"/>
  <c r="O157" i="35"/>
  <c r="L157" i="35"/>
  <c r="I157" i="35"/>
  <c r="F157" i="35"/>
  <c r="O156" i="35"/>
  <c r="L156" i="35"/>
  <c r="I156" i="35"/>
  <c r="F156" i="35"/>
  <c r="O155" i="35"/>
  <c r="L155" i="35"/>
  <c r="I155" i="35"/>
  <c r="F155" i="35"/>
  <c r="O154" i="35"/>
  <c r="L154" i="35"/>
  <c r="I154" i="35"/>
  <c r="F154" i="35"/>
  <c r="O153" i="35"/>
  <c r="L153" i="35"/>
  <c r="I153" i="35"/>
  <c r="F153" i="35"/>
  <c r="O152" i="35"/>
  <c r="L152" i="35"/>
  <c r="L151" i="35" s="1"/>
  <c r="I152" i="35"/>
  <c r="F152" i="35"/>
  <c r="N151" i="35"/>
  <c r="M151" i="35"/>
  <c r="K151" i="35"/>
  <c r="J151" i="35"/>
  <c r="H151" i="35"/>
  <c r="G151" i="35"/>
  <c r="E151" i="35"/>
  <c r="D151" i="35"/>
  <c r="O150" i="35"/>
  <c r="L150" i="35"/>
  <c r="I150" i="35"/>
  <c r="F150" i="35"/>
  <c r="O149" i="35"/>
  <c r="L149" i="35"/>
  <c r="I149" i="35"/>
  <c r="F149" i="35"/>
  <c r="O148" i="35"/>
  <c r="L148" i="35"/>
  <c r="I148" i="35"/>
  <c r="F148" i="35"/>
  <c r="O147" i="35"/>
  <c r="L147" i="35"/>
  <c r="I147" i="35"/>
  <c r="F147" i="35"/>
  <c r="C147" i="35"/>
  <c r="O146" i="35"/>
  <c r="L146" i="35"/>
  <c r="I146" i="35"/>
  <c r="F146" i="35"/>
  <c r="C146" i="35" s="1"/>
  <c r="O145" i="35"/>
  <c r="L145" i="35"/>
  <c r="I145" i="35"/>
  <c r="I144" i="35" s="1"/>
  <c r="F145" i="35"/>
  <c r="F144" i="35" s="1"/>
  <c r="N144" i="35"/>
  <c r="M144" i="35"/>
  <c r="K144" i="35"/>
  <c r="J144" i="35"/>
  <c r="H144" i="35"/>
  <c r="G144" i="35"/>
  <c r="E144" i="35"/>
  <c r="D144" i="35"/>
  <c r="O143" i="35"/>
  <c r="L143" i="35"/>
  <c r="I143" i="35"/>
  <c r="F143" i="35"/>
  <c r="O142" i="35"/>
  <c r="O141" i="35" s="1"/>
  <c r="L142" i="35"/>
  <c r="I142" i="35"/>
  <c r="I141" i="35" s="1"/>
  <c r="F142" i="35"/>
  <c r="N141" i="35"/>
  <c r="M141" i="35"/>
  <c r="L141" i="35"/>
  <c r="K141" i="35"/>
  <c r="J141" i="35"/>
  <c r="H141" i="35"/>
  <c r="G141" i="35"/>
  <c r="E141" i="35"/>
  <c r="D141" i="35"/>
  <c r="O140" i="35"/>
  <c r="L140" i="35"/>
  <c r="I140" i="35"/>
  <c r="F140" i="35"/>
  <c r="O139" i="35"/>
  <c r="L139" i="35"/>
  <c r="I139" i="35"/>
  <c r="F139" i="35"/>
  <c r="O138" i="35"/>
  <c r="L138" i="35"/>
  <c r="I138" i="35"/>
  <c r="F138" i="35"/>
  <c r="O137" i="35"/>
  <c r="L137" i="35"/>
  <c r="L136" i="35" s="1"/>
  <c r="I137" i="35"/>
  <c r="I136" i="35" s="1"/>
  <c r="F137" i="35"/>
  <c r="N136" i="35"/>
  <c r="M136" i="35"/>
  <c r="K136" i="35"/>
  <c r="J136" i="35"/>
  <c r="H136" i="35"/>
  <c r="G136" i="35"/>
  <c r="F136" i="35"/>
  <c r="E136" i="35"/>
  <c r="D136" i="35"/>
  <c r="O135" i="35"/>
  <c r="L135" i="35"/>
  <c r="I135" i="35"/>
  <c r="E135" i="35"/>
  <c r="E131" i="35" s="1"/>
  <c r="D135" i="35"/>
  <c r="O134" i="35"/>
  <c r="L134" i="35"/>
  <c r="I134" i="35"/>
  <c r="F134" i="35"/>
  <c r="O133" i="35"/>
  <c r="L133" i="35"/>
  <c r="I133" i="35"/>
  <c r="F133" i="35"/>
  <c r="O132" i="35"/>
  <c r="L132" i="35"/>
  <c r="I132" i="35"/>
  <c r="I131" i="35" s="1"/>
  <c r="F132" i="35"/>
  <c r="N131" i="35"/>
  <c r="N130" i="35" s="1"/>
  <c r="M131" i="35"/>
  <c r="M130" i="35" s="1"/>
  <c r="K131" i="35"/>
  <c r="J131" i="35"/>
  <c r="H131" i="35"/>
  <c r="H130" i="35" s="1"/>
  <c r="G131" i="35"/>
  <c r="D131" i="35"/>
  <c r="J130" i="35"/>
  <c r="D130" i="35"/>
  <c r="O129" i="35"/>
  <c r="O128" i="35" s="1"/>
  <c r="L129" i="35"/>
  <c r="I129" i="35"/>
  <c r="I128" i="35" s="1"/>
  <c r="F129" i="35"/>
  <c r="F128" i="35" s="1"/>
  <c r="N128" i="35"/>
  <c r="M128" i="35"/>
  <c r="K128" i="35"/>
  <c r="J128" i="35"/>
  <c r="H128" i="35"/>
  <c r="G128" i="35"/>
  <c r="E128" i="35"/>
  <c r="D128" i="35"/>
  <c r="O127" i="35"/>
  <c r="L127" i="35"/>
  <c r="I127" i="35"/>
  <c r="E127" i="35"/>
  <c r="F127" i="35" s="1"/>
  <c r="O126" i="35"/>
  <c r="L126" i="35"/>
  <c r="I126" i="35"/>
  <c r="F126" i="35"/>
  <c r="O125" i="35"/>
  <c r="L125" i="35"/>
  <c r="I125" i="35"/>
  <c r="F125" i="35"/>
  <c r="O124" i="35"/>
  <c r="L124" i="35"/>
  <c r="I124" i="35"/>
  <c r="F124" i="35"/>
  <c r="O123" i="35"/>
  <c r="L123" i="35"/>
  <c r="L122" i="35" s="1"/>
  <c r="I123" i="35"/>
  <c r="F123" i="35"/>
  <c r="N122" i="35"/>
  <c r="M122" i="35"/>
  <c r="K122" i="35"/>
  <c r="J122" i="35"/>
  <c r="H122" i="35"/>
  <c r="G122" i="35"/>
  <c r="E122" i="35"/>
  <c r="D122" i="35"/>
  <c r="O121" i="35"/>
  <c r="L121" i="35"/>
  <c r="I121" i="35"/>
  <c r="F121" i="35"/>
  <c r="O120" i="35"/>
  <c r="L120" i="35"/>
  <c r="I120" i="35"/>
  <c r="F120" i="35"/>
  <c r="O119" i="35"/>
  <c r="L119" i="35"/>
  <c r="I119" i="35"/>
  <c r="F119" i="35"/>
  <c r="O118" i="35"/>
  <c r="L118" i="35"/>
  <c r="I118" i="35"/>
  <c r="E118" i="35"/>
  <c r="O117" i="35"/>
  <c r="L117" i="35"/>
  <c r="I117" i="35"/>
  <c r="I116" i="35" s="1"/>
  <c r="F117" i="35"/>
  <c r="N116" i="35"/>
  <c r="M116" i="35"/>
  <c r="K116" i="35"/>
  <c r="J116" i="35"/>
  <c r="H116" i="35"/>
  <c r="G116" i="35"/>
  <c r="D116" i="35"/>
  <c r="O115" i="35"/>
  <c r="L115" i="35"/>
  <c r="I115" i="35"/>
  <c r="F115" i="35"/>
  <c r="C115" i="35" s="1"/>
  <c r="O114" i="35"/>
  <c r="L114" i="35"/>
  <c r="I114" i="35"/>
  <c r="F114" i="35"/>
  <c r="C114" i="35" s="1"/>
  <c r="O113" i="35"/>
  <c r="L113" i="35"/>
  <c r="I113" i="35"/>
  <c r="F113" i="35"/>
  <c r="N112" i="35"/>
  <c r="M112" i="35"/>
  <c r="L112" i="35"/>
  <c r="K112" i="35"/>
  <c r="J112" i="35"/>
  <c r="H112" i="35"/>
  <c r="G112" i="35"/>
  <c r="F112" i="35"/>
  <c r="E112" i="35"/>
  <c r="D112" i="35"/>
  <c r="O111" i="35"/>
  <c r="L111" i="35"/>
  <c r="I111" i="35"/>
  <c r="F111" i="35"/>
  <c r="O110" i="35"/>
  <c r="L110" i="35"/>
  <c r="I110" i="35"/>
  <c r="F110" i="35"/>
  <c r="O109" i="35"/>
  <c r="L109" i="35"/>
  <c r="I109" i="35"/>
  <c r="F109" i="35"/>
  <c r="O108" i="35"/>
  <c r="L108" i="35"/>
  <c r="I108" i="35"/>
  <c r="F108" i="35"/>
  <c r="O107" i="35"/>
  <c r="L107" i="35"/>
  <c r="I107" i="35"/>
  <c r="F107" i="35"/>
  <c r="O106" i="35"/>
  <c r="L106" i="35"/>
  <c r="I106" i="35"/>
  <c r="F106" i="35"/>
  <c r="O105" i="35"/>
  <c r="L105" i="35"/>
  <c r="I105" i="35"/>
  <c r="F105" i="35"/>
  <c r="O104" i="35"/>
  <c r="L104" i="35"/>
  <c r="I104" i="35"/>
  <c r="F104" i="35"/>
  <c r="O103" i="35"/>
  <c r="N103" i="35"/>
  <c r="M103" i="35"/>
  <c r="K103" i="35"/>
  <c r="J103" i="35"/>
  <c r="H103" i="35"/>
  <c r="G103" i="35"/>
  <c r="E103" i="35"/>
  <c r="D103" i="35"/>
  <c r="O102" i="35"/>
  <c r="L102" i="35"/>
  <c r="I102" i="35"/>
  <c r="F102" i="35"/>
  <c r="O101" i="35"/>
  <c r="L101" i="35"/>
  <c r="I101" i="35"/>
  <c r="F101" i="35"/>
  <c r="O100" i="35"/>
  <c r="L100" i="35"/>
  <c r="I100" i="35"/>
  <c r="F100" i="35"/>
  <c r="O99" i="35"/>
  <c r="L99" i="35"/>
  <c r="I99" i="35"/>
  <c r="F99" i="35"/>
  <c r="O98" i="35"/>
  <c r="L98" i="35"/>
  <c r="I98" i="35"/>
  <c r="F98" i="35"/>
  <c r="O97" i="35"/>
  <c r="L97" i="35"/>
  <c r="I97" i="35"/>
  <c r="F97" i="35"/>
  <c r="O96" i="35"/>
  <c r="L96" i="35"/>
  <c r="L95" i="35" s="1"/>
  <c r="I96" i="35"/>
  <c r="D96" i="35"/>
  <c r="F96" i="35" s="1"/>
  <c r="N95" i="35"/>
  <c r="M95" i="35"/>
  <c r="K95" i="35"/>
  <c r="J95" i="35"/>
  <c r="H95" i="35"/>
  <c r="G95" i="35"/>
  <c r="E95" i="35"/>
  <c r="D95" i="35"/>
  <c r="O94" i="35"/>
  <c r="L94" i="35"/>
  <c r="I94" i="35"/>
  <c r="F94" i="35"/>
  <c r="O93" i="35"/>
  <c r="L93" i="35"/>
  <c r="I93" i="35"/>
  <c r="F93" i="35"/>
  <c r="O92" i="35"/>
  <c r="L92" i="35"/>
  <c r="I92" i="35"/>
  <c r="F92" i="35"/>
  <c r="O91" i="35"/>
  <c r="L91" i="35"/>
  <c r="I91" i="35"/>
  <c r="F91" i="35"/>
  <c r="O90" i="35"/>
  <c r="L90" i="35"/>
  <c r="I90" i="35"/>
  <c r="F90" i="35"/>
  <c r="N89" i="35"/>
  <c r="M89" i="35"/>
  <c r="K89" i="35"/>
  <c r="J89" i="35"/>
  <c r="H89" i="35"/>
  <c r="G89" i="35"/>
  <c r="E89" i="35"/>
  <c r="D89" i="35"/>
  <c r="O88" i="35"/>
  <c r="L88" i="35"/>
  <c r="I88" i="35"/>
  <c r="F88" i="35"/>
  <c r="O87" i="35"/>
  <c r="L87" i="35"/>
  <c r="I87" i="35"/>
  <c r="F87" i="35"/>
  <c r="O86" i="35"/>
  <c r="L86" i="35"/>
  <c r="I86" i="35"/>
  <c r="F86" i="35"/>
  <c r="O85" i="35"/>
  <c r="L85" i="35"/>
  <c r="L84" i="35" s="1"/>
  <c r="I85" i="35"/>
  <c r="F85" i="35"/>
  <c r="N84" i="35"/>
  <c r="M84" i="35"/>
  <c r="M83" i="35" s="1"/>
  <c r="K84" i="35"/>
  <c r="J84" i="35"/>
  <c r="I84" i="35"/>
  <c r="H84" i="35"/>
  <c r="H83" i="35" s="1"/>
  <c r="G84" i="35"/>
  <c r="E84" i="35"/>
  <c r="D84" i="35"/>
  <c r="D83" i="35" s="1"/>
  <c r="J83" i="35"/>
  <c r="O82" i="35"/>
  <c r="L82" i="35"/>
  <c r="I82" i="35"/>
  <c r="F82" i="35"/>
  <c r="O81" i="35"/>
  <c r="O80" i="35" s="1"/>
  <c r="L81" i="35"/>
  <c r="I81" i="35"/>
  <c r="I80" i="35" s="1"/>
  <c r="F81" i="35"/>
  <c r="N80" i="35"/>
  <c r="M80" i="35"/>
  <c r="L80" i="35"/>
  <c r="K80" i="35"/>
  <c r="J80" i="35"/>
  <c r="H80" i="35"/>
  <c r="G80" i="35"/>
  <c r="F80" i="35"/>
  <c r="E80" i="35"/>
  <c r="D80" i="35"/>
  <c r="O79" i="35"/>
  <c r="L79" i="35"/>
  <c r="I79" i="35"/>
  <c r="F79" i="35"/>
  <c r="O78" i="35"/>
  <c r="L78" i="35"/>
  <c r="L77" i="35" s="1"/>
  <c r="L76" i="35" s="1"/>
  <c r="I78" i="35"/>
  <c r="F78" i="35"/>
  <c r="F77" i="35" s="1"/>
  <c r="O77" i="35"/>
  <c r="O76" i="35" s="1"/>
  <c r="N77" i="35"/>
  <c r="M77" i="35"/>
  <c r="M76" i="35" s="1"/>
  <c r="M75" i="35" s="1"/>
  <c r="K77" i="35"/>
  <c r="K76" i="35" s="1"/>
  <c r="J77" i="35"/>
  <c r="J76" i="35" s="1"/>
  <c r="H77" i="35"/>
  <c r="H76" i="35" s="1"/>
  <c r="G77" i="35"/>
  <c r="E77" i="35"/>
  <c r="E76" i="35" s="1"/>
  <c r="D77" i="35"/>
  <c r="N76" i="35"/>
  <c r="D76" i="35"/>
  <c r="O74" i="35"/>
  <c r="L74" i="35"/>
  <c r="I74" i="35"/>
  <c r="F74" i="35"/>
  <c r="O73" i="35"/>
  <c r="L73" i="35"/>
  <c r="I73" i="35"/>
  <c r="F73" i="35"/>
  <c r="C73" i="35" s="1"/>
  <c r="O72" i="35"/>
  <c r="L72" i="35"/>
  <c r="I72" i="35"/>
  <c r="F72" i="35"/>
  <c r="O71" i="35"/>
  <c r="L71" i="35"/>
  <c r="I71" i="35"/>
  <c r="F71" i="35"/>
  <c r="O70" i="35"/>
  <c r="L70" i="35"/>
  <c r="L69" i="35" s="1"/>
  <c r="I70" i="35"/>
  <c r="F70" i="35"/>
  <c r="F69" i="35" s="1"/>
  <c r="O69" i="35"/>
  <c r="N69" i="35"/>
  <c r="M69" i="35"/>
  <c r="M67" i="35" s="1"/>
  <c r="K69" i="35"/>
  <c r="K67" i="35" s="1"/>
  <c r="J69" i="35"/>
  <c r="J67" i="35" s="1"/>
  <c r="H69" i="35"/>
  <c r="H67" i="35" s="1"/>
  <c r="G69" i="35"/>
  <c r="G67" i="35" s="1"/>
  <c r="E69" i="35"/>
  <c r="D69" i="35"/>
  <c r="O68" i="35"/>
  <c r="L68" i="35"/>
  <c r="I68" i="35"/>
  <c r="E68" i="35"/>
  <c r="F68" i="35" s="1"/>
  <c r="N67" i="35"/>
  <c r="D67" i="35"/>
  <c r="O66" i="35"/>
  <c r="L66" i="35"/>
  <c r="I66" i="35"/>
  <c r="E66" i="35"/>
  <c r="F66" i="35" s="1"/>
  <c r="C66" i="35" s="1"/>
  <c r="O65" i="35"/>
  <c r="L65" i="35"/>
  <c r="I65" i="35"/>
  <c r="F65" i="35"/>
  <c r="O64" i="35"/>
  <c r="L64" i="35"/>
  <c r="I64" i="35"/>
  <c r="F64" i="35"/>
  <c r="C64" i="35" s="1"/>
  <c r="O63" i="35"/>
  <c r="L63" i="35"/>
  <c r="I63" i="35"/>
  <c r="F63" i="35"/>
  <c r="O62" i="35"/>
  <c r="L62" i="35"/>
  <c r="I62" i="35"/>
  <c r="F62" i="35"/>
  <c r="C62" i="35" s="1"/>
  <c r="O61" i="35"/>
  <c r="L61" i="35"/>
  <c r="I61" i="35"/>
  <c r="F61" i="35"/>
  <c r="O60" i="35"/>
  <c r="L60" i="35"/>
  <c r="I60" i="35"/>
  <c r="F60" i="35"/>
  <c r="C60" i="35" s="1"/>
  <c r="O59" i="35"/>
  <c r="O58" i="35" s="1"/>
  <c r="L59" i="35"/>
  <c r="I59" i="35"/>
  <c r="I58" i="35" s="1"/>
  <c r="F59" i="35"/>
  <c r="C59" i="35" s="1"/>
  <c r="N58" i="35"/>
  <c r="M58" i="35"/>
  <c r="L58" i="35"/>
  <c r="K58" i="35"/>
  <c r="J58" i="35"/>
  <c r="H58" i="35"/>
  <c r="G58" i="35"/>
  <c r="E58" i="35"/>
  <c r="D58" i="35"/>
  <c r="O57" i="35"/>
  <c r="L57" i="35"/>
  <c r="I57" i="35"/>
  <c r="C57" i="35" s="1"/>
  <c r="F57" i="35"/>
  <c r="O56" i="35"/>
  <c r="L56" i="35"/>
  <c r="L55" i="35" s="1"/>
  <c r="L54" i="35" s="1"/>
  <c r="I56" i="35"/>
  <c r="F56" i="35"/>
  <c r="F55" i="35" s="1"/>
  <c r="O55" i="35"/>
  <c r="N55" i="35"/>
  <c r="M55" i="35"/>
  <c r="M54" i="35" s="1"/>
  <c r="M53" i="35" s="1"/>
  <c r="K55" i="35"/>
  <c r="J55" i="35"/>
  <c r="H55" i="35"/>
  <c r="G55" i="35"/>
  <c r="G54" i="35" s="1"/>
  <c r="G53" i="35" s="1"/>
  <c r="E55" i="35"/>
  <c r="D55" i="35"/>
  <c r="N54" i="35"/>
  <c r="N53" i="35" s="1"/>
  <c r="J54" i="35"/>
  <c r="H54" i="35"/>
  <c r="D54" i="35"/>
  <c r="D53" i="35" s="1"/>
  <c r="O47" i="35"/>
  <c r="C47" i="35" s="1"/>
  <c r="O46" i="35"/>
  <c r="C46" i="35" s="1"/>
  <c r="N45" i="35"/>
  <c r="M45" i="35"/>
  <c r="L44" i="35"/>
  <c r="L43" i="35" s="1"/>
  <c r="I44" i="35"/>
  <c r="I43" i="35" s="1"/>
  <c r="F44" i="35"/>
  <c r="K43" i="35"/>
  <c r="J43" i="35"/>
  <c r="H43" i="35"/>
  <c r="G43" i="35"/>
  <c r="F43" i="35"/>
  <c r="E43" i="35"/>
  <c r="D43" i="35"/>
  <c r="F42" i="35"/>
  <c r="C42" i="35" s="1"/>
  <c r="E41" i="35"/>
  <c r="D41" i="35"/>
  <c r="L40" i="35"/>
  <c r="C40" i="35" s="1"/>
  <c r="L39" i="35"/>
  <c r="C39" i="35" s="1"/>
  <c r="L38" i="35"/>
  <c r="C38" i="35" s="1"/>
  <c r="L37" i="35"/>
  <c r="C37" i="35" s="1"/>
  <c r="K36" i="35"/>
  <c r="J36" i="35"/>
  <c r="L35" i="35"/>
  <c r="C35" i="35" s="1"/>
  <c r="L34" i="35"/>
  <c r="C34" i="35" s="1"/>
  <c r="K33" i="35"/>
  <c r="J33" i="35"/>
  <c r="L32" i="35"/>
  <c r="C32" i="35" s="1"/>
  <c r="K31" i="35"/>
  <c r="J31" i="35"/>
  <c r="L30" i="35"/>
  <c r="C30" i="35" s="1"/>
  <c r="L29" i="35"/>
  <c r="C29" i="35" s="1"/>
  <c r="L28" i="35"/>
  <c r="C28" i="35" s="1"/>
  <c r="K27" i="35"/>
  <c r="J27" i="35"/>
  <c r="J26" i="35" s="1"/>
  <c r="F25" i="35"/>
  <c r="C25" i="35" s="1"/>
  <c r="I24" i="35"/>
  <c r="C24" i="35" s="1"/>
  <c r="F24" i="35"/>
  <c r="O23" i="35"/>
  <c r="L23" i="35"/>
  <c r="I23" i="35"/>
  <c r="F23" i="35"/>
  <c r="O22" i="35"/>
  <c r="O21" i="35" s="1"/>
  <c r="L22" i="35"/>
  <c r="L21" i="35" s="1"/>
  <c r="L292" i="35" s="1"/>
  <c r="I22" i="35"/>
  <c r="I21" i="35" s="1"/>
  <c r="F22" i="35"/>
  <c r="N21" i="35"/>
  <c r="N292" i="35" s="1"/>
  <c r="N291" i="35" s="1"/>
  <c r="M21" i="35"/>
  <c r="M292" i="35" s="1"/>
  <c r="M291" i="35" s="1"/>
  <c r="K21" i="35"/>
  <c r="K292" i="35" s="1"/>
  <c r="K291" i="35" s="1"/>
  <c r="J21" i="35"/>
  <c r="J292" i="35" s="1"/>
  <c r="J291" i="35" s="1"/>
  <c r="H21" i="35"/>
  <c r="H292" i="35" s="1"/>
  <c r="H291" i="35" s="1"/>
  <c r="G21" i="35"/>
  <c r="G292" i="35" s="1"/>
  <c r="G291" i="35" s="1"/>
  <c r="F21" i="35"/>
  <c r="F292" i="35" s="1"/>
  <c r="E21" i="35"/>
  <c r="E292" i="35" s="1"/>
  <c r="E291" i="35" s="1"/>
  <c r="D21" i="35"/>
  <c r="D292" i="35" s="1"/>
  <c r="D291" i="35" s="1"/>
  <c r="E20" i="35"/>
  <c r="O301" i="34"/>
  <c r="L301" i="34"/>
  <c r="I301" i="34"/>
  <c r="F301" i="34"/>
  <c r="O300" i="34"/>
  <c r="L300" i="34"/>
  <c r="I300" i="34"/>
  <c r="F300" i="34"/>
  <c r="O299" i="34"/>
  <c r="L299" i="34"/>
  <c r="I299" i="34"/>
  <c r="F299" i="34"/>
  <c r="O298" i="34"/>
  <c r="L298" i="34"/>
  <c r="I298" i="34"/>
  <c r="F298" i="34"/>
  <c r="O297" i="34"/>
  <c r="L297" i="34"/>
  <c r="I297" i="34"/>
  <c r="F297" i="34"/>
  <c r="O296" i="34"/>
  <c r="L296" i="34"/>
  <c r="I296" i="34"/>
  <c r="F296" i="34"/>
  <c r="O295" i="34"/>
  <c r="L295" i="34"/>
  <c r="I295" i="34"/>
  <c r="F295" i="34"/>
  <c r="O294" i="34"/>
  <c r="O293" i="34" s="1"/>
  <c r="L294" i="34"/>
  <c r="I294" i="34"/>
  <c r="F294" i="34"/>
  <c r="F293" i="34" s="1"/>
  <c r="C294" i="34"/>
  <c r="N293" i="34"/>
  <c r="M293" i="34"/>
  <c r="K293" i="34"/>
  <c r="J293" i="34"/>
  <c r="H293" i="34"/>
  <c r="G293" i="34"/>
  <c r="E293" i="34"/>
  <c r="D293" i="34"/>
  <c r="O288" i="34"/>
  <c r="L288" i="34"/>
  <c r="I288" i="34"/>
  <c r="F288" i="34"/>
  <c r="C288" i="34" s="1"/>
  <c r="O287" i="34"/>
  <c r="O286" i="34" s="1"/>
  <c r="L287" i="34"/>
  <c r="I287" i="34"/>
  <c r="F287" i="34"/>
  <c r="C287" i="34" s="1"/>
  <c r="N286" i="34"/>
  <c r="M286" i="34"/>
  <c r="L286" i="34"/>
  <c r="K286" i="34"/>
  <c r="J286" i="34"/>
  <c r="H286" i="34"/>
  <c r="G286" i="34"/>
  <c r="F286" i="34"/>
  <c r="E286" i="34"/>
  <c r="D286" i="34"/>
  <c r="O285" i="34"/>
  <c r="L285" i="34"/>
  <c r="L284" i="34" s="1"/>
  <c r="L283" i="34" s="1"/>
  <c r="I285" i="34"/>
  <c r="F285" i="34"/>
  <c r="O284" i="34"/>
  <c r="N284" i="34"/>
  <c r="M284" i="34"/>
  <c r="M283" i="34" s="1"/>
  <c r="K284" i="34"/>
  <c r="K283" i="34" s="1"/>
  <c r="J284" i="34"/>
  <c r="J283" i="34" s="1"/>
  <c r="I284" i="34"/>
  <c r="I283" i="34" s="1"/>
  <c r="H284" i="34"/>
  <c r="G284" i="34"/>
  <c r="F284" i="34"/>
  <c r="E284" i="34"/>
  <c r="E283" i="34" s="1"/>
  <c r="D284" i="34"/>
  <c r="O283" i="34"/>
  <c r="N283" i="34"/>
  <c r="H283" i="34"/>
  <c r="G283" i="34"/>
  <c r="D283" i="34"/>
  <c r="O282" i="34"/>
  <c r="O281" i="34" s="1"/>
  <c r="L282" i="34"/>
  <c r="I282" i="34"/>
  <c r="I281" i="34" s="1"/>
  <c r="F282" i="34"/>
  <c r="F281" i="34" s="1"/>
  <c r="N281" i="34"/>
  <c r="M281" i="34"/>
  <c r="L281" i="34"/>
  <c r="K281" i="34"/>
  <c r="J281" i="34"/>
  <c r="H281" i="34"/>
  <c r="G281" i="34"/>
  <c r="E281" i="34"/>
  <c r="D281" i="34"/>
  <c r="O280" i="34"/>
  <c r="L280" i="34"/>
  <c r="I280" i="34"/>
  <c r="F280" i="34"/>
  <c r="O279" i="34"/>
  <c r="L279" i="34"/>
  <c r="I279" i="34"/>
  <c r="F279" i="34"/>
  <c r="O278" i="34"/>
  <c r="L278" i="34"/>
  <c r="I278" i="34"/>
  <c r="F278" i="34"/>
  <c r="C278" i="34"/>
  <c r="O277" i="34"/>
  <c r="L277" i="34"/>
  <c r="I277" i="34"/>
  <c r="I276" i="34" s="1"/>
  <c r="F277" i="34"/>
  <c r="C277" i="34" s="1"/>
  <c r="N276" i="34"/>
  <c r="M276" i="34"/>
  <c r="K276" i="34"/>
  <c r="J276" i="34"/>
  <c r="H276" i="34"/>
  <c r="G276" i="34"/>
  <c r="E276" i="34"/>
  <c r="D276" i="34"/>
  <c r="D270" i="34" s="1"/>
  <c r="D269" i="34" s="1"/>
  <c r="O275" i="34"/>
  <c r="L275" i="34"/>
  <c r="I275" i="34"/>
  <c r="F275" i="34"/>
  <c r="O274" i="34"/>
  <c r="L274" i="34"/>
  <c r="I274" i="34"/>
  <c r="F274" i="34"/>
  <c r="C274" i="34" s="1"/>
  <c r="O273" i="34"/>
  <c r="L273" i="34"/>
  <c r="I273" i="34"/>
  <c r="I272" i="34" s="1"/>
  <c r="F273" i="34"/>
  <c r="N272" i="34"/>
  <c r="N270" i="34" s="1"/>
  <c r="N269" i="34" s="1"/>
  <c r="M272" i="34"/>
  <c r="M270" i="34" s="1"/>
  <c r="L272" i="34"/>
  <c r="K272" i="34"/>
  <c r="K270" i="34" s="1"/>
  <c r="K269" i="34" s="1"/>
  <c r="J272" i="34"/>
  <c r="H272" i="34"/>
  <c r="G272" i="34"/>
  <c r="E272" i="34"/>
  <c r="D272" i="34"/>
  <c r="O271" i="34"/>
  <c r="L271" i="34"/>
  <c r="I271" i="34"/>
  <c r="F271" i="34"/>
  <c r="H270" i="34"/>
  <c r="G270" i="34"/>
  <c r="G269" i="34" s="1"/>
  <c r="M269" i="34"/>
  <c r="H269" i="34"/>
  <c r="O268" i="34"/>
  <c r="L268" i="34"/>
  <c r="I268" i="34"/>
  <c r="F268" i="34"/>
  <c r="O267" i="34"/>
  <c r="L267" i="34"/>
  <c r="I267" i="34"/>
  <c r="F267" i="34"/>
  <c r="O266" i="34"/>
  <c r="L266" i="34"/>
  <c r="I266" i="34"/>
  <c r="F266" i="34"/>
  <c r="C266" i="34" s="1"/>
  <c r="O265" i="34"/>
  <c r="L265" i="34"/>
  <c r="I265" i="34"/>
  <c r="F265" i="34"/>
  <c r="F264" i="34" s="1"/>
  <c r="N264" i="34"/>
  <c r="M264" i="34"/>
  <c r="K264" i="34"/>
  <c r="J264" i="34"/>
  <c r="H264" i="34"/>
  <c r="G264" i="34"/>
  <c r="E264" i="34"/>
  <c r="D264" i="34"/>
  <c r="O263" i="34"/>
  <c r="L263" i="34"/>
  <c r="I263" i="34"/>
  <c r="F263" i="34"/>
  <c r="O262" i="34"/>
  <c r="L262" i="34"/>
  <c r="I262" i="34"/>
  <c r="F262" i="34"/>
  <c r="O261" i="34"/>
  <c r="L261" i="34"/>
  <c r="I261" i="34"/>
  <c r="I260" i="34" s="1"/>
  <c r="F261" i="34"/>
  <c r="N260" i="34"/>
  <c r="M260" i="34"/>
  <c r="M259" i="34" s="1"/>
  <c r="K260" i="34"/>
  <c r="K259" i="34" s="1"/>
  <c r="J260" i="34"/>
  <c r="H260" i="34"/>
  <c r="H259" i="34" s="1"/>
  <c r="G260" i="34"/>
  <c r="G259" i="34" s="1"/>
  <c r="F260" i="34"/>
  <c r="E260" i="34"/>
  <c r="D260" i="34"/>
  <c r="D259" i="34" s="1"/>
  <c r="N259" i="34"/>
  <c r="O258" i="34"/>
  <c r="L258" i="34"/>
  <c r="C258" i="34" s="1"/>
  <c r="I258" i="34"/>
  <c r="F258" i="34"/>
  <c r="O257" i="34"/>
  <c r="L257" i="34"/>
  <c r="I257" i="34"/>
  <c r="F257" i="34"/>
  <c r="O256" i="34"/>
  <c r="L256" i="34"/>
  <c r="I256" i="34"/>
  <c r="F256" i="34"/>
  <c r="O255" i="34"/>
  <c r="L255" i="34"/>
  <c r="I255" i="34"/>
  <c r="F255" i="34"/>
  <c r="O254" i="34"/>
  <c r="L254" i="34"/>
  <c r="I254" i="34"/>
  <c r="F254" i="34"/>
  <c r="O253" i="34"/>
  <c r="L253" i="34"/>
  <c r="I253" i="34"/>
  <c r="I252" i="34" s="1"/>
  <c r="F253" i="34"/>
  <c r="N252" i="34"/>
  <c r="M252" i="34"/>
  <c r="M251" i="34" s="1"/>
  <c r="K252" i="34"/>
  <c r="K251" i="34" s="1"/>
  <c r="J252" i="34"/>
  <c r="H252" i="34"/>
  <c r="H251" i="34" s="1"/>
  <c r="G252" i="34"/>
  <c r="G251" i="34" s="1"/>
  <c r="E252" i="34"/>
  <c r="E251" i="34" s="1"/>
  <c r="D252" i="34"/>
  <c r="N251" i="34"/>
  <c r="J251" i="34"/>
  <c r="D251" i="34"/>
  <c r="O250" i="34"/>
  <c r="L250" i="34"/>
  <c r="I250" i="34"/>
  <c r="F250" i="34"/>
  <c r="O249" i="34"/>
  <c r="L249" i="34"/>
  <c r="I249" i="34"/>
  <c r="F249" i="34"/>
  <c r="O248" i="34"/>
  <c r="L248" i="34"/>
  <c r="I248" i="34"/>
  <c r="F248" i="34"/>
  <c r="O247" i="34"/>
  <c r="L247" i="34"/>
  <c r="I247" i="34"/>
  <c r="F247" i="34"/>
  <c r="O246" i="34"/>
  <c r="N246" i="34"/>
  <c r="M246" i="34"/>
  <c r="K246" i="34"/>
  <c r="J246" i="34"/>
  <c r="H246" i="34"/>
  <c r="G246" i="34"/>
  <c r="E246" i="34"/>
  <c r="D246" i="34"/>
  <c r="O245" i="34"/>
  <c r="L245" i="34"/>
  <c r="I245" i="34"/>
  <c r="F245" i="34"/>
  <c r="O244" i="34"/>
  <c r="L244" i="34"/>
  <c r="I244" i="34"/>
  <c r="F244" i="34"/>
  <c r="O243" i="34"/>
  <c r="L243" i="34"/>
  <c r="I243" i="34"/>
  <c r="F243" i="34"/>
  <c r="O242" i="34"/>
  <c r="L242" i="34"/>
  <c r="I242" i="34"/>
  <c r="F242" i="34"/>
  <c r="C242" i="34" s="1"/>
  <c r="O241" i="34"/>
  <c r="L241" i="34"/>
  <c r="I241" i="34"/>
  <c r="F241" i="34"/>
  <c r="O240" i="34"/>
  <c r="L240" i="34"/>
  <c r="I240" i="34"/>
  <c r="F240" i="34"/>
  <c r="O239" i="34"/>
  <c r="L239" i="34"/>
  <c r="L238" i="34" s="1"/>
  <c r="I239" i="34"/>
  <c r="F239" i="34"/>
  <c r="C239" i="34" s="1"/>
  <c r="N238" i="34"/>
  <c r="M238" i="34"/>
  <c r="K238" i="34"/>
  <c r="J238" i="34"/>
  <c r="H238" i="34"/>
  <c r="G238" i="34"/>
  <c r="E238" i="34"/>
  <c r="D238" i="34"/>
  <c r="O237" i="34"/>
  <c r="L237" i="34"/>
  <c r="I237" i="34"/>
  <c r="F237" i="34"/>
  <c r="O236" i="34"/>
  <c r="L236" i="34"/>
  <c r="L235" i="34" s="1"/>
  <c r="I236" i="34"/>
  <c r="I235" i="34" s="1"/>
  <c r="F236" i="34"/>
  <c r="O235" i="34"/>
  <c r="N235" i="34"/>
  <c r="M235" i="34"/>
  <c r="K235" i="34"/>
  <c r="J235" i="34"/>
  <c r="H235" i="34"/>
  <c r="G235" i="34"/>
  <c r="F235" i="34"/>
  <c r="E235" i="34"/>
  <c r="D235" i="34"/>
  <c r="O234" i="34"/>
  <c r="O233" i="34" s="1"/>
  <c r="L234" i="34"/>
  <c r="I234" i="34"/>
  <c r="F234" i="34"/>
  <c r="F233" i="34" s="1"/>
  <c r="C234" i="34"/>
  <c r="N233" i="34"/>
  <c r="M233" i="34"/>
  <c r="L233" i="34"/>
  <c r="K233" i="34"/>
  <c r="J233" i="34"/>
  <c r="I233" i="34"/>
  <c r="H233" i="34"/>
  <c r="G233" i="34"/>
  <c r="E233" i="34"/>
  <c r="E231" i="34" s="1"/>
  <c r="D233" i="34"/>
  <c r="O232" i="34"/>
  <c r="L232" i="34"/>
  <c r="I232" i="34"/>
  <c r="F232" i="34"/>
  <c r="N231" i="34"/>
  <c r="O229" i="34"/>
  <c r="L229" i="34"/>
  <c r="I229" i="34"/>
  <c r="F229" i="34"/>
  <c r="O228" i="34"/>
  <c r="L228" i="34"/>
  <c r="L227" i="34" s="1"/>
  <c r="I228" i="34"/>
  <c r="I227" i="34" s="1"/>
  <c r="F228" i="34"/>
  <c r="O227" i="34"/>
  <c r="N227" i="34"/>
  <c r="M227" i="34"/>
  <c r="K227" i="34"/>
  <c r="J227" i="34"/>
  <c r="H227" i="34"/>
  <c r="G227" i="34"/>
  <c r="F227" i="34"/>
  <c r="E227" i="34"/>
  <c r="D227" i="34"/>
  <c r="O226" i="34"/>
  <c r="L226" i="34"/>
  <c r="I226" i="34"/>
  <c r="F226" i="34"/>
  <c r="C226" i="34" s="1"/>
  <c r="O225" i="34"/>
  <c r="L225" i="34"/>
  <c r="I225" i="34"/>
  <c r="F225" i="34"/>
  <c r="O224" i="34"/>
  <c r="L224" i="34"/>
  <c r="I224" i="34"/>
  <c r="F224" i="34"/>
  <c r="O223" i="34"/>
  <c r="L223" i="34"/>
  <c r="I223" i="34"/>
  <c r="F223" i="34"/>
  <c r="O222" i="34"/>
  <c r="L222" i="34"/>
  <c r="I222" i="34"/>
  <c r="F222" i="34"/>
  <c r="O221" i="34"/>
  <c r="L221" i="34"/>
  <c r="I221" i="34"/>
  <c r="F221" i="34"/>
  <c r="O220" i="34"/>
  <c r="L220" i="34"/>
  <c r="I220" i="34"/>
  <c r="F220" i="34"/>
  <c r="O219" i="34"/>
  <c r="L219" i="34"/>
  <c r="I219" i="34"/>
  <c r="F219" i="34"/>
  <c r="O218" i="34"/>
  <c r="L218" i="34"/>
  <c r="I218" i="34"/>
  <c r="F218" i="34"/>
  <c r="O217" i="34"/>
  <c r="L217" i="34"/>
  <c r="I217" i="34"/>
  <c r="F217" i="34"/>
  <c r="N216" i="34"/>
  <c r="M216" i="34"/>
  <c r="K216" i="34"/>
  <c r="J216" i="34"/>
  <c r="I216" i="34"/>
  <c r="H216" i="34"/>
  <c r="G216" i="34"/>
  <c r="F216" i="34"/>
  <c r="E216" i="34"/>
  <c r="D216" i="34"/>
  <c r="O215" i="34"/>
  <c r="L215" i="34"/>
  <c r="I215" i="34"/>
  <c r="F215" i="34"/>
  <c r="O214" i="34"/>
  <c r="L214" i="34"/>
  <c r="I214" i="34"/>
  <c r="F214" i="34"/>
  <c r="O213" i="34"/>
  <c r="L213" i="34"/>
  <c r="I213" i="34"/>
  <c r="F213" i="34"/>
  <c r="C213" i="34" s="1"/>
  <c r="O212" i="34"/>
  <c r="L212" i="34"/>
  <c r="I212" i="34"/>
  <c r="F212" i="34"/>
  <c r="O211" i="34"/>
  <c r="L211" i="34"/>
  <c r="I211" i="34"/>
  <c r="F211" i="34"/>
  <c r="C211" i="34" s="1"/>
  <c r="O210" i="34"/>
  <c r="L210" i="34"/>
  <c r="I210" i="34"/>
  <c r="F210" i="34"/>
  <c r="O209" i="34"/>
  <c r="L209" i="34"/>
  <c r="I209" i="34"/>
  <c r="F209" i="34"/>
  <c r="O208" i="34"/>
  <c r="L208" i="34"/>
  <c r="I208" i="34"/>
  <c r="F208" i="34"/>
  <c r="O207" i="34"/>
  <c r="L207" i="34"/>
  <c r="I207" i="34"/>
  <c r="F207" i="34"/>
  <c r="O206" i="34"/>
  <c r="L206" i="34"/>
  <c r="I206" i="34"/>
  <c r="F206" i="34"/>
  <c r="N205" i="34"/>
  <c r="M205" i="34"/>
  <c r="M204" i="34" s="1"/>
  <c r="K205" i="34"/>
  <c r="J205" i="34"/>
  <c r="H205" i="34"/>
  <c r="H204" i="34" s="1"/>
  <c r="G205" i="34"/>
  <c r="E205" i="34"/>
  <c r="E204" i="34" s="1"/>
  <c r="D205" i="34"/>
  <c r="D204" i="34" s="1"/>
  <c r="O203" i="34"/>
  <c r="L203" i="34"/>
  <c r="I203" i="34"/>
  <c r="F203" i="34"/>
  <c r="O202" i="34"/>
  <c r="L202" i="34"/>
  <c r="I202" i="34"/>
  <c r="F202" i="34"/>
  <c r="O201" i="34"/>
  <c r="L201" i="34"/>
  <c r="I201" i="34"/>
  <c r="F201" i="34"/>
  <c r="O200" i="34"/>
  <c r="L200" i="34"/>
  <c r="I200" i="34"/>
  <c r="F200" i="34"/>
  <c r="O199" i="34"/>
  <c r="L199" i="34"/>
  <c r="I199" i="34"/>
  <c r="F199" i="34"/>
  <c r="O198" i="34"/>
  <c r="N198" i="34"/>
  <c r="M198" i="34"/>
  <c r="M196" i="34" s="1"/>
  <c r="K198" i="34"/>
  <c r="K196" i="34" s="1"/>
  <c r="J198" i="34"/>
  <c r="H198" i="34"/>
  <c r="H196" i="34" s="1"/>
  <c r="H195" i="34" s="1"/>
  <c r="G198" i="34"/>
  <c r="G196" i="34" s="1"/>
  <c r="F198" i="34"/>
  <c r="E198" i="34"/>
  <c r="D198" i="34"/>
  <c r="D196" i="34" s="1"/>
  <c r="D195" i="34" s="1"/>
  <c r="O197" i="34"/>
  <c r="L197" i="34"/>
  <c r="I197" i="34"/>
  <c r="F197" i="34"/>
  <c r="F196" i="34" s="1"/>
  <c r="N196" i="34"/>
  <c r="J196" i="34"/>
  <c r="E196" i="34"/>
  <c r="O193" i="34"/>
  <c r="O192" i="34" s="1"/>
  <c r="O191" i="34" s="1"/>
  <c r="L193" i="34"/>
  <c r="L192" i="34" s="1"/>
  <c r="L191" i="34" s="1"/>
  <c r="I193" i="34"/>
  <c r="I192" i="34" s="1"/>
  <c r="F193" i="34"/>
  <c r="C193" i="34" s="1"/>
  <c r="N192" i="34"/>
  <c r="N191" i="34" s="1"/>
  <c r="M192" i="34"/>
  <c r="K192" i="34"/>
  <c r="K191" i="34" s="1"/>
  <c r="J192" i="34"/>
  <c r="J191" i="34" s="1"/>
  <c r="H192" i="34"/>
  <c r="G192" i="34"/>
  <c r="G191" i="34" s="1"/>
  <c r="F192" i="34"/>
  <c r="F191" i="34" s="1"/>
  <c r="E192" i="34"/>
  <c r="E191" i="34" s="1"/>
  <c r="D192" i="34"/>
  <c r="D191" i="34" s="1"/>
  <c r="M191" i="34"/>
  <c r="I191" i="34"/>
  <c r="H191" i="34"/>
  <c r="O190" i="34"/>
  <c r="L190" i="34"/>
  <c r="I190" i="34"/>
  <c r="F190" i="34"/>
  <c r="O189" i="34"/>
  <c r="O188" i="34" s="1"/>
  <c r="O187" i="34" s="1"/>
  <c r="L189" i="34"/>
  <c r="I189" i="34"/>
  <c r="I188" i="34" s="1"/>
  <c r="F189" i="34"/>
  <c r="C189" i="34" s="1"/>
  <c r="N188" i="34"/>
  <c r="N187" i="34" s="1"/>
  <c r="M188" i="34"/>
  <c r="L188" i="34"/>
  <c r="K188" i="34"/>
  <c r="J188" i="34"/>
  <c r="J187" i="34" s="1"/>
  <c r="H188" i="34"/>
  <c r="H187" i="34" s="1"/>
  <c r="G188" i="34"/>
  <c r="G187" i="34" s="1"/>
  <c r="E188" i="34"/>
  <c r="D188" i="34"/>
  <c r="D187" i="34" s="1"/>
  <c r="M187" i="34"/>
  <c r="K187" i="34"/>
  <c r="O186" i="34"/>
  <c r="L186" i="34"/>
  <c r="I186" i="34"/>
  <c r="F186" i="34"/>
  <c r="O185" i="34"/>
  <c r="L185" i="34"/>
  <c r="I185" i="34"/>
  <c r="I184" i="34" s="1"/>
  <c r="F185" i="34"/>
  <c r="O184" i="34"/>
  <c r="N184" i="34"/>
  <c r="M184" i="34"/>
  <c r="K184" i="34"/>
  <c r="J184" i="34"/>
  <c r="H184" i="34"/>
  <c r="G184" i="34"/>
  <c r="F184" i="34"/>
  <c r="E184" i="34"/>
  <c r="D184" i="34"/>
  <c r="O183" i="34"/>
  <c r="L183" i="34"/>
  <c r="I183" i="34"/>
  <c r="F183" i="34"/>
  <c r="C183" i="34"/>
  <c r="O182" i="34"/>
  <c r="L182" i="34"/>
  <c r="I182" i="34"/>
  <c r="F182" i="34"/>
  <c r="C182" i="34" s="1"/>
  <c r="O181" i="34"/>
  <c r="L181" i="34"/>
  <c r="I181" i="34"/>
  <c r="F181" i="34"/>
  <c r="O180" i="34"/>
  <c r="L180" i="34"/>
  <c r="I180" i="34"/>
  <c r="F180" i="34"/>
  <c r="C180" i="34" s="1"/>
  <c r="N179" i="34"/>
  <c r="M179" i="34"/>
  <c r="K179" i="34"/>
  <c r="J179" i="34"/>
  <c r="H179" i="34"/>
  <c r="G179" i="34"/>
  <c r="E179" i="34"/>
  <c r="D179" i="34"/>
  <c r="O178" i="34"/>
  <c r="L178" i="34"/>
  <c r="I178" i="34"/>
  <c r="F178" i="34"/>
  <c r="O177" i="34"/>
  <c r="L177" i="34"/>
  <c r="I177" i="34"/>
  <c r="F177" i="34"/>
  <c r="O176" i="34"/>
  <c r="O175" i="34" s="1"/>
  <c r="L176" i="34"/>
  <c r="I176" i="34"/>
  <c r="F176" i="34"/>
  <c r="F175" i="34" s="1"/>
  <c r="C175" i="34" s="1"/>
  <c r="N175" i="34"/>
  <c r="M175" i="34"/>
  <c r="M174" i="34" s="1"/>
  <c r="M173" i="34" s="1"/>
  <c r="L175" i="34"/>
  <c r="K175" i="34"/>
  <c r="J175" i="34"/>
  <c r="I175" i="34"/>
  <c r="H175" i="34"/>
  <c r="H174" i="34" s="1"/>
  <c r="H173" i="34" s="1"/>
  <c r="G175" i="34"/>
  <c r="E175" i="34"/>
  <c r="D175" i="34"/>
  <c r="N174" i="34"/>
  <c r="N173" i="34" s="1"/>
  <c r="J174" i="34"/>
  <c r="J173" i="34" s="1"/>
  <c r="E174" i="34"/>
  <c r="E173" i="34" s="1"/>
  <c r="O172" i="34"/>
  <c r="L172" i="34"/>
  <c r="I172" i="34"/>
  <c r="F172" i="34"/>
  <c r="O171" i="34"/>
  <c r="L171" i="34"/>
  <c r="I171" i="34"/>
  <c r="F171" i="34"/>
  <c r="O170" i="34"/>
  <c r="L170" i="34"/>
  <c r="I170" i="34"/>
  <c r="F170" i="34"/>
  <c r="O169" i="34"/>
  <c r="L169" i="34"/>
  <c r="I169" i="34"/>
  <c r="F169" i="34"/>
  <c r="O168" i="34"/>
  <c r="L168" i="34"/>
  <c r="I168" i="34"/>
  <c r="F168" i="34"/>
  <c r="O167" i="34"/>
  <c r="O166" i="34" s="1"/>
  <c r="O165" i="34" s="1"/>
  <c r="L167" i="34"/>
  <c r="I167" i="34"/>
  <c r="F167" i="34"/>
  <c r="F166" i="34" s="1"/>
  <c r="N166" i="34"/>
  <c r="M166" i="34"/>
  <c r="K166" i="34"/>
  <c r="J166" i="34"/>
  <c r="H166" i="34"/>
  <c r="H165" i="34" s="1"/>
  <c r="G166" i="34"/>
  <c r="E166" i="34"/>
  <c r="E165" i="34" s="1"/>
  <c r="D166" i="34"/>
  <c r="D165" i="34" s="1"/>
  <c r="N165" i="34"/>
  <c r="M165" i="34"/>
  <c r="K165" i="34"/>
  <c r="J165" i="34"/>
  <c r="G165" i="34"/>
  <c r="O164" i="34"/>
  <c r="L164" i="34"/>
  <c r="I164" i="34"/>
  <c r="F164" i="34"/>
  <c r="O163" i="34"/>
  <c r="L163" i="34"/>
  <c r="I163" i="34"/>
  <c r="F163" i="34"/>
  <c r="O162" i="34"/>
  <c r="L162" i="34"/>
  <c r="I162" i="34"/>
  <c r="F162" i="34"/>
  <c r="O161" i="34"/>
  <c r="O160" i="34" s="1"/>
  <c r="L161" i="34"/>
  <c r="I161" i="34"/>
  <c r="F161" i="34"/>
  <c r="F160" i="34" s="1"/>
  <c r="N160" i="34"/>
  <c r="M160" i="34"/>
  <c r="L160" i="34"/>
  <c r="K160" i="34"/>
  <c r="J160" i="34"/>
  <c r="I160" i="34"/>
  <c r="H160" i="34"/>
  <c r="G160" i="34"/>
  <c r="E160" i="34"/>
  <c r="D160" i="34"/>
  <c r="O159" i="34"/>
  <c r="L159" i="34"/>
  <c r="I159" i="34"/>
  <c r="F159" i="34"/>
  <c r="O158" i="34"/>
  <c r="L158" i="34"/>
  <c r="I158" i="34"/>
  <c r="F158" i="34"/>
  <c r="O157" i="34"/>
  <c r="L157" i="34"/>
  <c r="I157" i="34"/>
  <c r="F157" i="34"/>
  <c r="O156" i="34"/>
  <c r="L156" i="34"/>
  <c r="I156" i="34"/>
  <c r="F156" i="34"/>
  <c r="O155" i="34"/>
  <c r="L155" i="34"/>
  <c r="I155" i="34"/>
  <c r="F155" i="34"/>
  <c r="O154" i="34"/>
  <c r="L154" i="34"/>
  <c r="I154" i="34"/>
  <c r="F154" i="34"/>
  <c r="O153" i="34"/>
  <c r="L153" i="34"/>
  <c r="I153" i="34"/>
  <c r="F153" i="34"/>
  <c r="C153" i="34"/>
  <c r="O152" i="34"/>
  <c r="L152" i="34"/>
  <c r="I152" i="34"/>
  <c r="I151" i="34" s="1"/>
  <c r="F152" i="34"/>
  <c r="N151" i="34"/>
  <c r="M151" i="34"/>
  <c r="K151" i="34"/>
  <c r="J151" i="34"/>
  <c r="H151" i="34"/>
  <c r="G151" i="34"/>
  <c r="E151" i="34"/>
  <c r="D151" i="34"/>
  <c r="O150" i="34"/>
  <c r="L150" i="34"/>
  <c r="I150" i="34"/>
  <c r="F150" i="34"/>
  <c r="O149" i="34"/>
  <c r="L149" i="34"/>
  <c r="I149" i="34"/>
  <c r="F149" i="34"/>
  <c r="C149" i="34" s="1"/>
  <c r="O148" i="34"/>
  <c r="L148" i="34"/>
  <c r="I148" i="34"/>
  <c r="F148" i="34"/>
  <c r="O147" i="34"/>
  <c r="L147" i="34"/>
  <c r="I147" i="34"/>
  <c r="F147" i="34"/>
  <c r="O146" i="34"/>
  <c r="L146" i="34"/>
  <c r="I146" i="34"/>
  <c r="F146" i="34"/>
  <c r="O145" i="34"/>
  <c r="O144" i="34" s="1"/>
  <c r="L145" i="34"/>
  <c r="I145" i="34"/>
  <c r="F145" i="34"/>
  <c r="F144" i="34" s="1"/>
  <c r="N144" i="34"/>
  <c r="M144" i="34"/>
  <c r="K144" i="34"/>
  <c r="J144" i="34"/>
  <c r="H144" i="34"/>
  <c r="G144" i="34"/>
  <c r="E144" i="34"/>
  <c r="D144" i="34"/>
  <c r="O143" i="34"/>
  <c r="L143" i="34"/>
  <c r="I143" i="34"/>
  <c r="F143" i="34"/>
  <c r="O142" i="34"/>
  <c r="L142" i="34"/>
  <c r="I142" i="34"/>
  <c r="F142" i="34"/>
  <c r="O141" i="34"/>
  <c r="N141" i="34"/>
  <c r="M141" i="34"/>
  <c r="K141" i="34"/>
  <c r="J141" i="34"/>
  <c r="H141" i="34"/>
  <c r="G141" i="34"/>
  <c r="F141" i="34"/>
  <c r="E141" i="34"/>
  <c r="D141" i="34"/>
  <c r="O140" i="34"/>
  <c r="L140" i="34"/>
  <c r="I140" i="34"/>
  <c r="F140" i="34"/>
  <c r="O139" i="34"/>
  <c r="L139" i="34"/>
  <c r="I139" i="34"/>
  <c r="F139" i="34"/>
  <c r="O138" i="34"/>
  <c r="L138" i="34"/>
  <c r="I138" i="34"/>
  <c r="F138" i="34"/>
  <c r="O137" i="34"/>
  <c r="O136" i="34" s="1"/>
  <c r="L137" i="34"/>
  <c r="L136" i="34" s="1"/>
  <c r="I137" i="34"/>
  <c r="F137" i="34"/>
  <c r="F136" i="34" s="1"/>
  <c r="C137" i="34"/>
  <c r="N136" i="34"/>
  <c r="M136" i="34"/>
  <c r="K136" i="34"/>
  <c r="J136" i="34"/>
  <c r="H136" i="34"/>
  <c r="G136" i="34"/>
  <c r="E136" i="34"/>
  <c r="D136" i="34"/>
  <c r="O135" i="34"/>
  <c r="L135" i="34"/>
  <c r="I135" i="34"/>
  <c r="F135" i="34"/>
  <c r="O134" i="34"/>
  <c r="L134" i="34"/>
  <c r="I134" i="34"/>
  <c r="F134" i="34"/>
  <c r="O133" i="34"/>
  <c r="L133" i="34"/>
  <c r="I133" i="34"/>
  <c r="F133" i="34"/>
  <c r="C133" i="34" s="1"/>
  <c r="O132" i="34"/>
  <c r="O131" i="34" s="1"/>
  <c r="L132" i="34"/>
  <c r="I132" i="34"/>
  <c r="F132" i="34"/>
  <c r="N131" i="34"/>
  <c r="M131" i="34"/>
  <c r="M130" i="34" s="1"/>
  <c r="K131" i="34"/>
  <c r="J131" i="34"/>
  <c r="J130" i="34" s="1"/>
  <c r="H131" i="34"/>
  <c r="G131" i="34"/>
  <c r="E131" i="34"/>
  <c r="D131" i="34"/>
  <c r="N130" i="34"/>
  <c r="O129" i="34"/>
  <c r="O128" i="34" s="1"/>
  <c r="L129" i="34"/>
  <c r="L128" i="34" s="1"/>
  <c r="I129" i="34"/>
  <c r="F129" i="34"/>
  <c r="F128" i="34" s="1"/>
  <c r="N128" i="34"/>
  <c r="M128" i="34"/>
  <c r="K128" i="34"/>
  <c r="J128" i="34"/>
  <c r="I128" i="34"/>
  <c r="H128" i="34"/>
  <c r="G128" i="34"/>
  <c r="E128" i="34"/>
  <c r="D128" i="34"/>
  <c r="O127" i="34"/>
  <c r="L127" i="34"/>
  <c r="I127" i="34"/>
  <c r="F127" i="34"/>
  <c r="O126" i="34"/>
  <c r="L126" i="34"/>
  <c r="I126" i="34"/>
  <c r="F126" i="34"/>
  <c r="O125" i="34"/>
  <c r="L125" i="34"/>
  <c r="I125" i="34"/>
  <c r="F125" i="34"/>
  <c r="C125" i="34" s="1"/>
  <c r="O124" i="34"/>
  <c r="L124" i="34"/>
  <c r="I124" i="34"/>
  <c r="F124" i="34"/>
  <c r="O123" i="34"/>
  <c r="L123" i="34"/>
  <c r="L122" i="34" s="1"/>
  <c r="I123" i="34"/>
  <c r="F123" i="34"/>
  <c r="N122" i="34"/>
  <c r="M122" i="34"/>
  <c r="K122" i="34"/>
  <c r="J122" i="34"/>
  <c r="H122" i="34"/>
  <c r="G122" i="34"/>
  <c r="E122" i="34"/>
  <c r="D122" i="34"/>
  <c r="O121" i="34"/>
  <c r="L121" i="34"/>
  <c r="I121" i="34"/>
  <c r="F121" i="34"/>
  <c r="O120" i="34"/>
  <c r="L120" i="34"/>
  <c r="I120" i="34"/>
  <c r="F120" i="34"/>
  <c r="O119" i="34"/>
  <c r="L119" i="34"/>
  <c r="I119" i="34"/>
  <c r="F119" i="34"/>
  <c r="O118" i="34"/>
  <c r="L118" i="34"/>
  <c r="I118" i="34"/>
  <c r="F118" i="34"/>
  <c r="O117" i="34"/>
  <c r="L117" i="34"/>
  <c r="I117" i="34"/>
  <c r="F117" i="34"/>
  <c r="F116" i="34" s="1"/>
  <c r="N116" i="34"/>
  <c r="M116" i="34"/>
  <c r="L116" i="34"/>
  <c r="K116" i="34"/>
  <c r="J116" i="34"/>
  <c r="H116" i="34"/>
  <c r="G116" i="34"/>
  <c r="E116" i="34"/>
  <c r="D116" i="34"/>
  <c r="O115" i="34"/>
  <c r="L115" i="34"/>
  <c r="I115" i="34"/>
  <c r="F115" i="34"/>
  <c r="O114" i="34"/>
  <c r="L114" i="34"/>
  <c r="C114" i="34" s="1"/>
  <c r="I114" i="34"/>
  <c r="F114" i="34"/>
  <c r="O113" i="34"/>
  <c r="O112" i="34" s="1"/>
  <c r="L113" i="34"/>
  <c r="I113" i="34"/>
  <c r="F113" i="34"/>
  <c r="F112" i="34" s="1"/>
  <c r="N112" i="34"/>
  <c r="M112" i="34"/>
  <c r="K112" i="34"/>
  <c r="J112" i="34"/>
  <c r="H112" i="34"/>
  <c r="G112" i="34"/>
  <c r="E112" i="34"/>
  <c r="D112" i="34"/>
  <c r="O111" i="34"/>
  <c r="L111" i="34"/>
  <c r="I111" i="34"/>
  <c r="F111" i="34"/>
  <c r="O110" i="34"/>
  <c r="L110" i="34"/>
  <c r="C110" i="34" s="1"/>
  <c r="I110" i="34"/>
  <c r="F110" i="34"/>
  <c r="O109" i="34"/>
  <c r="L109" i="34"/>
  <c r="C109" i="34" s="1"/>
  <c r="I109" i="34"/>
  <c r="F109" i="34"/>
  <c r="O108" i="34"/>
  <c r="L108" i="34"/>
  <c r="I108" i="34"/>
  <c r="F108" i="34"/>
  <c r="O107" i="34"/>
  <c r="L107" i="34"/>
  <c r="I107" i="34"/>
  <c r="F107" i="34"/>
  <c r="O106" i="34"/>
  <c r="L106" i="34"/>
  <c r="I106" i="34"/>
  <c r="F106" i="34"/>
  <c r="O105" i="34"/>
  <c r="L105" i="34"/>
  <c r="I105" i="34"/>
  <c r="F105" i="34"/>
  <c r="O104" i="34"/>
  <c r="L104" i="34"/>
  <c r="I104" i="34"/>
  <c r="F104" i="34"/>
  <c r="C104" i="34" s="1"/>
  <c r="N103" i="34"/>
  <c r="M103" i="34"/>
  <c r="K103" i="34"/>
  <c r="J103" i="34"/>
  <c r="I103" i="34"/>
  <c r="H103" i="34"/>
  <c r="G103" i="34"/>
  <c r="F103" i="34"/>
  <c r="E103" i="34"/>
  <c r="D103" i="34"/>
  <c r="O102" i="34"/>
  <c r="L102" i="34"/>
  <c r="I102" i="34"/>
  <c r="F102" i="34"/>
  <c r="O101" i="34"/>
  <c r="L101" i="34"/>
  <c r="I101" i="34"/>
  <c r="C101" i="34" s="1"/>
  <c r="F101" i="34"/>
  <c r="O100" i="34"/>
  <c r="L100" i="34"/>
  <c r="I100" i="34"/>
  <c r="F100" i="34"/>
  <c r="O99" i="34"/>
  <c r="L99" i="34"/>
  <c r="I99" i="34"/>
  <c r="F99" i="34"/>
  <c r="O98" i="34"/>
  <c r="L98" i="34"/>
  <c r="I98" i="34"/>
  <c r="F98" i="34"/>
  <c r="O97" i="34"/>
  <c r="L97" i="34"/>
  <c r="I97" i="34"/>
  <c r="F97" i="34"/>
  <c r="O96" i="34"/>
  <c r="L96" i="34"/>
  <c r="I96" i="34"/>
  <c r="I95" i="34" s="1"/>
  <c r="F96" i="34"/>
  <c r="N95" i="34"/>
  <c r="M95" i="34"/>
  <c r="K95" i="34"/>
  <c r="J95" i="34"/>
  <c r="H95" i="34"/>
  <c r="G95" i="34"/>
  <c r="E95" i="34"/>
  <c r="D95" i="34"/>
  <c r="O94" i="34"/>
  <c r="L94" i="34"/>
  <c r="I94" i="34"/>
  <c r="F94" i="34"/>
  <c r="C94" i="34" s="1"/>
  <c r="O93" i="34"/>
  <c r="L93" i="34"/>
  <c r="I93" i="34"/>
  <c r="F93" i="34"/>
  <c r="O92" i="34"/>
  <c r="L92" i="34"/>
  <c r="I92" i="34"/>
  <c r="F92" i="34"/>
  <c r="O91" i="34"/>
  <c r="L91" i="34"/>
  <c r="I91" i="34"/>
  <c r="F91" i="34"/>
  <c r="O90" i="34"/>
  <c r="L90" i="34"/>
  <c r="I90" i="34"/>
  <c r="F90" i="34"/>
  <c r="N89" i="34"/>
  <c r="M89" i="34"/>
  <c r="K89" i="34"/>
  <c r="J89" i="34"/>
  <c r="H89" i="34"/>
  <c r="G89" i="34"/>
  <c r="E89" i="34"/>
  <c r="D89" i="34"/>
  <c r="O88" i="34"/>
  <c r="L88" i="34"/>
  <c r="I88" i="34"/>
  <c r="F88" i="34"/>
  <c r="O87" i="34"/>
  <c r="L87" i="34"/>
  <c r="I87" i="34"/>
  <c r="F87" i="34"/>
  <c r="O86" i="34"/>
  <c r="L86" i="34"/>
  <c r="I86" i="34"/>
  <c r="F86" i="34"/>
  <c r="O85" i="34"/>
  <c r="O84" i="34" s="1"/>
  <c r="L85" i="34"/>
  <c r="I85" i="34"/>
  <c r="F85" i="34"/>
  <c r="F84" i="34" s="1"/>
  <c r="N84" i="34"/>
  <c r="M84" i="34"/>
  <c r="K84" i="34"/>
  <c r="J84" i="34"/>
  <c r="H84" i="34"/>
  <c r="G84" i="34"/>
  <c r="E84" i="34"/>
  <c r="E83" i="34" s="1"/>
  <c r="D84" i="34"/>
  <c r="M83" i="34"/>
  <c r="J83" i="34"/>
  <c r="O82" i="34"/>
  <c r="L82" i="34"/>
  <c r="I82" i="34"/>
  <c r="F82" i="34"/>
  <c r="C82" i="34" s="1"/>
  <c r="O81" i="34"/>
  <c r="L81" i="34"/>
  <c r="I81" i="34"/>
  <c r="F81" i="34"/>
  <c r="N80" i="34"/>
  <c r="M80" i="34"/>
  <c r="M76" i="34" s="1"/>
  <c r="M75" i="34" s="1"/>
  <c r="L80" i="34"/>
  <c r="K80" i="34"/>
  <c r="J80" i="34"/>
  <c r="I80" i="34"/>
  <c r="H80" i="34"/>
  <c r="G80" i="34"/>
  <c r="E80" i="34"/>
  <c r="D80" i="34"/>
  <c r="O79" i="34"/>
  <c r="L79" i="34"/>
  <c r="I79" i="34"/>
  <c r="F79" i="34"/>
  <c r="C79" i="34" s="1"/>
  <c r="O78" i="34"/>
  <c r="O77" i="34" s="1"/>
  <c r="L78" i="34"/>
  <c r="L77" i="34" s="1"/>
  <c r="L76" i="34" s="1"/>
  <c r="I78" i="34"/>
  <c r="F78" i="34"/>
  <c r="C78" i="34" s="1"/>
  <c r="N77" i="34"/>
  <c r="N76" i="34" s="1"/>
  <c r="M77" i="34"/>
  <c r="K77" i="34"/>
  <c r="K76" i="34" s="1"/>
  <c r="J77" i="34"/>
  <c r="J76" i="34" s="1"/>
  <c r="H77" i="34"/>
  <c r="G77" i="34"/>
  <c r="G76" i="34" s="1"/>
  <c r="E77" i="34"/>
  <c r="E76" i="34" s="1"/>
  <c r="D77" i="34"/>
  <c r="O74" i="34"/>
  <c r="L74" i="34"/>
  <c r="I74" i="34"/>
  <c r="F74" i="34"/>
  <c r="O73" i="34"/>
  <c r="L73" i="34"/>
  <c r="I73" i="34"/>
  <c r="F73" i="34"/>
  <c r="O72" i="34"/>
  <c r="L72" i="34"/>
  <c r="I72" i="34"/>
  <c r="F72" i="34"/>
  <c r="O71" i="34"/>
  <c r="L71" i="34"/>
  <c r="I71" i="34"/>
  <c r="F71" i="34"/>
  <c r="O70" i="34"/>
  <c r="L70" i="34"/>
  <c r="I70" i="34"/>
  <c r="F70" i="34"/>
  <c r="N69" i="34"/>
  <c r="M69" i="34"/>
  <c r="K69" i="34"/>
  <c r="K67" i="34" s="1"/>
  <c r="J69" i="34"/>
  <c r="H69" i="34"/>
  <c r="H67" i="34" s="1"/>
  <c r="G69" i="34"/>
  <c r="G67" i="34" s="1"/>
  <c r="E69" i="34"/>
  <c r="E67" i="34" s="1"/>
  <c r="D69" i="34"/>
  <c r="O68" i="34"/>
  <c r="L68" i="34"/>
  <c r="I68" i="34"/>
  <c r="D68" i="34"/>
  <c r="F68" i="34" s="1"/>
  <c r="N67" i="34"/>
  <c r="M67" i="34"/>
  <c r="J67" i="34"/>
  <c r="O66" i="34"/>
  <c r="L66" i="34"/>
  <c r="I66" i="34"/>
  <c r="D66" i="34"/>
  <c r="F66" i="34" s="1"/>
  <c r="O65" i="34"/>
  <c r="L65" i="34"/>
  <c r="I65" i="34"/>
  <c r="F65" i="34"/>
  <c r="O64" i="34"/>
  <c r="L64" i="34"/>
  <c r="I64" i="34"/>
  <c r="F64" i="34"/>
  <c r="O63" i="34"/>
  <c r="L63" i="34"/>
  <c r="I63" i="34"/>
  <c r="F63" i="34"/>
  <c r="O62" i="34"/>
  <c r="L62" i="34"/>
  <c r="I62" i="34"/>
  <c r="F62" i="34"/>
  <c r="O61" i="34"/>
  <c r="L61" i="34"/>
  <c r="I61" i="34"/>
  <c r="F61" i="34"/>
  <c r="O60" i="34"/>
  <c r="L60" i="34"/>
  <c r="I60" i="34"/>
  <c r="F60" i="34"/>
  <c r="O59" i="34"/>
  <c r="L59" i="34"/>
  <c r="I59" i="34"/>
  <c r="F59" i="34"/>
  <c r="C59" i="34" s="1"/>
  <c r="N58" i="34"/>
  <c r="M58" i="34"/>
  <c r="K58" i="34"/>
  <c r="J58" i="34"/>
  <c r="H58" i="34"/>
  <c r="G58" i="34"/>
  <c r="E58" i="34"/>
  <c r="D58" i="34"/>
  <c r="O57" i="34"/>
  <c r="L57" i="34"/>
  <c r="I57" i="34"/>
  <c r="F57" i="34"/>
  <c r="O56" i="34"/>
  <c r="L56" i="34"/>
  <c r="I56" i="34"/>
  <c r="F56" i="34"/>
  <c r="O55" i="34"/>
  <c r="N55" i="34"/>
  <c r="M55" i="34"/>
  <c r="K55" i="34"/>
  <c r="K54" i="34" s="1"/>
  <c r="K53" i="34" s="1"/>
  <c r="J55" i="34"/>
  <c r="H55" i="34"/>
  <c r="H54" i="34" s="1"/>
  <c r="H53" i="34" s="1"/>
  <c r="G55" i="34"/>
  <c r="G54" i="34" s="1"/>
  <c r="F55" i="34"/>
  <c r="E55" i="34"/>
  <c r="D55" i="34"/>
  <c r="N54" i="34"/>
  <c r="N53" i="34" s="1"/>
  <c r="M54" i="34"/>
  <c r="M53" i="34"/>
  <c r="O47" i="34"/>
  <c r="C47" i="34" s="1"/>
  <c r="O46" i="34"/>
  <c r="N45" i="34"/>
  <c r="M45" i="34"/>
  <c r="L44" i="34"/>
  <c r="L43" i="34" s="1"/>
  <c r="I44" i="34"/>
  <c r="I43" i="34" s="1"/>
  <c r="F44" i="34"/>
  <c r="K43" i="34"/>
  <c r="J43" i="34"/>
  <c r="H43" i="34"/>
  <c r="G43" i="34"/>
  <c r="E43" i="34"/>
  <c r="D43" i="34"/>
  <c r="F42" i="34"/>
  <c r="E41" i="34"/>
  <c r="D41" i="34"/>
  <c r="L40" i="34"/>
  <c r="C40" i="34" s="1"/>
  <c r="L39" i="34"/>
  <c r="C39" i="34" s="1"/>
  <c r="L38" i="34"/>
  <c r="C38" i="34" s="1"/>
  <c r="L37" i="34"/>
  <c r="K36" i="34"/>
  <c r="J36" i="34"/>
  <c r="L35" i="34"/>
  <c r="C35" i="34" s="1"/>
  <c r="L34" i="34"/>
  <c r="K33" i="34"/>
  <c r="J33" i="34"/>
  <c r="L32" i="34"/>
  <c r="C32" i="34" s="1"/>
  <c r="K31" i="34"/>
  <c r="J31" i="34"/>
  <c r="L30" i="34"/>
  <c r="C30" i="34" s="1"/>
  <c r="L29" i="34"/>
  <c r="C29" i="34"/>
  <c r="L28" i="34"/>
  <c r="K27" i="34"/>
  <c r="J27" i="34"/>
  <c r="F25" i="34"/>
  <c r="C25" i="34" s="1"/>
  <c r="I24" i="34"/>
  <c r="D24" i="34"/>
  <c r="F24" i="34" s="1"/>
  <c r="C24" i="34" s="1"/>
  <c r="O23" i="34"/>
  <c r="L23" i="34"/>
  <c r="I23" i="34"/>
  <c r="F23" i="34"/>
  <c r="O22" i="34"/>
  <c r="L22" i="34"/>
  <c r="L21" i="34" s="1"/>
  <c r="I22" i="34"/>
  <c r="I21" i="34" s="1"/>
  <c r="F22" i="34"/>
  <c r="N21" i="34"/>
  <c r="N292" i="34" s="1"/>
  <c r="N291" i="34" s="1"/>
  <c r="M21" i="34"/>
  <c r="K21" i="34"/>
  <c r="K292" i="34" s="1"/>
  <c r="K291" i="34" s="1"/>
  <c r="J21" i="34"/>
  <c r="J292" i="34" s="1"/>
  <c r="J291" i="34" s="1"/>
  <c r="H21" i="34"/>
  <c r="H292" i="34" s="1"/>
  <c r="H291" i="34" s="1"/>
  <c r="G21" i="34"/>
  <c r="G292" i="34" s="1"/>
  <c r="G291" i="34" s="1"/>
  <c r="E21" i="34"/>
  <c r="E292" i="34" s="1"/>
  <c r="E291" i="34" s="1"/>
  <c r="D21" i="34"/>
  <c r="D292" i="34" s="1"/>
  <c r="D291" i="34" s="1"/>
  <c r="H20" i="34"/>
  <c r="G20" i="34"/>
  <c r="O301" i="33"/>
  <c r="L301" i="33"/>
  <c r="I301" i="33"/>
  <c r="F301" i="33"/>
  <c r="O300" i="33"/>
  <c r="L300" i="33"/>
  <c r="I300" i="33"/>
  <c r="F300" i="33"/>
  <c r="O299" i="33"/>
  <c r="L299" i="33"/>
  <c r="I299" i="33"/>
  <c r="F299" i="33"/>
  <c r="O298" i="33"/>
  <c r="L298" i="33"/>
  <c r="C298" i="33" s="1"/>
  <c r="I298" i="33"/>
  <c r="F298" i="33"/>
  <c r="O297" i="33"/>
  <c r="L297" i="33"/>
  <c r="I297" i="33"/>
  <c r="F297" i="33"/>
  <c r="O296" i="33"/>
  <c r="L296" i="33"/>
  <c r="I296" i="33"/>
  <c r="F296" i="33"/>
  <c r="O295" i="33"/>
  <c r="L295" i="33"/>
  <c r="I295" i="33"/>
  <c r="F295" i="33"/>
  <c r="O294" i="33"/>
  <c r="L294" i="33"/>
  <c r="I294" i="33"/>
  <c r="I293" i="33" s="1"/>
  <c r="F294" i="33"/>
  <c r="C294" i="33" s="1"/>
  <c r="N293" i="33"/>
  <c r="M293" i="33"/>
  <c r="K293" i="33"/>
  <c r="J293" i="33"/>
  <c r="H293" i="33"/>
  <c r="G293" i="33"/>
  <c r="E293" i="33"/>
  <c r="D293" i="33"/>
  <c r="O288" i="33"/>
  <c r="L288" i="33"/>
  <c r="I288" i="33"/>
  <c r="F288" i="33"/>
  <c r="O287" i="33"/>
  <c r="L287" i="33"/>
  <c r="L286" i="33" s="1"/>
  <c r="I287" i="33"/>
  <c r="F287" i="33"/>
  <c r="F286" i="33" s="1"/>
  <c r="O286" i="33"/>
  <c r="N286" i="33"/>
  <c r="M286" i="33"/>
  <c r="K286" i="33"/>
  <c r="J286" i="33"/>
  <c r="H286" i="33"/>
  <c r="G286" i="33"/>
  <c r="E286" i="33"/>
  <c r="D286" i="33"/>
  <c r="O285" i="33"/>
  <c r="L285" i="33"/>
  <c r="L284" i="33" s="1"/>
  <c r="L283" i="33" s="1"/>
  <c r="I285" i="33"/>
  <c r="F285" i="33"/>
  <c r="O284" i="33"/>
  <c r="O283" i="33" s="1"/>
  <c r="N284" i="33"/>
  <c r="N283" i="33" s="1"/>
  <c r="M284" i="33"/>
  <c r="M283" i="33" s="1"/>
  <c r="K284" i="33"/>
  <c r="K283" i="33" s="1"/>
  <c r="J284" i="33"/>
  <c r="J283" i="33" s="1"/>
  <c r="I284" i="33"/>
  <c r="I283" i="33" s="1"/>
  <c r="H284" i="33"/>
  <c r="G284" i="33"/>
  <c r="G283" i="33" s="1"/>
  <c r="E284" i="33"/>
  <c r="E283" i="33" s="1"/>
  <c r="D284" i="33"/>
  <c r="D283" i="33" s="1"/>
  <c r="H283" i="33"/>
  <c r="O282" i="33"/>
  <c r="O281" i="33" s="1"/>
  <c r="L282" i="33"/>
  <c r="I282" i="33"/>
  <c r="I281" i="33" s="1"/>
  <c r="F282" i="33"/>
  <c r="C282" i="33" s="1"/>
  <c r="N281" i="33"/>
  <c r="M281" i="33"/>
  <c r="L281" i="33"/>
  <c r="K281" i="33"/>
  <c r="J281" i="33"/>
  <c r="H281" i="33"/>
  <c r="G281" i="33"/>
  <c r="E281" i="33"/>
  <c r="D281" i="33"/>
  <c r="O280" i="33"/>
  <c r="L280" i="33"/>
  <c r="I280" i="33"/>
  <c r="F280" i="33"/>
  <c r="O279" i="33"/>
  <c r="L279" i="33"/>
  <c r="I279" i="33"/>
  <c r="F279" i="33"/>
  <c r="O278" i="33"/>
  <c r="L278" i="33"/>
  <c r="I278" i="33"/>
  <c r="F278" i="33"/>
  <c r="C278" i="33" s="1"/>
  <c r="O277" i="33"/>
  <c r="L277" i="33"/>
  <c r="L276" i="33" s="1"/>
  <c r="I277" i="33"/>
  <c r="I276" i="33" s="1"/>
  <c r="F277" i="33"/>
  <c r="N276" i="33"/>
  <c r="M276" i="33"/>
  <c r="K276" i="33"/>
  <c r="J276" i="33"/>
  <c r="H276" i="33"/>
  <c r="G276" i="33"/>
  <c r="E276" i="33"/>
  <c r="D276" i="33"/>
  <c r="O275" i="33"/>
  <c r="L275" i="33"/>
  <c r="I275" i="33"/>
  <c r="F275" i="33"/>
  <c r="O274" i="33"/>
  <c r="L274" i="33"/>
  <c r="I274" i="33"/>
  <c r="C274" i="33" s="1"/>
  <c r="F274" i="33"/>
  <c r="O273" i="33"/>
  <c r="L273" i="33"/>
  <c r="L272" i="33" s="1"/>
  <c r="I273" i="33"/>
  <c r="F273" i="33"/>
  <c r="N272" i="33"/>
  <c r="N270" i="33" s="1"/>
  <c r="N269" i="33" s="1"/>
  <c r="M272" i="33"/>
  <c r="M270" i="33" s="1"/>
  <c r="M269" i="33" s="1"/>
  <c r="K272" i="33"/>
  <c r="J272" i="33"/>
  <c r="H272" i="33"/>
  <c r="G272" i="33"/>
  <c r="G270" i="33" s="1"/>
  <c r="G269" i="33" s="1"/>
  <c r="E272" i="33"/>
  <c r="D272" i="33"/>
  <c r="O271" i="33"/>
  <c r="L271" i="33"/>
  <c r="I271" i="33"/>
  <c r="F271" i="33"/>
  <c r="K270" i="33"/>
  <c r="K269" i="33" s="1"/>
  <c r="J270" i="33"/>
  <c r="H270" i="33"/>
  <c r="H269" i="33" s="1"/>
  <c r="D270" i="33"/>
  <c r="J269" i="33"/>
  <c r="O268" i="33"/>
  <c r="L268" i="33"/>
  <c r="I268" i="33"/>
  <c r="C268" i="33" s="1"/>
  <c r="F268" i="33"/>
  <c r="O267" i="33"/>
  <c r="L267" i="33"/>
  <c r="I267" i="33"/>
  <c r="F267" i="33"/>
  <c r="O266" i="33"/>
  <c r="L266" i="33"/>
  <c r="I266" i="33"/>
  <c r="D266" i="33"/>
  <c r="O265" i="33"/>
  <c r="O264" i="33" s="1"/>
  <c r="L265" i="33"/>
  <c r="I265" i="33"/>
  <c r="F265" i="33"/>
  <c r="N264" i="33"/>
  <c r="M264" i="33"/>
  <c r="K264" i="33"/>
  <c r="J264" i="33"/>
  <c r="H264" i="33"/>
  <c r="G264" i="33"/>
  <c r="E264" i="33"/>
  <c r="O263" i="33"/>
  <c r="L263" i="33"/>
  <c r="I263" i="33"/>
  <c r="F263" i="33"/>
  <c r="C263" i="33" s="1"/>
  <c r="O262" i="33"/>
  <c r="L262" i="33"/>
  <c r="I262" i="33"/>
  <c r="F262" i="33"/>
  <c r="O261" i="33"/>
  <c r="O260" i="33" s="1"/>
  <c r="L261" i="33"/>
  <c r="L260" i="33" s="1"/>
  <c r="I261" i="33"/>
  <c r="F261" i="33"/>
  <c r="N260" i="33"/>
  <c r="N259" i="33" s="1"/>
  <c r="M260" i="33"/>
  <c r="M259" i="33" s="1"/>
  <c r="K260" i="33"/>
  <c r="K259" i="33" s="1"/>
  <c r="J260" i="33"/>
  <c r="H260" i="33"/>
  <c r="H259" i="33" s="1"/>
  <c r="G260" i="33"/>
  <c r="G259" i="33" s="1"/>
  <c r="E260" i="33"/>
  <c r="D260" i="33"/>
  <c r="O259" i="33"/>
  <c r="E259" i="33"/>
  <c r="O258" i="33"/>
  <c r="L258" i="33"/>
  <c r="I258" i="33"/>
  <c r="F258" i="33"/>
  <c r="O257" i="33"/>
  <c r="L257" i="33"/>
  <c r="I257" i="33"/>
  <c r="F257" i="33"/>
  <c r="O256" i="33"/>
  <c r="L256" i="33"/>
  <c r="I256" i="33"/>
  <c r="F256" i="33"/>
  <c r="O255" i="33"/>
  <c r="L255" i="33"/>
  <c r="I255" i="33"/>
  <c r="F255" i="33"/>
  <c r="O254" i="33"/>
  <c r="L254" i="33"/>
  <c r="I254" i="33"/>
  <c r="F254" i="33"/>
  <c r="O253" i="33"/>
  <c r="O252" i="33" s="1"/>
  <c r="O251" i="33" s="1"/>
  <c r="L253" i="33"/>
  <c r="I253" i="33"/>
  <c r="F253" i="33"/>
  <c r="N252" i="33"/>
  <c r="N251" i="33" s="1"/>
  <c r="M252" i="33"/>
  <c r="K252" i="33"/>
  <c r="J252" i="33"/>
  <c r="J251" i="33" s="1"/>
  <c r="H252" i="33"/>
  <c r="H251" i="33" s="1"/>
  <c r="G252" i="33"/>
  <c r="G251" i="33" s="1"/>
  <c r="E252" i="33"/>
  <c r="D252" i="33"/>
  <c r="D251" i="33" s="1"/>
  <c r="M251" i="33"/>
  <c r="K251" i="33"/>
  <c r="E251" i="33"/>
  <c r="O250" i="33"/>
  <c r="L250" i="33"/>
  <c r="I250" i="33"/>
  <c r="F250" i="33"/>
  <c r="O249" i="33"/>
  <c r="L249" i="33"/>
  <c r="I249" i="33"/>
  <c r="F249" i="33"/>
  <c r="O248" i="33"/>
  <c r="L248" i="33"/>
  <c r="I248" i="33"/>
  <c r="F248" i="33"/>
  <c r="O247" i="33"/>
  <c r="O246" i="33" s="1"/>
  <c r="L247" i="33"/>
  <c r="I247" i="33"/>
  <c r="I246" i="33" s="1"/>
  <c r="F247" i="33"/>
  <c r="C247" i="33"/>
  <c r="N246" i="33"/>
  <c r="M246" i="33"/>
  <c r="K246" i="33"/>
  <c r="J246" i="33"/>
  <c r="H246" i="33"/>
  <c r="G246" i="33"/>
  <c r="E246" i="33"/>
  <c r="D246" i="33"/>
  <c r="O245" i="33"/>
  <c r="L245" i="33"/>
  <c r="I245" i="33"/>
  <c r="F245" i="33"/>
  <c r="O244" i="33"/>
  <c r="L244" i="33"/>
  <c r="I244" i="33"/>
  <c r="F244" i="33"/>
  <c r="C244" i="33" s="1"/>
  <c r="O243" i="33"/>
  <c r="L243" i="33"/>
  <c r="I243" i="33"/>
  <c r="F243" i="33"/>
  <c r="C243" i="33" s="1"/>
  <c r="O242" i="33"/>
  <c r="L242" i="33"/>
  <c r="I242" i="33"/>
  <c r="F242" i="33"/>
  <c r="O241" i="33"/>
  <c r="L241" i="33"/>
  <c r="I241" i="33"/>
  <c r="F241" i="33"/>
  <c r="O240" i="33"/>
  <c r="L240" i="33"/>
  <c r="I240" i="33"/>
  <c r="F240" i="33"/>
  <c r="C240" i="33" s="1"/>
  <c r="O239" i="33"/>
  <c r="L239" i="33"/>
  <c r="I239" i="33"/>
  <c r="F239" i="33"/>
  <c r="C239" i="33" s="1"/>
  <c r="N238" i="33"/>
  <c r="M238" i="33"/>
  <c r="L238" i="33"/>
  <c r="K238" i="33"/>
  <c r="J238" i="33"/>
  <c r="H238" i="33"/>
  <c r="G238" i="33"/>
  <c r="E238" i="33"/>
  <c r="D238" i="33"/>
  <c r="O237" i="33"/>
  <c r="L237" i="33"/>
  <c r="I237" i="33"/>
  <c r="F237" i="33"/>
  <c r="O236" i="33"/>
  <c r="L236" i="33"/>
  <c r="L235" i="33" s="1"/>
  <c r="I236" i="33"/>
  <c r="F236" i="33"/>
  <c r="O235" i="33"/>
  <c r="N235" i="33"/>
  <c r="M235" i="33"/>
  <c r="K235" i="33"/>
  <c r="J235" i="33"/>
  <c r="H235" i="33"/>
  <c r="G235" i="33"/>
  <c r="F235" i="33"/>
  <c r="E235" i="33"/>
  <c r="D235" i="33"/>
  <c r="O234" i="33"/>
  <c r="L234" i="33"/>
  <c r="I234" i="33"/>
  <c r="F234" i="33"/>
  <c r="O233" i="33"/>
  <c r="N233" i="33"/>
  <c r="M233" i="33"/>
  <c r="L233" i="33"/>
  <c r="K233" i="33"/>
  <c r="J233" i="33"/>
  <c r="I233" i="33"/>
  <c r="H233" i="33"/>
  <c r="G233" i="33"/>
  <c r="G231" i="33" s="1"/>
  <c r="E233" i="33"/>
  <c r="E231" i="33" s="1"/>
  <c r="E230" i="33" s="1"/>
  <c r="D233" i="33"/>
  <c r="O232" i="33"/>
  <c r="L232" i="33"/>
  <c r="I232" i="33"/>
  <c r="F232" i="33"/>
  <c r="N231" i="33"/>
  <c r="K231" i="33"/>
  <c r="J231" i="33"/>
  <c r="O229" i="33"/>
  <c r="L229" i="33"/>
  <c r="I229" i="33"/>
  <c r="F229" i="33"/>
  <c r="O228" i="33"/>
  <c r="L228" i="33"/>
  <c r="L227" i="33" s="1"/>
  <c r="I228" i="33"/>
  <c r="F228" i="33"/>
  <c r="O227" i="33"/>
  <c r="N227" i="33"/>
  <c r="M227" i="33"/>
  <c r="K227" i="33"/>
  <c r="J227" i="33"/>
  <c r="I227" i="33"/>
  <c r="H227" i="33"/>
  <c r="G227" i="33"/>
  <c r="F227" i="33"/>
  <c r="E227" i="33"/>
  <c r="D227" i="33"/>
  <c r="O226" i="33"/>
  <c r="L226" i="33"/>
  <c r="I226" i="33"/>
  <c r="F226" i="33"/>
  <c r="O225" i="33"/>
  <c r="L225" i="33"/>
  <c r="I225" i="33"/>
  <c r="F225" i="33"/>
  <c r="O224" i="33"/>
  <c r="L224" i="33"/>
  <c r="I224" i="33"/>
  <c r="F224" i="33"/>
  <c r="O223" i="33"/>
  <c r="L223" i="33"/>
  <c r="I223" i="33"/>
  <c r="F223" i="33"/>
  <c r="C223" i="33" s="1"/>
  <c r="O222" i="33"/>
  <c r="L222" i="33"/>
  <c r="I222" i="33"/>
  <c r="F222" i="33"/>
  <c r="O221" i="33"/>
  <c r="L221" i="33"/>
  <c r="I221" i="33"/>
  <c r="F221" i="33"/>
  <c r="O220" i="33"/>
  <c r="L220" i="33"/>
  <c r="I220" i="33"/>
  <c r="F220" i="33"/>
  <c r="O219" i="33"/>
  <c r="L219" i="33"/>
  <c r="I219" i="33"/>
  <c r="C219" i="33" s="1"/>
  <c r="F219" i="33"/>
  <c r="O218" i="33"/>
  <c r="L218" i="33"/>
  <c r="I218" i="33"/>
  <c r="F218" i="33"/>
  <c r="O217" i="33"/>
  <c r="L217" i="33"/>
  <c r="I217" i="33"/>
  <c r="F217" i="33"/>
  <c r="N216" i="33"/>
  <c r="M216" i="33"/>
  <c r="K216" i="33"/>
  <c r="J216" i="33"/>
  <c r="H216" i="33"/>
  <c r="G216" i="33"/>
  <c r="E216" i="33"/>
  <c r="D216" i="33"/>
  <c r="O215" i="33"/>
  <c r="L215" i="33"/>
  <c r="I215" i="33"/>
  <c r="F215" i="33"/>
  <c r="O214" i="33"/>
  <c r="L214" i="33"/>
  <c r="I214" i="33"/>
  <c r="F214" i="33"/>
  <c r="O213" i="33"/>
  <c r="L213" i="33"/>
  <c r="I213" i="33"/>
  <c r="F213" i="33"/>
  <c r="O212" i="33"/>
  <c r="L212" i="33"/>
  <c r="I212" i="33"/>
  <c r="F212" i="33"/>
  <c r="O211" i="33"/>
  <c r="L211" i="33"/>
  <c r="I211" i="33"/>
  <c r="F211" i="33"/>
  <c r="C211" i="33"/>
  <c r="O210" i="33"/>
  <c r="L210" i="33"/>
  <c r="I210" i="33"/>
  <c r="F210" i="33"/>
  <c r="C210" i="33" s="1"/>
  <c r="O209" i="33"/>
  <c r="L209" i="33"/>
  <c r="I209" i="33"/>
  <c r="F209" i="33"/>
  <c r="O208" i="33"/>
  <c r="L208" i="33"/>
  <c r="I208" i="33"/>
  <c r="F208" i="33"/>
  <c r="O207" i="33"/>
  <c r="L207" i="33"/>
  <c r="I207" i="33"/>
  <c r="F207" i="33"/>
  <c r="C207" i="33" s="1"/>
  <c r="O206" i="33"/>
  <c r="L206" i="33"/>
  <c r="I206" i="33"/>
  <c r="I205" i="33" s="1"/>
  <c r="F206" i="33"/>
  <c r="N205" i="33"/>
  <c r="M205" i="33"/>
  <c r="M204" i="33" s="1"/>
  <c r="K205" i="33"/>
  <c r="J205" i="33"/>
  <c r="H205" i="33"/>
  <c r="G205" i="33"/>
  <c r="E205" i="33"/>
  <c r="E204" i="33" s="1"/>
  <c r="D205" i="33"/>
  <c r="D204" i="33" s="1"/>
  <c r="H204" i="33"/>
  <c r="O203" i="33"/>
  <c r="L203" i="33"/>
  <c r="I203" i="33"/>
  <c r="F203" i="33"/>
  <c r="O202" i="33"/>
  <c r="L202" i="33"/>
  <c r="I202" i="33"/>
  <c r="F202" i="33"/>
  <c r="O201" i="33"/>
  <c r="L201" i="33"/>
  <c r="I201" i="33"/>
  <c r="F201" i="33"/>
  <c r="O200" i="33"/>
  <c r="L200" i="33"/>
  <c r="I200" i="33"/>
  <c r="F200" i="33"/>
  <c r="O199" i="33"/>
  <c r="O198" i="33" s="1"/>
  <c r="L199" i="33"/>
  <c r="I199" i="33"/>
  <c r="I198" i="33" s="1"/>
  <c r="F199" i="33"/>
  <c r="C199" i="33" s="1"/>
  <c r="N198" i="33"/>
  <c r="N196" i="33" s="1"/>
  <c r="M198" i="33"/>
  <c r="K198" i="33"/>
  <c r="K196" i="33" s="1"/>
  <c r="J198" i="33"/>
  <c r="H198" i="33"/>
  <c r="H196" i="33" s="1"/>
  <c r="H195" i="33" s="1"/>
  <c r="G198" i="33"/>
  <c r="F198" i="33"/>
  <c r="E198" i="33"/>
  <c r="D198" i="33"/>
  <c r="D196" i="33" s="1"/>
  <c r="O197" i="33"/>
  <c r="L197" i="33"/>
  <c r="I197" i="33"/>
  <c r="F197" i="33"/>
  <c r="F196" i="33" s="1"/>
  <c r="M196" i="33"/>
  <c r="J196" i="33"/>
  <c r="G196" i="33"/>
  <c r="E196" i="33"/>
  <c r="O193" i="33"/>
  <c r="O192" i="33" s="1"/>
  <c r="O191" i="33" s="1"/>
  <c r="L193" i="33"/>
  <c r="I193" i="33"/>
  <c r="I192" i="33" s="1"/>
  <c r="I191" i="33" s="1"/>
  <c r="F193" i="33"/>
  <c r="N192" i="33"/>
  <c r="N191" i="33" s="1"/>
  <c r="M192" i="33"/>
  <c r="M191" i="33" s="1"/>
  <c r="L192" i="33"/>
  <c r="L191" i="33" s="1"/>
  <c r="K192" i="33"/>
  <c r="K191" i="33" s="1"/>
  <c r="J192" i="33"/>
  <c r="J191" i="33" s="1"/>
  <c r="H192" i="33"/>
  <c r="H191" i="33" s="1"/>
  <c r="G192" i="33"/>
  <c r="G191" i="33" s="1"/>
  <c r="F192" i="33"/>
  <c r="F191" i="33" s="1"/>
  <c r="E192" i="33"/>
  <c r="D192" i="33"/>
  <c r="D191" i="33" s="1"/>
  <c r="E191" i="33"/>
  <c r="O190" i="33"/>
  <c r="L190" i="33"/>
  <c r="I190" i="33"/>
  <c r="F190" i="33"/>
  <c r="O189" i="33"/>
  <c r="O188" i="33" s="1"/>
  <c r="L189" i="33"/>
  <c r="I189" i="33"/>
  <c r="I188" i="33" s="1"/>
  <c r="F189" i="33"/>
  <c r="C189" i="33"/>
  <c r="N188" i="33"/>
  <c r="N187" i="33" s="1"/>
  <c r="M188" i="33"/>
  <c r="K188" i="33"/>
  <c r="J188" i="33"/>
  <c r="J187" i="33" s="1"/>
  <c r="H188" i="33"/>
  <c r="G188" i="33"/>
  <c r="F188" i="33"/>
  <c r="E188" i="33"/>
  <c r="E187" i="33" s="1"/>
  <c r="D188" i="33"/>
  <c r="O186" i="33"/>
  <c r="L186" i="33"/>
  <c r="I186" i="33"/>
  <c r="F186" i="33"/>
  <c r="O185" i="33"/>
  <c r="O184" i="33" s="1"/>
  <c r="L185" i="33"/>
  <c r="L184" i="33" s="1"/>
  <c r="I185" i="33"/>
  <c r="I184" i="33" s="1"/>
  <c r="F185" i="33"/>
  <c r="N184" i="33"/>
  <c r="M184" i="33"/>
  <c r="K184" i="33"/>
  <c r="J184" i="33"/>
  <c r="H184" i="33"/>
  <c r="G184" i="33"/>
  <c r="E184" i="33"/>
  <c r="D184" i="33"/>
  <c r="O183" i="33"/>
  <c r="L183" i="33"/>
  <c r="I183" i="33"/>
  <c r="F183" i="33"/>
  <c r="O182" i="33"/>
  <c r="L182" i="33"/>
  <c r="I182" i="33"/>
  <c r="F182" i="33"/>
  <c r="O181" i="33"/>
  <c r="L181" i="33"/>
  <c r="I181" i="33"/>
  <c r="C181" i="33" s="1"/>
  <c r="F181" i="33"/>
  <c r="O180" i="33"/>
  <c r="L180" i="33"/>
  <c r="I180" i="33"/>
  <c r="F180" i="33"/>
  <c r="N179" i="33"/>
  <c r="M179" i="33"/>
  <c r="K179" i="33"/>
  <c r="J179" i="33"/>
  <c r="H179" i="33"/>
  <c r="G179" i="33"/>
  <c r="E179" i="33"/>
  <c r="D179" i="33"/>
  <c r="O178" i="33"/>
  <c r="L178" i="33"/>
  <c r="I178" i="33"/>
  <c r="F178" i="33"/>
  <c r="O177" i="33"/>
  <c r="L177" i="33"/>
  <c r="I177" i="33"/>
  <c r="F177" i="33"/>
  <c r="C177" i="33" s="1"/>
  <c r="O176" i="33"/>
  <c r="L176" i="33"/>
  <c r="I176" i="33"/>
  <c r="F176" i="33"/>
  <c r="N175" i="33"/>
  <c r="M175" i="33"/>
  <c r="K175" i="33"/>
  <c r="K174" i="33" s="1"/>
  <c r="J175" i="33"/>
  <c r="J174" i="33" s="1"/>
  <c r="J173" i="33" s="1"/>
  <c r="H175" i="33"/>
  <c r="G175" i="33"/>
  <c r="G174" i="33" s="1"/>
  <c r="G173" i="33" s="1"/>
  <c r="E175" i="33"/>
  <c r="D175" i="33"/>
  <c r="D174" i="33" s="1"/>
  <c r="D173" i="33" s="1"/>
  <c r="N174" i="33"/>
  <c r="N173" i="33" s="1"/>
  <c r="K173" i="33"/>
  <c r="O172" i="33"/>
  <c r="L172" i="33"/>
  <c r="I172" i="33"/>
  <c r="F172" i="33"/>
  <c r="O171" i="33"/>
  <c r="L171" i="33"/>
  <c r="I171" i="33"/>
  <c r="F171" i="33"/>
  <c r="O170" i="33"/>
  <c r="L170" i="33"/>
  <c r="I170" i="33"/>
  <c r="F170" i="33"/>
  <c r="O169" i="33"/>
  <c r="L169" i="33"/>
  <c r="I169" i="33"/>
  <c r="C169" i="33" s="1"/>
  <c r="F169" i="33"/>
  <c r="O168" i="33"/>
  <c r="L168" i="33"/>
  <c r="I168" i="33"/>
  <c r="F168" i="33"/>
  <c r="O167" i="33"/>
  <c r="O166" i="33" s="1"/>
  <c r="O165" i="33" s="1"/>
  <c r="L167" i="33"/>
  <c r="I167" i="33"/>
  <c r="F167" i="33"/>
  <c r="F166" i="33" s="1"/>
  <c r="N166" i="33"/>
  <c r="N165" i="33" s="1"/>
  <c r="M166" i="33"/>
  <c r="M165" i="33" s="1"/>
  <c r="K166" i="33"/>
  <c r="J166" i="33"/>
  <c r="J165" i="33" s="1"/>
  <c r="H166" i="33"/>
  <c r="H165" i="33" s="1"/>
  <c r="G166" i="33"/>
  <c r="G165" i="33" s="1"/>
  <c r="E166" i="33"/>
  <c r="E165" i="33" s="1"/>
  <c r="D166" i="33"/>
  <c r="D165" i="33" s="1"/>
  <c r="K165" i="33"/>
  <c r="O164" i="33"/>
  <c r="L164" i="33"/>
  <c r="I164" i="33"/>
  <c r="F164" i="33"/>
  <c r="O163" i="33"/>
  <c r="L163" i="33"/>
  <c r="I163" i="33"/>
  <c r="F163" i="33"/>
  <c r="O162" i="33"/>
  <c r="L162" i="33"/>
  <c r="I162" i="33"/>
  <c r="F162" i="33"/>
  <c r="O161" i="33"/>
  <c r="O160" i="33" s="1"/>
  <c r="L161" i="33"/>
  <c r="L160" i="33" s="1"/>
  <c r="I161" i="33"/>
  <c r="I160" i="33" s="1"/>
  <c r="F161" i="33"/>
  <c r="N160" i="33"/>
  <c r="M160" i="33"/>
  <c r="K160" i="33"/>
  <c r="J160" i="33"/>
  <c r="H160" i="33"/>
  <c r="G160" i="33"/>
  <c r="F160" i="33"/>
  <c r="E160" i="33"/>
  <c r="D160" i="33"/>
  <c r="O159" i="33"/>
  <c r="L159" i="33"/>
  <c r="I159" i="33"/>
  <c r="F159" i="33"/>
  <c r="O158" i="33"/>
  <c r="L158" i="33"/>
  <c r="I158" i="33"/>
  <c r="F158" i="33"/>
  <c r="O157" i="33"/>
  <c r="L157" i="33"/>
  <c r="I157" i="33"/>
  <c r="F157" i="33"/>
  <c r="O156" i="33"/>
  <c r="L156" i="33"/>
  <c r="I156" i="33"/>
  <c r="F156" i="33"/>
  <c r="O155" i="33"/>
  <c r="L155" i="33"/>
  <c r="I155" i="33"/>
  <c r="F155" i="33"/>
  <c r="O154" i="33"/>
  <c r="L154" i="33"/>
  <c r="I154" i="33"/>
  <c r="D154" i="33"/>
  <c r="F154" i="33" s="1"/>
  <c r="O153" i="33"/>
  <c r="L153" i="33"/>
  <c r="I153" i="33"/>
  <c r="F153" i="33"/>
  <c r="O152" i="33"/>
  <c r="L152" i="33"/>
  <c r="I152" i="33"/>
  <c r="I151" i="33" s="1"/>
  <c r="F152" i="33"/>
  <c r="N151" i="33"/>
  <c r="M151" i="33"/>
  <c r="K151" i="33"/>
  <c r="J151" i="33"/>
  <c r="H151" i="33"/>
  <c r="G151" i="33"/>
  <c r="E151" i="33"/>
  <c r="D151" i="33"/>
  <c r="O150" i="33"/>
  <c r="L150" i="33"/>
  <c r="I150" i="33"/>
  <c r="F150" i="33"/>
  <c r="C150" i="33"/>
  <c r="O149" i="33"/>
  <c r="L149" i="33"/>
  <c r="I149" i="33"/>
  <c r="F149" i="33"/>
  <c r="C149" i="33" s="1"/>
  <c r="O148" i="33"/>
  <c r="L148" i="33"/>
  <c r="I148" i="33"/>
  <c r="F148" i="33"/>
  <c r="C148" i="33" s="1"/>
  <c r="O147" i="33"/>
  <c r="L147" i="33"/>
  <c r="I147" i="33"/>
  <c r="F147" i="33"/>
  <c r="C147" i="33" s="1"/>
  <c r="O146" i="33"/>
  <c r="L146" i="33"/>
  <c r="I146" i="33"/>
  <c r="F146" i="33"/>
  <c r="C146" i="33" s="1"/>
  <c r="O145" i="33"/>
  <c r="L145" i="33"/>
  <c r="I145" i="33"/>
  <c r="F145" i="33"/>
  <c r="N144" i="33"/>
  <c r="M144" i="33"/>
  <c r="K144" i="33"/>
  <c r="J144" i="33"/>
  <c r="I144" i="33"/>
  <c r="H144" i="33"/>
  <c r="G144" i="33"/>
  <c r="E144" i="33"/>
  <c r="D144" i="33"/>
  <c r="O143" i="33"/>
  <c r="L143" i="33"/>
  <c r="I143" i="33"/>
  <c r="F143" i="33"/>
  <c r="O142" i="33"/>
  <c r="O141" i="33" s="1"/>
  <c r="L142" i="33"/>
  <c r="I142" i="33"/>
  <c r="F142" i="33"/>
  <c r="C142" i="33" s="1"/>
  <c r="N141" i="33"/>
  <c r="M141" i="33"/>
  <c r="K141" i="33"/>
  <c r="J141" i="33"/>
  <c r="H141" i="33"/>
  <c r="G141" i="33"/>
  <c r="F141" i="33"/>
  <c r="E141" i="33"/>
  <c r="D141" i="33"/>
  <c r="O140" i="33"/>
  <c r="L140" i="33"/>
  <c r="I140" i="33"/>
  <c r="F140" i="33"/>
  <c r="O139" i="33"/>
  <c r="L139" i="33"/>
  <c r="I139" i="33"/>
  <c r="F139" i="33"/>
  <c r="O138" i="33"/>
  <c r="L138" i="33"/>
  <c r="I138" i="33"/>
  <c r="F138" i="33"/>
  <c r="O137" i="33"/>
  <c r="L137" i="33"/>
  <c r="I137" i="33"/>
  <c r="F137" i="33"/>
  <c r="N136" i="33"/>
  <c r="M136" i="33"/>
  <c r="K136" i="33"/>
  <c r="J136" i="33"/>
  <c r="I136" i="33"/>
  <c r="H136" i="33"/>
  <c r="G136" i="33"/>
  <c r="E136" i="33"/>
  <c r="D136" i="33"/>
  <c r="O135" i="33"/>
  <c r="L135" i="33"/>
  <c r="I135" i="33"/>
  <c r="D135" i="33"/>
  <c r="F135" i="33" s="1"/>
  <c r="C135" i="33" s="1"/>
  <c r="O134" i="33"/>
  <c r="L134" i="33"/>
  <c r="I134" i="33"/>
  <c r="F134" i="33"/>
  <c r="O133" i="33"/>
  <c r="L133" i="33"/>
  <c r="I133" i="33"/>
  <c r="F133" i="33"/>
  <c r="O132" i="33"/>
  <c r="L132" i="33"/>
  <c r="L131" i="33" s="1"/>
  <c r="I132" i="33"/>
  <c r="I131" i="33" s="1"/>
  <c r="F132" i="33"/>
  <c r="O131" i="33"/>
  <c r="N131" i="33"/>
  <c r="M131" i="33"/>
  <c r="K131" i="33"/>
  <c r="K130" i="33" s="1"/>
  <c r="J131" i="33"/>
  <c r="H131" i="33"/>
  <c r="G131" i="33"/>
  <c r="G130" i="33" s="1"/>
  <c r="E131" i="33"/>
  <c r="D131" i="33"/>
  <c r="H130" i="33"/>
  <c r="D130" i="33"/>
  <c r="O129" i="33"/>
  <c r="L129" i="33"/>
  <c r="I129" i="33"/>
  <c r="F129" i="33"/>
  <c r="F128" i="33" s="1"/>
  <c r="O128" i="33"/>
  <c r="N128" i="33"/>
  <c r="M128" i="33"/>
  <c r="L128" i="33"/>
  <c r="K128" i="33"/>
  <c r="J128" i="33"/>
  <c r="H128" i="33"/>
  <c r="G128" i="33"/>
  <c r="E128" i="33"/>
  <c r="D128" i="33"/>
  <c r="O127" i="33"/>
  <c r="L127" i="33"/>
  <c r="I127" i="33"/>
  <c r="E127" i="33"/>
  <c r="E122" i="33" s="1"/>
  <c r="D127" i="33"/>
  <c r="O126" i="33"/>
  <c r="L126" i="33"/>
  <c r="I126" i="33"/>
  <c r="F126" i="33"/>
  <c r="O125" i="33"/>
  <c r="L125" i="33"/>
  <c r="I125" i="33"/>
  <c r="F125" i="33"/>
  <c r="C125" i="33"/>
  <c r="O124" i="33"/>
  <c r="L124" i="33"/>
  <c r="I124" i="33"/>
  <c r="F124" i="33"/>
  <c r="C124" i="33" s="1"/>
  <c r="O123" i="33"/>
  <c r="L123" i="33"/>
  <c r="I123" i="33"/>
  <c r="I122" i="33" s="1"/>
  <c r="F123" i="33"/>
  <c r="C123" i="33" s="1"/>
  <c r="N122" i="33"/>
  <c r="M122" i="33"/>
  <c r="K122" i="33"/>
  <c r="J122" i="33"/>
  <c r="H122" i="33"/>
  <c r="G122" i="33"/>
  <c r="D122" i="33"/>
  <c r="O121" i="33"/>
  <c r="L121" i="33"/>
  <c r="I121" i="33"/>
  <c r="F121" i="33"/>
  <c r="C121" i="33"/>
  <c r="O120" i="33"/>
  <c r="L120" i="33"/>
  <c r="I120" i="33"/>
  <c r="F120" i="33"/>
  <c r="C120" i="33" s="1"/>
  <c r="O119" i="33"/>
  <c r="L119" i="33"/>
  <c r="I119" i="33"/>
  <c r="D119" i="33"/>
  <c r="F119" i="33" s="1"/>
  <c r="O118" i="33"/>
  <c r="L118" i="33"/>
  <c r="I118" i="33"/>
  <c r="E118" i="33"/>
  <c r="O117" i="33"/>
  <c r="O116" i="33" s="1"/>
  <c r="L117" i="33"/>
  <c r="I117" i="33"/>
  <c r="F117" i="33"/>
  <c r="N116" i="33"/>
  <c r="M116" i="33"/>
  <c r="L116" i="33"/>
  <c r="K116" i="33"/>
  <c r="J116" i="33"/>
  <c r="H116" i="33"/>
  <c r="G116" i="33"/>
  <c r="D116" i="33"/>
  <c r="O115" i="33"/>
  <c r="L115" i="33"/>
  <c r="I115" i="33"/>
  <c r="F115" i="33"/>
  <c r="C115" i="33" s="1"/>
  <c r="O114" i="33"/>
  <c r="L114" i="33"/>
  <c r="I114" i="33"/>
  <c r="F114" i="33"/>
  <c r="O113" i="33"/>
  <c r="L113" i="33"/>
  <c r="I113" i="33"/>
  <c r="F113" i="33"/>
  <c r="N112" i="33"/>
  <c r="M112" i="33"/>
  <c r="L112" i="33"/>
  <c r="K112" i="33"/>
  <c r="J112" i="33"/>
  <c r="H112" i="33"/>
  <c r="G112" i="33"/>
  <c r="F112" i="33"/>
  <c r="E112" i="33"/>
  <c r="D112" i="33"/>
  <c r="O111" i="33"/>
  <c r="L111" i="33"/>
  <c r="I111" i="33"/>
  <c r="F111" i="33"/>
  <c r="C111" i="33"/>
  <c r="O110" i="33"/>
  <c r="L110" i="33"/>
  <c r="I110" i="33"/>
  <c r="F110" i="33"/>
  <c r="C110" i="33" s="1"/>
  <c r="O109" i="33"/>
  <c r="L109" i="33"/>
  <c r="I109" i="33"/>
  <c r="F109" i="33"/>
  <c r="O108" i="33"/>
  <c r="L108" i="33"/>
  <c r="I108" i="33"/>
  <c r="F108" i="33"/>
  <c r="C108" i="33" s="1"/>
  <c r="O107" i="33"/>
  <c r="L107" i="33"/>
  <c r="I107" i="33"/>
  <c r="F107" i="33"/>
  <c r="C107" i="33" s="1"/>
  <c r="O106" i="33"/>
  <c r="L106" i="33"/>
  <c r="I106" i="33"/>
  <c r="F106" i="33"/>
  <c r="O105" i="33"/>
  <c r="L105" i="33"/>
  <c r="I105" i="33"/>
  <c r="F105" i="33"/>
  <c r="O104" i="33"/>
  <c r="L104" i="33"/>
  <c r="I104" i="33"/>
  <c r="F104" i="33"/>
  <c r="C104" i="33" s="1"/>
  <c r="N103" i="33"/>
  <c r="M103" i="33"/>
  <c r="K103" i="33"/>
  <c r="J103" i="33"/>
  <c r="H103" i="33"/>
  <c r="G103" i="33"/>
  <c r="E103" i="33"/>
  <c r="D103" i="33"/>
  <c r="O102" i="33"/>
  <c r="L102" i="33"/>
  <c r="I102" i="33"/>
  <c r="F102" i="33"/>
  <c r="C102" i="33" s="1"/>
  <c r="O101" i="33"/>
  <c r="L101" i="33"/>
  <c r="I101" i="33"/>
  <c r="F101" i="33"/>
  <c r="O100" i="33"/>
  <c r="L100" i="33"/>
  <c r="I100" i="33"/>
  <c r="F100" i="33"/>
  <c r="O99" i="33"/>
  <c r="L99" i="33"/>
  <c r="I99" i="33"/>
  <c r="F99" i="33"/>
  <c r="O98" i="33"/>
  <c r="L98" i="33"/>
  <c r="I98" i="33"/>
  <c r="F98" i="33"/>
  <c r="O97" i="33"/>
  <c r="L97" i="33"/>
  <c r="I97" i="33"/>
  <c r="F97" i="33"/>
  <c r="O96" i="33"/>
  <c r="L96" i="33"/>
  <c r="L95" i="33" s="1"/>
  <c r="I96" i="33"/>
  <c r="F96" i="33"/>
  <c r="N95" i="33"/>
  <c r="M95" i="33"/>
  <c r="K95" i="33"/>
  <c r="J95" i="33"/>
  <c r="H95" i="33"/>
  <c r="G95" i="33"/>
  <c r="E95" i="33"/>
  <c r="D95" i="33"/>
  <c r="O94" i="33"/>
  <c r="L94" i="33"/>
  <c r="I94" i="33"/>
  <c r="C94" i="33" s="1"/>
  <c r="F94" i="33"/>
  <c r="O93" i="33"/>
  <c r="L93" i="33"/>
  <c r="I93" i="33"/>
  <c r="F93" i="33"/>
  <c r="O92" i="33"/>
  <c r="L92" i="33"/>
  <c r="I92" i="33"/>
  <c r="F92" i="33"/>
  <c r="O91" i="33"/>
  <c r="L91" i="33"/>
  <c r="I91" i="33"/>
  <c r="F91" i="33"/>
  <c r="O90" i="33"/>
  <c r="L90" i="33"/>
  <c r="I90" i="33"/>
  <c r="F90" i="33"/>
  <c r="N89" i="33"/>
  <c r="M89" i="33"/>
  <c r="K89" i="33"/>
  <c r="J89" i="33"/>
  <c r="H89" i="33"/>
  <c r="G89" i="33"/>
  <c r="F89" i="33"/>
  <c r="E89" i="33"/>
  <c r="D89" i="33"/>
  <c r="O88" i="33"/>
  <c r="L88" i="33"/>
  <c r="I88" i="33"/>
  <c r="F88" i="33"/>
  <c r="O87" i="33"/>
  <c r="L87" i="33"/>
  <c r="I87" i="33"/>
  <c r="F87" i="33"/>
  <c r="O86" i="33"/>
  <c r="L86" i="33"/>
  <c r="I86" i="33"/>
  <c r="F86" i="33"/>
  <c r="O85" i="33"/>
  <c r="L85" i="33"/>
  <c r="L84" i="33" s="1"/>
  <c r="I85" i="33"/>
  <c r="F85" i="33"/>
  <c r="F84" i="33" s="1"/>
  <c r="N84" i="33"/>
  <c r="M84" i="33"/>
  <c r="M83" i="33" s="1"/>
  <c r="K84" i="33"/>
  <c r="K83" i="33" s="1"/>
  <c r="J84" i="33"/>
  <c r="H84" i="33"/>
  <c r="G84" i="33"/>
  <c r="E84" i="33"/>
  <c r="D84" i="33"/>
  <c r="H83" i="33"/>
  <c r="D83" i="33"/>
  <c r="O82" i="33"/>
  <c r="L82" i="33"/>
  <c r="I82" i="33"/>
  <c r="F82" i="33"/>
  <c r="O81" i="33"/>
  <c r="L81" i="33"/>
  <c r="L80" i="33" s="1"/>
  <c r="I81" i="33"/>
  <c r="F81" i="33"/>
  <c r="F80" i="33" s="1"/>
  <c r="O80" i="33"/>
  <c r="N80" i="33"/>
  <c r="M80" i="33"/>
  <c r="K80" i="33"/>
  <c r="J80" i="33"/>
  <c r="H80" i="33"/>
  <c r="G80" i="33"/>
  <c r="E80" i="33"/>
  <c r="D80" i="33"/>
  <c r="O79" i="33"/>
  <c r="L79" i="33"/>
  <c r="I79" i="33"/>
  <c r="F79" i="33"/>
  <c r="O78" i="33"/>
  <c r="O77" i="33" s="1"/>
  <c r="L78" i="33"/>
  <c r="I78" i="33"/>
  <c r="F78" i="33"/>
  <c r="N77" i="33"/>
  <c r="N76" i="33" s="1"/>
  <c r="M77" i="33"/>
  <c r="L77" i="33"/>
  <c r="K77" i="33"/>
  <c r="J77" i="33"/>
  <c r="J76" i="33" s="1"/>
  <c r="H77" i="33"/>
  <c r="H76" i="33" s="1"/>
  <c r="G77" i="33"/>
  <c r="F77" i="33"/>
  <c r="E77" i="33"/>
  <c r="D77" i="33"/>
  <c r="M76" i="33"/>
  <c r="K76" i="33"/>
  <c r="K75" i="33" s="1"/>
  <c r="E76" i="33"/>
  <c r="O74" i="33"/>
  <c r="L74" i="33"/>
  <c r="I74" i="33"/>
  <c r="F74" i="33"/>
  <c r="O73" i="33"/>
  <c r="L73" i="33"/>
  <c r="I73" i="33"/>
  <c r="F73" i="33"/>
  <c r="O72" i="33"/>
  <c r="L72" i="33"/>
  <c r="I72" i="33"/>
  <c r="F72" i="33"/>
  <c r="O71" i="33"/>
  <c r="L71" i="33"/>
  <c r="I71" i="33"/>
  <c r="F71" i="33"/>
  <c r="O70" i="33"/>
  <c r="O69" i="33" s="1"/>
  <c r="L70" i="33"/>
  <c r="I70" i="33"/>
  <c r="F70" i="33"/>
  <c r="N69" i="33"/>
  <c r="N67" i="33" s="1"/>
  <c r="M69" i="33"/>
  <c r="M67" i="33" s="1"/>
  <c r="K69" i="33"/>
  <c r="K67" i="33" s="1"/>
  <c r="J69" i="33"/>
  <c r="J67" i="33" s="1"/>
  <c r="H69" i="33"/>
  <c r="H67" i="33" s="1"/>
  <c r="G69" i="33"/>
  <c r="E69" i="33"/>
  <c r="E67" i="33" s="1"/>
  <c r="D69" i="33"/>
  <c r="O68" i="33"/>
  <c r="L68" i="33"/>
  <c r="I68" i="33"/>
  <c r="D68" i="33"/>
  <c r="G67" i="33"/>
  <c r="O66" i="33"/>
  <c r="L66" i="33"/>
  <c r="I66" i="33"/>
  <c r="E66" i="33"/>
  <c r="D66" i="33"/>
  <c r="F66" i="33" s="1"/>
  <c r="O65" i="33"/>
  <c r="L65" i="33"/>
  <c r="I65" i="33"/>
  <c r="F65" i="33"/>
  <c r="O64" i="33"/>
  <c r="L64" i="33"/>
  <c r="I64" i="33"/>
  <c r="F64" i="33"/>
  <c r="O63" i="33"/>
  <c r="L63" i="33"/>
  <c r="I63" i="33"/>
  <c r="F63" i="33"/>
  <c r="C63" i="33" s="1"/>
  <c r="O62" i="33"/>
  <c r="L62" i="33"/>
  <c r="I62" i="33"/>
  <c r="F62" i="33"/>
  <c r="O61" i="33"/>
  <c r="L61" i="33"/>
  <c r="I61" i="33"/>
  <c r="F61" i="33"/>
  <c r="O60" i="33"/>
  <c r="L60" i="33"/>
  <c r="I60" i="33"/>
  <c r="F60" i="33"/>
  <c r="O59" i="33"/>
  <c r="O58" i="33" s="1"/>
  <c r="L59" i="33"/>
  <c r="I59" i="33"/>
  <c r="F59" i="33"/>
  <c r="C59" i="33" s="1"/>
  <c r="N58" i="33"/>
  <c r="M58" i="33"/>
  <c r="K58" i="33"/>
  <c r="J58" i="33"/>
  <c r="H58" i="33"/>
  <c r="G58" i="33"/>
  <c r="E58" i="33"/>
  <c r="D58" i="33"/>
  <c r="O57" i="33"/>
  <c r="L57" i="33"/>
  <c r="I57" i="33"/>
  <c r="F57" i="33"/>
  <c r="O56" i="33"/>
  <c r="L56" i="33"/>
  <c r="L55" i="33" s="1"/>
  <c r="I56" i="33"/>
  <c r="F56" i="33"/>
  <c r="F55" i="33" s="1"/>
  <c r="O55" i="33"/>
  <c r="N55" i="33"/>
  <c r="M55" i="33"/>
  <c r="M54" i="33" s="1"/>
  <c r="K55" i="33"/>
  <c r="K54" i="33" s="1"/>
  <c r="J55" i="33"/>
  <c r="H55" i="33"/>
  <c r="G55" i="33"/>
  <c r="G54" i="33" s="1"/>
  <c r="G53" i="33" s="1"/>
  <c r="E55" i="33"/>
  <c r="E54" i="33" s="1"/>
  <c r="D55" i="33"/>
  <c r="N54" i="33"/>
  <c r="N53" i="33" s="1"/>
  <c r="J54" i="33"/>
  <c r="J53" i="33" s="1"/>
  <c r="H54" i="33"/>
  <c r="D54" i="33"/>
  <c r="O47" i="33"/>
  <c r="C47" i="33" s="1"/>
  <c r="O46" i="33"/>
  <c r="N45" i="33"/>
  <c r="M45" i="33"/>
  <c r="L44" i="33"/>
  <c r="L43" i="33" s="1"/>
  <c r="I44" i="33"/>
  <c r="I43" i="33" s="1"/>
  <c r="F44" i="33"/>
  <c r="K43" i="33"/>
  <c r="J43" i="33"/>
  <c r="H43" i="33"/>
  <c r="G43" i="33"/>
  <c r="E43" i="33"/>
  <c r="D43" i="33"/>
  <c r="F42" i="33"/>
  <c r="E41" i="33"/>
  <c r="D41" i="33"/>
  <c r="L40" i="33"/>
  <c r="C40" i="33" s="1"/>
  <c r="L39" i="33"/>
  <c r="C39" i="33" s="1"/>
  <c r="L38" i="33"/>
  <c r="C38" i="33" s="1"/>
  <c r="L37" i="33"/>
  <c r="K36" i="33"/>
  <c r="J36" i="33"/>
  <c r="L35" i="33"/>
  <c r="C35" i="33" s="1"/>
  <c r="L34" i="33"/>
  <c r="K33" i="33"/>
  <c r="J33" i="33"/>
  <c r="L32" i="33"/>
  <c r="C32" i="33" s="1"/>
  <c r="K31" i="33"/>
  <c r="J31" i="33"/>
  <c r="L30" i="33"/>
  <c r="C30" i="33" s="1"/>
  <c r="L29" i="33"/>
  <c r="C29" i="33" s="1"/>
  <c r="L28" i="33"/>
  <c r="K27" i="33"/>
  <c r="J27" i="33"/>
  <c r="J26" i="33" s="1"/>
  <c r="J20" i="33" s="1"/>
  <c r="F25" i="33"/>
  <c r="C25" i="33" s="1"/>
  <c r="I24" i="33"/>
  <c r="D24" i="33"/>
  <c r="F24" i="33" s="1"/>
  <c r="O23" i="33"/>
  <c r="L23" i="33"/>
  <c r="I23" i="33"/>
  <c r="F23" i="33"/>
  <c r="C23" i="33" s="1"/>
  <c r="O22" i="33"/>
  <c r="L22" i="33"/>
  <c r="L21" i="33" s="1"/>
  <c r="L292" i="33" s="1"/>
  <c r="I22" i="33"/>
  <c r="F22" i="33"/>
  <c r="N21" i="33"/>
  <c r="N292" i="33" s="1"/>
  <c r="N291" i="33" s="1"/>
  <c r="M21" i="33"/>
  <c r="K21" i="33"/>
  <c r="K292" i="33" s="1"/>
  <c r="K291" i="33" s="1"/>
  <c r="J21" i="33"/>
  <c r="J292" i="33" s="1"/>
  <c r="J291" i="33" s="1"/>
  <c r="I21" i="33"/>
  <c r="H21" i="33"/>
  <c r="H292" i="33" s="1"/>
  <c r="H291" i="33" s="1"/>
  <c r="G21" i="33"/>
  <c r="G292" i="33" s="1"/>
  <c r="G291" i="33" s="1"/>
  <c r="E21" i="33"/>
  <c r="D21" i="33"/>
  <c r="D292" i="33" s="1"/>
  <c r="D291" i="33" s="1"/>
  <c r="N20" i="33"/>
  <c r="C139" i="33" l="1"/>
  <c r="C152" i="33"/>
  <c r="C153" i="33"/>
  <c r="C154" i="33"/>
  <c r="C157" i="33"/>
  <c r="C214" i="33"/>
  <c r="C255" i="33"/>
  <c r="C258" i="33"/>
  <c r="C23" i="34"/>
  <c r="L31" i="34"/>
  <c r="C31" i="34" s="1"/>
  <c r="C93" i="34"/>
  <c r="O89" i="34"/>
  <c r="C111" i="34"/>
  <c r="D174" i="34"/>
  <c r="D173" i="34" s="1"/>
  <c r="L179" i="34"/>
  <c r="C203" i="34"/>
  <c r="C223" i="34"/>
  <c r="C225" i="34"/>
  <c r="M231" i="34"/>
  <c r="C243" i="34"/>
  <c r="I251" i="34"/>
  <c r="G20" i="35"/>
  <c r="O67" i="35"/>
  <c r="G76" i="35"/>
  <c r="C92" i="35"/>
  <c r="C94" i="35"/>
  <c r="C107" i="35"/>
  <c r="C129" i="35"/>
  <c r="C133" i="35"/>
  <c r="C211" i="35"/>
  <c r="C214" i="35"/>
  <c r="H20" i="33"/>
  <c r="O21" i="33"/>
  <c r="L31" i="33"/>
  <c r="C31" i="33" s="1"/>
  <c r="D76" i="33"/>
  <c r="D75" i="33" s="1"/>
  <c r="O84" i="33"/>
  <c r="C126" i="33"/>
  <c r="M187" i="33"/>
  <c r="C203" i="33"/>
  <c r="C213" i="33"/>
  <c r="C215" i="33"/>
  <c r="C222" i="33"/>
  <c r="C232" i="33"/>
  <c r="M231" i="33"/>
  <c r="O276" i="33"/>
  <c r="J54" i="34"/>
  <c r="J53" i="34" s="1"/>
  <c r="F80" i="34"/>
  <c r="C105" i="34"/>
  <c r="C121" i="34"/>
  <c r="C123" i="34"/>
  <c r="C124" i="34"/>
  <c r="C148" i="34"/>
  <c r="C158" i="34"/>
  <c r="C161" i="34"/>
  <c r="C163" i="34"/>
  <c r="E187" i="34"/>
  <c r="M195" i="34"/>
  <c r="C206" i="34"/>
  <c r="C210" i="34"/>
  <c r="C214" i="34"/>
  <c r="C220" i="34"/>
  <c r="L252" i="34"/>
  <c r="L251" i="34" s="1"/>
  <c r="J259" i="34"/>
  <c r="C261" i="34"/>
  <c r="M20" i="35"/>
  <c r="C44" i="35"/>
  <c r="E54" i="35"/>
  <c r="K54" i="35"/>
  <c r="K53" i="35" s="1"/>
  <c r="C68" i="35"/>
  <c r="C80" i="35"/>
  <c r="C81" i="35"/>
  <c r="C111" i="35"/>
  <c r="C126" i="35"/>
  <c r="E130" i="35"/>
  <c r="C143" i="35"/>
  <c r="O144" i="35"/>
  <c r="C212" i="35"/>
  <c r="C222" i="35"/>
  <c r="C226" i="35"/>
  <c r="L246" i="35"/>
  <c r="C262" i="35"/>
  <c r="L293" i="35"/>
  <c r="C24" i="33"/>
  <c r="C72" i="33"/>
  <c r="O76" i="33"/>
  <c r="C88" i="33"/>
  <c r="O112" i="33"/>
  <c r="C138" i="33"/>
  <c r="I175" i="33"/>
  <c r="C185" i="33"/>
  <c r="C229" i="33"/>
  <c r="C64" i="34"/>
  <c r="C43" i="35"/>
  <c r="J53" i="35"/>
  <c r="L216" i="35"/>
  <c r="C257" i="35"/>
  <c r="M53" i="33"/>
  <c r="C92" i="33"/>
  <c r="C114" i="33"/>
  <c r="K230" i="33"/>
  <c r="D76" i="34"/>
  <c r="C98" i="34"/>
  <c r="C157" i="34"/>
  <c r="C171" i="34"/>
  <c r="L174" i="34"/>
  <c r="C228" i="34"/>
  <c r="C229" i="34"/>
  <c r="C255" i="34"/>
  <c r="C257" i="34"/>
  <c r="C299" i="34"/>
  <c r="C300" i="34"/>
  <c r="C86" i="35"/>
  <c r="C87" i="35"/>
  <c r="C96" i="35"/>
  <c r="C99" i="35"/>
  <c r="C100" i="35"/>
  <c r="C102" i="35"/>
  <c r="C139" i="35"/>
  <c r="C140" i="35"/>
  <c r="C148" i="35"/>
  <c r="C153" i="35"/>
  <c r="C155" i="35"/>
  <c r="C156" i="35"/>
  <c r="C158" i="35"/>
  <c r="D230" i="35"/>
  <c r="H230" i="35"/>
  <c r="C242" i="35"/>
  <c r="C244" i="35"/>
  <c r="F39" i="36"/>
  <c r="D121" i="36"/>
  <c r="D39" i="36"/>
  <c r="D12" i="36" s="1"/>
  <c r="D79" i="36"/>
  <c r="F13" i="36"/>
  <c r="F12" i="36" s="1"/>
  <c r="F70" i="36"/>
  <c r="F62" i="36" s="1"/>
  <c r="E79" i="36"/>
  <c r="K26" i="33"/>
  <c r="C44" i="33"/>
  <c r="L58" i="33"/>
  <c r="L54" i="33" s="1"/>
  <c r="C65" i="33"/>
  <c r="C71" i="33"/>
  <c r="G76" i="33"/>
  <c r="H75" i="33"/>
  <c r="C93" i="33"/>
  <c r="O95" i="33"/>
  <c r="E130" i="33"/>
  <c r="I141" i="33"/>
  <c r="C155" i="33"/>
  <c r="C156" i="33"/>
  <c r="C162" i="33"/>
  <c r="C163" i="33"/>
  <c r="C164" i="33"/>
  <c r="I166" i="33"/>
  <c r="I165" i="33" s="1"/>
  <c r="C172" i="33"/>
  <c r="L175" i="33"/>
  <c r="D187" i="33"/>
  <c r="H187" i="33"/>
  <c r="L188" i="33"/>
  <c r="L187" i="33" s="1"/>
  <c r="C201" i="33"/>
  <c r="C221" i="33"/>
  <c r="C226" i="33"/>
  <c r="C245" i="33"/>
  <c r="C254" i="33"/>
  <c r="F260" i="33"/>
  <c r="C262" i="33"/>
  <c r="C267" i="33"/>
  <c r="F281" i="33"/>
  <c r="O21" i="34"/>
  <c r="O292" i="34" s="1"/>
  <c r="O291" i="34" s="1"/>
  <c r="C44" i="34"/>
  <c r="C60" i="34"/>
  <c r="C68" i="34"/>
  <c r="D20" i="33"/>
  <c r="E53" i="33"/>
  <c r="K53" i="33"/>
  <c r="C87" i="33"/>
  <c r="C98" i="33"/>
  <c r="L122" i="33"/>
  <c r="L141" i="33"/>
  <c r="N130" i="33"/>
  <c r="D195" i="33"/>
  <c r="L198" i="33"/>
  <c r="L196" i="33" s="1"/>
  <c r="M195" i="33"/>
  <c r="N204" i="33"/>
  <c r="C225" i="33"/>
  <c r="C227" i="33"/>
  <c r="C249" i="33"/>
  <c r="I69" i="34"/>
  <c r="I67" i="34" s="1"/>
  <c r="C74" i="33"/>
  <c r="C79" i="33"/>
  <c r="N83" i="33"/>
  <c r="L89" i="33"/>
  <c r="C97" i="33"/>
  <c r="C101" i="33"/>
  <c r="O103" i="33"/>
  <c r="O122" i="33"/>
  <c r="C132" i="33"/>
  <c r="C133" i="33"/>
  <c r="M130" i="33"/>
  <c r="M75" i="33" s="1"/>
  <c r="J130" i="33"/>
  <c r="L151" i="33"/>
  <c r="L166" i="33"/>
  <c r="L165" i="33" s="1"/>
  <c r="C178" i="33"/>
  <c r="I179" i="33"/>
  <c r="L179" i="33"/>
  <c r="F184" i="33"/>
  <c r="J204" i="33"/>
  <c r="O216" i="33"/>
  <c r="L246" i="33"/>
  <c r="C257" i="33"/>
  <c r="L264" i="33"/>
  <c r="L259" i="33" s="1"/>
  <c r="I272" i="33"/>
  <c r="I270" i="33" s="1"/>
  <c r="I269" i="33" s="1"/>
  <c r="C279" i="33"/>
  <c r="D269" i="33"/>
  <c r="L293" i="33"/>
  <c r="L291" i="33" s="1"/>
  <c r="C295" i="33"/>
  <c r="J26" i="34"/>
  <c r="D20" i="34"/>
  <c r="I55" i="34"/>
  <c r="E54" i="34"/>
  <c r="E53" i="34" s="1"/>
  <c r="C63" i="34"/>
  <c r="C70" i="34"/>
  <c r="L69" i="34"/>
  <c r="L67" i="34" s="1"/>
  <c r="C61" i="33"/>
  <c r="L69" i="33"/>
  <c r="L67" i="33" s="1"/>
  <c r="J83" i="33"/>
  <c r="J75" i="33" s="1"/>
  <c r="J52" i="33" s="1"/>
  <c r="C91" i="33"/>
  <c r="C109" i="33"/>
  <c r="L136" i="33"/>
  <c r="L144" i="33"/>
  <c r="C161" i="33"/>
  <c r="C168" i="33"/>
  <c r="H174" i="33"/>
  <c r="H173" i="33" s="1"/>
  <c r="M174" i="33"/>
  <c r="M173" i="33" s="1"/>
  <c r="C186" i="33"/>
  <c r="I187" i="33"/>
  <c r="C193" i="33"/>
  <c r="C198" i="33"/>
  <c r="C202" i="33"/>
  <c r="E195" i="33"/>
  <c r="O205" i="33"/>
  <c r="G204" i="33"/>
  <c r="G195" i="33" s="1"/>
  <c r="K204" i="33"/>
  <c r="K195" i="33" s="1"/>
  <c r="K194" i="33" s="1"/>
  <c r="M230" i="33"/>
  <c r="H231" i="33"/>
  <c r="N230" i="33"/>
  <c r="L252" i="33"/>
  <c r="L251" i="33" s="1"/>
  <c r="O272" i="33"/>
  <c r="O270" i="33" s="1"/>
  <c r="O269" i="33" s="1"/>
  <c r="C280" i="33"/>
  <c r="C296" i="33"/>
  <c r="C299" i="33"/>
  <c r="K26" i="34"/>
  <c r="C56" i="34"/>
  <c r="I58" i="34"/>
  <c r="C65" i="34"/>
  <c r="C66" i="34"/>
  <c r="C73" i="34"/>
  <c r="D67" i="34"/>
  <c r="C71" i="34"/>
  <c r="H76" i="34"/>
  <c r="I77" i="34"/>
  <c r="C85" i="34"/>
  <c r="C118" i="34"/>
  <c r="C139" i="34"/>
  <c r="C140" i="34"/>
  <c r="I144" i="34"/>
  <c r="C167" i="34"/>
  <c r="C172" i="34"/>
  <c r="C176" i="34"/>
  <c r="C202" i="34"/>
  <c r="C219" i="34"/>
  <c r="K231" i="34"/>
  <c r="C236" i="34"/>
  <c r="C237" i="34"/>
  <c r="C250" i="34"/>
  <c r="C265" i="34"/>
  <c r="O264" i="34"/>
  <c r="C275" i="34"/>
  <c r="L276" i="34"/>
  <c r="L270" i="34" s="1"/>
  <c r="L269" i="34" s="1"/>
  <c r="C282" i="34"/>
  <c r="I286" i="34"/>
  <c r="L291" i="35"/>
  <c r="L53" i="35"/>
  <c r="L67" i="35"/>
  <c r="H75" i="35"/>
  <c r="C93" i="35"/>
  <c r="C101" i="35"/>
  <c r="O112" i="35"/>
  <c r="C117" i="35"/>
  <c r="C120" i="35"/>
  <c r="C121" i="35"/>
  <c r="C123" i="35"/>
  <c r="O122" i="35"/>
  <c r="L128" i="35"/>
  <c r="O131" i="35"/>
  <c r="C137" i="35"/>
  <c r="C138" i="35"/>
  <c r="L144" i="35"/>
  <c r="G130" i="35"/>
  <c r="C169" i="35"/>
  <c r="C170" i="35"/>
  <c r="I187" i="35"/>
  <c r="H195" i="35"/>
  <c r="H194" i="35" s="1"/>
  <c r="C213" i="35"/>
  <c r="C224" i="35"/>
  <c r="G231" i="35"/>
  <c r="G230" i="35" s="1"/>
  <c r="C243" i="35"/>
  <c r="C245" i="35"/>
  <c r="O252" i="35"/>
  <c r="L264" i="35"/>
  <c r="C275" i="35"/>
  <c r="I286" i="35"/>
  <c r="N83" i="34"/>
  <c r="N75" i="34" s="1"/>
  <c r="N52" i="34" s="1"/>
  <c r="L103" i="34"/>
  <c r="C117" i="34"/>
  <c r="I136" i="34"/>
  <c r="C146" i="34"/>
  <c r="O179" i="34"/>
  <c r="L187" i="34"/>
  <c r="C190" i="34"/>
  <c r="N204" i="34"/>
  <c r="N195" i="34" s="1"/>
  <c r="O216" i="34"/>
  <c r="O276" i="34"/>
  <c r="C298" i="34"/>
  <c r="K26" i="35"/>
  <c r="C61" i="35"/>
  <c r="C65" i="35"/>
  <c r="J75" i="35"/>
  <c r="C79" i="35"/>
  <c r="C110" i="35"/>
  <c r="C134" i="35"/>
  <c r="O160" i="35"/>
  <c r="H187" i="35"/>
  <c r="D195" i="35"/>
  <c r="D194" i="35" s="1"/>
  <c r="J204" i="35"/>
  <c r="J195" i="35" s="1"/>
  <c r="N204" i="35"/>
  <c r="N195" i="35" s="1"/>
  <c r="O260" i="35"/>
  <c r="F77" i="34"/>
  <c r="J75" i="34"/>
  <c r="J52" i="34" s="1"/>
  <c r="C87" i="34"/>
  <c r="K83" i="34"/>
  <c r="C97" i="34"/>
  <c r="C102" i="34"/>
  <c r="O103" i="34"/>
  <c r="C119" i="34"/>
  <c r="C120" i="34"/>
  <c r="C126" i="34"/>
  <c r="C129" i="34"/>
  <c r="C138" i="34"/>
  <c r="K130" i="34"/>
  <c r="C143" i="34"/>
  <c r="C145" i="34"/>
  <c r="C150" i="34"/>
  <c r="C155" i="34"/>
  <c r="C156" i="34"/>
  <c r="C162" i="34"/>
  <c r="C164" i="34"/>
  <c r="C181" i="34"/>
  <c r="C215" i="34"/>
  <c r="J204" i="34"/>
  <c r="J195" i="34" s="1"/>
  <c r="C217" i="34"/>
  <c r="C222" i="34"/>
  <c r="K204" i="34"/>
  <c r="K195" i="34" s="1"/>
  <c r="G231" i="34"/>
  <c r="G230" i="34" s="1"/>
  <c r="C262" i="34"/>
  <c r="I264" i="34"/>
  <c r="I270" i="34"/>
  <c r="I269" i="34" s="1"/>
  <c r="I293" i="34"/>
  <c r="L31" i="35"/>
  <c r="C31" i="35" s="1"/>
  <c r="H53" i="35"/>
  <c r="H52" i="35" s="1"/>
  <c r="E53" i="35"/>
  <c r="E67" i="35"/>
  <c r="C72" i="35"/>
  <c r="C88" i="35"/>
  <c r="L89" i="35"/>
  <c r="C109" i="35"/>
  <c r="L116" i="35"/>
  <c r="C144" i="35"/>
  <c r="C149" i="35"/>
  <c r="C150" i="35"/>
  <c r="O151" i="35"/>
  <c r="C160" i="35"/>
  <c r="C161" i="35"/>
  <c r="C162" i="35"/>
  <c r="L166" i="35"/>
  <c r="L165" i="35" s="1"/>
  <c r="C172" i="35"/>
  <c r="O184" i="35"/>
  <c r="C184" i="35" s="1"/>
  <c r="N187" i="35"/>
  <c r="O188" i="35"/>
  <c r="O187" i="35" s="1"/>
  <c r="G194" i="35"/>
  <c r="C203" i="35"/>
  <c r="C219" i="35"/>
  <c r="C221" i="35"/>
  <c r="O264" i="35"/>
  <c r="C286" i="35"/>
  <c r="C295" i="35"/>
  <c r="I76" i="34"/>
  <c r="C86" i="34"/>
  <c r="G83" i="34"/>
  <c r="C90" i="34"/>
  <c r="C99" i="34"/>
  <c r="C100" i="34"/>
  <c r="I116" i="34"/>
  <c r="O122" i="34"/>
  <c r="I131" i="34"/>
  <c r="G130" i="34"/>
  <c r="I141" i="34"/>
  <c r="C177" i="34"/>
  <c r="I187" i="34"/>
  <c r="O196" i="34"/>
  <c r="G204" i="34"/>
  <c r="G195" i="34" s="1"/>
  <c r="J231" i="34"/>
  <c r="J230" i="34" s="1"/>
  <c r="C271" i="34"/>
  <c r="C295" i="34"/>
  <c r="L293" i="34"/>
  <c r="C293" i="34" s="1"/>
  <c r="C23" i="35"/>
  <c r="C63" i="35"/>
  <c r="C71" i="35"/>
  <c r="C74" i="35"/>
  <c r="D75" i="35"/>
  <c r="C82" i="35"/>
  <c r="C91" i="35"/>
  <c r="N83" i="35"/>
  <c r="O116" i="35"/>
  <c r="L131" i="35"/>
  <c r="K130" i="35"/>
  <c r="C186" i="35"/>
  <c r="J187" i="35"/>
  <c r="J52" i="35" s="1"/>
  <c r="C190" i="35"/>
  <c r="M204" i="35"/>
  <c r="C223" i="35"/>
  <c r="C225" i="35"/>
  <c r="C229" i="35"/>
  <c r="O231" i="35"/>
  <c r="K231" i="35"/>
  <c r="K230" i="35" s="1"/>
  <c r="K194" i="35" s="1"/>
  <c r="L252" i="35"/>
  <c r="L251" i="35" s="1"/>
  <c r="C267" i="35"/>
  <c r="O272" i="35"/>
  <c r="O270" i="35" s="1"/>
  <c r="O269" i="35" s="1"/>
  <c r="C280" i="35"/>
  <c r="C287" i="35"/>
  <c r="C288" i="35"/>
  <c r="I293" i="35"/>
  <c r="C299" i="35"/>
  <c r="C300" i="35"/>
  <c r="E13" i="36"/>
  <c r="E12" i="36" s="1"/>
  <c r="D62" i="36"/>
  <c r="F85" i="36"/>
  <c r="F79" i="36" s="1"/>
  <c r="I292" i="35"/>
  <c r="I20" i="35"/>
  <c r="F76" i="35"/>
  <c r="D289" i="35"/>
  <c r="K20" i="35"/>
  <c r="D52" i="35"/>
  <c r="D51" i="35" s="1"/>
  <c r="O54" i="35"/>
  <c r="O53" i="35" s="1"/>
  <c r="O292" i="35"/>
  <c r="F67" i="35"/>
  <c r="N75" i="35"/>
  <c r="C125" i="35"/>
  <c r="F122" i="35"/>
  <c r="C188" i="35"/>
  <c r="C200" i="35"/>
  <c r="I198" i="35"/>
  <c r="I196" i="35" s="1"/>
  <c r="C301" i="35"/>
  <c r="J20" i="35"/>
  <c r="N20" i="35"/>
  <c r="C56" i="35"/>
  <c r="C70" i="35"/>
  <c r="C78" i="35"/>
  <c r="O89" i="35"/>
  <c r="O95" i="35"/>
  <c r="C104" i="35"/>
  <c r="C106" i="35"/>
  <c r="F103" i="35"/>
  <c r="C124" i="35"/>
  <c r="I122" i="35"/>
  <c r="C127" i="35"/>
  <c r="L130" i="35"/>
  <c r="O136" i="35"/>
  <c r="C142" i="35"/>
  <c r="F141" i="35"/>
  <c r="C141" i="35" s="1"/>
  <c r="O165" i="35"/>
  <c r="K174" i="35"/>
  <c r="K173" i="35" s="1"/>
  <c r="C177" i="35"/>
  <c r="C178" i="35"/>
  <c r="F175" i="35"/>
  <c r="C185" i="35"/>
  <c r="M187" i="35"/>
  <c r="M52" i="35" s="1"/>
  <c r="C268" i="35"/>
  <c r="I264" i="35"/>
  <c r="H289" i="35"/>
  <c r="L27" i="35"/>
  <c r="L33" i="35"/>
  <c r="C33" i="35" s="1"/>
  <c r="L36" i="35"/>
  <c r="C36" i="35" s="1"/>
  <c r="F41" i="35"/>
  <c r="C41" i="35" s="1"/>
  <c r="O45" i="35"/>
  <c r="I55" i="35"/>
  <c r="I54" i="35" s="1"/>
  <c r="I53" i="35" s="1"/>
  <c r="F58" i="35"/>
  <c r="C58" i="35" s="1"/>
  <c r="I69" i="35"/>
  <c r="I67" i="35" s="1"/>
  <c r="I77" i="35"/>
  <c r="I76" i="35" s="1"/>
  <c r="O84" i="35"/>
  <c r="C98" i="35"/>
  <c r="F95" i="35"/>
  <c r="C105" i="35"/>
  <c r="I103" i="35"/>
  <c r="C108" i="35"/>
  <c r="I112" i="35"/>
  <c r="C112" i="35" s="1"/>
  <c r="C113" i="35"/>
  <c r="E116" i="35"/>
  <c r="E83" i="35" s="1"/>
  <c r="E75" i="35" s="1"/>
  <c r="F118" i="35"/>
  <c r="C119" i="35"/>
  <c r="C132" i="35"/>
  <c r="O130" i="35"/>
  <c r="C136" i="35"/>
  <c r="C152" i="35"/>
  <c r="C154" i="35"/>
  <c r="F151" i="35"/>
  <c r="G174" i="35"/>
  <c r="G173" i="35" s="1"/>
  <c r="I174" i="35"/>
  <c r="I173" i="35" s="1"/>
  <c r="C220" i="35"/>
  <c r="I216" i="35"/>
  <c r="C237" i="35"/>
  <c r="F235" i="35"/>
  <c r="C261" i="35"/>
  <c r="F260" i="35"/>
  <c r="C22" i="35"/>
  <c r="D20" i="35"/>
  <c r="H20" i="35"/>
  <c r="C21" i="35"/>
  <c r="G83" i="35"/>
  <c r="G75" i="35" s="1"/>
  <c r="K83" i="35"/>
  <c r="F84" i="35"/>
  <c r="C85" i="35"/>
  <c r="F89" i="35"/>
  <c r="I89" i="35"/>
  <c r="C90" i="35"/>
  <c r="C97" i="35"/>
  <c r="I95" i="35"/>
  <c r="L103" i="35"/>
  <c r="L83" i="35" s="1"/>
  <c r="L75" i="35" s="1"/>
  <c r="L52" i="35" s="1"/>
  <c r="C128" i="35"/>
  <c r="F135" i="35"/>
  <c r="C135" i="35" s="1"/>
  <c r="C145" i="35"/>
  <c r="I151" i="35"/>
  <c r="I130" i="35" s="1"/>
  <c r="C157" i="35"/>
  <c r="C168" i="35"/>
  <c r="N173" i="35"/>
  <c r="C181" i="35"/>
  <c r="C182" i="35"/>
  <c r="F179" i="35"/>
  <c r="C179" i="35" s="1"/>
  <c r="C189" i="35"/>
  <c r="C198" i="35"/>
  <c r="C208" i="35"/>
  <c r="I205" i="35"/>
  <c r="N230" i="35"/>
  <c r="C256" i="35"/>
  <c r="I252" i="35"/>
  <c r="I251" i="35" s="1"/>
  <c r="C277" i="35"/>
  <c r="F276" i="35"/>
  <c r="I166" i="35"/>
  <c r="I165" i="35" s="1"/>
  <c r="C176" i="35"/>
  <c r="C180" i="35"/>
  <c r="N194" i="35"/>
  <c r="C197" i="35"/>
  <c r="F196" i="35"/>
  <c r="C215" i="35"/>
  <c r="I227" i="35"/>
  <c r="C227" i="35" s="1"/>
  <c r="C228" i="35"/>
  <c r="L231" i="35"/>
  <c r="I235" i="35"/>
  <c r="C236" i="35"/>
  <c r="C247" i="35"/>
  <c r="C249" i="35"/>
  <c r="F246" i="35"/>
  <c r="C263" i="35"/>
  <c r="E270" i="35"/>
  <c r="E269" i="35" s="1"/>
  <c r="C279" i="35"/>
  <c r="C281" i="35"/>
  <c r="C285" i="35"/>
  <c r="F284" i="35"/>
  <c r="I291" i="35"/>
  <c r="F166" i="35"/>
  <c r="O196" i="35"/>
  <c r="O205" i="35"/>
  <c r="C217" i="35"/>
  <c r="F216" i="35"/>
  <c r="O216" i="35"/>
  <c r="J230" i="35"/>
  <c r="C232" i="35"/>
  <c r="C239" i="35"/>
  <c r="C241" i="35"/>
  <c r="F238" i="35"/>
  <c r="C248" i="35"/>
  <c r="I246" i="35"/>
  <c r="E230" i="35"/>
  <c r="C253" i="35"/>
  <c r="F252" i="35"/>
  <c r="O251" i="35"/>
  <c r="M259" i="35"/>
  <c r="M230" i="35" s="1"/>
  <c r="L260" i="35"/>
  <c r="L259" i="35" s="1"/>
  <c r="C265" i="35"/>
  <c r="F264" i="35"/>
  <c r="C264" i="35" s="1"/>
  <c r="C273" i="35"/>
  <c r="F272" i="35"/>
  <c r="L276" i="35"/>
  <c r="L270" i="35" s="1"/>
  <c r="L269" i="35" s="1"/>
  <c r="O293" i="35"/>
  <c r="C193" i="35"/>
  <c r="F192" i="35"/>
  <c r="E195" i="35"/>
  <c r="M195" i="35"/>
  <c r="L204" i="35"/>
  <c r="L195" i="35" s="1"/>
  <c r="C209" i="35"/>
  <c r="F205" i="35"/>
  <c r="C233" i="35"/>
  <c r="C240" i="35"/>
  <c r="I238" i="35"/>
  <c r="I259" i="35"/>
  <c r="C296" i="35"/>
  <c r="C297" i="35"/>
  <c r="F293" i="35"/>
  <c r="C199" i="35"/>
  <c r="C77" i="34"/>
  <c r="I292" i="34"/>
  <c r="I291" i="34" s="1"/>
  <c r="I20" i="34"/>
  <c r="J20" i="34"/>
  <c r="I54" i="34"/>
  <c r="K20" i="34"/>
  <c r="M52" i="34"/>
  <c r="C72" i="34"/>
  <c r="F69" i="34"/>
  <c r="C91" i="34"/>
  <c r="I89" i="34"/>
  <c r="F259" i="34"/>
  <c r="C301" i="34"/>
  <c r="L292" i="34"/>
  <c r="C28" i="34"/>
  <c r="L27" i="34"/>
  <c r="C34" i="34"/>
  <c r="L33" i="34"/>
  <c r="C33" i="34" s="1"/>
  <c r="C46" i="34"/>
  <c r="O45" i="34"/>
  <c r="O58" i="34"/>
  <c r="C103" i="34"/>
  <c r="C113" i="34"/>
  <c r="L131" i="34"/>
  <c r="C134" i="34"/>
  <c r="C136" i="34"/>
  <c r="L184" i="34"/>
  <c r="C184" i="34" s="1"/>
  <c r="C185" i="34"/>
  <c r="C192" i="34"/>
  <c r="E20" i="34"/>
  <c r="C37" i="34"/>
  <c r="L36" i="34"/>
  <c r="C36" i="34" s="1"/>
  <c r="C42" i="34"/>
  <c r="F41" i="34"/>
  <c r="C41" i="34" s="1"/>
  <c r="F43" i="34"/>
  <c r="C43" i="34" s="1"/>
  <c r="D54" i="34"/>
  <c r="D53" i="34" s="1"/>
  <c r="G53" i="34"/>
  <c r="L55" i="34"/>
  <c r="L54" i="34" s="1"/>
  <c r="L53" i="34" s="1"/>
  <c r="L58" i="34"/>
  <c r="F58" i="34"/>
  <c r="O69" i="34"/>
  <c r="O67" i="34" s="1"/>
  <c r="H83" i="34"/>
  <c r="L84" i="34"/>
  <c r="L89" i="34"/>
  <c r="C106" i="34"/>
  <c r="L112" i="34"/>
  <c r="C128" i="34"/>
  <c r="E130" i="34"/>
  <c r="E75" i="34" s="1"/>
  <c r="E52" i="34" s="1"/>
  <c r="C132" i="34"/>
  <c r="F131" i="34"/>
  <c r="H130" i="34"/>
  <c r="L141" i="34"/>
  <c r="C142" i="34"/>
  <c r="L144" i="34"/>
  <c r="C144" i="34" s="1"/>
  <c r="C147" i="34"/>
  <c r="C159" i="34"/>
  <c r="C169" i="34"/>
  <c r="I166" i="34"/>
  <c r="I165" i="34" s="1"/>
  <c r="K194" i="34"/>
  <c r="F76" i="34"/>
  <c r="C152" i="34"/>
  <c r="F151" i="34"/>
  <c r="L173" i="34"/>
  <c r="M20" i="34"/>
  <c r="M292" i="34"/>
  <c r="M291" i="34" s="1"/>
  <c r="O54" i="34"/>
  <c r="C74" i="34"/>
  <c r="C160" i="34"/>
  <c r="F165" i="34"/>
  <c r="C191" i="34"/>
  <c r="C218" i="34"/>
  <c r="K230" i="34"/>
  <c r="N20" i="34"/>
  <c r="F21" i="34"/>
  <c r="C22" i="34"/>
  <c r="C57" i="34"/>
  <c r="C61" i="34"/>
  <c r="C62" i="34"/>
  <c r="K75" i="34"/>
  <c r="C81" i="34"/>
  <c r="O80" i="34"/>
  <c r="O76" i="34" s="1"/>
  <c r="D83" i="34"/>
  <c r="I84" i="34"/>
  <c r="C88" i="34"/>
  <c r="C92" i="34"/>
  <c r="F89" i="34"/>
  <c r="F95" i="34"/>
  <c r="C96" i="34"/>
  <c r="O95" i="34"/>
  <c r="O83" i="34" s="1"/>
  <c r="L95" i="34"/>
  <c r="C107" i="34"/>
  <c r="C108" i="34"/>
  <c r="I112" i="34"/>
  <c r="C112" i="34" s="1"/>
  <c r="C115" i="34"/>
  <c r="O116" i="34"/>
  <c r="C116" i="34" s="1"/>
  <c r="F122" i="34"/>
  <c r="I122" i="34"/>
  <c r="C127" i="34"/>
  <c r="C135" i="34"/>
  <c r="D130" i="34"/>
  <c r="O151" i="34"/>
  <c r="O130" i="34" s="1"/>
  <c r="L151" i="34"/>
  <c r="C154" i="34"/>
  <c r="C168" i="34"/>
  <c r="L166" i="34"/>
  <c r="L165" i="34" s="1"/>
  <c r="O174" i="34"/>
  <c r="O173" i="34" s="1"/>
  <c r="E195" i="34"/>
  <c r="C200" i="34"/>
  <c r="I198" i="34"/>
  <c r="C198" i="34" s="1"/>
  <c r="C241" i="34"/>
  <c r="F238" i="34"/>
  <c r="C247" i="34"/>
  <c r="L246" i="34"/>
  <c r="L231" i="34" s="1"/>
  <c r="C199" i="34"/>
  <c r="L198" i="34"/>
  <c r="L196" i="34" s="1"/>
  <c r="C227" i="34"/>
  <c r="C178" i="34"/>
  <c r="C186" i="34"/>
  <c r="C207" i="34"/>
  <c r="L205" i="34"/>
  <c r="C254" i="34"/>
  <c r="F252" i="34"/>
  <c r="L264" i="34"/>
  <c r="C264" i="34" s="1"/>
  <c r="C267" i="34"/>
  <c r="C208" i="34"/>
  <c r="I205" i="34"/>
  <c r="I204" i="34" s="1"/>
  <c r="C235" i="34"/>
  <c r="C284" i="34"/>
  <c r="F283" i="34"/>
  <c r="C283" i="34" s="1"/>
  <c r="C170" i="34"/>
  <c r="G174" i="34"/>
  <c r="G173" i="34" s="1"/>
  <c r="K174" i="34"/>
  <c r="K173" i="34" s="1"/>
  <c r="I179" i="34"/>
  <c r="I174" i="34" s="1"/>
  <c r="I173" i="34" s="1"/>
  <c r="F179" i="34"/>
  <c r="F188" i="34"/>
  <c r="O205" i="34"/>
  <c r="O204" i="34" s="1"/>
  <c r="O195" i="34" s="1"/>
  <c r="N230" i="34"/>
  <c r="O238" i="34"/>
  <c r="O231" i="34" s="1"/>
  <c r="C248" i="34"/>
  <c r="I246" i="34"/>
  <c r="E259" i="34"/>
  <c r="E230" i="34" s="1"/>
  <c r="I259" i="34"/>
  <c r="O260" i="34"/>
  <c r="O259" i="34" s="1"/>
  <c r="L260" i="34"/>
  <c r="C263" i="34"/>
  <c r="C273" i="34"/>
  <c r="F272" i="34"/>
  <c r="F276" i="34"/>
  <c r="C276" i="34" s="1"/>
  <c r="C279" i="34"/>
  <c r="C281" i="34"/>
  <c r="C286" i="34"/>
  <c r="C197" i="34"/>
  <c r="F205" i="34"/>
  <c r="C212" i="34"/>
  <c r="C224" i="34"/>
  <c r="H231" i="34"/>
  <c r="H230" i="34" s="1"/>
  <c r="H194" i="34" s="1"/>
  <c r="C233" i="34"/>
  <c r="C240" i="34"/>
  <c r="I238" i="34"/>
  <c r="C256" i="34"/>
  <c r="E270" i="34"/>
  <c r="E269" i="34" s="1"/>
  <c r="C280" i="34"/>
  <c r="C296" i="34"/>
  <c r="C297" i="34"/>
  <c r="L291" i="34"/>
  <c r="C201" i="34"/>
  <c r="C209" i="34"/>
  <c r="L216" i="34"/>
  <c r="C216" i="34" s="1"/>
  <c r="C221" i="34"/>
  <c r="C232" i="34"/>
  <c r="D231" i="34"/>
  <c r="D230" i="34" s="1"/>
  <c r="M230" i="34"/>
  <c r="M289" i="34" s="1"/>
  <c r="C244" i="34"/>
  <c r="C245" i="34"/>
  <c r="C249" i="34"/>
  <c r="F246" i="34"/>
  <c r="C253" i="34"/>
  <c r="O252" i="34"/>
  <c r="O251" i="34" s="1"/>
  <c r="C268" i="34"/>
  <c r="J270" i="34"/>
  <c r="J269" i="34" s="1"/>
  <c r="J289" i="34" s="1"/>
  <c r="O272" i="34"/>
  <c r="O270" i="34" s="1"/>
  <c r="O269" i="34" s="1"/>
  <c r="C285" i="34"/>
  <c r="C180" i="33"/>
  <c r="F179" i="33"/>
  <c r="F43" i="33"/>
  <c r="C43" i="33" s="1"/>
  <c r="C46" i="33"/>
  <c r="O45" i="33"/>
  <c r="O20" i="33" s="1"/>
  <c r="H53" i="33"/>
  <c r="H52" i="33" s="1"/>
  <c r="C60" i="33"/>
  <c r="C62" i="33"/>
  <c r="F58" i="33"/>
  <c r="F76" i="33"/>
  <c r="G83" i="33"/>
  <c r="G75" i="33" s="1"/>
  <c r="C86" i="33"/>
  <c r="I84" i="33"/>
  <c r="C84" i="33" s="1"/>
  <c r="O89" i="33"/>
  <c r="O83" i="33" s="1"/>
  <c r="C34" i="33"/>
  <c r="L33" i="33"/>
  <c r="C33" i="33" s="1"/>
  <c r="C37" i="33"/>
  <c r="L36" i="33"/>
  <c r="C36" i="33" s="1"/>
  <c r="C57" i="33"/>
  <c r="I55" i="33"/>
  <c r="C82" i="33"/>
  <c r="I80" i="33"/>
  <c r="C80" i="33" s="1"/>
  <c r="I128" i="33"/>
  <c r="C129" i="33"/>
  <c r="M20" i="33"/>
  <c r="M292" i="33"/>
  <c r="M291" i="33" s="1"/>
  <c r="C42" i="33"/>
  <c r="F41" i="33"/>
  <c r="C41" i="33" s="1"/>
  <c r="O54" i="33"/>
  <c r="I58" i="33"/>
  <c r="C64" i="33"/>
  <c r="C66" i="33"/>
  <c r="F69" i="33"/>
  <c r="I69" i="33"/>
  <c r="I67" i="33" s="1"/>
  <c r="C70" i="33"/>
  <c r="C73" i="33"/>
  <c r="L76" i="33"/>
  <c r="I77" i="33"/>
  <c r="C78" i="33"/>
  <c r="C105" i="33"/>
  <c r="I103" i="33"/>
  <c r="I112" i="33"/>
  <c r="C113" i="33"/>
  <c r="C134" i="33"/>
  <c r="F131" i="33"/>
  <c r="E292" i="33"/>
  <c r="E291" i="33" s="1"/>
  <c r="E20" i="33"/>
  <c r="C22" i="33"/>
  <c r="F21" i="33"/>
  <c r="O292" i="33"/>
  <c r="D67" i="33"/>
  <c r="D53" i="33" s="1"/>
  <c r="D52" i="33" s="1"/>
  <c r="F68" i="33"/>
  <c r="C96" i="33"/>
  <c r="F95" i="33"/>
  <c r="C99" i="33"/>
  <c r="I20" i="33"/>
  <c r="C28" i="33"/>
  <c r="L27" i="33"/>
  <c r="O67" i="33"/>
  <c r="I89" i="33"/>
  <c r="C89" i="33" s="1"/>
  <c r="C90" i="33"/>
  <c r="C206" i="33"/>
  <c r="F205" i="33"/>
  <c r="I264" i="33"/>
  <c r="C265" i="33"/>
  <c r="C301" i="33"/>
  <c r="G20" i="33"/>
  <c r="K20" i="33"/>
  <c r="C56" i="33"/>
  <c r="C81" i="33"/>
  <c r="C85" i="33"/>
  <c r="I95" i="33"/>
  <c r="C100" i="33"/>
  <c r="L103" i="33"/>
  <c r="L83" i="33" s="1"/>
  <c r="E116" i="33"/>
  <c r="E83" i="33" s="1"/>
  <c r="E75" i="33" s="1"/>
  <c r="E52" i="33" s="1"/>
  <c r="E51" i="33" s="1"/>
  <c r="F118" i="33"/>
  <c r="C119" i="33"/>
  <c r="I130" i="33"/>
  <c r="O136" i="33"/>
  <c r="O151" i="33"/>
  <c r="C158" i="33"/>
  <c r="C159" i="33"/>
  <c r="C160" i="33"/>
  <c r="C167" i="33"/>
  <c r="I174" i="33"/>
  <c r="I173" i="33" s="1"/>
  <c r="O175" i="33"/>
  <c r="L174" i="33"/>
  <c r="L173" i="33" s="1"/>
  <c r="C182" i="33"/>
  <c r="C183" i="33"/>
  <c r="C184" i="33"/>
  <c r="F187" i="33"/>
  <c r="K187" i="33"/>
  <c r="K52" i="33" s="1"/>
  <c r="O187" i="33"/>
  <c r="C192" i="33"/>
  <c r="H230" i="33"/>
  <c r="H194" i="33" s="1"/>
  <c r="C241" i="33"/>
  <c r="I238" i="33"/>
  <c r="I116" i="33"/>
  <c r="C117" i="33"/>
  <c r="C128" i="33"/>
  <c r="C137" i="33"/>
  <c r="F136" i="33"/>
  <c r="C143" i="33"/>
  <c r="O144" i="33"/>
  <c r="O130" i="33" s="1"/>
  <c r="F165" i="33"/>
  <c r="C165" i="33" s="1"/>
  <c r="C166" i="33"/>
  <c r="C170" i="33"/>
  <c r="C171" i="33"/>
  <c r="E174" i="33"/>
  <c r="E173" i="33" s="1"/>
  <c r="C176" i="33"/>
  <c r="F175" i="33"/>
  <c r="G187" i="33"/>
  <c r="C190" i="33"/>
  <c r="C106" i="33"/>
  <c r="F103" i="33"/>
  <c r="C112" i="33"/>
  <c r="F127" i="33"/>
  <c r="C127" i="33" s="1"/>
  <c r="C140" i="33"/>
  <c r="C141" i="33"/>
  <c r="C145" i="33"/>
  <c r="F144" i="33"/>
  <c r="F151" i="33"/>
  <c r="O179" i="33"/>
  <c r="C188" i="33"/>
  <c r="C191" i="33"/>
  <c r="C218" i="33"/>
  <c r="F216" i="33"/>
  <c r="N195" i="33"/>
  <c r="N194" i="33" s="1"/>
  <c r="O196" i="33"/>
  <c r="C200" i="33"/>
  <c r="C208" i="33"/>
  <c r="C209" i="33"/>
  <c r="I216" i="33"/>
  <c r="I204" i="33" s="1"/>
  <c r="C217" i="33"/>
  <c r="C220" i="33"/>
  <c r="L231" i="33"/>
  <c r="C236" i="33"/>
  <c r="D231" i="33"/>
  <c r="J259" i="33"/>
  <c r="J230" i="33" s="1"/>
  <c r="E270" i="33"/>
  <c r="E269" i="33" s="1"/>
  <c r="E194" i="33" s="1"/>
  <c r="C273" i="33"/>
  <c r="F272" i="33"/>
  <c r="C272" i="33" s="1"/>
  <c r="C288" i="33"/>
  <c r="I286" i="33"/>
  <c r="I292" i="33" s="1"/>
  <c r="I291" i="33" s="1"/>
  <c r="C300" i="33"/>
  <c r="J195" i="33"/>
  <c r="M194" i="33"/>
  <c r="C212" i="33"/>
  <c r="C224" i="33"/>
  <c r="C228" i="33"/>
  <c r="G230" i="33"/>
  <c r="C234" i="33"/>
  <c r="F233" i="33"/>
  <c r="C237" i="33"/>
  <c r="I235" i="33"/>
  <c r="C235" i="33" s="1"/>
  <c r="O238" i="33"/>
  <c r="O231" i="33" s="1"/>
  <c r="O230" i="33" s="1"/>
  <c r="C248" i="33"/>
  <c r="C250" i="33"/>
  <c r="F246" i="33"/>
  <c r="C246" i="33" s="1"/>
  <c r="F252" i="33"/>
  <c r="I252" i="33"/>
  <c r="I251" i="33" s="1"/>
  <c r="C253" i="33"/>
  <c r="C256" i="33"/>
  <c r="L270" i="33"/>
  <c r="L269" i="33" s="1"/>
  <c r="C275" i="33"/>
  <c r="C281" i="33"/>
  <c r="C285" i="33"/>
  <c r="F284" i="33"/>
  <c r="O293" i="33"/>
  <c r="I196" i="33"/>
  <c r="C196" i="33" s="1"/>
  <c r="C197" i="33"/>
  <c r="L205" i="33"/>
  <c r="L216" i="33"/>
  <c r="C242" i="33"/>
  <c r="F238" i="33"/>
  <c r="I260" i="33"/>
  <c r="I259" i="33" s="1"/>
  <c r="C261" i="33"/>
  <c r="D264" i="33"/>
  <c r="D259" i="33" s="1"/>
  <c r="F266" i="33"/>
  <c r="C277" i="33"/>
  <c r="F276" i="33"/>
  <c r="C276" i="33" s="1"/>
  <c r="C297" i="33"/>
  <c r="F293" i="33"/>
  <c r="O291" i="33"/>
  <c r="C271" i="33"/>
  <c r="C287" i="33"/>
  <c r="C58" i="33" l="1"/>
  <c r="I231" i="34"/>
  <c r="I230" i="34" s="1"/>
  <c r="M289" i="35"/>
  <c r="F20" i="35"/>
  <c r="C151" i="33"/>
  <c r="C80" i="34"/>
  <c r="C151" i="35"/>
  <c r="G75" i="34"/>
  <c r="J289" i="35"/>
  <c r="G52" i="33"/>
  <c r="O75" i="33"/>
  <c r="N289" i="35"/>
  <c r="O259" i="35"/>
  <c r="O230" i="35" s="1"/>
  <c r="N75" i="33"/>
  <c r="N52" i="33" s="1"/>
  <c r="L130" i="33"/>
  <c r="M289" i="33"/>
  <c r="M52" i="33"/>
  <c r="J289" i="33"/>
  <c r="M51" i="33"/>
  <c r="M290" i="33" s="1"/>
  <c r="C238" i="33"/>
  <c r="C216" i="33"/>
  <c r="E289" i="33"/>
  <c r="O230" i="34"/>
  <c r="C95" i="34"/>
  <c r="I83" i="34"/>
  <c r="K52" i="34"/>
  <c r="K51" i="34" s="1"/>
  <c r="K50" i="34" s="1"/>
  <c r="L130" i="34"/>
  <c r="I53" i="34"/>
  <c r="J194" i="35"/>
  <c r="J51" i="35" s="1"/>
  <c r="N52" i="35"/>
  <c r="N51" i="35" s="1"/>
  <c r="O173" i="35"/>
  <c r="L53" i="33"/>
  <c r="G289" i="33"/>
  <c r="G194" i="34"/>
  <c r="N194" i="34"/>
  <c r="N51" i="34" s="1"/>
  <c r="N50" i="34" s="1"/>
  <c r="J194" i="33"/>
  <c r="J51" i="33" s="1"/>
  <c r="L230" i="33"/>
  <c r="L75" i="33"/>
  <c r="C246" i="34"/>
  <c r="C151" i="34"/>
  <c r="C141" i="34"/>
  <c r="G52" i="34"/>
  <c r="G51" i="34" s="1"/>
  <c r="C293" i="35"/>
  <c r="E194" i="35"/>
  <c r="K75" i="35"/>
  <c r="K52" i="35" s="1"/>
  <c r="K51" i="35" s="1"/>
  <c r="C103" i="35"/>
  <c r="F291" i="35"/>
  <c r="C67" i="35"/>
  <c r="O291" i="35"/>
  <c r="H51" i="35"/>
  <c r="N51" i="33"/>
  <c r="N290" i="33" s="1"/>
  <c r="L204" i="33"/>
  <c r="L195" i="33" s="1"/>
  <c r="F122" i="33"/>
  <c r="C122" i="33" s="1"/>
  <c r="C136" i="33"/>
  <c r="K51" i="33"/>
  <c r="K290" i="33" s="1"/>
  <c r="C69" i="33"/>
  <c r="O53" i="33"/>
  <c r="I196" i="34"/>
  <c r="I195" i="34" s="1"/>
  <c r="D75" i="34"/>
  <c r="D289" i="34" s="1"/>
  <c r="C122" i="34"/>
  <c r="C166" i="34"/>
  <c r="H75" i="34"/>
  <c r="C55" i="34"/>
  <c r="I231" i="35"/>
  <c r="I230" i="35" s="1"/>
  <c r="C122" i="35"/>
  <c r="C69" i="35"/>
  <c r="I130" i="34"/>
  <c r="O204" i="33"/>
  <c r="O195" i="33" s="1"/>
  <c r="O194" i="33" s="1"/>
  <c r="J50" i="35"/>
  <c r="J290" i="35"/>
  <c r="G52" i="35"/>
  <c r="G51" i="35" s="1"/>
  <c r="G289" i="35"/>
  <c r="E52" i="35"/>
  <c r="E51" i="35" s="1"/>
  <c r="E289" i="35"/>
  <c r="C276" i="35"/>
  <c r="C27" i="35"/>
  <c r="L26" i="35"/>
  <c r="F270" i="35"/>
  <c r="C272" i="35"/>
  <c r="C252" i="35"/>
  <c r="F251" i="35"/>
  <c r="C251" i="35" s="1"/>
  <c r="C216" i="35"/>
  <c r="C166" i="35"/>
  <c r="F165" i="35"/>
  <c r="C165" i="35" s="1"/>
  <c r="L230" i="35"/>
  <c r="L289" i="35" s="1"/>
  <c r="C196" i="35"/>
  <c r="I83" i="35"/>
  <c r="I75" i="35" s="1"/>
  <c r="I52" i="35" s="1"/>
  <c r="C95" i="35"/>
  <c r="C292" i="35"/>
  <c r="C55" i="35"/>
  <c r="C192" i="35"/>
  <c r="F191" i="35"/>
  <c r="C246" i="35"/>
  <c r="C84" i="35"/>
  <c r="C45" i="35"/>
  <c r="C76" i="35"/>
  <c r="C205" i="35"/>
  <c r="F204" i="35"/>
  <c r="M194" i="35"/>
  <c r="M51" i="35" s="1"/>
  <c r="C238" i="35"/>
  <c r="C284" i="35"/>
  <c r="F283" i="35"/>
  <c r="C283" i="35" s="1"/>
  <c r="C89" i="35"/>
  <c r="C235" i="35"/>
  <c r="F231" i="35"/>
  <c r="C118" i="35"/>
  <c r="F116" i="35"/>
  <c r="C116" i="35" s="1"/>
  <c r="F174" i="35"/>
  <c r="C175" i="35"/>
  <c r="F54" i="35"/>
  <c r="C260" i="35"/>
  <c r="F259" i="35"/>
  <c r="C259" i="35" s="1"/>
  <c r="D290" i="35"/>
  <c r="D50" i="35"/>
  <c r="O204" i="35"/>
  <c r="O195" i="35" s="1"/>
  <c r="I204" i="35"/>
  <c r="I195" i="35" s="1"/>
  <c r="F131" i="35"/>
  <c r="O83" i="35"/>
  <c r="O75" i="35" s="1"/>
  <c r="O52" i="35" s="1"/>
  <c r="O20" i="35"/>
  <c r="C77" i="35"/>
  <c r="N290" i="34"/>
  <c r="O194" i="34"/>
  <c r="O75" i="34"/>
  <c r="H52" i="34"/>
  <c r="H51" i="34" s="1"/>
  <c r="H289" i="34"/>
  <c r="F174" i="34"/>
  <c r="C179" i="34"/>
  <c r="I194" i="34"/>
  <c r="E194" i="34"/>
  <c r="E51" i="34" s="1"/>
  <c r="G50" i="34"/>
  <c r="G290" i="34"/>
  <c r="C45" i="34"/>
  <c r="O20" i="34"/>
  <c r="C27" i="34"/>
  <c r="L26" i="34"/>
  <c r="G289" i="34"/>
  <c r="D194" i="34"/>
  <c r="E289" i="34"/>
  <c r="C205" i="34"/>
  <c r="F204" i="34"/>
  <c r="F270" i="34"/>
  <c r="C272" i="34"/>
  <c r="L259" i="34"/>
  <c r="L230" i="34" s="1"/>
  <c r="C196" i="34"/>
  <c r="C252" i="34"/>
  <c r="F251" i="34"/>
  <c r="C251" i="34" s="1"/>
  <c r="C131" i="34"/>
  <c r="F130" i="34"/>
  <c r="C130" i="34" s="1"/>
  <c r="C58" i="34"/>
  <c r="F54" i="34"/>
  <c r="N289" i="34"/>
  <c r="K289" i="34"/>
  <c r="M194" i="34"/>
  <c r="M51" i="34" s="1"/>
  <c r="C89" i="34"/>
  <c r="F83" i="34"/>
  <c r="L83" i="34"/>
  <c r="L75" i="34" s="1"/>
  <c r="L52" i="34" s="1"/>
  <c r="J194" i="34"/>
  <c r="J51" i="34" s="1"/>
  <c r="C259" i="34"/>
  <c r="L204" i="34"/>
  <c r="L195" i="34" s="1"/>
  <c r="O53" i="34"/>
  <c r="C84" i="34"/>
  <c r="F187" i="34"/>
  <c r="C187" i="34" s="1"/>
  <c r="C188" i="34"/>
  <c r="F231" i="34"/>
  <c r="C238" i="34"/>
  <c r="F292" i="34"/>
  <c r="C21" i="34"/>
  <c r="F20" i="34"/>
  <c r="C165" i="34"/>
  <c r="C76" i="34"/>
  <c r="C260" i="34"/>
  <c r="C69" i="34"/>
  <c r="F67" i="34"/>
  <c r="C67" i="34" s="1"/>
  <c r="M50" i="33"/>
  <c r="J50" i="33"/>
  <c r="J290" i="33"/>
  <c r="N50" i="33"/>
  <c r="K50" i="33"/>
  <c r="E290" i="33"/>
  <c r="E50" i="33"/>
  <c r="C284" i="33"/>
  <c r="F283" i="33"/>
  <c r="C283" i="33" s="1"/>
  <c r="C45" i="33"/>
  <c r="C293" i="33"/>
  <c r="I231" i="33"/>
  <c r="I230" i="33" s="1"/>
  <c r="C260" i="33"/>
  <c r="F231" i="33"/>
  <c r="C233" i="33"/>
  <c r="D230" i="33"/>
  <c r="C144" i="33"/>
  <c r="C103" i="33"/>
  <c r="C286" i="33"/>
  <c r="G194" i="33"/>
  <c r="G51" i="33" s="1"/>
  <c r="C187" i="33"/>
  <c r="C68" i="33"/>
  <c r="F67" i="33"/>
  <c r="C67" i="33" s="1"/>
  <c r="C118" i="33"/>
  <c r="F116" i="33"/>
  <c r="C116" i="33" s="1"/>
  <c r="C205" i="33"/>
  <c r="F204" i="33"/>
  <c r="N289" i="33"/>
  <c r="I195" i="33"/>
  <c r="F251" i="33"/>
  <c r="C251" i="33" s="1"/>
  <c r="C252" i="33"/>
  <c r="H289" i="33"/>
  <c r="O174" i="33"/>
  <c r="O173" i="33" s="1"/>
  <c r="F54" i="33"/>
  <c r="C27" i="33"/>
  <c r="L26" i="33"/>
  <c r="F292" i="33"/>
  <c r="C21" i="33"/>
  <c r="F20" i="33"/>
  <c r="F130" i="33"/>
  <c r="C130" i="33" s="1"/>
  <c r="C131" i="33"/>
  <c r="I76" i="33"/>
  <c r="I54" i="33"/>
  <c r="I53" i="33" s="1"/>
  <c r="C77" i="33"/>
  <c r="C55" i="33"/>
  <c r="C266" i="33"/>
  <c r="F264" i="33"/>
  <c r="F270" i="33"/>
  <c r="C175" i="33"/>
  <c r="F174" i="33"/>
  <c r="K289" i="33"/>
  <c r="C95" i="33"/>
  <c r="I83" i="33"/>
  <c r="C76" i="33"/>
  <c r="H51" i="33"/>
  <c r="C179" i="33"/>
  <c r="O289" i="33" l="1"/>
  <c r="F83" i="33"/>
  <c r="C83" i="33" s="1"/>
  <c r="L289" i="33"/>
  <c r="O289" i="34"/>
  <c r="F83" i="35"/>
  <c r="N50" i="35"/>
  <c r="N290" i="35"/>
  <c r="L194" i="33"/>
  <c r="O52" i="34"/>
  <c r="O51" i="34" s="1"/>
  <c r="O50" i="34" s="1"/>
  <c r="D52" i="34"/>
  <c r="D51" i="34" s="1"/>
  <c r="D290" i="34" s="1"/>
  <c r="K289" i="35"/>
  <c r="I75" i="34"/>
  <c r="I289" i="34" s="1"/>
  <c r="L194" i="34"/>
  <c r="C291" i="35"/>
  <c r="K290" i="34"/>
  <c r="H290" i="35"/>
  <c r="H50" i="35"/>
  <c r="L52" i="33"/>
  <c r="I194" i="35"/>
  <c r="I51" i="35" s="1"/>
  <c r="I289" i="35"/>
  <c r="O194" i="35"/>
  <c r="O51" i="35" s="1"/>
  <c r="O289" i="35"/>
  <c r="M50" i="35"/>
  <c r="M290" i="35"/>
  <c r="C174" i="35"/>
  <c r="F173" i="35"/>
  <c r="C173" i="35" s="1"/>
  <c r="C131" i="35"/>
  <c r="F130" i="35"/>
  <c r="C54" i="35"/>
  <c r="F53" i="35"/>
  <c r="K50" i="35"/>
  <c r="K290" i="35"/>
  <c r="E290" i="35"/>
  <c r="E50" i="35"/>
  <c r="C204" i="35"/>
  <c r="F195" i="35"/>
  <c r="F230" i="35"/>
  <c r="C230" i="35" s="1"/>
  <c r="C231" i="35"/>
  <c r="F269" i="35"/>
  <c r="C270" i="35"/>
  <c r="G50" i="35"/>
  <c r="G290" i="35"/>
  <c r="L194" i="35"/>
  <c r="L51" i="35" s="1"/>
  <c r="L50" i="35" s="1"/>
  <c r="C83" i="35"/>
  <c r="C191" i="35"/>
  <c r="F187" i="35"/>
  <c r="C187" i="35" s="1"/>
  <c r="L290" i="35"/>
  <c r="C26" i="35"/>
  <c r="L20" i="35"/>
  <c r="C20" i="35" s="1"/>
  <c r="E290" i="34"/>
  <c r="E50" i="34"/>
  <c r="M50" i="34"/>
  <c r="M290" i="34"/>
  <c r="D50" i="34"/>
  <c r="F269" i="34"/>
  <c r="C270" i="34"/>
  <c r="L289" i="34"/>
  <c r="L51" i="34"/>
  <c r="L50" i="34" s="1"/>
  <c r="F230" i="34"/>
  <c r="C230" i="34" s="1"/>
  <c r="C231" i="34"/>
  <c r="C204" i="34"/>
  <c r="F195" i="34"/>
  <c r="H290" i="34"/>
  <c r="H50" i="34"/>
  <c r="F75" i="34"/>
  <c r="C83" i="34"/>
  <c r="O290" i="34"/>
  <c r="C174" i="34"/>
  <c r="F173" i="34"/>
  <c r="C173" i="34" s="1"/>
  <c r="C292" i="34"/>
  <c r="F291" i="34"/>
  <c r="C291" i="34" s="1"/>
  <c r="J50" i="34"/>
  <c r="J290" i="34"/>
  <c r="C54" i="34"/>
  <c r="F53" i="34"/>
  <c r="C26" i="34"/>
  <c r="L20" i="34"/>
  <c r="C20" i="34" s="1"/>
  <c r="G50" i="33"/>
  <c r="G290" i="33"/>
  <c r="O52" i="33"/>
  <c r="O51" i="33" s="1"/>
  <c r="C26" i="33"/>
  <c r="L20" i="33"/>
  <c r="I194" i="33"/>
  <c r="F75" i="33"/>
  <c r="F173" i="33"/>
  <c r="C173" i="33" s="1"/>
  <c r="C174" i="33"/>
  <c r="C264" i="33"/>
  <c r="F259" i="33"/>
  <c r="C259" i="33" s="1"/>
  <c r="C20" i="33"/>
  <c r="C231" i="33"/>
  <c r="H290" i="33"/>
  <c r="H50" i="33"/>
  <c r="C292" i="33"/>
  <c r="F291" i="33"/>
  <c r="C291" i="33" s="1"/>
  <c r="C204" i="33"/>
  <c r="F195" i="33"/>
  <c r="D194" i="33"/>
  <c r="D51" i="33" s="1"/>
  <c r="D289" i="33"/>
  <c r="I75" i="33"/>
  <c r="I52" i="33" s="1"/>
  <c r="I51" i="33" s="1"/>
  <c r="C54" i="33"/>
  <c r="F53" i="33"/>
  <c r="F269" i="33"/>
  <c r="C270" i="33"/>
  <c r="L51" i="33" l="1"/>
  <c r="L50" i="33" s="1"/>
  <c r="L290" i="33"/>
  <c r="C75" i="34"/>
  <c r="I52" i="34"/>
  <c r="I51" i="34" s="1"/>
  <c r="O50" i="35"/>
  <c r="O290" i="35"/>
  <c r="C130" i="35"/>
  <c r="F75" i="35"/>
  <c r="C75" i="35" s="1"/>
  <c r="I290" i="35"/>
  <c r="I50" i="35"/>
  <c r="C269" i="35"/>
  <c r="F289" i="35"/>
  <c r="C289" i="35" s="1"/>
  <c r="F194" i="35"/>
  <c r="C194" i="35" s="1"/>
  <c r="C195" i="35"/>
  <c r="C53" i="35"/>
  <c r="F194" i="34"/>
  <c r="C194" i="34" s="1"/>
  <c r="C195" i="34"/>
  <c r="L290" i="34"/>
  <c r="C269" i="34"/>
  <c r="F289" i="34"/>
  <c r="C289" i="34" s="1"/>
  <c r="C53" i="34"/>
  <c r="F52" i="34"/>
  <c r="I290" i="33"/>
  <c r="I50" i="33"/>
  <c r="C53" i="33"/>
  <c r="F52" i="33"/>
  <c r="D290" i="33"/>
  <c r="D50" i="33"/>
  <c r="F230" i="33"/>
  <c r="C230" i="33" s="1"/>
  <c r="O50" i="33"/>
  <c r="O290" i="33"/>
  <c r="C195" i="33"/>
  <c r="F194" i="33"/>
  <c r="C194" i="33" s="1"/>
  <c r="I289" i="33"/>
  <c r="C269" i="33"/>
  <c r="C75" i="33"/>
  <c r="F289" i="33" l="1"/>
  <c r="C289" i="33" s="1"/>
  <c r="I50" i="34"/>
  <c r="I290" i="34"/>
  <c r="F52" i="35"/>
  <c r="F51" i="34"/>
  <c r="C52" i="34"/>
  <c r="F51" i="33"/>
  <c r="C52" i="33"/>
  <c r="F51" i="35" l="1"/>
  <c r="C52" i="35"/>
  <c r="F290" i="34"/>
  <c r="C290" i="34" s="1"/>
  <c r="F50" i="34"/>
  <c r="C50" i="34" s="1"/>
  <c r="C51" i="34"/>
  <c r="F290" i="33"/>
  <c r="C290" i="33" s="1"/>
  <c r="F50" i="33"/>
  <c r="C50" i="33" s="1"/>
  <c r="C51" i="33"/>
  <c r="F290" i="35" l="1"/>
  <c r="C290" i="35" s="1"/>
  <c r="F50" i="35"/>
  <c r="C50" i="35" s="1"/>
  <c r="C51" i="35"/>
  <c r="O301" i="32" l="1"/>
  <c r="L301" i="32"/>
  <c r="I301" i="32"/>
  <c r="F301" i="32"/>
  <c r="O300" i="32"/>
  <c r="L300" i="32"/>
  <c r="I300" i="32"/>
  <c r="F300" i="32"/>
  <c r="O299" i="32"/>
  <c r="L299" i="32"/>
  <c r="I299" i="32"/>
  <c r="F299" i="32"/>
  <c r="O298" i="32"/>
  <c r="L298" i="32"/>
  <c r="I298" i="32"/>
  <c r="F298" i="32"/>
  <c r="O297" i="32"/>
  <c r="L297" i="32"/>
  <c r="I297" i="32"/>
  <c r="F297" i="32"/>
  <c r="O296" i="32"/>
  <c r="L296" i="32"/>
  <c r="I296" i="32"/>
  <c r="F296" i="32"/>
  <c r="O295" i="32"/>
  <c r="L295" i="32"/>
  <c r="I295" i="32"/>
  <c r="F295" i="32"/>
  <c r="O294" i="32"/>
  <c r="L294" i="32"/>
  <c r="I294" i="32"/>
  <c r="F294" i="32"/>
  <c r="N293" i="32"/>
  <c r="M293" i="32"/>
  <c r="K293" i="32"/>
  <c r="J293" i="32"/>
  <c r="H293" i="32"/>
  <c r="G293" i="32"/>
  <c r="E293" i="32"/>
  <c r="D293" i="32"/>
  <c r="O288" i="32"/>
  <c r="L288" i="32"/>
  <c r="I288" i="32"/>
  <c r="F288" i="32"/>
  <c r="O287" i="32"/>
  <c r="O286" i="32" s="1"/>
  <c r="L287" i="32"/>
  <c r="I287" i="32"/>
  <c r="F287" i="32"/>
  <c r="N286" i="32"/>
  <c r="M286" i="32"/>
  <c r="K286" i="32"/>
  <c r="J286" i="32"/>
  <c r="H286" i="32"/>
  <c r="G286" i="32"/>
  <c r="F286" i="32"/>
  <c r="E286" i="32"/>
  <c r="D286" i="32"/>
  <c r="O285" i="32"/>
  <c r="O284" i="32" s="1"/>
  <c r="O283" i="32" s="1"/>
  <c r="L285" i="32"/>
  <c r="L284" i="32" s="1"/>
  <c r="L283" i="32" s="1"/>
  <c r="I285" i="32"/>
  <c r="F285" i="32"/>
  <c r="F284" i="32" s="1"/>
  <c r="N284" i="32"/>
  <c r="N283" i="32" s="1"/>
  <c r="M284" i="32"/>
  <c r="M283" i="32" s="1"/>
  <c r="K284" i="32"/>
  <c r="K283" i="32" s="1"/>
  <c r="J284" i="32"/>
  <c r="J283" i="32" s="1"/>
  <c r="H284" i="32"/>
  <c r="H283" i="32" s="1"/>
  <c r="G284" i="32"/>
  <c r="E284" i="32"/>
  <c r="D284" i="32"/>
  <c r="D283" i="32" s="1"/>
  <c r="G283" i="32"/>
  <c r="E283" i="32"/>
  <c r="O282" i="32"/>
  <c r="O281" i="32" s="1"/>
  <c r="L282" i="32"/>
  <c r="L281" i="32" s="1"/>
  <c r="I282" i="32"/>
  <c r="I281" i="32" s="1"/>
  <c r="F282" i="32"/>
  <c r="N281" i="32"/>
  <c r="M281" i="32"/>
  <c r="K281" i="32"/>
  <c r="J281" i="32"/>
  <c r="H281" i="32"/>
  <c r="G281" i="32"/>
  <c r="E281" i="32"/>
  <c r="D281" i="32"/>
  <c r="O280" i="32"/>
  <c r="L280" i="32"/>
  <c r="I280" i="32"/>
  <c r="F280" i="32"/>
  <c r="O279" i="32"/>
  <c r="L279" i="32"/>
  <c r="I279" i="32"/>
  <c r="F279" i="32"/>
  <c r="O278" i="32"/>
  <c r="L278" i="32"/>
  <c r="I278" i="32"/>
  <c r="F278" i="32"/>
  <c r="O277" i="32"/>
  <c r="O276" i="32" s="1"/>
  <c r="L277" i="32"/>
  <c r="I277" i="32"/>
  <c r="F277" i="32"/>
  <c r="N276" i="32"/>
  <c r="M276" i="32"/>
  <c r="K276" i="32"/>
  <c r="K270" i="32" s="1"/>
  <c r="K269" i="32" s="1"/>
  <c r="J276" i="32"/>
  <c r="H276" i="32"/>
  <c r="G276" i="32"/>
  <c r="F276" i="32"/>
  <c r="E276" i="32"/>
  <c r="D276" i="32"/>
  <c r="O275" i="32"/>
  <c r="L275" i="32"/>
  <c r="I275" i="32"/>
  <c r="F275" i="32"/>
  <c r="O274" i="32"/>
  <c r="L274" i="32"/>
  <c r="I274" i="32"/>
  <c r="F274" i="32"/>
  <c r="O273" i="32"/>
  <c r="O272" i="32" s="1"/>
  <c r="L273" i="32"/>
  <c r="C273" i="32" s="1"/>
  <c r="I273" i="32"/>
  <c r="I272" i="32" s="1"/>
  <c r="F273" i="32"/>
  <c r="N272" i="32"/>
  <c r="N270" i="32" s="1"/>
  <c r="N269" i="32" s="1"/>
  <c r="M272" i="32"/>
  <c r="M270" i="32" s="1"/>
  <c r="M269" i="32" s="1"/>
  <c r="K272" i="32"/>
  <c r="J272" i="32"/>
  <c r="H272" i="32"/>
  <c r="H270" i="32" s="1"/>
  <c r="H269" i="32" s="1"/>
  <c r="G272" i="32"/>
  <c r="F272" i="32"/>
  <c r="E272" i="32"/>
  <c r="E270" i="32" s="1"/>
  <c r="D272" i="32"/>
  <c r="O271" i="32"/>
  <c r="L271" i="32"/>
  <c r="I271" i="32"/>
  <c r="F271" i="32"/>
  <c r="D270" i="32"/>
  <c r="D269" i="32" s="1"/>
  <c r="O268" i="32"/>
  <c r="L268" i="32"/>
  <c r="I268" i="32"/>
  <c r="F268" i="32"/>
  <c r="O267" i="32"/>
  <c r="L267" i="32"/>
  <c r="I267" i="32"/>
  <c r="F267" i="32"/>
  <c r="C267" i="32" s="1"/>
  <c r="O266" i="32"/>
  <c r="L266" i="32"/>
  <c r="I266" i="32"/>
  <c r="F266" i="32"/>
  <c r="O265" i="32"/>
  <c r="L265" i="32"/>
  <c r="I265" i="32"/>
  <c r="F265" i="32"/>
  <c r="N264" i="32"/>
  <c r="M264" i="32"/>
  <c r="L264" i="32"/>
  <c r="K264" i="32"/>
  <c r="J264" i="32"/>
  <c r="H264" i="32"/>
  <c r="G264" i="32"/>
  <c r="E264" i="32"/>
  <c r="D264" i="32"/>
  <c r="O263" i="32"/>
  <c r="L263" i="32"/>
  <c r="I263" i="32"/>
  <c r="F263" i="32"/>
  <c r="O262" i="32"/>
  <c r="L262" i="32"/>
  <c r="I262" i="32"/>
  <c r="F262" i="32"/>
  <c r="O261" i="32"/>
  <c r="L261" i="32"/>
  <c r="L260" i="32" s="1"/>
  <c r="I261" i="32"/>
  <c r="F261" i="32"/>
  <c r="N260" i="32"/>
  <c r="N259" i="32" s="1"/>
  <c r="M260" i="32"/>
  <c r="M259" i="32" s="1"/>
  <c r="K260" i="32"/>
  <c r="J260" i="32"/>
  <c r="J259" i="32" s="1"/>
  <c r="H260" i="32"/>
  <c r="G260" i="32"/>
  <c r="G259" i="32" s="1"/>
  <c r="E260" i="32"/>
  <c r="D260" i="32"/>
  <c r="D259" i="32" s="1"/>
  <c r="O258" i="32"/>
  <c r="L258" i="32"/>
  <c r="I258" i="32"/>
  <c r="F258" i="32"/>
  <c r="O257" i="32"/>
  <c r="L257" i="32"/>
  <c r="I257" i="32"/>
  <c r="F257" i="32"/>
  <c r="O256" i="32"/>
  <c r="L256" i="32"/>
  <c r="I256" i="32"/>
  <c r="F256" i="32"/>
  <c r="O255" i="32"/>
  <c r="L255" i="32"/>
  <c r="I255" i="32"/>
  <c r="F255" i="32"/>
  <c r="O254" i="32"/>
  <c r="L254" i="32"/>
  <c r="I254" i="32"/>
  <c r="F254" i="32"/>
  <c r="O253" i="32"/>
  <c r="L253" i="32"/>
  <c r="L252" i="32" s="1"/>
  <c r="I253" i="32"/>
  <c r="F253" i="32"/>
  <c r="N252" i="32"/>
  <c r="N251" i="32" s="1"/>
  <c r="M252" i="32"/>
  <c r="K252" i="32"/>
  <c r="J252" i="32"/>
  <c r="J251" i="32" s="1"/>
  <c r="H252" i="32"/>
  <c r="H251" i="32" s="1"/>
  <c r="G252" i="32"/>
  <c r="G251" i="32" s="1"/>
  <c r="E252" i="32"/>
  <c r="D252" i="32"/>
  <c r="D251" i="32" s="1"/>
  <c r="M251" i="32"/>
  <c r="K251" i="32"/>
  <c r="E251" i="32"/>
  <c r="O250" i="32"/>
  <c r="L250" i="32"/>
  <c r="I250" i="32"/>
  <c r="F250" i="32"/>
  <c r="O249" i="32"/>
  <c r="L249" i="32"/>
  <c r="I249" i="32"/>
  <c r="F249" i="32"/>
  <c r="O248" i="32"/>
  <c r="L248" i="32"/>
  <c r="I248" i="32"/>
  <c r="F248" i="32"/>
  <c r="O247" i="32"/>
  <c r="L247" i="32"/>
  <c r="I247" i="32"/>
  <c r="I246" i="32" s="1"/>
  <c r="F247" i="32"/>
  <c r="N246" i="32"/>
  <c r="M246" i="32"/>
  <c r="K246" i="32"/>
  <c r="J246" i="32"/>
  <c r="H246" i="32"/>
  <c r="G246" i="32"/>
  <c r="E246" i="32"/>
  <c r="D246" i="32"/>
  <c r="O245" i="32"/>
  <c r="L245" i="32"/>
  <c r="I245" i="32"/>
  <c r="F245" i="32"/>
  <c r="O244" i="32"/>
  <c r="L244" i="32"/>
  <c r="I244" i="32"/>
  <c r="F244" i="32"/>
  <c r="O243" i="32"/>
  <c r="L243" i="32"/>
  <c r="I243" i="32"/>
  <c r="F243" i="32"/>
  <c r="O242" i="32"/>
  <c r="L242" i="32"/>
  <c r="I242" i="32"/>
  <c r="F242" i="32"/>
  <c r="O241" i="32"/>
  <c r="L241" i="32"/>
  <c r="I241" i="32"/>
  <c r="F241" i="32"/>
  <c r="O240" i="32"/>
  <c r="L240" i="32"/>
  <c r="I240" i="32"/>
  <c r="F240" i="32"/>
  <c r="O239" i="32"/>
  <c r="L239" i="32"/>
  <c r="I239" i="32"/>
  <c r="F239" i="32"/>
  <c r="N238" i="32"/>
  <c r="M238" i="32"/>
  <c r="K238" i="32"/>
  <c r="J238" i="32"/>
  <c r="H238" i="32"/>
  <c r="G238" i="32"/>
  <c r="E238" i="32"/>
  <c r="D238" i="32"/>
  <c r="O237" i="32"/>
  <c r="L237" i="32"/>
  <c r="I237" i="32"/>
  <c r="F237" i="32"/>
  <c r="O236" i="32"/>
  <c r="L236" i="32"/>
  <c r="L235" i="32" s="1"/>
  <c r="I236" i="32"/>
  <c r="F236" i="32"/>
  <c r="O235" i="32"/>
  <c r="N235" i="32"/>
  <c r="M235" i="32"/>
  <c r="K235" i="32"/>
  <c r="J235" i="32"/>
  <c r="H235" i="32"/>
  <c r="G235" i="32"/>
  <c r="E235" i="32"/>
  <c r="D235" i="32"/>
  <c r="O234" i="32"/>
  <c r="L234" i="32"/>
  <c r="L233" i="32" s="1"/>
  <c r="I234" i="32"/>
  <c r="I233" i="32" s="1"/>
  <c r="F234" i="32"/>
  <c r="O233" i="32"/>
  <c r="N233" i="32"/>
  <c r="M233" i="32"/>
  <c r="K233" i="32"/>
  <c r="K231" i="32" s="1"/>
  <c r="J233" i="32"/>
  <c r="H233" i="32"/>
  <c r="G233" i="32"/>
  <c r="E233" i="32"/>
  <c r="D233" i="32"/>
  <c r="O232" i="32"/>
  <c r="L232" i="32"/>
  <c r="I232" i="32"/>
  <c r="F232" i="32"/>
  <c r="O229" i="32"/>
  <c r="L229" i="32"/>
  <c r="I229" i="32"/>
  <c r="F229" i="32"/>
  <c r="O228" i="32"/>
  <c r="L228" i="32"/>
  <c r="L227" i="32" s="1"/>
  <c r="I228" i="32"/>
  <c r="F228" i="32"/>
  <c r="O227" i="32"/>
  <c r="N227" i="32"/>
  <c r="M227" i="32"/>
  <c r="K227" i="32"/>
  <c r="J227" i="32"/>
  <c r="I227" i="32"/>
  <c r="H227" i="32"/>
  <c r="G227" i="32"/>
  <c r="E227" i="32"/>
  <c r="D227" i="32"/>
  <c r="O226" i="32"/>
  <c r="L226" i="32"/>
  <c r="I226" i="32"/>
  <c r="F226" i="32"/>
  <c r="O225" i="32"/>
  <c r="L225" i="32"/>
  <c r="I225" i="32"/>
  <c r="F225" i="32"/>
  <c r="O224" i="32"/>
  <c r="L224" i="32"/>
  <c r="I224" i="32"/>
  <c r="F224" i="32"/>
  <c r="O223" i="32"/>
  <c r="L223" i="32"/>
  <c r="I223" i="32"/>
  <c r="F223" i="32"/>
  <c r="O222" i="32"/>
  <c r="L222" i="32"/>
  <c r="I222" i="32"/>
  <c r="F222" i="32"/>
  <c r="O221" i="32"/>
  <c r="L221" i="32"/>
  <c r="I221" i="32"/>
  <c r="F221" i="32"/>
  <c r="O220" i="32"/>
  <c r="L220" i="32"/>
  <c r="I220" i="32"/>
  <c r="F220" i="32"/>
  <c r="O219" i="32"/>
  <c r="L219" i="32"/>
  <c r="I219" i="32"/>
  <c r="F219" i="32"/>
  <c r="O218" i="32"/>
  <c r="L218" i="32"/>
  <c r="I218" i="32"/>
  <c r="F218" i="32"/>
  <c r="O217" i="32"/>
  <c r="L217" i="32"/>
  <c r="I217" i="32"/>
  <c r="F217" i="32"/>
  <c r="N216" i="32"/>
  <c r="M216" i="32"/>
  <c r="K216" i="32"/>
  <c r="J216" i="32"/>
  <c r="H216" i="32"/>
  <c r="G216" i="32"/>
  <c r="E216" i="32"/>
  <c r="D216" i="32"/>
  <c r="O215" i="32"/>
  <c r="L215" i="32"/>
  <c r="I215" i="32"/>
  <c r="F215" i="32"/>
  <c r="O214" i="32"/>
  <c r="L214" i="32"/>
  <c r="I214" i="32"/>
  <c r="F214" i="32"/>
  <c r="O213" i="32"/>
  <c r="L213" i="32"/>
  <c r="I213" i="32"/>
  <c r="F213" i="32"/>
  <c r="O212" i="32"/>
  <c r="L212" i="32"/>
  <c r="I212" i="32"/>
  <c r="F212" i="32"/>
  <c r="O211" i="32"/>
  <c r="L211" i="32"/>
  <c r="I211" i="32"/>
  <c r="F211" i="32"/>
  <c r="O210" i="32"/>
  <c r="L210" i="32"/>
  <c r="I210" i="32"/>
  <c r="F210" i="32"/>
  <c r="O209" i="32"/>
  <c r="L209" i="32"/>
  <c r="I209" i="32"/>
  <c r="F209" i="32"/>
  <c r="O208" i="32"/>
  <c r="L208" i="32"/>
  <c r="I208" i="32"/>
  <c r="F208" i="32"/>
  <c r="O207" i="32"/>
  <c r="L207" i="32"/>
  <c r="I207" i="32"/>
  <c r="F207" i="32"/>
  <c r="O206" i="32"/>
  <c r="L206" i="32"/>
  <c r="I206" i="32"/>
  <c r="F206" i="32"/>
  <c r="N205" i="32"/>
  <c r="M205" i="32"/>
  <c r="M204" i="32" s="1"/>
  <c r="K205" i="32"/>
  <c r="K204" i="32" s="1"/>
  <c r="J205" i="32"/>
  <c r="H205" i="32"/>
  <c r="G205" i="32"/>
  <c r="G204" i="32" s="1"/>
  <c r="E205" i="32"/>
  <c r="D205" i="32"/>
  <c r="J204" i="32"/>
  <c r="O203" i="32"/>
  <c r="L203" i="32"/>
  <c r="I203" i="32"/>
  <c r="F203" i="32"/>
  <c r="O202" i="32"/>
  <c r="L202" i="32"/>
  <c r="I202" i="32"/>
  <c r="F202" i="32"/>
  <c r="O201" i="32"/>
  <c r="L201" i="32"/>
  <c r="I201" i="32"/>
  <c r="F201" i="32"/>
  <c r="O200" i="32"/>
  <c r="L200" i="32"/>
  <c r="I200" i="32"/>
  <c r="F200" i="32"/>
  <c r="O199" i="32"/>
  <c r="O198" i="32" s="1"/>
  <c r="L199" i="32"/>
  <c r="L198" i="32" s="1"/>
  <c r="I199" i="32"/>
  <c r="I198" i="32" s="1"/>
  <c r="F199" i="32"/>
  <c r="N198" i="32"/>
  <c r="N196" i="32" s="1"/>
  <c r="M198" i="32"/>
  <c r="K198" i="32"/>
  <c r="J198" i="32"/>
  <c r="J196" i="32" s="1"/>
  <c r="J195" i="32" s="1"/>
  <c r="H198" i="32"/>
  <c r="H196" i="32" s="1"/>
  <c r="G198" i="32"/>
  <c r="G196" i="32" s="1"/>
  <c r="E198" i="32"/>
  <c r="D198" i="32"/>
  <c r="D196" i="32" s="1"/>
  <c r="O197" i="32"/>
  <c r="O196" i="32" s="1"/>
  <c r="L197" i="32"/>
  <c r="I197" i="32"/>
  <c r="F197" i="32"/>
  <c r="M196" i="32"/>
  <c r="K196" i="32"/>
  <c r="K195" i="32" s="1"/>
  <c r="E196" i="32"/>
  <c r="M195" i="32"/>
  <c r="O193" i="32"/>
  <c r="L193" i="32"/>
  <c r="I193" i="32"/>
  <c r="I192" i="32" s="1"/>
  <c r="I191" i="32" s="1"/>
  <c r="F193" i="32"/>
  <c r="F192" i="32" s="1"/>
  <c r="F191" i="32" s="1"/>
  <c r="O192" i="32"/>
  <c r="O191" i="32" s="1"/>
  <c r="N192" i="32"/>
  <c r="N191" i="32" s="1"/>
  <c r="M192" i="32"/>
  <c r="M191" i="32" s="1"/>
  <c r="K192" i="32"/>
  <c r="K191" i="32" s="1"/>
  <c r="J192" i="32"/>
  <c r="J191" i="32" s="1"/>
  <c r="H192" i="32"/>
  <c r="H191" i="32" s="1"/>
  <c r="G192" i="32"/>
  <c r="G191" i="32" s="1"/>
  <c r="E192" i="32"/>
  <c r="E191" i="32" s="1"/>
  <c r="D192" i="32"/>
  <c r="D191" i="32" s="1"/>
  <c r="O190" i="32"/>
  <c r="L190" i="32"/>
  <c r="I190" i="32"/>
  <c r="F190" i="32"/>
  <c r="O189" i="32"/>
  <c r="O188" i="32" s="1"/>
  <c r="O187" i="32" s="1"/>
  <c r="L189" i="32"/>
  <c r="L188" i="32" s="1"/>
  <c r="I189" i="32"/>
  <c r="F189" i="32"/>
  <c r="N188" i="32"/>
  <c r="N187" i="32" s="1"/>
  <c r="M188" i="32"/>
  <c r="K188" i="32"/>
  <c r="J188" i="32"/>
  <c r="H188" i="32"/>
  <c r="H187" i="32" s="1"/>
  <c r="G188" i="32"/>
  <c r="G187" i="32" s="1"/>
  <c r="E188" i="32"/>
  <c r="D188" i="32"/>
  <c r="O186" i="32"/>
  <c r="L186" i="32"/>
  <c r="I186" i="32"/>
  <c r="F186" i="32"/>
  <c r="O185" i="32"/>
  <c r="O184" i="32" s="1"/>
  <c r="L185" i="32"/>
  <c r="L184" i="32" s="1"/>
  <c r="I185" i="32"/>
  <c r="F185" i="32"/>
  <c r="F184" i="32" s="1"/>
  <c r="N184" i="32"/>
  <c r="M184" i="32"/>
  <c r="K184" i="32"/>
  <c r="J184" i="32"/>
  <c r="H184" i="32"/>
  <c r="G184" i="32"/>
  <c r="E184" i="32"/>
  <c r="D184" i="32"/>
  <c r="O183" i="32"/>
  <c r="L183" i="32"/>
  <c r="I183" i="32"/>
  <c r="F183" i="32"/>
  <c r="O182" i="32"/>
  <c r="L182" i="32"/>
  <c r="I182" i="32"/>
  <c r="F182" i="32"/>
  <c r="O181" i="32"/>
  <c r="L181" i="32"/>
  <c r="I181" i="32"/>
  <c r="F181" i="32"/>
  <c r="O180" i="32"/>
  <c r="O179" i="32" s="1"/>
  <c r="L180" i="32"/>
  <c r="I180" i="32"/>
  <c r="F180" i="32"/>
  <c r="N179" i="32"/>
  <c r="M179" i="32"/>
  <c r="K179" i="32"/>
  <c r="J179" i="32"/>
  <c r="H179" i="32"/>
  <c r="G179" i="32"/>
  <c r="E179" i="32"/>
  <c r="D179" i="32"/>
  <c r="O178" i="32"/>
  <c r="L178" i="32"/>
  <c r="I178" i="32"/>
  <c r="F178" i="32"/>
  <c r="O177" i="32"/>
  <c r="L177" i="32"/>
  <c r="I177" i="32"/>
  <c r="F177" i="32"/>
  <c r="O176" i="32"/>
  <c r="O175" i="32" s="1"/>
  <c r="O174" i="32" s="1"/>
  <c r="O173" i="32" s="1"/>
  <c r="L176" i="32"/>
  <c r="I176" i="32"/>
  <c r="F176" i="32"/>
  <c r="F175" i="32" s="1"/>
  <c r="N175" i="32"/>
  <c r="M175" i="32"/>
  <c r="K175" i="32"/>
  <c r="J175" i="32"/>
  <c r="J174" i="32" s="1"/>
  <c r="J173" i="32" s="1"/>
  <c r="H175" i="32"/>
  <c r="H174" i="32" s="1"/>
  <c r="G175" i="32"/>
  <c r="G174" i="32" s="1"/>
  <c r="E175" i="32"/>
  <c r="D175" i="32"/>
  <c r="D174" i="32" s="1"/>
  <c r="N174" i="32"/>
  <c r="N173" i="32" s="1"/>
  <c r="M174" i="32"/>
  <c r="M173" i="32" s="1"/>
  <c r="O172" i="32"/>
  <c r="L172" i="32"/>
  <c r="I172" i="32"/>
  <c r="F172" i="32"/>
  <c r="O171" i="32"/>
  <c r="L171" i="32"/>
  <c r="I171" i="32"/>
  <c r="F171" i="32"/>
  <c r="O170" i="32"/>
  <c r="L170" i="32"/>
  <c r="I170" i="32"/>
  <c r="F170" i="32"/>
  <c r="O169" i="32"/>
  <c r="L169" i="32"/>
  <c r="I169" i="32"/>
  <c r="F169" i="32"/>
  <c r="O168" i="32"/>
  <c r="L168" i="32"/>
  <c r="I168" i="32"/>
  <c r="F168" i="32"/>
  <c r="O167" i="32"/>
  <c r="L167" i="32"/>
  <c r="I167" i="32"/>
  <c r="F167" i="32"/>
  <c r="N166" i="32"/>
  <c r="N165" i="32" s="1"/>
  <c r="M166" i="32"/>
  <c r="M165" i="32" s="1"/>
  <c r="K166" i="32"/>
  <c r="J166" i="32"/>
  <c r="J165" i="32" s="1"/>
  <c r="H166" i="32"/>
  <c r="H165" i="32" s="1"/>
  <c r="G166" i="32"/>
  <c r="G165" i="32" s="1"/>
  <c r="F166" i="32"/>
  <c r="E166" i="32"/>
  <c r="E165" i="32" s="1"/>
  <c r="D166" i="32"/>
  <c r="D165" i="32" s="1"/>
  <c r="K165" i="32"/>
  <c r="F165" i="32"/>
  <c r="O164" i="32"/>
  <c r="L164" i="32"/>
  <c r="I164" i="32"/>
  <c r="F164" i="32"/>
  <c r="O163" i="32"/>
  <c r="L163" i="32"/>
  <c r="I163" i="32"/>
  <c r="F163" i="32"/>
  <c r="O162" i="32"/>
  <c r="L162" i="32"/>
  <c r="I162" i="32"/>
  <c r="F162" i="32"/>
  <c r="O161" i="32"/>
  <c r="O160" i="32" s="1"/>
  <c r="L161" i="32"/>
  <c r="L160" i="32" s="1"/>
  <c r="I161" i="32"/>
  <c r="F161" i="32"/>
  <c r="F160" i="32" s="1"/>
  <c r="N160" i="32"/>
  <c r="M160" i="32"/>
  <c r="K160" i="32"/>
  <c r="J160" i="32"/>
  <c r="H160" i="32"/>
  <c r="G160" i="32"/>
  <c r="E160" i="32"/>
  <c r="D160" i="32"/>
  <c r="O159" i="32"/>
  <c r="L159" i="32"/>
  <c r="I159" i="32"/>
  <c r="F159" i="32"/>
  <c r="O158" i="32"/>
  <c r="L158" i="32"/>
  <c r="I158" i="32"/>
  <c r="F158" i="32"/>
  <c r="O157" i="32"/>
  <c r="L157" i="32"/>
  <c r="I157" i="32"/>
  <c r="F157" i="32"/>
  <c r="O156" i="32"/>
  <c r="L156" i="32"/>
  <c r="I156" i="32"/>
  <c r="F156" i="32"/>
  <c r="O155" i="32"/>
  <c r="L155" i="32"/>
  <c r="I155" i="32"/>
  <c r="F155" i="32"/>
  <c r="O154" i="32"/>
  <c r="L154" i="32"/>
  <c r="I154" i="32"/>
  <c r="F154" i="32"/>
  <c r="O153" i="32"/>
  <c r="L153" i="32"/>
  <c r="I153" i="32"/>
  <c r="F153" i="32"/>
  <c r="O152" i="32"/>
  <c r="O151" i="32" s="1"/>
  <c r="L152" i="32"/>
  <c r="I152" i="32"/>
  <c r="F152" i="32"/>
  <c r="F151" i="32" s="1"/>
  <c r="N151" i="32"/>
  <c r="M151" i="32"/>
  <c r="K151" i="32"/>
  <c r="J151" i="32"/>
  <c r="H151" i="32"/>
  <c r="G151" i="32"/>
  <c r="E151" i="32"/>
  <c r="D151" i="32"/>
  <c r="O150" i="32"/>
  <c r="L150" i="32"/>
  <c r="I150" i="32"/>
  <c r="F150" i="32"/>
  <c r="O149" i="32"/>
  <c r="L149" i="32"/>
  <c r="I149" i="32"/>
  <c r="F149" i="32"/>
  <c r="O148" i="32"/>
  <c r="L148" i="32"/>
  <c r="I148" i="32"/>
  <c r="F148" i="32"/>
  <c r="O147" i="32"/>
  <c r="L147" i="32"/>
  <c r="I147" i="32"/>
  <c r="F147" i="32"/>
  <c r="O146" i="32"/>
  <c r="L146" i="32"/>
  <c r="I146" i="32"/>
  <c r="F146" i="32"/>
  <c r="O145" i="32"/>
  <c r="L145" i="32"/>
  <c r="I145" i="32"/>
  <c r="F145" i="32"/>
  <c r="N144" i="32"/>
  <c r="M144" i="32"/>
  <c r="K144" i="32"/>
  <c r="J144" i="32"/>
  <c r="H144" i="32"/>
  <c r="G144" i="32"/>
  <c r="E144" i="32"/>
  <c r="D144" i="32"/>
  <c r="O143" i="32"/>
  <c r="L143" i="32"/>
  <c r="I143" i="32"/>
  <c r="F143" i="32"/>
  <c r="O142" i="32"/>
  <c r="L142" i="32"/>
  <c r="L141" i="32" s="1"/>
  <c r="I142" i="32"/>
  <c r="I141" i="32" s="1"/>
  <c r="F142" i="32"/>
  <c r="O141" i="32"/>
  <c r="N141" i="32"/>
  <c r="M141" i="32"/>
  <c r="K141" i="32"/>
  <c r="J141" i="32"/>
  <c r="H141" i="32"/>
  <c r="G141" i="32"/>
  <c r="F141" i="32"/>
  <c r="E141" i="32"/>
  <c r="D141" i="32"/>
  <c r="O140" i="32"/>
  <c r="L140" i="32"/>
  <c r="I140" i="32"/>
  <c r="F140" i="32"/>
  <c r="O139" i="32"/>
  <c r="L139" i="32"/>
  <c r="I139" i="32"/>
  <c r="F139" i="32"/>
  <c r="O138" i="32"/>
  <c r="L138" i="32"/>
  <c r="I138" i="32"/>
  <c r="F138" i="32"/>
  <c r="O137" i="32"/>
  <c r="O136" i="32" s="1"/>
  <c r="L137" i="32"/>
  <c r="I137" i="32"/>
  <c r="I136" i="32" s="1"/>
  <c r="F137" i="32"/>
  <c r="N136" i="32"/>
  <c r="M136" i="32"/>
  <c r="K136" i="32"/>
  <c r="J136" i="32"/>
  <c r="H136" i="32"/>
  <c r="G136" i="32"/>
  <c r="E136" i="32"/>
  <c r="D136" i="32"/>
  <c r="O135" i="32"/>
  <c r="L135" i="32"/>
  <c r="I135" i="32"/>
  <c r="F135" i="32"/>
  <c r="O134" i="32"/>
  <c r="L134" i="32"/>
  <c r="I134" i="32"/>
  <c r="F134" i="32"/>
  <c r="O133" i="32"/>
  <c r="L133" i="32"/>
  <c r="I133" i="32"/>
  <c r="F133" i="32"/>
  <c r="O132" i="32"/>
  <c r="O131" i="32" s="1"/>
  <c r="L132" i="32"/>
  <c r="L131" i="32" s="1"/>
  <c r="I132" i="32"/>
  <c r="F132" i="32"/>
  <c r="F131" i="32" s="1"/>
  <c r="N131" i="32"/>
  <c r="M131" i="32"/>
  <c r="K131" i="32"/>
  <c r="J131" i="32"/>
  <c r="H131" i="32"/>
  <c r="G131" i="32"/>
  <c r="E131" i="32"/>
  <c r="D131" i="32"/>
  <c r="M130" i="32"/>
  <c r="E130" i="32"/>
  <c r="O129" i="32"/>
  <c r="L129" i="32"/>
  <c r="I129" i="32"/>
  <c r="I128" i="32" s="1"/>
  <c r="F129" i="32"/>
  <c r="O128" i="32"/>
  <c r="N128" i="32"/>
  <c r="M128" i="32"/>
  <c r="K128" i="32"/>
  <c r="J128" i="32"/>
  <c r="H128" i="32"/>
  <c r="G128" i="32"/>
  <c r="F128" i="32"/>
  <c r="E128" i="32"/>
  <c r="D128" i="32"/>
  <c r="O127" i="32"/>
  <c r="L127" i="32"/>
  <c r="I127" i="32"/>
  <c r="F127" i="32"/>
  <c r="O126" i="32"/>
  <c r="L126" i="32"/>
  <c r="I126" i="32"/>
  <c r="F126" i="32"/>
  <c r="O125" i="32"/>
  <c r="L125" i="32"/>
  <c r="I125" i="32"/>
  <c r="F125" i="32"/>
  <c r="O124" i="32"/>
  <c r="L124" i="32"/>
  <c r="I124" i="32"/>
  <c r="F124" i="32"/>
  <c r="O123" i="32"/>
  <c r="L123" i="32"/>
  <c r="I123" i="32"/>
  <c r="F123" i="32"/>
  <c r="N122" i="32"/>
  <c r="M122" i="32"/>
  <c r="K122" i="32"/>
  <c r="J122" i="32"/>
  <c r="I122" i="32"/>
  <c r="H122" i="32"/>
  <c r="G122" i="32"/>
  <c r="E122" i="32"/>
  <c r="D122" i="32"/>
  <c r="O121" i="32"/>
  <c r="L121" i="32"/>
  <c r="I121" i="32"/>
  <c r="F121" i="32"/>
  <c r="O120" i="32"/>
  <c r="L120" i="32"/>
  <c r="I120" i="32"/>
  <c r="F120" i="32"/>
  <c r="C120" i="32" s="1"/>
  <c r="O119" i="32"/>
  <c r="L119" i="32"/>
  <c r="I119" i="32"/>
  <c r="F119" i="32"/>
  <c r="O118" i="32"/>
  <c r="L118" i="32"/>
  <c r="I118" i="32"/>
  <c r="F118" i="32"/>
  <c r="O117" i="32"/>
  <c r="L117" i="32"/>
  <c r="I117" i="32"/>
  <c r="I116" i="32" s="1"/>
  <c r="F117" i="32"/>
  <c r="O116" i="32"/>
  <c r="N116" i="32"/>
  <c r="M116" i="32"/>
  <c r="K116" i="32"/>
  <c r="J116" i="32"/>
  <c r="H116" i="32"/>
  <c r="G116" i="32"/>
  <c r="E116" i="32"/>
  <c r="D116" i="32"/>
  <c r="O115" i="32"/>
  <c r="L115" i="32"/>
  <c r="I115" i="32"/>
  <c r="F115" i="32"/>
  <c r="O114" i="32"/>
  <c r="L114" i="32"/>
  <c r="I114" i="32"/>
  <c r="F114" i="32"/>
  <c r="O113" i="32"/>
  <c r="L113" i="32"/>
  <c r="I113" i="32"/>
  <c r="I112" i="32" s="1"/>
  <c r="F113" i="32"/>
  <c r="O112" i="32"/>
  <c r="N112" i="32"/>
  <c r="M112" i="32"/>
  <c r="K112" i="32"/>
  <c r="J112" i="32"/>
  <c r="H112" i="32"/>
  <c r="G112" i="32"/>
  <c r="E112" i="32"/>
  <c r="D112" i="32"/>
  <c r="O111" i="32"/>
  <c r="L111" i="32"/>
  <c r="I111" i="32"/>
  <c r="F111" i="32"/>
  <c r="O110" i="32"/>
  <c r="L110" i="32"/>
  <c r="I110" i="32"/>
  <c r="F110" i="32"/>
  <c r="O109" i="32"/>
  <c r="L109" i="32"/>
  <c r="I109" i="32"/>
  <c r="F109" i="32"/>
  <c r="O108" i="32"/>
  <c r="L108" i="32"/>
  <c r="I108" i="32"/>
  <c r="F108" i="32"/>
  <c r="O107" i="32"/>
  <c r="L107" i="32"/>
  <c r="I107" i="32"/>
  <c r="F107" i="32"/>
  <c r="O106" i="32"/>
  <c r="L106" i="32"/>
  <c r="I106" i="32"/>
  <c r="F106" i="32"/>
  <c r="O105" i="32"/>
  <c r="L105" i="32"/>
  <c r="I105" i="32"/>
  <c r="F105" i="32"/>
  <c r="O104" i="32"/>
  <c r="L104" i="32"/>
  <c r="I104" i="32"/>
  <c r="F104" i="32"/>
  <c r="F103" i="32" s="1"/>
  <c r="N103" i="32"/>
  <c r="M103" i="32"/>
  <c r="K103" i="32"/>
  <c r="J103" i="32"/>
  <c r="H103" i="32"/>
  <c r="G103" i="32"/>
  <c r="E103" i="32"/>
  <c r="D103" i="32"/>
  <c r="O102" i="32"/>
  <c r="L102" i="32"/>
  <c r="I102" i="32"/>
  <c r="F102" i="32"/>
  <c r="O101" i="32"/>
  <c r="L101" i="32"/>
  <c r="I101" i="32"/>
  <c r="F101" i="32"/>
  <c r="O100" i="32"/>
  <c r="L100" i="32"/>
  <c r="I100" i="32"/>
  <c r="F100" i="32"/>
  <c r="O99" i="32"/>
  <c r="L99" i="32"/>
  <c r="I99" i="32"/>
  <c r="F99" i="32"/>
  <c r="O98" i="32"/>
  <c r="L98" i="32"/>
  <c r="I98" i="32"/>
  <c r="F98" i="32"/>
  <c r="O97" i="32"/>
  <c r="L97" i="32"/>
  <c r="I97" i="32"/>
  <c r="F97" i="32"/>
  <c r="O96" i="32"/>
  <c r="O95" i="32" s="1"/>
  <c r="L96" i="32"/>
  <c r="I96" i="32"/>
  <c r="F96" i="32"/>
  <c r="N95" i="32"/>
  <c r="M95" i="32"/>
  <c r="K95" i="32"/>
  <c r="J95" i="32"/>
  <c r="H95" i="32"/>
  <c r="G95" i="32"/>
  <c r="E95" i="32"/>
  <c r="D95" i="32"/>
  <c r="O94" i="32"/>
  <c r="L94" i="32"/>
  <c r="I94" i="32"/>
  <c r="F94" i="32"/>
  <c r="O93" i="32"/>
  <c r="L93" i="32"/>
  <c r="I93" i="32"/>
  <c r="F93" i="32"/>
  <c r="O92" i="32"/>
  <c r="L92" i="32"/>
  <c r="I92" i="32"/>
  <c r="F92" i="32"/>
  <c r="O91" i="32"/>
  <c r="L91" i="32"/>
  <c r="I91" i="32"/>
  <c r="F91" i="32"/>
  <c r="O90" i="32"/>
  <c r="L90" i="32"/>
  <c r="I90" i="32"/>
  <c r="F90" i="32"/>
  <c r="N89" i="32"/>
  <c r="M89" i="32"/>
  <c r="K89" i="32"/>
  <c r="J89" i="32"/>
  <c r="H89" i="32"/>
  <c r="G89" i="32"/>
  <c r="F89" i="32"/>
  <c r="E89" i="32"/>
  <c r="D89" i="32"/>
  <c r="O88" i="32"/>
  <c r="L88" i="32"/>
  <c r="I88" i="32"/>
  <c r="F88" i="32"/>
  <c r="O87" i="32"/>
  <c r="L87" i="32"/>
  <c r="I87" i="32"/>
  <c r="F87" i="32"/>
  <c r="O86" i="32"/>
  <c r="L86" i="32"/>
  <c r="I86" i="32"/>
  <c r="F86" i="32"/>
  <c r="O85" i="32"/>
  <c r="L85" i="32"/>
  <c r="I85" i="32"/>
  <c r="I84" i="32" s="1"/>
  <c r="F85" i="32"/>
  <c r="O84" i="32"/>
  <c r="N84" i="32"/>
  <c r="M84" i="32"/>
  <c r="K84" i="32"/>
  <c r="J84" i="32"/>
  <c r="H84" i="32"/>
  <c r="G84" i="32"/>
  <c r="E84" i="32"/>
  <c r="D84" i="32"/>
  <c r="D83" i="32" s="1"/>
  <c r="O82" i="32"/>
  <c r="L82" i="32"/>
  <c r="I82" i="32"/>
  <c r="F82" i="32"/>
  <c r="O81" i="32"/>
  <c r="L81" i="32"/>
  <c r="I81" i="32"/>
  <c r="I80" i="32" s="1"/>
  <c r="F81" i="32"/>
  <c r="O80" i="32"/>
  <c r="N80" i="32"/>
  <c r="M80" i="32"/>
  <c r="K80" i="32"/>
  <c r="J80" i="32"/>
  <c r="H80" i="32"/>
  <c r="G80" i="32"/>
  <c r="F80" i="32"/>
  <c r="E80" i="32"/>
  <c r="D80" i="32"/>
  <c r="O79" i="32"/>
  <c r="L79" i="32"/>
  <c r="I79" i="32"/>
  <c r="F79" i="32"/>
  <c r="O78" i="32"/>
  <c r="L78" i="32"/>
  <c r="L77" i="32" s="1"/>
  <c r="I78" i="32"/>
  <c r="I77" i="32" s="1"/>
  <c r="F78" i="32"/>
  <c r="O77" i="32"/>
  <c r="N77" i="32"/>
  <c r="N76" i="32" s="1"/>
  <c r="M77" i="32"/>
  <c r="K77" i="32"/>
  <c r="J77" i="32"/>
  <c r="J76" i="32" s="1"/>
  <c r="H77" i="32"/>
  <c r="H76" i="32" s="1"/>
  <c r="G77" i="32"/>
  <c r="F77" i="32"/>
  <c r="E77" i="32"/>
  <c r="E76" i="32" s="1"/>
  <c r="D77" i="32"/>
  <c r="D76" i="32" s="1"/>
  <c r="O74" i="32"/>
  <c r="L74" i="32"/>
  <c r="I74" i="32"/>
  <c r="F74" i="32"/>
  <c r="O73" i="32"/>
  <c r="L73" i="32"/>
  <c r="I73" i="32"/>
  <c r="F73" i="32"/>
  <c r="O72" i="32"/>
  <c r="L72" i="32"/>
  <c r="I72" i="32"/>
  <c r="F72" i="32"/>
  <c r="O71" i="32"/>
  <c r="L71" i="32"/>
  <c r="I71" i="32"/>
  <c r="F71" i="32"/>
  <c r="O70" i="32"/>
  <c r="L70" i="32"/>
  <c r="I70" i="32"/>
  <c r="F70" i="32"/>
  <c r="N69" i="32"/>
  <c r="N67" i="32" s="1"/>
  <c r="M69" i="32"/>
  <c r="K69" i="32"/>
  <c r="K67" i="32" s="1"/>
  <c r="J69" i="32"/>
  <c r="J67" i="32" s="1"/>
  <c r="H69" i="32"/>
  <c r="H67" i="32" s="1"/>
  <c r="G69" i="32"/>
  <c r="G67" i="32" s="1"/>
  <c r="E69" i="32"/>
  <c r="E67" i="32" s="1"/>
  <c r="D69" i="32"/>
  <c r="D67" i="32" s="1"/>
  <c r="O68" i="32"/>
  <c r="L68" i="32"/>
  <c r="I68" i="32"/>
  <c r="F68" i="32"/>
  <c r="M67" i="32"/>
  <c r="O66" i="32"/>
  <c r="L66" i="32"/>
  <c r="I66" i="32"/>
  <c r="F66" i="32"/>
  <c r="O65" i="32"/>
  <c r="L65" i="32"/>
  <c r="I65" i="32"/>
  <c r="F65" i="32"/>
  <c r="O64" i="32"/>
  <c r="L64" i="32"/>
  <c r="I64" i="32"/>
  <c r="F64" i="32"/>
  <c r="O63" i="32"/>
  <c r="L63" i="32"/>
  <c r="I63" i="32"/>
  <c r="F63" i="32"/>
  <c r="O62" i="32"/>
  <c r="L62" i="32"/>
  <c r="I62" i="32"/>
  <c r="F62" i="32"/>
  <c r="O61" i="32"/>
  <c r="L61" i="32"/>
  <c r="I61" i="32"/>
  <c r="F61" i="32"/>
  <c r="O60" i="32"/>
  <c r="L60" i="32"/>
  <c r="I60" i="32"/>
  <c r="F60" i="32"/>
  <c r="C60" i="32" s="1"/>
  <c r="O59" i="32"/>
  <c r="L59" i="32"/>
  <c r="I59" i="32"/>
  <c r="F59" i="32"/>
  <c r="N58" i="32"/>
  <c r="M58" i="32"/>
  <c r="K58" i="32"/>
  <c r="J58" i="32"/>
  <c r="H58" i="32"/>
  <c r="G58" i="32"/>
  <c r="E58" i="32"/>
  <c r="D58" i="32"/>
  <c r="O57" i="32"/>
  <c r="L57" i="32"/>
  <c r="I57" i="32"/>
  <c r="F57" i="32"/>
  <c r="O56" i="32"/>
  <c r="O55" i="32" s="1"/>
  <c r="L56" i="32"/>
  <c r="I56" i="32"/>
  <c r="F56" i="32"/>
  <c r="F55" i="32" s="1"/>
  <c r="C56" i="32"/>
  <c r="N55" i="32"/>
  <c r="M55" i="32"/>
  <c r="K55" i="32"/>
  <c r="J55" i="32"/>
  <c r="J54" i="32" s="1"/>
  <c r="I55" i="32"/>
  <c r="H55" i="32"/>
  <c r="G55" i="32"/>
  <c r="E55" i="32"/>
  <c r="D55" i="32"/>
  <c r="D54" i="32" s="1"/>
  <c r="N54" i="32"/>
  <c r="K54" i="32"/>
  <c r="G54" i="32"/>
  <c r="N53" i="32"/>
  <c r="O47" i="32"/>
  <c r="O46" i="32"/>
  <c r="C46" i="32" s="1"/>
  <c r="N45" i="32"/>
  <c r="M45" i="32"/>
  <c r="L44" i="32"/>
  <c r="I44" i="32"/>
  <c r="I43" i="32" s="1"/>
  <c r="F44" i="32"/>
  <c r="C44" i="32" s="1"/>
  <c r="L43" i="32"/>
  <c r="K43" i="32"/>
  <c r="J43" i="32"/>
  <c r="H43" i="32"/>
  <c r="G43" i="32"/>
  <c r="E43" i="32"/>
  <c r="D43" i="32"/>
  <c r="F42" i="32"/>
  <c r="C42" i="32" s="1"/>
  <c r="E41" i="32"/>
  <c r="D41" i="32"/>
  <c r="L40" i="32"/>
  <c r="C40" i="32" s="1"/>
  <c r="L39" i="32"/>
  <c r="C39" i="32" s="1"/>
  <c r="L38" i="32"/>
  <c r="C38" i="32" s="1"/>
  <c r="L37" i="32"/>
  <c r="C37" i="32" s="1"/>
  <c r="K36" i="32"/>
  <c r="J36" i="32"/>
  <c r="L35" i="32"/>
  <c r="C35" i="32" s="1"/>
  <c r="L34" i="32"/>
  <c r="C34" i="32" s="1"/>
  <c r="K33" i="32"/>
  <c r="J33" i="32"/>
  <c r="L32" i="32"/>
  <c r="L31" i="32" s="1"/>
  <c r="C31" i="32" s="1"/>
  <c r="K31" i="32"/>
  <c r="J31" i="32"/>
  <c r="L30" i="32"/>
  <c r="C30" i="32" s="1"/>
  <c r="L29" i="32"/>
  <c r="C29" i="32" s="1"/>
  <c r="L28" i="32"/>
  <c r="C28" i="32" s="1"/>
  <c r="K27" i="32"/>
  <c r="J27" i="32"/>
  <c r="F25" i="32"/>
  <c r="C25" i="32" s="1"/>
  <c r="I24" i="32"/>
  <c r="F24" i="32"/>
  <c r="C24" i="32" s="1"/>
  <c r="O23" i="32"/>
  <c r="L23" i="32"/>
  <c r="I23" i="32"/>
  <c r="F23" i="32"/>
  <c r="O22" i="32"/>
  <c r="L22" i="32"/>
  <c r="L21" i="32" s="1"/>
  <c r="I22" i="32"/>
  <c r="I21" i="32" s="1"/>
  <c r="F22" i="32"/>
  <c r="N21" i="32"/>
  <c r="M21" i="32"/>
  <c r="K21" i="32"/>
  <c r="K292" i="32" s="1"/>
  <c r="K291" i="32" s="1"/>
  <c r="J21" i="32"/>
  <c r="J292" i="32" s="1"/>
  <c r="J291" i="32" s="1"/>
  <c r="H21" i="32"/>
  <c r="H292" i="32" s="1"/>
  <c r="H291" i="32" s="1"/>
  <c r="G21" i="32"/>
  <c r="G292" i="32" s="1"/>
  <c r="E21" i="32"/>
  <c r="D21" i="32"/>
  <c r="D292" i="32" s="1"/>
  <c r="D291" i="32" s="1"/>
  <c r="M76" i="32" l="1"/>
  <c r="C96" i="32"/>
  <c r="C100" i="32"/>
  <c r="C106" i="32"/>
  <c r="C108" i="32"/>
  <c r="E187" i="32"/>
  <c r="G231" i="32"/>
  <c r="C257" i="32"/>
  <c r="K76" i="32"/>
  <c r="C82" i="32"/>
  <c r="C145" i="32"/>
  <c r="C221" i="32"/>
  <c r="C245" i="32"/>
  <c r="C88" i="32"/>
  <c r="J187" i="32"/>
  <c r="C68" i="32"/>
  <c r="C64" i="32"/>
  <c r="C207" i="32"/>
  <c r="C209" i="32"/>
  <c r="C243" i="32"/>
  <c r="C247" i="32"/>
  <c r="C249" i="32"/>
  <c r="C255" i="32"/>
  <c r="C256" i="32"/>
  <c r="C223" i="32"/>
  <c r="C124" i="32"/>
  <c r="C157" i="32"/>
  <c r="C176" i="32"/>
  <c r="C215" i="32"/>
  <c r="C23" i="32"/>
  <c r="F41" i="32"/>
  <c r="C41" i="32" s="1"/>
  <c r="M54" i="32"/>
  <c r="M53" i="32" s="1"/>
  <c r="C72" i="32"/>
  <c r="C73" i="32"/>
  <c r="H83" i="32"/>
  <c r="C143" i="32"/>
  <c r="C148" i="32"/>
  <c r="L166" i="32"/>
  <c r="L165" i="32" s="1"/>
  <c r="I175" i="32"/>
  <c r="K174" i="32"/>
  <c r="K173" i="32" s="1"/>
  <c r="M187" i="32"/>
  <c r="C197" i="32"/>
  <c r="C199" i="32"/>
  <c r="C201" i="32"/>
  <c r="H204" i="32"/>
  <c r="N204" i="32"/>
  <c r="H231" i="32"/>
  <c r="N231" i="32"/>
  <c r="N230" i="32" s="1"/>
  <c r="L246" i="32"/>
  <c r="G270" i="32"/>
  <c r="G269" i="32" s="1"/>
  <c r="C297" i="32"/>
  <c r="J26" i="32"/>
  <c r="N20" i="32"/>
  <c r="C107" i="32"/>
  <c r="C185" i="32"/>
  <c r="C189" i="32"/>
  <c r="D187" i="32"/>
  <c r="C203" i="32"/>
  <c r="C214" i="32"/>
  <c r="C219" i="32"/>
  <c r="C263" i="32"/>
  <c r="C295" i="32"/>
  <c r="C92" i="32"/>
  <c r="C134" i="32"/>
  <c r="C135" i="32"/>
  <c r="C140" i="32"/>
  <c r="C152" i="32"/>
  <c r="C164" i="32"/>
  <c r="C168" i="32"/>
  <c r="F188" i="32"/>
  <c r="L196" i="32"/>
  <c r="C225" i="32"/>
  <c r="E259" i="32"/>
  <c r="K259" i="32"/>
  <c r="O45" i="32"/>
  <c r="I58" i="32"/>
  <c r="I54" i="32" s="1"/>
  <c r="C93" i="32"/>
  <c r="C180" i="32"/>
  <c r="G195" i="32"/>
  <c r="C277" i="32"/>
  <c r="C279" i="32"/>
  <c r="O293" i="32"/>
  <c r="D20" i="32"/>
  <c r="K230" i="32"/>
  <c r="L33" i="32"/>
  <c r="C33" i="32" s="1"/>
  <c r="J53" i="32"/>
  <c r="C70" i="32"/>
  <c r="C71" i="32"/>
  <c r="O69" i="32"/>
  <c r="G76" i="32"/>
  <c r="N83" i="32"/>
  <c r="C91" i="32"/>
  <c r="O89" i="32"/>
  <c r="C97" i="32"/>
  <c r="C111" i="32"/>
  <c r="E83" i="32"/>
  <c r="E75" i="32" s="1"/>
  <c r="H130" i="32"/>
  <c r="I131" i="32"/>
  <c r="C146" i="32"/>
  <c r="C161" i="32"/>
  <c r="C167" i="32"/>
  <c r="O166" i="32"/>
  <c r="O165" i="32" s="1"/>
  <c r="C177" i="32"/>
  <c r="I179" i="32"/>
  <c r="C213" i="32"/>
  <c r="D204" i="32"/>
  <c r="L216" i="32"/>
  <c r="E231" i="32"/>
  <c r="E230" i="32" s="1"/>
  <c r="D231" i="32"/>
  <c r="D230" i="32" s="1"/>
  <c r="J231" i="32"/>
  <c r="J230" i="32" s="1"/>
  <c r="C268" i="32"/>
  <c r="L276" i="32"/>
  <c r="H20" i="32"/>
  <c r="E269" i="32"/>
  <c r="F21" i="32"/>
  <c r="N292" i="32"/>
  <c r="N291" i="32" s="1"/>
  <c r="K26" i="32"/>
  <c r="K20" i="32" s="1"/>
  <c r="F43" i="32"/>
  <c r="C43" i="32" s="1"/>
  <c r="C47" i="32"/>
  <c r="H54" i="32"/>
  <c r="H53" i="32" s="1"/>
  <c r="E54" i="32"/>
  <c r="E53" i="32" s="1"/>
  <c r="C65" i="32"/>
  <c r="K53" i="32"/>
  <c r="C78" i="32"/>
  <c r="C79" i="32"/>
  <c r="J83" i="32"/>
  <c r="I89" i="32"/>
  <c r="C94" i="32"/>
  <c r="C101" i="32"/>
  <c r="C105" i="32"/>
  <c r="C114" i="32"/>
  <c r="C121" i="32"/>
  <c r="C126" i="32"/>
  <c r="C127" i="32"/>
  <c r="D130" i="32"/>
  <c r="C133" i="32"/>
  <c r="N130" i="32"/>
  <c r="I144" i="32"/>
  <c r="C156" i="32"/>
  <c r="C163" i="32"/>
  <c r="C172" i="32"/>
  <c r="C181" i="32"/>
  <c r="C200" i="32"/>
  <c r="O205" i="32"/>
  <c r="C220" i="32"/>
  <c r="C229" i="32"/>
  <c r="C241" i="32"/>
  <c r="C244" i="32"/>
  <c r="C275" i="32"/>
  <c r="J270" i="32"/>
  <c r="J269" i="32" s="1"/>
  <c r="J194" i="32" s="1"/>
  <c r="D75" i="32"/>
  <c r="I184" i="32"/>
  <c r="C184" i="32" s="1"/>
  <c r="G230" i="32"/>
  <c r="C22" i="32"/>
  <c r="O21" i="32"/>
  <c r="O292" i="32" s="1"/>
  <c r="O291" i="32" s="1"/>
  <c r="L27" i="32"/>
  <c r="C27" i="32" s="1"/>
  <c r="G20" i="32"/>
  <c r="D53" i="32"/>
  <c r="C57" i="32"/>
  <c r="C62" i="32"/>
  <c r="C63" i="32"/>
  <c r="G53" i="32"/>
  <c r="O76" i="32"/>
  <c r="C86" i="32"/>
  <c r="L89" i="32"/>
  <c r="F95" i="32"/>
  <c r="C99" i="32"/>
  <c r="O103" i="32"/>
  <c r="C109" i="32"/>
  <c r="M83" i="32"/>
  <c r="M75" i="32" s="1"/>
  <c r="M52" i="32" s="1"/>
  <c r="K130" i="32"/>
  <c r="C132" i="32"/>
  <c r="J130" i="32"/>
  <c r="J75" i="32" s="1"/>
  <c r="J289" i="32" s="1"/>
  <c r="I151" i="32"/>
  <c r="C158" i="32"/>
  <c r="C159" i="32"/>
  <c r="C170" i="32"/>
  <c r="G173" i="32"/>
  <c r="C186" i="32"/>
  <c r="H195" i="32"/>
  <c r="E204" i="32"/>
  <c r="E195" i="32" s="1"/>
  <c r="E194" i="32" s="1"/>
  <c r="C208" i="32"/>
  <c r="C226" i="32"/>
  <c r="L238" i="32"/>
  <c r="L231" i="32" s="1"/>
  <c r="L272" i="32"/>
  <c r="L270" i="32" s="1"/>
  <c r="L269" i="32" s="1"/>
  <c r="L286" i="32"/>
  <c r="L292" i="32" s="1"/>
  <c r="C296" i="32"/>
  <c r="C45" i="32"/>
  <c r="C59" i="32"/>
  <c r="F58" i="32"/>
  <c r="F54" i="32" s="1"/>
  <c r="C104" i="32"/>
  <c r="C115" i="32"/>
  <c r="F112" i="32"/>
  <c r="L116" i="32"/>
  <c r="C117" i="32"/>
  <c r="C123" i="32"/>
  <c r="F122" i="32"/>
  <c r="C147" i="32"/>
  <c r="F144" i="32"/>
  <c r="C153" i="32"/>
  <c r="L151" i="32"/>
  <c r="C248" i="32"/>
  <c r="F246" i="32"/>
  <c r="L36" i="32"/>
  <c r="C87" i="32"/>
  <c r="F84" i="32"/>
  <c r="L103" i="32"/>
  <c r="G130" i="32"/>
  <c r="C237" i="32"/>
  <c r="I235" i="32"/>
  <c r="I231" i="32" s="1"/>
  <c r="I238" i="32"/>
  <c r="C239" i="32"/>
  <c r="I264" i="32"/>
  <c r="C265" i="32"/>
  <c r="J20" i="32"/>
  <c r="C66" i="32"/>
  <c r="F69" i="32"/>
  <c r="I69" i="32"/>
  <c r="I67" i="32" s="1"/>
  <c r="C74" i="32"/>
  <c r="I76" i="32"/>
  <c r="C81" i="32"/>
  <c r="L80" i="32"/>
  <c r="C80" i="32" s="1"/>
  <c r="G83" i="32"/>
  <c r="L95" i="32"/>
  <c r="C98" i="32"/>
  <c r="I103" i="32"/>
  <c r="C110" i="32"/>
  <c r="C113" i="32"/>
  <c r="L112" i="32"/>
  <c r="C118" i="32"/>
  <c r="C119" i="32"/>
  <c r="F116" i="32"/>
  <c r="C129" i="32"/>
  <c r="L128" i="32"/>
  <c r="C128" i="32" s="1"/>
  <c r="C141" i="32"/>
  <c r="C142" i="32"/>
  <c r="I166" i="32"/>
  <c r="I165" i="32" s="1"/>
  <c r="C165" i="32" s="1"/>
  <c r="D195" i="32"/>
  <c r="F233" i="32"/>
  <c r="C233" i="32" s="1"/>
  <c r="C234" i="32"/>
  <c r="C254" i="32"/>
  <c r="F252" i="32"/>
  <c r="I284" i="32"/>
  <c r="I283" i="32" s="1"/>
  <c r="C285" i="32"/>
  <c r="F76" i="32"/>
  <c r="C77" i="32"/>
  <c r="K83" i="32"/>
  <c r="C103" i="32"/>
  <c r="C131" i="32"/>
  <c r="L136" i="32"/>
  <c r="C137" i="32"/>
  <c r="C193" i="32"/>
  <c r="L192" i="32"/>
  <c r="C211" i="32"/>
  <c r="I205" i="32"/>
  <c r="E292" i="32"/>
  <c r="E291" i="32" s="1"/>
  <c r="E20" i="32"/>
  <c r="I20" i="32"/>
  <c r="M292" i="32"/>
  <c r="M291" i="32" s="1"/>
  <c r="M20" i="32"/>
  <c r="C32" i="32"/>
  <c r="I53" i="32"/>
  <c r="L55" i="32"/>
  <c r="C55" i="32" s="1"/>
  <c r="O58" i="32"/>
  <c r="O54" i="32" s="1"/>
  <c r="L58" i="32"/>
  <c r="C61" i="32"/>
  <c r="O67" i="32"/>
  <c r="L69" i="32"/>
  <c r="L67" i="32" s="1"/>
  <c r="N75" i="32"/>
  <c r="N52" i="32" s="1"/>
  <c r="L76" i="32"/>
  <c r="C85" i="32"/>
  <c r="L84" i="32"/>
  <c r="C90" i="32"/>
  <c r="I95" i="32"/>
  <c r="I83" i="32" s="1"/>
  <c r="C102" i="32"/>
  <c r="O122" i="32"/>
  <c r="L122" i="32"/>
  <c r="C125" i="32"/>
  <c r="C138" i="32"/>
  <c r="C139" i="32"/>
  <c r="F136" i="32"/>
  <c r="O144" i="32"/>
  <c r="O130" i="32" s="1"/>
  <c r="L144" i="32"/>
  <c r="C149" i="32"/>
  <c r="E174" i="32"/>
  <c r="E173" i="32" s="1"/>
  <c r="C232" i="32"/>
  <c r="L251" i="32"/>
  <c r="I286" i="32"/>
  <c r="I292" i="32" s="1"/>
  <c r="C287" i="32"/>
  <c r="G291" i="32"/>
  <c r="C150" i="32"/>
  <c r="C154" i="32"/>
  <c r="C155" i="32"/>
  <c r="C162" i="32"/>
  <c r="I160" i="32"/>
  <c r="C160" i="32" s="1"/>
  <c r="C169" i="32"/>
  <c r="H173" i="32"/>
  <c r="L175" i="32"/>
  <c r="C175" i="32" s="1"/>
  <c r="L179" i="32"/>
  <c r="F179" i="32"/>
  <c r="C190" i="32"/>
  <c r="I188" i="32"/>
  <c r="F187" i="32"/>
  <c r="K194" i="32"/>
  <c r="N195" i="32"/>
  <c r="N194" i="32" s="1"/>
  <c r="F198" i="32"/>
  <c r="I216" i="32"/>
  <c r="C217" i="32"/>
  <c r="L259" i="32"/>
  <c r="I260" i="32"/>
  <c r="I259" i="32" s="1"/>
  <c r="C261" i="32"/>
  <c r="C271" i="32"/>
  <c r="F293" i="32"/>
  <c r="C294" i="32"/>
  <c r="F205" i="32"/>
  <c r="C206" i="32"/>
  <c r="C218" i="32"/>
  <c r="F216" i="32"/>
  <c r="M231" i="32"/>
  <c r="M230" i="32" s="1"/>
  <c r="I252" i="32"/>
  <c r="I251" i="32" s="1"/>
  <c r="C253" i="32"/>
  <c r="C262" i="32"/>
  <c r="F260" i="32"/>
  <c r="C299" i="32"/>
  <c r="I293" i="32"/>
  <c r="C301" i="32"/>
  <c r="C171" i="32"/>
  <c r="D173" i="32"/>
  <c r="D289" i="32" s="1"/>
  <c r="C178" i="32"/>
  <c r="C182" i="32"/>
  <c r="C183" i="32"/>
  <c r="K187" i="32"/>
  <c r="C242" i="32"/>
  <c r="F238" i="32"/>
  <c r="O246" i="32"/>
  <c r="H259" i="32"/>
  <c r="H230" i="32" s="1"/>
  <c r="C266" i="32"/>
  <c r="F264" i="32"/>
  <c r="C272" i="32"/>
  <c r="F270" i="32"/>
  <c r="C202" i="32"/>
  <c r="L205" i="32"/>
  <c r="C210" i="32"/>
  <c r="C222" i="32"/>
  <c r="O238" i="32"/>
  <c r="C250" i="32"/>
  <c r="C258" i="32"/>
  <c r="O270" i="32"/>
  <c r="O269" i="32" s="1"/>
  <c r="C274" i="32"/>
  <c r="C278" i="32"/>
  <c r="F281" i="32"/>
  <c r="C281" i="32" s="1"/>
  <c r="C282" i="32"/>
  <c r="C286" i="32"/>
  <c r="L293" i="32"/>
  <c r="C298" i="32"/>
  <c r="I196" i="32"/>
  <c r="C212" i="32"/>
  <c r="O216" i="32"/>
  <c r="C224" i="32"/>
  <c r="C228" i="32"/>
  <c r="F227" i="32"/>
  <c r="C227" i="32" s="1"/>
  <c r="C236" i="32"/>
  <c r="F235" i="32"/>
  <c r="C240" i="32"/>
  <c r="O252" i="32"/>
  <c r="O251" i="32" s="1"/>
  <c r="O260" i="32"/>
  <c r="O264" i="32"/>
  <c r="I276" i="32"/>
  <c r="C276" i="32" s="1"/>
  <c r="C280" i="32"/>
  <c r="C284" i="32"/>
  <c r="F283" i="32"/>
  <c r="C288" i="32"/>
  <c r="C300" i="32"/>
  <c r="G75" i="32" l="1"/>
  <c r="I174" i="32"/>
  <c r="I173" i="32" s="1"/>
  <c r="K75" i="32"/>
  <c r="K289" i="32" s="1"/>
  <c r="O20" i="32"/>
  <c r="G194" i="32"/>
  <c r="H75" i="32"/>
  <c r="H289" i="32" s="1"/>
  <c r="C136" i="32"/>
  <c r="N51" i="32"/>
  <c r="N50" i="32" s="1"/>
  <c r="I204" i="32"/>
  <c r="C69" i="32"/>
  <c r="F20" i="32"/>
  <c r="C89" i="32"/>
  <c r="O231" i="32"/>
  <c r="L174" i="32"/>
  <c r="L173" i="32" s="1"/>
  <c r="L230" i="32"/>
  <c r="O204" i="32"/>
  <c r="O195" i="32" s="1"/>
  <c r="E289" i="32"/>
  <c r="C283" i="32"/>
  <c r="C235" i="32"/>
  <c r="I195" i="32"/>
  <c r="M289" i="32"/>
  <c r="I270" i="32"/>
  <c r="I269" i="32" s="1"/>
  <c r="O83" i="32"/>
  <c r="O75" i="32" s="1"/>
  <c r="C151" i="32"/>
  <c r="F67" i="32"/>
  <c r="J52" i="32"/>
  <c r="J51" i="32" s="1"/>
  <c r="L130" i="32"/>
  <c r="C21" i="32"/>
  <c r="L291" i="32"/>
  <c r="L204" i="32"/>
  <c r="L195" i="32" s="1"/>
  <c r="M194" i="32"/>
  <c r="M51" i="32" s="1"/>
  <c r="M50" i="32" s="1"/>
  <c r="I291" i="32"/>
  <c r="F292" i="32"/>
  <c r="F291" i="32" s="1"/>
  <c r="D194" i="32"/>
  <c r="K52" i="32"/>
  <c r="K51" i="32" s="1"/>
  <c r="G52" i="32"/>
  <c r="G51" i="32" s="1"/>
  <c r="G289" i="32"/>
  <c r="O53" i="32"/>
  <c r="O52" i="32" s="1"/>
  <c r="H194" i="32"/>
  <c r="C67" i="32"/>
  <c r="C291" i="32"/>
  <c r="O259" i="32"/>
  <c r="N289" i="32"/>
  <c r="C216" i="32"/>
  <c r="C166" i="32"/>
  <c r="C293" i="32"/>
  <c r="C76" i="32"/>
  <c r="C116" i="32"/>
  <c r="C95" i="32"/>
  <c r="C36" i="32"/>
  <c r="L26" i="32"/>
  <c r="C122" i="32"/>
  <c r="C112" i="32"/>
  <c r="C58" i="32"/>
  <c r="D52" i="32"/>
  <c r="I130" i="32"/>
  <c r="I75" i="32" s="1"/>
  <c r="F269" i="32"/>
  <c r="C270" i="32"/>
  <c r="C205" i="32"/>
  <c r="F204" i="32"/>
  <c r="C204" i="32" s="1"/>
  <c r="I187" i="32"/>
  <c r="C188" i="32"/>
  <c r="F231" i="32"/>
  <c r="L54" i="32"/>
  <c r="L53" i="32" s="1"/>
  <c r="L191" i="32"/>
  <c r="C192" i="32"/>
  <c r="C292" i="32"/>
  <c r="C252" i="32"/>
  <c r="F251" i="32"/>
  <c r="C251" i="32" s="1"/>
  <c r="I230" i="32"/>
  <c r="C246" i="32"/>
  <c r="C144" i="32"/>
  <c r="E52" i="32"/>
  <c r="E51" i="32" s="1"/>
  <c r="O230" i="32"/>
  <c r="C260" i="32"/>
  <c r="F259" i="32"/>
  <c r="F53" i="32"/>
  <c r="C179" i="32"/>
  <c r="F174" i="32"/>
  <c r="C264" i="32"/>
  <c r="C238" i="32"/>
  <c r="M290" i="32"/>
  <c r="C198" i="32"/>
  <c r="F196" i="32"/>
  <c r="L83" i="32"/>
  <c r="H52" i="32"/>
  <c r="H51" i="32" s="1"/>
  <c r="F130" i="32"/>
  <c r="F83" i="32"/>
  <c r="C84" i="32"/>
  <c r="L75" i="32" l="1"/>
  <c r="L194" i="32"/>
  <c r="C259" i="32"/>
  <c r="I52" i="32"/>
  <c r="O289" i="32"/>
  <c r="N290" i="32"/>
  <c r="D51" i="32"/>
  <c r="D50" i="32" s="1"/>
  <c r="I289" i="32"/>
  <c r="J50" i="32"/>
  <c r="J290" i="32"/>
  <c r="C130" i="32"/>
  <c r="C54" i="32"/>
  <c r="I194" i="32"/>
  <c r="G290" i="32"/>
  <c r="G50" i="32"/>
  <c r="O194" i="32"/>
  <c r="C53" i="32"/>
  <c r="C174" i="32"/>
  <c r="F173" i="32"/>
  <c r="C173" i="32" s="1"/>
  <c r="C26" i="32"/>
  <c r="L20" i="32"/>
  <c r="C20" i="32" s="1"/>
  <c r="C196" i="32"/>
  <c r="F195" i="32"/>
  <c r="H50" i="32"/>
  <c r="H290" i="32"/>
  <c r="E290" i="32"/>
  <c r="E50" i="32"/>
  <c r="C191" i="32"/>
  <c r="L187" i="32"/>
  <c r="L52" i="32" s="1"/>
  <c r="L51" i="32" s="1"/>
  <c r="C83" i="32"/>
  <c r="D290" i="32"/>
  <c r="O51" i="32"/>
  <c r="C231" i="32"/>
  <c r="F230" i="32"/>
  <c r="C230" i="32" s="1"/>
  <c r="C269" i="32"/>
  <c r="F75" i="32"/>
  <c r="C75" i="32" s="1"/>
  <c r="K50" i="32"/>
  <c r="K290" i="32"/>
  <c r="I51" i="32" l="1"/>
  <c r="F289" i="32"/>
  <c r="L50" i="32"/>
  <c r="L290" i="32"/>
  <c r="F194" i="32"/>
  <c r="C194" i="32" s="1"/>
  <c r="C195" i="32"/>
  <c r="F52" i="32"/>
  <c r="O50" i="32"/>
  <c r="O290" i="32"/>
  <c r="L289" i="32"/>
  <c r="C289" i="32" s="1"/>
  <c r="C187" i="32"/>
  <c r="I290" i="32"/>
  <c r="I50" i="32"/>
  <c r="F51" i="32" l="1"/>
  <c r="C52" i="32"/>
  <c r="F290" i="32" l="1"/>
  <c r="C290" i="32" s="1"/>
  <c r="C51" i="32"/>
  <c r="F50" i="32"/>
  <c r="C50" i="32" s="1"/>
  <c r="O301" i="30" l="1"/>
  <c r="L301" i="30"/>
  <c r="I301" i="30"/>
  <c r="F301" i="30"/>
  <c r="O300" i="30"/>
  <c r="L300" i="30"/>
  <c r="I300" i="30"/>
  <c r="F300" i="30"/>
  <c r="O299" i="30"/>
  <c r="L299" i="30"/>
  <c r="I299" i="30"/>
  <c r="F299" i="30"/>
  <c r="O298" i="30"/>
  <c r="L298" i="30"/>
  <c r="I298" i="30"/>
  <c r="F298" i="30"/>
  <c r="O297" i="30"/>
  <c r="L297" i="30"/>
  <c r="I297" i="30"/>
  <c r="F297" i="30"/>
  <c r="O296" i="30"/>
  <c r="L296" i="30"/>
  <c r="I296" i="30"/>
  <c r="F296" i="30"/>
  <c r="O295" i="30"/>
  <c r="L295" i="30"/>
  <c r="I295" i="30"/>
  <c r="F295" i="30"/>
  <c r="O294" i="30"/>
  <c r="O293" i="30" s="1"/>
  <c r="L294" i="30"/>
  <c r="I294" i="30"/>
  <c r="F294" i="30"/>
  <c r="N293" i="30"/>
  <c r="M293" i="30"/>
  <c r="K293" i="30"/>
  <c r="J293" i="30"/>
  <c r="H293" i="30"/>
  <c r="G293" i="30"/>
  <c r="E293" i="30"/>
  <c r="D293" i="30"/>
  <c r="O288" i="30"/>
  <c r="L288" i="30"/>
  <c r="I288" i="30"/>
  <c r="F288" i="30"/>
  <c r="O287" i="30"/>
  <c r="L287" i="30"/>
  <c r="I287" i="30"/>
  <c r="F287" i="30"/>
  <c r="O286" i="30"/>
  <c r="N286" i="30"/>
  <c r="M286" i="30"/>
  <c r="K286" i="30"/>
  <c r="J286" i="30"/>
  <c r="H286" i="30"/>
  <c r="G286" i="30"/>
  <c r="F286" i="30"/>
  <c r="E286" i="30"/>
  <c r="D286" i="30"/>
  <c r="O285" i="30"/>
  <c r="L285" i="30"/>
  <c r="L284" i="30" s="1"/>
  <c r="L283" i="30" s="1"/>
  <c r="I285" i="30"/>
  <c r="F285" i="30"/>
  <c r="O284" i="30"/>
  <c r="O283" i="30" s="1"/>
  <c r="N284" i="30"/>
  <c r="N283" i="30" s="1"/>
  <c r="M284" i="30"/>
  <c r="M283" i="30" s="1"/>
  <c r="K284" i="30"/>
  <c r="J284" i="30"/>
  <c r="J283" i="30" s="1"/>
  <c r="I284" i="30"/>
  <c r="I283" i="30" s="1"/>
  <c r="H284" i="30"/>
  <c r="H283" i="30" s="1"/>
  <c r="G284" i="30"/>
  <c r="F284" i="30"/>
  <c r="E284" i="30"/>
  <c r="E283" i="30" s="1"/>
  <c r="D284" i="30"/>
  <c r="D283" i="30" s="1"/>
  <c r="K283" i="30"/>
  <c r="G283" i="30"/>
  <c r="O282" i="30"/>
  <c r="O281" i="30" s="1"/>
  <c r="L282" i="30"/>
  <c r="L281" i="30" s="1"/>
  <c r="I282" i="30"/>
  <c r="I281" i="30" s="1"/>
  <c r="F282" i="30"/>
  <c r="N281" i="30"/>
  <c r="M281" i="30"/>
  <c r="K281" i="30"/>
  <c r="J281" i="30"/>
  <c r="H281" i="30"/>
  <c r="G281" i="30"/>
  <c r="E281" i="30"/>
  <c r="D281" i="30"/>
  <c r="O280" i="30"/>
  <c r="L280" i="30"/>
  <c r="I280" i="30"/>
  <c r="F280" i="30"/>
  <c r="O279" i="30"/>
  <c r="L279" i="30"/>
  <c r="I279" i="30"/>
  <c r="F279" i="30"/>
  <c r="O278" i="30"/>
  <c r="L278" i="30"/>
  <c r="I278" i="30"/>
  <c r="F278" i="30"/>
  <c r="O277" i="30"/>
  <c r="L277" i="30"/>
  <c r="I277" i="30"/>
  <c r="F277" i="30"/>
  <c r="N276" i="30"/>
  <c r="M276" i="30"/>
  <c r="K276" i="30"/>
  <c r="J276" i="30"/>
  <c r="H276" i="30"/>
  <c r="G276" i="30"/>
  <c r="E276" i="30"/>
  <c r="D276" i="30"/>
  <c r="O275" i="30"/>
  <c r="L275" i="30"/>
  <c r="I275" i="30"/>
  <c r="F275" i="30"/>
  <c r="O274" i="30"/>
  <c r="L274" i="30"/>
  <c r="I274" i="30"/>
  <c r="F274" i="30"/>
  <c r="O273" i="30"/>
  <c r="L273" i="30"/>
  <c r="I273" i="30"/>
  <c r="I272" i="30" s="1"/>
  <c r="F273" i="30"/>
  <c r="N272" i="30"/>
  <c r="N270" i="30" s="1"/>
  <c r="N269" i="30" s="1"/>
  <c r="M272" i="30"/>
  <c r="L272" i="30"/>
  <c r="K272" i="30"/>
  <c r="J272" i="30"/>
  <c r="H272" i="30"/>
  <c r="G272" i="30"/>
  <c r="G270" i="30" s="1"/>
  <c r="G269" i="30" s="1"/>
  <c r="E272" i="30"/>
  <c r="E270" i="30" s="1"/>
  <c r="D272" i="30"/>
  <c r="D270" i="30" s="1"/>
  <c r="D269" i="30" s="1"/>
  <c r="O271" i="30"/>
  <c r="L271" i="30"/>
  <c r="I271" i="30"/>
  <c r="F271" i="30"/>
  <c r="C271" i="30" s="1"/>
  <c r="K270" i="30"/>
  <c r="K269" i="30" s="1"/>
  <c r="E269" i="30"/>
  <c r="O268" i="30"/>
  <c r="L268" i="30"/>
  <c r="I268" i="30"/>
  <c r="F268" i="30"/>
  <c r="O267" i="30"/>
  <c r="L267" i="30"/>
  <c r="I267" i="30"/>
  <c r="F267" i="30"/>
  <c r="O266" i="30"/>
  <c r="L266" i="30"/>
  <c r="I266" i="30"/>
  <c r="F266" i="30"/>
  <c r="O265" i="30"/>
  <c r="L265" i="30"/>
  <c r="I265" i="30"/>
  <c r="F265" i="30"/>
  <c r="N264" i="30"/>
  <c r="M264" i="30"/>
  <c r="K264" i="30"/>
  <c r="J264" i="30"/>
  <c r="H264" i="30"/>
  <c r="G264" i="30"/>
  <c r="F264" i="30"/>
  <c r="E264" i="30"/>
  <c r="D264" i="30"/>
  <c r="O263" i="30"/>
  <c r="L263" i="30"/>
  <c r="I263" i="30"/>
  <c r="F263" i="30"/>
  <c r="O262" i="30"/>
  <c r="L262" i="30"/>
  <c r="I262" i="30"/>
  <c r="F262" i="30"/>
  <c r="O261" i="30"/>
  <c r="L261" i="30"/>
  <c r="I261" i="30"/>
  <c r="I260" i="30" s="1"/>
  <c r="F261" i="30"/>
  <c r="N260" i="30"/>
  <c r="M260" i="30"/>
  <c r="K260" i="30"/>
  <c r="J260" i="30"/>
  <c r="H260" i="30"/>
  <c r="G260" i="30"/>
  <c r="E260" i="30"/>
  <c r="D260" i="30"/>
  <c r="K259" i="30"/>
  <c r="O258" i="30"/>
  <c r="L258" i="30"/>
  <c r="I258" i="30"/>
  <c r="F258" i="30"/>
  <c r="O257" i="30"/>
  <c r="L257" i="30"/>
  <c r="I257" i="30"/>
  <c r="F257" i="30"/>
  <c r="O256" i="30"/>
  <c r="L256" i="30"/>
  <c r="I256" i="30"/>
  <c r="F256" i="30"/>
  <c r="O255" i="30"/>
  <c r="L255" i="30"/>
  <c r="I255" i="30"/>
  <c r="F255" i="30"/>
  <c r="O254" i="30"/>
  <c r="L254" i="30"/>
  <c r="I254" i="30"/>
  <c r="F254" i="30"/>
  <c r="O253" i="30"/>
  <c r="L253" i="30"/>
  <c r="I253" i="30"/>
  <c r="I252" i="30" s="1"/>
  <c r="F253" i="30"/>
  <c r="N252" i="30"/>
  <c r="N251" i="30" s="1"/>
  <c r="M252" i="30"/>
  <c r="M251" i="30" s="1"/>
  <c r="K252" i="30"/>
  <c r="K251" i="30" s="1"/>
  <c r="J252" i="30"/>
  <c r="J251" i="30" s="1"/>
  <c r="H252" i="30"/>
  <c r="G252" i="30"/>
  <c r="G251" i="30" s="1"/>
  <c r="E252" i="30"/>
  <c r="E251" i="30" s="1"/>
  <c r="D252" i="30"/>
  <c r="H251" i="30"/>
  <c r="D251" i="30"/>
  <c r="O250" i="30"/>
  <c r="L250" i="30"/>
  <c r="I250" i="30"/>
  <c r="F250" i="30"/>
  <c r="O249" i="30"/>
  <c r="L249" i="30"/>
  <c r="I249" i="30"/>
  <c r="F249" i="30"/>
  <c r="O248" i="30"/>
  <c r="L248" i="30"/>
  <c r="I248" i="30"/>
  <c r="F248" i="30"/>
  <c r="O247" i="30"/>
  <c r="L247" i="30"/>
  <c r="I247" i="30"/>
  <c r="F247" i="30"/>
  <c r="O246" i="30"/>
  <c r="N246" i="30"/>
  <c r="M246" i="30"/>
  <c r="K246" i="30"/>
  <c r="J246" i="30"/>
  <c r="H246" i="30"/>
  <c r="G246" i="30"/>
  <c r="E246" i="30"/>
  <c r="D246" i="30"/>
  <c r="O245" i="30"/>
  <c r="L245" i="30"/>
  <c r="I245" i="30"/>
  <c r="F245" i="30"/>
  <c r="O244" i="30"/>
  <c r="L244" i="30"/>
  <c r="I244" i="30"/>
  <c r="F244" i="30"/>
  <c r="O243" i="30"/>
  <c r="L243" i="30"/>
  <c r="I243" i="30"/>
  <c r="F243" i="30"/>
  <c r="O242" i="30"/>
  <c r="L242" i="30"/>
  <c r="I242" i="30"/>
  <c r="F242" i="30"/>
  <c r="O241" i="30"/>
  <c r="L241" i="30"/>
  <c r="I241" i="30"/>
  <c r="F241" i="30"/>
  <c r="O240" i="30"/>
  <c r="L240" i="30"/>
  <c r="I240" i="30"/>
  <c r="F240" i="30"/>
  <c r="O239" i="30"/>
  <c r="L239" i="30"/>
  <c r="I239" i="30"/>
  <c r="F239" i="30"/>
  <c r="N238" i="30"/>
  <c r="M238" i="30"/>
  <c r="K238" i="30"/>
  <c r="J238" i="30"/>
  <c r="H238" i="30"/>
  <c r="G238" i="30"/>
  <c r="E238" i="30"/>
  <c r="D238" i="30"/>
  <c r="O237" i="30"/>
  <c r="L237" i="30"/>
  <c r="I237" i="30"/>
  <c r="F237" i="30"/>
  <c r="O236" i="30"/>
  <c r="L236" i="30"/>
  <c r="L235" i="30" s="1"/>
  <c r="I236" i="30"/>
  <c r="I235" i="30" s="1"/>
  <c r="F236" i="30"/>
  <c r="O235" i="30"/>
  <c r="N235" i="30"/>
  <c r="M235" i="30"/>
  <c r="K235" i="30"/>
  <c r="J235" i="30"/>
  <c r="H235" i="30"/>
  <c r="G235" i="30"/>
  <c r="F235" i="30"/>
  <c r="E235" i="30"/>
  <c r="D235" i="30"/>
  <c r="O234" i="30"/>
  <c r="O233" i="30" s="1"/>
  <c r="L234" i="30"/>
  <c r="I234" i="30"/>
  <c r="C234" i="30" s="1"/>
  <c r="F234" i="30"/>
  <c r="F233" i="30" s="1"/>
  <c r="N233" i="30"/>
  <c r="M233" i="30"/>
  <c r="L233" i="30"/>
  <c r="K233" i="30"/>
  <c r="J233" i="30"/>
  <c r="I233" i="30"/>
  <c r="H233" i="30"/>
  <c r="G233" i="30"/>
  <c r="E233" i="30"/>
  <c r="D233" i="30"/>
  <c r="O232" i="30"/>
  <c r="L232" i="30"/>
  <c r="I232" i="30"/>
  <c r="F232" i="30"/>
  <c r="O229" i="30"/>
  <c r="L229" i="30"/>
  <c r="I229" i="30"/>
  <c r="F229" i="30"/>
  <c r="O228" i="30"/>
  <c r="L228" i="30"/>
  <c r="L227" i="30" s="1"/>
  <c r="I228" i="30"/>
  <c r="I227" i="30" s="1"/>
  <c r="F228" i="30"/>
  <c r="O227" i="30"/>
  <c r="N227" i="30"/>
  <c r="M227" i="30"/>
  <c r="K227" i="30"/>
  <c r="J227" i="30"/>
  <c r="H227" i="30"/>
  <c r="G227" i="30"/>
  <c r="F227" i="30"/>
  <c r="E227" i="30"/>
  <c r="D227" i="30"/>
  <c r="O226" i="30"/>
  <c r="L226" i="30"/>
  <c r="I226" i="30"/>
  <c r="F226" i="30"/>
  <c r="O225" i="30"/>
  <c r="L225" i="30"/>
  <c r="I225" i="30"/>
  <c r="F225" i="30"/>
  <c r="O224" i="30"/>
  <c r="L224" i="30"/>
  <c r="I224" i="30"/>
  <c r="F224" i="30"/>
  <c r="O223" i="30"/>
  <c r="L223" i="30"/>
  <c r="I223" i="30"/>
  <c r="F223" i="30"/>
  <c r="O222" i="30"/>
  <c r="L222" i="30"/>
  <c r="I222" i="30"/>
  <c r="F222" i="30"/>
  <c r="O221" i="30"/>
  <c r="L221" i="30"/>
  <c r="I221" i="30"/>
  <c r="F221" i="30"/>
  <c r="O220" i="30"/>
  <c r="L220" i="30"/>
  <c r="I220" i="30"/>
  <c r="F220" i="30"/>
  <c r="O219" i="30"/>
  <c r="L219" i="30"/>
  <c r="I219" i="30"/>
  <c r="F219" i="30"/>
  <c r="O218" i="30"/>
  <c r="L218" i="30"/>
  <c r="I218" i="30"/>
  <c r="F218" i="30"/>
  <c r="O217" i="30"/>
  <c r="L217" i="30"/>
  <c r="I217" i="30"/>
  <c r="F217" i="30"/>
  <c r="N216" i="30"/>
  <c r="M216" i="30"/>
  <c r="K216" i="30"/>
  <c r="J216" i="30"/>
  <c r="H216" i="30"/>
  <c r="G216" i="30"/>
  <c r="E216" i="30"/>
  <c r="D216" i="30"/>
  <c r="O215" i="30"/>
  <c r="L215" i="30"/>
  <c r="I215" i="30"/>
  <c r="F215" i="30"/>
  <c r="O214" i="30"/>
  <c r="L214" i="30"/>
  <c r="I214" i="30"/>
  <c r="F214" i="30"/>
  <c r="O213" i="30"/>
  <c r="L213" i="30"/>
  <c r="I213" i="30"/>
  <c r="F213" i="30"/>
  <c r="O212" i="30"/>
  <c r="L212" i="30"/>
  <c r="I212" i="30"/>
  <c r="F212" i="30"/>
  <c r="O211" i="30"/>
  <c r="L211" i="30"/>
  <c r="I211" i="30"/>
  <c r="F211" i="30"/>
  <c r="O210" i="30"/>
  <c r="L210" i="30"/>
  <c r="I210" i="30"/>
  <c r="F210" i="30"/>
  <c r="O209" i="30"/>
  <c r="L209" i="30"/>
  <c r="I209" i="30"/>
  <c r="F209" i="30"/>
  <c r="O208" i="30"/>
  <c r="L208" i="30"/>
  <c r="I208" i="30"/>
  <c r="F208" i="30"/>
  <c r="O207" i="30"/>
  <c r="L207" i="30"/>
  <c r="I207" i="30"/>
  <c r="F207" i="30"/>
  <c r="O206" i="30"/>
  <c r="L206" i="30"/>
  <c r="I206" i="30"/>
  <c r="F206" i="30"/>
  <c r="N205" i="30"/>
  <c r="M205" i="30"/>
  <c r="K205" i="30"/>
  <c r="J205" i="30"/>
  <c r="H205" i="30"/>
  <c r="H204" i="30" s="1"/>
  <c r="G205" i="30"/>
  <c r="E205" i="30"/>
  <c r="D205" i="30"/>
  <c r="M204" i="30"/>
  <c r="O203" i="30"/>
  <c r="L203" i="30"/>
  <c r="I203" i="30"/>
  <c r="F203" i="30"/>
  <c r="C203" i="30" s="1"/>
  <c r="O202" i="30"/>
  <c r="L202" i="30"/>
  <c r="I202" i="30"/>
  <c r="F202" i="30"/>
  <c r="O201" i="30"/>
  <c r="L201" i="30"/>
  <c r="I201" i="30"/>
  <c r="F201" i="30"/>
  <c r="O200" i="30"/>
  <c r="L200" i="30"/>
  <c r="I200" i="30"/>
  <c r="F200" i="30"/>
  <c r="O199" i="30"/>
  <c r="L199" i="30"/>
  <c r="I199" i="30"/>
  <c r="F199" i="30"/>
  <c r="O198" i="30"/>
  <c r="N198" i="30"/>
  <c r="N196" i="30" s="1"/>
  <c r="M198" i="30"/>
  <c r="K198" i="30"/>
  <c r="K196" i="30" s="1"/>
  <c r="J198" i="30"/>
  <c r="H198" i="30"/>
  <c r="H196" i="30" s="1"/>
  <c r="G198" i="30"/>
  <c r="G196" i="30" s="1"/>
  <c r="F198" i="30"/>
  <c r="E198" i="30"/>
  <c r="D198" i="30"/>
  <c r="D196" i="30" s="1"/>
  <c r="O197" i="30"/>
  <c r="L197" i="30"/>
  <c r="I197" i="30"/>
  <c r="F197" i="30"/>
  <c r="M196" i="30"/>
  <c r="J196" i="30"/>
  <c r="E196" i="30"/>
  <c r="O193" i="30"/>
  <c r="O192" i="30" s="1"/>
  <c r="O191" i="30" s="1"/>
  <c r="L193" i="30"/>
  <c r="L192" i="30" s="1"/>
  <c r="L191" i="30" s="1"/>
  <c r="I193" i="30"/>
  <c r="I192" i="30" s="1"/>
  <c r="I191" i="30" s="1"/>
  <c r="F193" i="30"/>
  <c r="F192" i="30" s="1"/>
  <c r="F191" i="30" s="1"/>
  <c r="N192" i="30"/>
  <c r="N191" i="30" s="1"/>
  <c r="M192" i="30"/>
  <c r="M191" i="30" s="1"/>
  <c r="K192" i="30"/>
  <c r="K191" i="30" s="1"/>
  <c r="J192" i="30"/>
  <c r="J191" i="30" s="1"/>
  <c r="H192" i="30"/>
  <c r="G192" i="30"/>
  <c r="G191" i="30" s="1"/>
  <c r="E192" i="30"/>
  <c r="E191" i="30" s="1"/>
  <c r="D192" i="30"/>
  <c r="H191" i="30"/>
  <c r="D191" i="30"/>
  <c r="O190" i="30"/>
  <c r="L190" i="30"/>
  <c r="I190" i="30"/>
  <c r="F190" i="30"/>
  <c r="C190" i="30" s="1"/>
  <c r="O189" i="30"/>
  <c r="L189" i="30"/>
  <c r="L188" i="30" s="1"/>
  <c r="L187" i="30" s="1"/>
  <c r="I189" i="30"/>
  <c r="F189" i="30"/>
  <c r="O188" i="30"/>
  <c r="N188" i="30"/>
  <c r="N187" i="30" s="1"/>
  <c r="M188" i="30"/>
  <c r="K188" i="30"/>
  <c r="J188" i="30"/>
  <c r="J187" i="30" s="1"/>
  <c r="H188" i="30"/>
  <c r="H187" i="30" s="1"/>
  <c r="G188" i="30"/>
  <c r="F188" i="30"/>
  <c r="E188" i="30"/>
  <c r="D188" i="30"/>
  <c r="O186" i="30"/>
  <c r="L186" i="30"/>
  <c r="I186" i="30"/>
  <c r="F186" i="30"/>
  <c r="O185" i="30"/>
  <c r="L185" i="30"/>
  <c r="L184" i="30" s="1"/>
  <c r="I185" i="30"/>
  <c r="F185" i="30"/>
  <c r="O184" i="30"/>
  <c r="N184" i="30"/>
  <c r="M184" i="30"/>
  <c r="K184" i="30"/>
  <c r="J184" i="30"/>
  <c r="H184" i="30"/>
  <c r="G184" i="30"/>
  <c r="F184" i="30"/>
  <c r="E184" i="30"/>
  <c r="D184" i="30"/>
  <c r="O183" i="30"/>
  <c r="L183" i="30"/>
  <c r="I183" i="30"/>
  <c r="F183" i="30"/>
  <c r="O182" i="30"/>
  <c r="L182" i="30"/>
  <c r="I182" i="30"/>
  <c r="F182" i="30"/>
  <c r="O181" i="30"/>
  <c r="L181" i="30"/>
  <c r="I181" i="30"/>
  <c r="F181" i="30"/>
  <c r="O180" i="30"/>
  <c r="O179" i="30" s="1"/>
  <c r="L180" i="30"/>
  <c r="L179" i="30" s="1"/>
  <c r="I180" i="30"/>
  <c r="F180" i="30"/>
  <c r="F179" i="30" s="1"/>
  <c r="N179" i="30"/>
  <c r="M179" i="30"/>
  <c r="K179" i="30"/>
  <c r="J179" i="30"/>
  <c r="H179" i="30"/>
  <c r="H174" i="30" s="1"/>
  <c r="H173" i="30" s="1"/>
  <c r="G179" i="30"/>
  <c r="E179" i="30"/>
  <c r="D179" i="30"/>
  <c r="O178" i="30"/>
  <c r="L178" i="30"/>
  <c r="I178" i="30"/>
  <c r="F178" i="30"/>
  <c r="O177" i="30"/>
  <c r="L177" i="30"/>
  <c r="I177" i="30"/>
  <c r="F177" i="30"/>
  <c r="O176" i="30"/>
  <c r="L176" i="30"/>
  <c r="I176" i="30"/>
  <c r="F176" i="30"/>
  <c r="F175" i="30" s="1"/>
  <c r="F174" i="30" s="1"/>
  <c r="O175" i="30"/>
  <c r="N175" i="30"/>
  <c r="M175" i="30"/>
  <c r="M174" i="30" s="1"/>
  <c r="M173" i="30" s="1"/>
  <c r="K175" i="30"/>
  <c r="K174" i="30" s="1"/>
  <c r="K173" i="30" s="1"/>
  <c r="J175" i="30"/>
  <c r="J174" i="30" s="1"/>
  <c r="H175" i="30"/>
  <c r="G175" i="30"/>
  <c r="E175" i="30"/>
  <c r="E174" i="30" s="1"/>
  <c r="E173" i="30" s="1"/>
  <c r="D175" i="30"/>
  <c r="F173" i="30"/>
  <c r="O172" i="30"/>
  <c r="L172" i="30"/>
  <c r="I172" i="30"/>
  <c r="F172" i="30"/>
  <c r="O171" i="30"/>
  <c r="L171" i="30"/>
  <c r="I171" i="30"/>
  <c r="F171" i="30"/>
  <c r="O170" i="30"/>
  <c r="L170" i="30"/>
  <c r="I170" i="30"/>
  <c r="F170" i="30"/>
  <c r="O169" i="30"/>
  <c r="L169" i="30"/>
  <c r="I169" i="30"/>
  <c r="F169" i="30"/>
  <c r="O168" i="30"/>
  <c r="L168" i="30"/>
  <c r="I168" i="30"/>
  <c r="F168" i="30"/>
  <c r="O167" i="30"/>
  <c r="O166" i="30" s="1"/>
  <c r="O165" i="30" s="1"/>
  <c r="L167" i="30"/>
  <c r="I167" i="30"/>
  <c r="I166" i="30" s="1"/>
  <c r="I165" i="30" s="1"/>
  <c r="F167" i="30"/>
  <c r="F166" i="30" s="1"/>
  <c r="N166" i="30"/>
  <c r="N165" i="30" s="1"/>
  <c r="M166" i="30"/>
  <c r="K166" i="30"/>
  <c r="K165" i="30" s="1"/>
  <c r="J166" i="30"/>
  <c r="J165" i="30" s="1"/>
  <c r="H166" i="30"/>
  <c r="H165" i="30" s="1"/>
  <c r="G166" i="30"/>
  <c r="G165" i="30" s="1"/>
  <c r="E166" i="30"/>
  <c r="D166" i="30"/>
  <c r="D165" i="30" s="1"/>
  <c r="M165" i="30"/>
  <c r="E165" i="30"/>
  <c r="O164" i="30"/>
  <c r="L164" i="30"/>
  <c r="I164" i="30"/>
  <c r="F164" i="30"/>
  <c r="O163" i="30"/>
  <c r="L163" i="30"/>
  <c r="I163" i="30"/>
  <c r="F163" i="30"/>
  <c r="O162" i="30"/>
  <c r="L162" i="30"/>
  <c r="I162" i="30"/>
  <c r="F162" i="30"/>
  <c r="C162" i="30" s="1"/>
  <c r="O161" i="30"/>
  <c r="L161" i="30"/>
  <c r="L160" i="30" s="1"/>
  <c r="I161" i="30"/>
  <c r="F161" i="30"/>
  <c r="O160" i="30"/>
  <c r="N160" i="30"/>
  <c r="M160" i="30"/>
  <c r="K160" i="30"/>
  <c r="J160" i="30"/>
  <c r="H160" i="30"/>
  <c r="G160" i="30"/>
  <c r="F160" i="30"/>
  <c r="E160" i="30"/>
  <c r="D160" i="30"/>
  <c r="O159" i="30"/>
  <c r="L159" i="30"/>
  <c r="C159" i="30" s="1"/>
  <c r="I159" i="30"/>
  <c r="F159" i="30"/>
  <c r="O158" i="30"/>
  <c r="L158" i="30"/>
  <c r="I158" i="30"/>
  <c r="F158" i="30"/>
  <c r="O157" i="30"/>
  <c r="L157" i="30"/>
  <c r="I157" i="30"/>
  <c r="F157" i="30"/>
  <c r="O156" i="30"/>
  <c r="L156" i="30"/>
  <c r="I156" i="30"/>
  <c r="F156" i="30"/>
  <c r="O155" i="30"/>
  <c r="L155" i="30"/>
  <c r="I155" i="30"/>
  <c r="F155" i="30"/>
  <c r="O154" i="30"/>
  <c r="L154" i="30"/>
  <c r="I154" i="30"/>
  <c r="F154" i="30"/>
  <c r="O153" i="30"/>
  <c r="L153" i="30"/>
  <c r="I153" i="30"/>
  <c r="F153" i="30"/>
  <c r="O152" i="30"/>
  <c r="L152" i="30"/>
  <c r="I152" i="30"/>
  <c r="F152" i="30"/>
  <c r="N151" i="30"/>
  <c r="M151" i="30"/>
  <c r="K151" i="30"/>
  <c r="J151" i="30"/>
  <c r="H151" i="30"/>
  <c r="G151" i="30"/>
  <c r="E151" i="30"/>
  <c r="D151" i="30"/>
  <c r="O150" i="30"/>
  <c r="L150" i="30"/>
  <c r="I150" i="30"/>
  <c r="F150" i="30"/>
  <c r="O149" i="30"/>
  <c r="L149" i="30"/>
  <c r="I149" i="30"/>
  <c r="F149" i="30"/>
  <c r="O148" i="30"/>
  <c r="L148" i="30"/>
  <c r="I148" i="30"/>
  <c r="F148" i="30"/>
  <c r="O147" i="30"/>
  <c r="L147" i="30"/>
  <c r="I147" i="30"/>
  <c r="F147" i="30"/>
  <c r="O146" i="30"/>
  <c r="L146" i="30"/>
  <c r="I146" i="30"/>
  <c r="F146" i="30"/>
  <c r="O145" i="30"/>
  <c r="L145" i="30"/>
  <c r="I145" i="30"/>
  <c r="F145" i="30"/>
  <c r="N144" i="30"/>
  <c r="M144" i="30"/>
  <c r="K144" i="30"/>
  <c r="J144" i="30"/>
  <c r="H144" i="30"/>
  <c r="G144" i="30"/>
  <c r="E144" i="30"/>
  <c r="D144" i="30"/>
  <c r="O143" i="30"/>
  <c r="L143" i="30"/>
  <c r="I143" i="30"/>
  <c r="F143" i="30"/>
  <c r="O142" i="30"/>
  <c r="L142" i="30"/>
  <c r="L141" i="30" s="1"/>
  <c r="I142" i="30"/>
  <c r="F142" i="30"/>
  <c r="N141" i="30"/>
  <c r="M141" i="30"/>
  <c r="K141" i="30"/>
  <c r="J141" i="30"/>
  <c r="H141" i="30"/>
  <c r="G141" i="30"/>
  <c r="E141" i="30"/>
  <c r="D141" i="30"/>
  <c r="O140" i="30"/>
  <c r="L140" i="30"/>
  <c r="I140" i="30"/>
  <c r="F140" i="30"/>
  <c r="O139" i="30"/>
  <c r="L139" i="30"/>
  <c r="I139" i="30"/>
  <c r="F139" i="30"/>
  <c r="O138" i="30"/>
  <c r="L138" i="30"/>
  <c r="I138" i="30"/>
  <c r="F138" i="30"/>
  <c r="O137" i="30"/>
  <c r="L137" i="30"/>
  <c r="L136" i="30" s="1"/>
  <c r="I137" i="30"/>
  <c r="F137" i="30"/>
  <c r="O136" i="30"/>
  <c r="N136" i="30"/>
  <c r="M136" i="30"/>
  <c r="K136" i="30"/>
  <c r="J136" i="30"/>
  <c r="H136" i="30"/>
  <c r="G136" i="30"/>
  <c r="E136" i="30"/>
  <c r="D136" i="30"/>
  <c r="O135" i="30"/>
  <c r="L135" i="30"/>
  <c r="I135" i="30"/>
  <c r="F135" i="30"/>
  <c r="O134" i="30"/>
  <c r="L134" i="30"/>
  <c r="I134" i="30"/>
  <c r="F134" i="30"/>
  <c r="O133" i="30"/>
  <c r="L133" i="30"/>
  <c r="I133" i="30"/>
  <c r="F133" i="30"/>
  <c r="O132" i="30"/>
  <c r="L132" i="30"/>
  <c r="I132" i="30"/>
  <c r="F132" i="30"/>
  <c r="O131" i="30"/>
  <c r="N131" i="30"/>
  <c r="M131" i="30"/>
  <c r="K131" i="30"/>
  <c r="J131" i="30"/>
  <c r="H131" i="30"/>
  <c r="G131" i="30"/>
  <c r="E131" i="30"/>
  <c r="D131" i="30"/>
  <c r="E130" i="30"/>
  <c r="O129" i="30"/>
  <c r="L129" i="30"/>
  <c r="L128" i="30" s="1"/>
  <c r="I129" i="30"/>
  <c r="I128" i="30" s="1"/>
  <c r="F129" i="30"/>
  <c r="O128" i="30"/>
  <c r="N128" i="30"/>
  <c r="M128" i="30"/>
  <c r="K128" i="30"/>
  <c r="J128" i="30"/>
  <c r="H128" i="30"/>
  <c r="G128" i="30"/>
  <c r="F128" i="30"/>
  <c r="E128" i="30"/>
  <c r="D128" i="30"/>
  <c r="O127" i="30"/>
  <c r="L127" i="30"/>
  <c r="I127" i="30"/>
  <c r="F127" i="30"/>
  <c r="O126" i="30"/>
  <c r="L126" i="30"/>
  <c r="I126" i="30"/>
  <c r="F126" i="30"/>
  <c r="O125" i="30"/>
  <c r="L125" i="30"/>
  <c r="I125" i="30"/>
  <c r="F125" i="30"/>
  <c r="O124" i="30"/>
  <c r="L124" i="30"/>
  <c r="I124" i="30"/>
  <c r="F124" i="30"/>
  <c r="O123" i="30"/>
  <c r="L123" i="30"/>
  <c r="I123" i="30"/>
  <c r="I122" i="30" s="1"/>
  <c r="F123" i="30"/>
  <c r="N122" i="30"/>
  <c r="M122" i="30"/>
  <c r="K122" i="30"/>
  <c r="J122" i="30"/>
  <c r="H122" i="30"/>
  <c r="G122" i="30"/>
  <c r="E122" i="30"/>
  <c r="D122" i="30"/>
  <c r="O121" i="30"/>
  <c r="L121" i="30"/>
  <c r="I121" i="30"/>
  <c r="F121" i="30"/>
  <c r="O120" i="30"/>
  <c r="L120" i="30"/>
  <c r="I120" i="30"/>
  <c r="F120" i="30"/>
  <c r="O119" i="30"/>
  <c r="L119" i="30"/>
  <c r="I119" i="30"/>
  <c r="F119" i="30"/>
  <c r="O118" i="30"/>
  <c r="L118" i="30"/>
  <c r="I118" i="30"/>
  <c r="F118" i="30"/>
  <c r="O117" i="30"/>
  <c r="L117" i="30"/>
  <c r="I117" i="30"/>
  <c r="F117" i="30"/>
  <c r="N116" i="30"/>
  <c r="M116" i="30"/>
  <c r="K116" i="30"/>
  <c r="J116" i="30"/>
  <c r="H116" i="30"/>
  <c r="G116" i="30"/>
  <c r="E116" i="30"/>
  <c r="D116" i="30"/>
  <c r="O115" i="30"/>
  <c r="L115" i="30"/>
  <c r="I115" i="30"/>
  <c r="F115" i="30"/>
  <c r="O114" i="30"/>
  <c r="L114" i="30"/>
  <c r="I114" i="30"/>
  <c r="F114" i="30"/>
  <c r="O113" i="30"/>
  <c r="L113" i="30"/>
  <c r="I113" i="30"/>
  <c r="F113" i="30"/>
  <c r="F112" i="30" s="1"/>
  <c r="O112" i="30"/>
  <c r="N112" i="30"/>
  <c r="M112" i="30"/>
  <c r="K112" i="30"/>
  <c r="J112" i="30"/>
  <c r="H112" i="30"/>
  <c r="G112" i="30"/>
  <c r="E112" i="30"/>
  <c r="D112" i="30"/>
  <c r="O111" i="30"/>
  <c r="L111" i="30"/>
  <c r="I111" i="30"/>
  <c r="F111" i="30"/>
  <c r="O110" i="30"/>
  <c r="L110" i="30"/>
  <c r="I110" i="30"/>
  <c r="F110" i="30"/>
  <c r="O109" i="30"/>
  <c r="L109" i="30"/>
  <c r="I109" i="30"/>
  <c r="F109" i="30"/>
  <c r="O108" i="30"/>
  <c r="L108" i="30"/>
  <c r="I108" i="30"/>
  <c r="F108" i="30"/>
  <c r="O107" i="30"/>
  <c r="L107" i="30"/>
  <c r="I107" i="30"/>
  <c r="F107" i="30"/>
  <c r="O106" i="30"/>
  <c r="L106" i="30"/>
  <c r="I106" i="30"/>
  <c r="F106" i="30"/>
  <c r="O105" i="30"/>
  <c r="L105" i="30"/>
  <c r="I105" i="30"/>
  <c r="F105" i="30"/>
  <c r="C105" i="30" s="1"/>
  <c r="O104" i="30"/>
  <c r="L104" i="30"/>
  <c r="I104" i="30"/>
  <c r="F104" i="30"/>
  <c r="N103" i="30"/>
  <c r="M103" i="30"/>
  <c r="K103" i="30"/>
  <c r="J103" i="30"/>
  <c r="H103" i="30"/>
  <c r="G103" i="30"/>
  <c r="E103" i="30"/>
  <c r="D103" i="30"/>
  <c r="O102" i="30"/>
  <c r="L102" i="30"/>
  <c r="I102" i="30"/>
  <c r="F102" i="30"/>
  <c r="O101" i="30"/>
  <c r="L101" i="30"/>
  <c r="I101" i="30"/>
  <c r="F101" i="30"/>
  <c r="O100" i="30"/>
  <c r="L100" i="30"/>
  <c r="I100" i="30"/>
  <c r="F100" i="30"/>
  <c r="O99" i="30"/>
  <c r="L99" i="30"/>
  <c r="I99" i="30"/>
  <c r="F99" i="30"/>
  <c r="O98" i="30"/>
  <c r="L98" i="30"/>
  <c r="I98" i="30"/>
  <c r="F98" i="30"/>
  <c r="O97" i="30"/>
  <c r="L97" i="30"/>
  <c r="I97" i="30"/>
  <c r="F97" i="30"/>
  <c r="O96" i="30"/>
  <c r="O95" i="30" s="1"/>
  <c r="L96" i="30"/>
  <c r="I96" i="30"/>
  <c r="F96" i="30"/>
  <c r="N95" i="30"/>
  <c r="M95" i="30"/>
  <c r="K95" i="30"/>
  <c r="J95" i="30"/>
  <c r="H95" i="30"/>
  <c r="G95" i="30"/>
  <c r="E95" i="30"/>
  <c r="D95" i="30"/>
  <c r="O94" i="30"/>
  <c r="L94" i="30"/>
  <c r="I94" i="30"/>
  <c r="F94" i="30"/>
  <c r="O93" i="30"/>
  <c r="L93" i="30"/>
  <c r="I93" i="30"/>
  <c r="F93" i="30"/>
  <c r="O92" i="30"/>
  <c r="L92" i="30"/>
  <c r="I92" i="30"/>
  <c r="F92" i="30"/>
  <c r="O91" i="30"/>
  <c r="L91" i="30"/>
  <c r="I91" i="30"/>
  <c r="F91" i="30"/>
  <c r="O90" i="30"/>
  <c r="L90" i="30"/>
  <c r="I90" i="30"/>
  <c r="F90" i="30"/>
  <c r="N89" i="30"/>
  <c r="M89" i="30"/>
  <c r="K89" i="30"/>
  <c r="J89" i="30"/>
  <c r="H89" i="30"/>
  <c r="G89" i="30"/>
  <c r="F89" i="30"/>
  <c r="E89" i="30"/>
  <c r="D89" i="30"/>
  <c r="O88" i="30"/>
  <c r="L88" i="30"/>
  <c r="I88" i="30"/>
  <c r="F88" i="30"/>
  <c r="O87" i="30"/>
  <c r="L87" i="30"/>
  <c r="I87" i="30"/>
  <c r="F87" i="30"/>
  <c r="O86" i="30"/>
  <c r="L86" i="30"/>
  <c r="I86" i="30"/>
  <c r="F86" i="30"/>
  <c r="O85" i="30"/>
  <c r="O84" i="30" s="1"/>
  <c r="L85" i="30"/>
  <c r="I85" i="30"/>
  <c r="F85" i="30"/>
  <c r="F84" i="30" s="1"/>
  <c r="N84" i="30"/>
  <c r="M84" i="30"/>
  <c r="K84" i="30"/>
  <c r="J84" i="30"/>
  <c r="H84" i="30"/>
  <c r="G84" i="30"/>
  <c r="E84" i="30"/>
  <c r="D84" i="30"/>
  <c r="O82" i="30"/>
  <c r="L82" i="30"/>
  <c r="I82" i="30"/>
  <c r="F82" i="30"/>
  <c r="O81" i="30"/>
  <c r="O80" i="30" s="1"/>
  <c r="L81" i="30"/>
  <c r="I81" i="30"/>
  <c r="F81" i="30"/>
  <c r="F80" i="30" s="1"/>
  <c r="N80" i="30"/>
  <c r="M80" i="30"/>
  <c r="M76" i="30" s="1"/>
  <c r="K80" i="30"/>
  <c r="J80" i="30"/>
  <c r="H80" i="30"/>
  <c r="G80" i="30"/>
  <c r="E80" i="30"/>
  <c r="D80" i="30"/>
  <c r="O79" i="30"/>
  <c r="L79" i="30"/>
  <c r="I79" i="30"/>
  <c r="F79" i="30"/>
  <c r="O78" i="30"/>
  <c r="L78" i="30"/>
  <c r="L77" i="30" s="1"/>
  <c r="I78" i="30"/>
  <c r="F78" i="30"/>
  <c r="O77" i="30"/>
  <c r="N77" i="30"/>
  <c r="M77" i="30"/>
  <c r="K77" i="30"/>
  <c r="J77" i="30"/>
  <c r="H77" i="30"/>
  <c r="H76" i="30" s="1"/>
  <c r="G77" i="30"/>
  <c r="F77" i="30"/>
  <c r="E77" i="30"/>
  <c r="D77" i="30"/>
  <c r="O74" i="30"/>
  <c r="L74" i="30"/>
  <c r="I74" i="30"/>
  <c r="F74" i="30"/>
  <c r="O73" i="30"/>
  <c r="L73" i="30"/>
  <c r="I73" i="30"/>
  <c r="F73" i="30"/>
  <c r="O72" i="30"/>
  <c r="L72" i="30"/>
  <c r="I72" i="30"/>
  <c r="F72" i="30"/>
  <c r="O71" i="30"/>
  <c r="L71" i="30"/>
  <c r="I71" i="30"/>
  <c r="F71" i="30"/>
  <c r="O70" i="30"/>
  <c r="L70" i="30"/>
  <c r="I70" i="30"/>
  <c r="F70" i="30"/>
  <c r="N69" i="30"/>
  <c r="M69" i="30"/>
  <c r="K69" i="30"/>
  <c r="K67" i="30" s="1"/>
  <c r="J69" i="30"/>
  <c r="J67" i="30" s="1"/>
  <c r="H69" i="30"/>
  <c r="H67" i="30" s="1"/>
  <c r="G69" i="30"/>
  <c r="G67" i="30" s="1"/>
  <c r="E69" i="30"/>
  <c r="D69" i="30"/>
  <c r="D67" i="30" s="1"/>
  <c r="O68" i="30"/>
  <c r="L68" i="30"/>
  <c r="I68" i="30"/>
  <c r="F68" i="30"/>
  <c r="N67" i="30"/>
  <c r="M67" i="30"/>
  <c r="E67" i="30"/>
  <c r="O66" i="30"/>
  <c r="L66" i="30"/>
  <c r="I66" i="30"/>
  <c r="F66" i="30"/>
  <c r="O65" i="30"/>
  <c r="L65" i="30"/>
  <c r="I65" i="30"/>
  <c r="F65" i="30"/>
  <c r="O64" i="30"/>
  <c r="L64" i="30"/>
  <c r="I64" i="30"/>
  <c r="F64" i="30"/>
  <c r="O63" i="30"/>
  <c r="L63" i="30"/>
  <c r="I63" i="30"/>
  <c r="F63" i="30"/>
  <c r="O62" i="30"/>
  <c r="L62" i="30"/>
  <c r="I62" i="30"/>
  <c r="F62" i="30"/>
  <c r="O61" i="30"/>
  <c r="L61" i="30"/>
  <c r="I61" i="30"/>
  <c r="F61" i="30"/>
  <c r="O60" i="30"/>
  <c r="L60" i="30"/>
  <c r="I60" i="30"/>
  <c r="F60" i="30"/>
  <c r="O59" i="30"/>
  <c r="L59" i="30"/>
  <c r="I59" i="30"/>
  <c r="F59" i="30"/>
  <c r="N58" i="30"/>
  <c r="M58" i="30"/>
  <c r="K58" i="30"/>
  <c r="J58" i="30"/>
  <c r="H58" i="30"/>
  <c r="G58" i="30"/>
  <c r="E58" i="30"/>
  <c r="D58" i="30"/>
  <c r="O57" i="30"/>
  <c r="L57" i="30"/>
  <c r="I57" i="30"/>
  <c r="F57" i="30"/>
  <c r="O56" i="30"/>
  <c r="O55" i="30" s="1"/>
  <c r="L56" i="30"/>
  <c r="I56" i="30"/>
  <c r="I55" i="30" s="1"/>
  <c r="F56" i="30"/>
  <c r="N55" i="30"/>
  <c r="M55" i="30"/>
  <c r="K55" i="30"/>
  <c r="K54" i="30" s="1"/>
  <c r="K53" i="30" s="1"/>
  <c r="J55" i="30"/>
  <c r="H55" i="30"/>
  <c r="H54" i="30" s="1"/>
  <c r="G55" i="30"/>
  <c r="G54" i="30" s="1"/>
  <c r="G53" i="30" s="1"/>
  <c r="E55" i="30"/>
  <c r="D55" i="30"/>
  <c r="O47" i="30"/>
  <c r="C47" i="30" s="1"/>
  <c r="O46" i="30"/>
  <c r="C46" i="30" s="1"/>
  <c r="N45" i="30"/>
  <c r="M45" i="30"/>
  <c r="L44" i="30"/>
  <c r="L43" i="30" s="1"/>
  <c r="I44" i="30"/>
  <c r="I43" i="30" s="1"/>
  <c r="F44" i="30"/>
  <c r="F43" i="30" s="1"/>
  <c r="K43" i="30"/>
  <c r="J43" i="30"/>
  <c r="H43" i="30"/>
  <c r="G43" i="30"/>
  <c r="E43" i="30"/>
  <c r="D43" i="30"/>
  <c r="F42" i="30"/>
  <c r="F41" i="30" s="1"/>
  <c r="C41" i="30" s="1"/>
  <c r="E41" i="30"/>
  <c r="D41" i="30"/>
  <c r="L40" i="30"/>
  <c r="C40" i="30" s="1"/>
  <c r="L39" i="30"/>
  <c r="C39" i="30" s="1"/>
  <c r="L38" i="30"/>
  <c r="C38" i="30" s="1"/>
  <c r="L37" i="30"/>
  <c r="K36" i="30"/>
  <c r="J36" i="30"/>
  <c r="L35" i="30"/>
  <c r="C35" i="30" s="1"/>
  <c r="L34" i="30"/>
  <c r="C34" i="30" s="1"/>
  <c r="K33" i="30"/>
  <c r="J33" i="30"/>
  <c r="L32" i="30"/>
  <c r="K31" i="30"/>
  <c r="J31" i="30"/>
  <c r="L30" i="30"/>
  <c r="C30" i="30" s="1"/>
  <c r="L29" i="30"/>
  <c r="C29" i="30" s="1"/>
  <c r="L28" i="30"/>
  <c r="C28" i="30" s="1"/>
  <c r="K27" i="30"/>
  <c r="J27" i="30"/>
  <c r="F25" i="30"/>
  <c r="C25" i="30" s="1"/>
  <c r="I24" i="30"/>
  <c r="F24" i="30"/>
  <c r="O23" i="30"/>
  <c r="L23" i="30"/>
  <c r="I23" i="30"/>
  <c r="F23" i="30"/>
  <c r="O22" i="30"/>
  <c r="L22" i="30"/>
  <c r="L21" i="30" s="1"/>
  <c r="I22" i="30"/>
  <c r="F22" i="30"/>
  <c r="O21" i="30"/>
  <c r="O292" i="30" s="1"/>
  <c r="O291" i="30" s="1"/>
  <c r="N21" i="30"/>
  <c r="N292" i="30" s="1"/>
  <c r="N291" i="30" s="1"/>
  <c r="M21" i="30"/>
  <c r="K21" i="30"/>
  <c r="J21" i="30"/>
  <c r="J292" i="30" s="1"/>
  <c r="J291" i="30" s="1"/>
  <c r="H21" i="30"/>
  <c r="G21" i="30"/>
  <c r="E21" i="30"/>
  <c r="D21" i="30"/>
  <c r="O301" i="29"/>
  <c r="L301" i="29"/>
  <c r="I301" i="29"/>
  <c r="F301" i="29"/>
  <c r="O300" i="29"/>
  <c r="L300" i="29"/>
  <c r="I300" i="29"/>
  <c r="F300" i="29"/>
  <c r="O299" i="29"/>
  <c r="L299" i="29"/>
  <c r="I299" i="29"/>
  <c r="F299" i="29"/>
  <c r="O298" i="29"/>
  <c r="L298" i="29"/>
  <c r="I298" i="29"/>
  <c r="F298" i="29"/>
  <c r="O297" i="29"/>
  <c r="L297" i="29"/>
  <c r="I297" i="29"/>
  <c r="F297" i="29"/>
  <c r="O296" i="29"/>
  <c r="L296" i="29"/>
  <c r="I296" i="29"/>
  <c r="F296" i="29"/>
  <c r="O295" i="29"/>
  <c r="L295" i="29"/>
  <c r="I295" i="29"/>
  <c r="F295" i="29"/>
  <c r="O294" i="29"/>
  <c r="L294" i="29"/>
  <c r="L293" i="29" s="1"/>
  <c r="I294" i="29"/>
  <c r="F294" i="29"/>
  <c r="N293" i="29"/>
  <c r="M293" i="29"/>
  <c r="K293" i="29"/>
  <c r="J293" i="29"/>
  <c r="I293" i="29"/>
  <c r="H293" i="29"/>
  <c r="G293" i="29"/>
  <c r="E293" i="29"/>
  <c r="D293" i="29"/>
  <c r="O288" i="29"/>
  <c r="L288" i="29"/>
  <c r="I288" i="29"/>
  <c r="F288" i="29"/>
  <c r="O287" i="29"/>
  <c r="L287" i="29"/>
  <c r="I287" i="29"/>
  <c r="F287" i="29"/>
  <c r="O286" i="29"/>
  <c r="N286" i="29"/>
  <c r="M286" i="29"/>
  <c r="K286" i="29"/>
  <c r="J286" i="29"/>
  <c r="H286" i="29"/>
  <c r="G286" i="29"/>
  <c r="F286" i="29"/>
  <c r="E286" i="29"/>
  <c r="D286" i="29"/>
  <c r="O285" i="29"/>
  <c r="L285" i="29"/>
  <c r="L284" i="29" s="1"/>
  <c r="L283" i="29" s="1"/>
  <c r="I285" i="29"/>
  <c r="F285" i="29"/>
  <c r="O284" i="29"/>
  <c r="N284" i="29"/>
  <c r="N283" i="29" s="1"/>
  <c r="M284" i="29"/>
  <c r="M283" i="29" s="1"/>
  <c r="K284" i="29"/>
  <c r="J284" i="29"/>
  <c r="J283" i="29" s="1"/>
  <c r="I284" i="29"/>
  <c r="I283" i="29" s="1"/>
  <c r="H284" i="29"/>
  <c r="G284" i="29"/>
  <c r="F284" i="29"/>
  <c r="E284" i="29"/>
  <c r="E283" i="29" s="1"/>
  <c r="D284" i="29"/>
  <c r="D283" i="29" s="1"/>
  <c r="O283" i="29"/>
  <c r="K283" i="29"/>
  <c r="H283" i="29"/>
  <c r="G283" i="29"/>
  <c r="O282" i="29"/>
  <c r="O281" i="29" s="1"/>
  <c r="L282" i="29"/>
  <c r="L281" i="29" s="1"/>
  <c r="I282" i="29"/>
  <c r="I281" i="29" s="1"/>
  <c r="F282" i="29"/>
  <c r="F281" i="29" s="1"/>
  <c r="N281" i="29"/>
  <c r="M281" i="29"/>
  <c r="K281" i="29"/>
  <c r="J281" i="29"/>
  <c r="H281" i="29"/>
  <c r="G281" i="29"/>
  <c r="E281" i="29"/>
  <c r="D281" i="29"/>
  <c r="O280" i="29"/>
  <c r="L280" i="29"/>
  <c r="I280" i="29"/>
  <c r="F280" i="29"/>
  <c r="O279" i="29"/>
  <c r="L279" i="29"/>
  <c r="I279" i="29"/>
  <c r="F279" i="29"/>
  <c r="O278" i="29"/>
  <c r="L278" i="29"/>
  <c r="I278" i="29"/>
  <c r="F278" i="29"/>
  <c r="C278" i="29" s="1"/>
  <c r="O277" i="29"/>
  <c r="L277" i="29"/>
  <c r="I277" i="29"/>
  <c r="I276" i="29" s="1"/>
  <c r="F277" i="29"/>
  <c r="F276" i="29" s="1"/>
  <c r="N276" i="29"/>
  <c r="M276" i="29"/>
  <c r="K276" i="29"/>
  <c r="J276" i="29"/>
  <c r="H276" i="29"/>
  <c r="G276" i="29"/>
  <c r="E276" i="29"/>
  <c r="D276" i="29"/>
  <c r="O275" i="29"/>
  <c r="L275" i="29"/>
  <c r="I275" i="29"/>
  <c r="F275" i="29"/>
  <c r="O274" i="29"/>
  <c r="L274" i="29"/>
  <c r="I274" i="29"/>
  <c r="F274" i="29"/>
  <c r="O273" i="29"/>
  <c r="L273" i="29"/>
  <c r="L272" i="29" s="1"/>
  <c r="I273" i="29"/>
  <c r="I272" i="29" s="1"/>
  <c r="F273" i="29"/>
  <c r="N272" i="29"/>
  <c r="N270" i="29" s="1"/>
  <c r="M272" i="29"/>
  <c r="M270" i="29" s="1"/>
  <c r="K272" i="29"/>
  <c r="J272" i="29"/>
  <c r="H272" i="29"/>
  <c r="H270" i="29" s="1"/>
  <c r="H269" i="29" s="1"/>
  <c r="G272" i="29"/>
  <c r="E272" i="29"/>
  <c r="D272" i="29"/>
  <c r="O271" i="29"/>
  <c r="L271" i="29"/>
  <c r="I271" i="29"/>
  <c r="F271" i="29"/>
  <c r="C271" i="29" s="1"/>
  <c r="K270" i="29"/>
  <c r="K269" i="29" s="1"/>
  <c r="G270" i="29"/>
  <c r="G269" i="29" s="1"/>
  <c r="D270" i="29"/>
  <c r="D269" i="29" s="1"/>
  <c r="O268" i="29"/>
  <c r="L268" i="29"/>
  <c r="I268" i="29"/>
  <c r="F268" i="29"/>
  <c r="O267" i="29"/>
  <c r="L267" i="29"/>
  <c r="I267" i="29"/>
  <c r="F267" i="29"/>
  <c r="O266" i="29"/>
  <c r="L266" i="29"/>
  <c r="I266" i="29"/>
  <c r="F266" i="29"/>
  <c r="O265" i="29"/>
  <c r="L265" i="29"/>
  <c r="I265" i="29"/>
  <c r="I264" i="29" s="1"/>
  <c r="F265" i="29"/>
  <c r="C265" i="29" s="1"/>
  <c r="N264" i="29"/>
  <c r="M264" i="29"/>
  <c r="K264" i="29"/>
  <c r="J264" i="29"/>
  <c r="H264" i="29"/>
  <c r="G264" i="29"/>
  <c r="E264" i="29"/>
  <c r="D264" i="29"/>
  <c r="D259" i="29" s="1"/>
  <c r="O263" i="29"/>
  <c r="L263" i="29"/>
  <c r="I263" i="29"/>
  <c r="F263" i="29"/>
  <c r="O262" i="29"/>
  <c r="L262" i="29"/>
  <c r="I262" i="29"/>
  <c r="F262" i="29"/>
  <c r="O261" i="29"/>
  <c r="L261" i="29"/>
  <c r="I261" i="29"/>
  <c r="I260" i="29" s="1"/>
  <c r="F261" i="29"/>
  <c r="N260" i="29"/>
  <c r="M260" i="29"/>
  <c r="M259" i="29" s="1"/>
  <c r="K260" i="29"/>
  <c r="J260" i="29"/>
  <c r="H260" i="29"/>
  <c r="G260" i="29"/>
  <c r="G259" i="29" s="1"/>
  <c r="F260" i="29"/>
  <c r="E260" i="29"/>
  <c r="D260" i="29"/>
  <c r="K259" i="29"/>
  <c r="H259" i="29"/>
  <c r="O258" i="29"/>
  <c r="L258" i="29"/>
  <c r="I258" i="29"/>
  <c r="F258" i="29"/>
  <c r="O257" i="29"/>
  <c r="L257" i="29"/>
  <c r="I257" i="29"/>
  <c r="F257" i="29"/>
  <c r="O256" i="29"/>
  <c r="L256" i="29"/>
  <c r="I256" i="29"/>
  <c r="F256" i="29"/>
  <c r="O255" i="29"/>
  <c r="L255" i="29"/>
  <c r="I255" i="29"/>
  <c r="F255" i="29"/>
  <c r="O254" i="29"/>
  <c r="L254" i="29"/>
  <c r="I254" i="29"/>
  <c r="F254" i="29"/>
  <c r="O253" i="29"/>
  <c r="L253" i="29"/>
  <c r="I253" i="29"/>
  <c r="I252" i="29" s="1"/>
  <c r="F253" i="29"/>
  <c r="N252" i="29"/>
  <c r="M252" i="29"/>
  <c r="M251" i="29" s="1"/>
  <c r="K252" i="29"/>
  <c r="K251" i="29" s="1"/>
  <c r="J252" i="29"/>
  <c r="H252" i="29"/>
  <c r="H251" i="29" s="1"/>
  <c r="G252" i="29"/>
  <c r="G251" i="29" s="1"/>
  <c r="E252" i="29"/>
  <c r="E251" i="29" s="1"/>
  <c r="D252" i="29"/>
  <c r="N251" i="29"/>
  <c r="J251" i="29"/>
  <c r="D251" i="29"/>
  <c r="O250" i="29"/>
  <c r="L250" i="29"/>
  <c r="I250" i="29"/>
  <c r="F250" i="29"/>
  <c r="O249" i="29"/>
  <c r="L249" i="29"/>
  <c r="I249" i="29"/>
  <c r="F249" i="29"/>
  <c r="O248" i="29"/>
  <c r="L248" i="29"/>
  <c r="I248" i="29"/>
  <c r="F248" i="29"/>
  <c r="O247" i="29"/>
  <c r="L247" i="29"/>
  <c r="I247" i="29"/>
  <c r="F247" i="29"/>
  <c r="O246" i="29"/>
  <c r="N246" i="29"/>
  <c r="M246" i="29"/>
  <c r="K246" i="29"/>
  <c r="J246" i="29"/>
  <c r="H246" i="29"/>
  <c r="G246" i="29"/>
  <c r="E246" i="29"/>
  <c r="D246" i="29"/>
  <c r="O245" i="29"/>
  <c r="L245" i="29"/>
  <c r="I245" i="29"/>
  <c r="F245" i="29"/>
  <c r="O244" i="29"/>
  <c r="L244" i="29"/>
  <c r="I244" i="29"/>
  <c r="F244" i="29"/>
  <c r="O243" i="29"/>
  <c r="L243" i="29"/>
  <c r="I243" i="29"/>
  <c r="F243" i="29"/>
  <c r="O242" i="29"/>
  <c r="L242" i="29"/>
  <c r="I242" i="29"/>
  <c r="F242" i="29"/>
  <c r="C242" i="29" s="1"/>
  <c r="O241" i="29"/>
  <c r="L241" i="29"/>
  <c r="I241" i="29"/>
  <c r="F241" i="29"/>
  <c r="O240" i="29"/>
  <c r="L240" i="29"/>
  <c r="I240" i="29"/>
  <c r="F240" i="29"/>
  <c r="O239" i="29"/>
  <c r="L239" i="29"/>
  <c r="I239" i="29"/>
  <c r="F239" i="29"/>
  <c r="C239" i="29" s="1"/>
  <c r="N238" i="29"/>
  <c r="M238" i="29"/>
  <c r="K238" i="29"/>
  <c r="J238" i="29"/>
  <c r="H238" i="29"/>
  <c r="G238" i="29"/>
  <c r="E238" i="29"/>
  <c r="D238" i="29"/>
  <c r="O237" i="29"/>
  <c r="L237" i="29"/>
  <c r="I237" i="29"/>
  <c r="F237" i="29"/>
  <c r="O236" i="29"/>
  <c r="L236" i="29"/>
  <c r="L235" i="29" s="1"/>
  <c r="I236" i="29"/>
  <c r="I235" i="29" s="1"/>
  <c r="F236" i="29"/>
  <c r="O235" i="29"/>
  <c r="N235" i="29"/>
  <c r="M235" i="29"/>
  <c r="K235" i="29"/>
  <c r="J235" i="29"/>
  <c r="H235" i="29"/>
  <c r="G235" i="29"/>
  <c r="F235" i="29"/>
  <c r="E235" i="29"/>
  <c r="D235" i="29"/>
  <c r="O234" i="29"/>
  <c r="O233" i="29" s="1"/>
  <c r="L234" i="29"/>
  <c r="L233" i="29" s="1"/>
  <c r="I234" i="29"/>
  <c r="F234" i="29"/>
  <c r="F233" i="29" s="1"/>
  <c r="C234" i="29"/>
  <c r="N233" i="29"/>
  <c r="N231" i="29" s="1"/>
  <c r="M233" i="29"/>
  <c r="K233" i="29"/>
  <c r="J233" i="29"/>
  <c r="I233" i="29"/>
  <c r="H233" i="29"/>
  <c r="G233" i="29"/>
  <c r="E233" i="29"/>
  <c r="D233" i="29"/>
  <c r="O232" i="29"/>
  <c r="L232" i="29"/>
  <c r="I232" i="29"/>
  <c r="F232" i="29"/>
  <c r="K231" i="29"/>
  <c r="O229" i="29"/>
  <c r="L229" i="29"/>
  <c r="I229" i="29"/>
  <c r="F229" i="29"/>
  <c r="C229" i="29" s="1"/>
  <c r="O228" i="29"/>
  <c r="L228" i="29"/>
  <c r="L227" i="29" s="1"/>
  <c r="I228" i="29"/>
  <c r="I227" i="29" s="1"/>
  <c r="F228" i="29"/>
  <c r="C228" i="29" s="1"/>
  <c r="O227" i="29"/>
  <c r="N227" i="29"/>
  <c r="M227" i="29"/>
  <c r="K227" i="29"/>
  <c r="J227" i="29"/>
  <c r="H227" i="29"/>
  <c r="G227" i="29"/>
  <c r="F227" i="29"/>
  <c r="E227" i="29"/>
  <c r="D227" i="29"/>
  <c r="O226" i="29"/>
  <c r="L226" i="29"/>
  <c r="C226" i="29" s="1"/>
  <c r="I226" i="29"/>
  <c r="F226" i="29"/>
  <c r="O225" i="29"/>
  <c r="L225" i="29"/>
  <c r="I225" i="29"/>
  <c r="F225" i="29"/>
  <c r="O224" i="29"/>
  <c r="L224" i="29"/>
  <c r="I224" i="29"/>
  <c r="F224" i="29"/>
  <c r="O223" i="29"/>
  <c r="L223" i="29"/>
  <c r="I223" i="29"/>
  <c r="F223" i="29"/>
  <c r="C223" i="29" s="1"/>
  <c r="O222" i="29"/>
  <c r="L222" i="29"/>
  <c r="I222" i="29"/>
  <c r="F222" i="29"/>
  <c r="O221" i="29"/>
  <c r="L221" i="29"/>
  <c r="I221" i="29"/>
  <c r="F221" i="29"/>
  <c r="O220" i="29"/>
  <c r="L220" i="29"/>
  <c r="I220" i="29"/>
  <c r="F220" i="29"/>
  <c r="O219" i="29"/>
  <c r="L219" i="29"/>
  <c r="I219" i="29"/>
  <c r="F219" i="29"/>
  <c r="O218" i="29"/>
  <c r="L218" i="29"/>
  <c r="I218" i="29"/>
  <c r="F218" i="29"/>
  <c r="O217" i="29"/>
  <c r="L217" i="29"/>
  <c r="I217" i="29"/>
  <c r="F217" i="29"/>
  <c r="N216" i="29"/>
  <c r="M216" i="29"/>
  <c r="K216" i="29"/>
  <c r="J216" i="29"/>
  <c r="H216" i="29"/>
  <c r="G216" i="29"/>
  <c r="E216" i="29"/>
  <c r="D216" i="29"/>
  <c r="O215" i="29"/>
  <c r="L215" i="29"/>
  <c r="I215" i="29"/>
  <c r="F215" i="29"/>
  <c r="O214" i="29"/>
  <c r="C214" i="29" s="1"/>
  <c r="L214" i="29"/>
  <c r="I214" i="29"/>
  <c r="F214" i="29"/>
  <c r="O213" i="29"/>
  <c r="L213" i="29"/>
  <c r="I213" i="29"/>
  <c r="F213" i="29"/>
  <c r="O212" i="29"/>
  <c r="L212" i="29"/>
  <c r="I212" i="29"/>
  <c r="F212" i="29"/>
  <c r="O211" i="29"/>
  <c r="L211" i="29"/>
  <c r="I211" i="29"/>
  <c r="F211" i="29"/>
  <c r="O210" i="29"/>
  <c r="L210" i="29"/>
  <c r="I210" i="29"/>
  <c r="F210" i="29"/>
  <c r="O209" i="29"/>
  <c r="L209" i="29"/>
  <c r="I209" i="29"/>
  <c r="F209" i="29"/>
  <c r="O208" i="29"/>
  <c r="L208" i="29"/>
  <c r="I208" i="29"/>
  <c r="F208" i="29"/>
  <c r="O207" i="29"/>
  <c r="L207" i="29"/>
  <c r="I207" i="29"/>
  <c r="F207" i="29"/>
  <c r="O206" i="29"/>
  <c r="L206" i="29"/>
  <c r="I206" i="29"/>
  <c r="F206" i="29"/>
  <c r="N205" i="29"/>
  <c r="M205" i="29"/>
  <c r="M204" i="29" s="1"/>
  <c r="K205" i="29"/>
  <c r="J205" i="29"/>
  <c r="H205" i="29"/>
  <c r="H204" i="29" s="1"/>
  <c r="G205" i="29"/>
  <c r="E205" i="29"/>
  <c r="D205" i="29"/>
  <c r="D204" i="29" s="1"/>
  <c r="O203" i="29"/>
  <c r="L203" i="29"/>
  <c r="I203" i="29"/>
  <c r="F203" i="29"/>
  <c r="C203" i="29"/>
  <c r="O202" i="29"/>
  <c r="L202" i="29"/>
  <c r="I202" i="29"/>
  <c r="F202" i="29"/>
  <c r="C202" i="29" s="1"/>
  <c r="O201" i="29"/>
  <c r="L201" i="29"/>
  <c r="I201" i="29"/>
  <c r="F201" i="29"/>
  <c r="O200" i="29"/>
  <c r="L200" i="29"/>
  <c r="I200" i="29"/>
  <c r="F200" i="29"/>
  <c r="O199" i="29"/>
  <c r="L199" i="29"/>
  <c r="I199" i="29"/>
  <c r="F199" i="29"/>
  <c r="F198" i="29" s="1"/>
  <c r="O198" i="29"/>
  <c r="N198" i="29"/>
  <c r="M198" i="29"/>
  <c r="K198" i="29"/>
  <c r="K196" i="29" s="1"/>
  <c r="J198" i="29"/>
  <c r="H198" i="29"/>
  <c r="H196" i="29" s="1"/>
  <c r="G198" i="29"/>
  <c r="G196" i="29" s="1"/>
  <c r="E198" i="29"/>
  <c r="E196" i="29" s="1"/>
  <c r="D198" i="29"/>
  <c r="D196" i="29" s="1"/>
  <c r="D195" i="29" s="1"/>
  <c r="O197" i="29"/>
  <c r="L197" i="29"/>
  <c r="I197" i="29"/>
  <c r="F197" i="29"/>
  <c r="N196" i="29"/>
  <c r="M196" i="29"/>
  <c r="J196" i="29"/>
  <c r="O193" i="29"/>
  <c r="O192" i="29" s="1"/>
  <c r="O191" i="29" s="1"/>
  <c r="L193" i="29"/>
  <c r="I193" i="29"/>
  <c r="F193" i="29"/>
  <c r="F192" i="29" s="1"/>
  <c r="N192" i="29"/>
  <c r="N191" i="29" s="1"/>
  <c r="M192" i="29"/>
  <c r="M191" i="29" s="1"/>
  <c r="L192" i="29"/>
  <c r="K192" i="29"/>
  <c r="K191" i="29" s="1"/>
  <c r="K187" i="29" s="1"/>
  <c r="J192" i="29"/>
  <c r="J191" i="29" s="1"/>
  <c r="I192" i="29"/>
  <c r="I191" i="29" s="1"/>
  <c r="H192" i="29"/>
  <c r="G192" i="29"/>
  <c r="G191" i="29" s="1"/>
  <c r="E192" i="29"/>
  <c r="E191" i="29" s="1"/>
  <c r="D192" i="29"/>
  <c r="L191" i="29"/>
  <c r="L187" i="29" s="1"/>
  <c r="H191" i="29"/>
  <c r="D191" i="29"/>
  <c r="O190" i="29"/>
  <c r="L190" i="29"/>
  <c r="I190" i="29"/>
  <c r="F190" i="29"/>
  <c r="O189" i="29"/>
  <c r="L189" i="29"/>
  <c r="I189" i="29"/>
  <c r="I188" i="29" s="1"/>
  <c r="I187" i="29" s="1"/>
  <c r="F189" i="29"/>
  <c r="F188" i="29" s="1"/>
  <c r="N188" i="29"/>
  <c r="M188" i="29"/>
  <c r="L188" i="29"/>
  <c r="K188" i="29"/>
  <c r="J188" i="29"/>
  <c r="H188" i="29"/>
  <c r="G188" i="29"/>
  <c r="E188" i="29"/>
  <c r="D188" i="29"/>
  <c r="H187" i="29"/>
  <c r="D187" i="29"/>
  <c r="O186" i="29"/>
  <c r="L186" i="29"/>
  <c r="I186" i="29"/>
  <c r="F186" i="29"/>
  <c r="C186" i="29" s="1"/>
  <c r="O185" i="29"/>
  <c r="L185" i="29"/>
  <c r="L184" i="29" s="1"/>
  <c r="I185" i="29"/>
  <c r="F185" i="29"/>
  <c r="F184" i="29" s="1"/>
  <c r="N184" i="29"/>
  <c r="M184" i="29"/>
  <c r="K184" i="29"/>
  <c r="J184" i="29"/>
  <c r="I184" i="29"/>
  <c r="H184" i="29"/>
  <c r="G184" i="29"/>
  <c r="E184" i="29"/>
  <c r="D184" i="29"/>
  <c r="O183" i="29"/>
  <c r="L183" i="29"/>
  <c r="I183" i="29"/>
  <c r="F183" i="29"/>
  <c r="O182" i="29"/>
  <c r="L182" i="29"/>
  <c r="I182" i="29"/>
  <c r="F182" i="29"/>
  <c r="C182" i="29" s="1"/>
  <c r="O181" i="29"/>
  <c r="L181" i="29"/>
  <c r="I181" i="29"/>
  <c r="F181" i="29"/>
  <c r="O180" i="29"/>
  <c r="L180" i="29"/>
  <c r="I180" i="29"/>
  <c r="F180" i="29"/>
  <c r="N179" i="29"/>
  <c r="M179" i="29"/>
  <c r="K179" i="29"/>
  <c r="J179" i="29"/>
  <c r="H179" i="29"/>
  <c r="G179" i="29"/>
  <c r="E179" i="29"/>
  <c r="D179" i="29"/>
  <c r="O178" i="29"/>
  <c r="L178" i="29"/>
  <c r="I178" i="29"/>
  <c r="F178" i="29"/>
  <c r="O177" i="29"/>
  <c r="L177" i="29"/>
  <c r="I177" i="29"/>
  <c r="F177" i="29"/>
  <c r="O176" i="29"/>
  <c r="L176" i="29"/>
  <c r="L175" i="29" s="1"/>
  <c r="I176" i="29"/>
  <c r="I175" i="29" s="1"/>
  <c r="F176" i="29"/>
  <c r="N175" i="29"/>
  <c r="N174" i="29" s="1"/>
  <c r="M175" i="29"/>
  <c r="M174" i="29" s="1"/>
  <c r="M173" i="29" s="1"/>
  <c r="K175" i="29"/>
  <c r="K174" i="29" s="1"/>
  <c r="J175" i="29"/>
  <c r="J174" i="29" s="1"/>
  <c r="H175" i="29"/>
  <c r="H174" i="29" s="1"/>
  <c r="H173" i="29" s="1"/>
  <c r="G175" i="29"/>
  <c r="E175" i="29"/>
  <c r="D175" i="29"/>
  <c r="D174" i="29" s="1"/>
  <c r="G174" i="29"/>
  <c r="E174" i="29"/>
  <c r="O172" i="29"/>
  <c r="L172" i="29"/>
  <c r="I172" i="29"/>
  <c r="F172" i="29"/>
  <c r="O171" i="29"/>
  <c r="L171" i="29"/>
  <c r="I171" i="29"/>
  <c r="F171" i="29"/>
  <c r="O170" i="29"/>
  <c r="L170" i="29"/>
  <c r="I170" i="29"/>
  <c r="F170" i="29"/>
  <c r="O169" i="29"/>
  <c r="L169" i="29"/>
  <c r="I169" i="29"/>
  <c r="F169" i="29"/>
  <c r="O168" i="29"/>
  <c r="L168" i="29"/>
  <c r="I168" i="29"/>
  <c r="I166" i="29" s="1"/>
  <c r="I165" i="29" s="1"/>
  <c r="F168" i="29"/>
  <c r="O167" i="29"/>
  <c r="O166" i="29" s="1"/>
  <c r="O165" i="29" s="1"/>
  <c r="L167" i="29"/>
  <c r="I167" i="29"/>
  <c r="C167" i="29" s="1"/>
  <c r="F167" i="29"/>
  <c r="N166" i="29"/>
  <c r="M166" i="29"/>
  <c r="M165" i="29" s="1"/>
  <c r="L166" i="29"/>
  <c r="K166" i="29"/>
  <c r="K165" i="29" s="1"/>
  <c r="J166" i="29"/>
  <c r="H166" i="29"/>
  <c r="H165" i="29" s="1"/>
  <c r="G166" i="29"/>
  <c r="G165" i="29" s="1"/>
  <c r="E166" i="29"/>
  <c r="D166" i="29"/>
  <c r="N165" i="29"/>
  <c r="J165" i="29"/>
  <c r="E165" i="29"/>
  <c r="D165" i="29"/>
  <c r="O164" i="29"/>
  <c r="L164" i="29"/>
  <c r="I164" i="29"/>
  <c r="F164" i="29"/>
  <c r="O163" i="29"/>
  <c r="L163" i="29"/>
  <c r="I163" i="29"/>
  <c r="F163" i="29"/>
  <c r="O162" i="29"/>
  <c r="L162" i="29"/>
  <c r="I162" i="29"/>
  <c r="F162" i="29"/>
  <c r="O161" i="29"/>
  <c r="L161" i="29"/>
  <c r="L160" i="29" s="1"/>
  <c r="I161" i="29"/>
  <c r="I160" i="29" s="1"/>
  <c r="F161" i="29"/>
  <c r="F160" i="29" s="1"/>
  <c r="N160" i="29"/>
  <c r="M160" i="29"/>
  <c r="K160" i="29"/>
  <c r="J160" i="29"/>
  <c r="H160" i="29"/>
  <c r="G160" i="29"/>
  <c r="E160" i="29"/>
  <c r="D160" i="29"/>
  <c r="O159" i="29"/>
  <c r="L159" i="29"/>
  <c r="I159" i="29"/>
  <c r="F159" i="29"/>
  <c r="O158" i="29"/>
  <c r="L158" i="29"/>
  <c r="I158" i="29"/>
  <c r="F158" i="29"/>
  <c r="O157" i="29"/>
  <c r="L157" i="29"/>
  <c r="I157" i="29"/>
  <c r="F157" i="29"/>
  <c r="O156" i="29"/>
  <c r="L156" i="29"/>
  <c r="I156" i="29"/>
  <c r="F156" i="29"/>
  <c r="O155" i="29"/>
  <c r="L155" i="29"/>
  <c r="I155" i="29"/>
  <c r="F155" i="29"/>
  <c r="O154" i="29"/>
  <c r="L154" i="29"/>
  <c r="I154" i="29"/>
  <c r="F154" i="29"/>
  <c r="O153" i="29"/>
  <c r="L153" i="29"/>
  <c r="I153" i="29"/>
  <c r="F153" i="29"/>
  <c r="O152" i="29"/>
  <c r="L152" i="29"/>
  <c r="I152" i="29"/>
  <c r="F152" i="29"/>
  <c r="N151" i="29"/>
  <c r="M151" i="29"/>
  <c r="K151" i="29"/>
  <c r="J151" i="29"/>
  <c r="H151" i="29"/>
  <c r="G151" i="29"/>
  <c r="E151" i="29"/>
  <c r="D151" i="29"/>
  <c r="O150" i="29"/>
  <c r="L150" i="29"/>
  <c r="I150" i="29"/>
  <c r="F150" i="29"/>
  <c r="O149" i="29"/>
  <c r="L149" i="29"/>
  <c r="I149" i="29"/>
  <c r="F149" i="29"/>
  <c r="O148" i="29"/>
  <c r="L148" i="29"/>
  <c r="I148" i="29"/>
  <c r="F148" i="29"/>
  <c r="O147" i="29"/>
  <c r="L147" i="29"/>
  <c r="I147" i="29"/>
  <c r="F147" i="29"/>
  <c r="O146" i="29"/>
  <c r="L146" i="29"/>
  <c r="I146" i="29"/>
  <c r="F146" i="29"/>
  <c r="O145" i="29"/>
  <c r="L145" i="29"/>
  <c r="I145" i="29"/>
  <c r="F145" i="29"/>
  <c r="N144" i="29"/>
  <c r="M144" i="29"/>
  <c r="K144" i="29"/>
  <c r="J144" i="29"/>
  <c r="H144" i="29"/>
  <c r="G144" i="29"/>
  <c r="E144" i="29"/>
  <c r="D144" i="29"/>
  <c r="O143" i="29"/>
  <c r="C143" i="29" s="1"/>
  <c r="L143" i="29"/>
  <c r="I143" i="29"/>
  <c r="F143" i="29"/>
  <c r="O142" i="29"/>
  <c r="L142" i="29"/>
  <c r="L141" i="29" s="1"/>
  <c r="I142" i="29"/>
  <c r="I141" i="29" s="1"/>
  <c r="F142" i="29"/>
  <c r="F141" i="29" s="1"/>
  <c r="N141" i="29"/>
  <c r="M141" i="29"/>
  <c r="K141" i="29"/>
  <c r="J141" i="29"/>
  <c r="H141" i="29"/>
  <c r="H130" i="29" s="1"/>
  <c r="G141" i="29"/>
  <c r="E141" i="29"/>
  <c r="D141" i="29"/>
  <c r="O140" i="29"/>
  <c r="L140" i="29"/>
  <c r="I140" i="29"/>
  <c r="F140" i="29"/>
  <c r="O139" i="29"/>
  <c r="L139" i="29"/>
  <c r="I139" i="29"/>
  <c r="F139" i="29"/>
  <c r="O138" i="29"/>
  <c r="L138" i="29"/>
  <c r="I138" i="29"/>
  <c r="F138" i="29"/>
  <c r="O137" i="29"/>
  <c r="L137" i="29"/>
  <c r="I137" i="29"/>
  <c r="F137" i="29"/>
  <c r="N136" i="29"/>
  <c r="M136" i="29"/>
  <c r="K136" i="29"/>
  <c r="J136" i="29"/>
  <c r="I136" i="29"/>
  <c r="H136" i="29"/>
  <c r="G136" i="29"/>
  <c r="E136" i="29"/>
  <c r="D136" i="29"/>
  <c r="O135" i="29"/>
  <c r="L135" i="29"/>
  <c r="I135" i="29"/>
  <c r="F135" i="29"/>
  <c r="O134" i="29"/>
  <c r="L134" i="29"/>
  <c r="I134" i="29"/>
  <c r="F134" i="29"/>
  <c r="O133" i="29"/>
  <c r="L133" i="29"/>
  <c r="I133" i="29"/>
  <c r="F133" i="29"/>
  <c r="O132" i="29"/>
  <c r="L132" i="29"/>
  <c r="L131" i="29" s="1"/>
  <c r="I132" i="29"/>
  <c r="I131" i="29" s="1"/>
  <c r="F132" i="29"/>
  <c r="O131" i="29"/>
  <c r="N131" i="29"/>
  <c r="M131" i="29"/>
  <c r="K131" i="29"/>
  <c r="J131" i="29"/>
  <c r="H131" i="29"/>
  <c r="G131" i="29"/>
  <c r="G130" i="29" s="1"/>
  <c r="E131" i="29"/>
  <c r="D131" i="29"/>
  <c r="O129" i="29"/>
  <c r="L129" i="29"/>
  <c r="L128" i="29" s="1"/>
  <c r="I129" i="29"/>
  <c r="F129" i="29"/>
  <c r="F128" i="29" s="1"/>
  <c r="O128" i="29"/>
  <c r="N128" i="29"/>
  <c r="M128" i="29"/>
  <c r="K128" i="29"/>
  <c r="J128" i="29"/>
  <c r="I128" i="29"/>
  <c r="H128" i="29"/>
  <c r="G128" i="29"/>
  <c r="E128" i="29"/>
  <c r="D128" i="29"/>
  <c r="O127" i="29"/>
  <c r="L127" i="29"/>
  <c r="I127" i="29"/>
  <c r="F127" i="29"/>
  <c r="O126" i="29"/>
  <c r="L126" i="29"/>
  <c r="I126" i="29"/>
  <c r="F126" i="29"/>
  <c r="O125" i="29"/>
  <c r="L125" i="29"/>
  <c r="I125" i="29"/>
  <c r="F125" i="29"/>
  <c r="O124" i="29"/>
  <c r="L124" i="29"/>
  <c r="I124" i="29"/>
  <c r="F124" i="29"/>
  <c r="O123" i="29"/>
  <c r="O122" i="29" s="1"/>
  <c r="L123" i="29"/>
  <c r="I123" i="29"/>
  <c r="I122" i="29" s="1"/>
  <c r="F123" i="29"/>
  <c r="N122" i="29"/>
  <c r="M122" i="29"/>
  <c r="K122" i="29"/>
  <c r="J122" i="29"/>
  <c r="H122" i="29"/>
  <c r="G122" i="29"/>
  <c r="F122" i="29"/>
  <c r="E122" i="29"/>
  <c r="D122" i="29"/>
  <c r="O121" i="29"/>
  <c r="L121" i="29"/>
  <c r="I121" i="29"/>
  <c r="F121" i="29"/>
  <c r="O120" i="29"/>
  <c r="L120" i="29"/>
  <c r="I120" i="29"/>
  <c r="F120" i="29"/>
  <c r="O119" i="29"/>
  <c r="L119" i="29"/>
  <c r="I119" i="29"/>
  <c r="F119" i="29"/>
  <c r="O118" i="29"/>
  <c r="L118" i="29"/>
  <c r="I118" i="29"/>
  <c r="F118" i="29"/>
  <c r="O117" i="29"/>
  <c r="O116" i="29" s="1"/>
  <c r="L117" i="29"/>
  <c r="I117" i="29"/>
  <c r="I116" i="29" s="1"/>
  <c r="F117" i="29"/>
  <c r="N116" i="29"/>
  <c r="M116" i="29"/>
  <c r="K116" i="29"/>
  <c r="J116" i="29"/>
  <c r="H116" i="29"/>
  <c r="G116" i="29"/>
  <c r="E116" i="29"/>
  <c r="D116" i="29"/>
  <c r="O115" i="29"/>
  <c r="L115" i="29"/>
  <c r="I115" i="29"/>
  <c r="F115" i="29"/>
  <c r="O114" i="29"/>
  <c r="L114" i="29"/>
  <c r="I114" i="29"/>
  <c r="F114" i="29"/>
  <c r="O113" i="29"/>
  <c r="O112" i="29" s="1"/>
  <c r="L113" i="29"/>
  <c r="I113" i="29"/>
  <c r="I112" i="29" s="1"/>
  <c r="F113" i="29"/>
  <c r="N112" i="29"/>
  <c r="M112" i="29"/>
  <c r="K112" i="29"/>
  <c r="J112" i="29"/>
  <c r="H112" i="29"/>
  <c r="G112" i="29"/>
  <c r="G83" i="29" s="1"/>
  <c r="E112" i="29"/>
  <c r="D112" i="29"/>
  <c r="O111" i="29"/>
  <c r="L111" i="29"/>
  <c r="I111" i="29"/>
  <c r="F111" i="29"/>
  <c r="O110" i="29"/>
  <c r="L110" i="29"/>
  <c r="I110" i="29"/>
  <c r="F110" i="29"/>
  <c r="O109" i="29"/>
  <c r="L109" i="29"/>
  <c r="I109" i="29"/>
  <c r="F109" i="29"/>
  <c r="O108" i="29"/>
  <c r="L108" i="29"/>
  <c r="I108" i="29"/>
  <c r="F108" i="29"/>
  <c r="O107" i="29"/>
  <c r="L107" i="29"/>
  <c r="I107" i="29"/>
  <c r="F107" i="29"/>
  <c r="O106" i="29"/>
  <c r="L106" i="29"/>
  <c r="I106" i="29"/>
  <c r="F106" i="29"/>
  <c r="O105" i="29"/>
  <c r="L105" i="29"/>
  <c r="I105" i="29"/>
  <c r="F105" i="29"/>
  <c r="O104" i="29"/>
  <c r="L104" i="29"/>
  <c r="C104" i="29" s="1"/>
  <c r="I104" i="29"/>
  <c r="F104" i="29"/>
  <c r="N103" i="29"/>
  <c r="M103" i="29"/>
  <c r="K103" i="29"/>
  <c r="J103" i="29"/>
  <c r="H103" i="29"/>
  <c r="G103" i="29"/>
  <c r="E103" i="29"/>
  <c r="D103" i="29"/>
  <c r="O102" i="29"/>
  <c r="L102" i="29"/>
  <c r="I102" i="29"/>
  <c r="F102" i="29"/>
  <c r="O101" i="29"/>
  <c r="L101" i="29"/>
  <c r="I101" i="29"/>
  <c r="F101" i="29"/>
  <c r="O100" i="29"/>
  <c r="L100" i="29"/>
  <c r="I100" i="29"/>
  <c r="F100" i="29"/>
  <c r="O99" i="29"/>
  <c r="L99" i="29"/>
  <c r="I99" i="29"/>
  <c r="F99" i="29"/>
  <c r="O98" i="29"/>
  <c r="L98" i="29"/>
  <c r="I98" i="29"/>
  <c r="F98" i="29"/>
  <c r="O97" i="29"/>
  <c r="L97" i="29"/>
  <c r="I97" i="29"/>
  <c r="F97" i="29"/>
  <c r="O96" i="29"/>
  <c r="L96" i="29"/>
  <c r="L95" i="29" s="1"/>
  <c r="I96" i="29"/>
  <c r="F96" i="29"/>
  <c r="N95" i="29"/>
  <c r="M95" i="29"/>
  <c r="K95" i="29"/>
  <c r="J95" i="29"/>
  <c r="H95" i="29"/>
  <c r="G95" i="29"/>
  <c r="E95" i="29"/>
  <c r="D95" i="29"/>
  <c r="O94" i="29"/>
  <c r="L94" i="29"/>
  <c r="I94" i="29"/>
  <c r="F94" i="29"/>
  <c r="O93" i="29"/>
  <c r="O89" i="29" s="1"/>
  <c r="L93" i="29"/>
  <c r="I93" i="29"/>
  <c r="F93" i="29"/>
  <c r="C93" i="29"/>
  <c r="O92" i="29"/>
  <c r="L92" i="29"/>
  <c r="I92" i="29"/>
  <c r="F92" i="29"/>
  <c r="C92" i="29" s="1"/>
  <c r="O91" i="29"/>
  <c r="L91" i="29"/>
  <c r="I91" i="29"/>
  <c r="F91" i="29"/>
  <c r="C91" i="29" s="1"/>
  <c r="O90" i="29"/>
  <c r="L90" i="29"/>
  <c r="L89" i="29" s="1"/>
  <c r="I90" i="29"/>
  <c r="I89" i="29" s="1"/>
  <c r="F90" i="29"/>
  <c r="N89" i="29"/>
  <c r="M89" i="29"/>
  <c r="K89" i="29"/>
  <c r="J89" i="29"/>
  <c r="H89" i="29"/>
  <c r="G89" i="29"/>
  <c r="E89" i="29"/>
  <c r="D89" i="29"/>
  <c r="O88" i="29"/>
  <c r="L88" i="29"/>
  <c r="I88" i="29"/>
  <c r="F88" i="29"/>
  <c r="O87" i="29"/>
  <c r="L87" i="29"/>
  <c r="I87" i="29"/>
  <c r="F87" i="29"/>
  <c r="O86" i="29"/>
  <c r="L86" i="29"/>
  <c r="I86" i="29"/>
  <c r="F86" i="29"/>
  <c r="O85" i="29"/>
  <c r="L85" i="29"/>
  <c r="L84" i="29" s="1"/>
  <c r="I85" i="29"/>
  <c r="F85" i="29"/>
  <c r="N84" i="29"/>
  <c r="M84" i="29"/>
  <c r="K84" i="29"/>
  <c r="K83" i="29" s="1"/>
  <c r="J84" i="29"/>
  <c r="H84" i="29"/>
  <c r="G84" i="29"/>
  <c r="E84" i="29"/>
  <c r="D84" i="29"/>
  <c r="O82" i="29"/>
  <c r="L82" i="29"/>
  <c r="I82" i="29"/>
  <c r="F82" i="29"/>
  <c r="O81" i="29"/>
  <c r="O80" i="29" s="1"/>
  <c r="L81" i="29"/>
  <c r="L80" i="29" s="1"/>
  <c r="I81" i="29"/>
  <c r="I80" i="29" s="1"/>
  <c r="F81" i="29"/>
  <c r="C81" i="29" s="1"/>
  <c r="N80" i="29"/>
  <c r="M80" i="29"/>
  <c r="K80" i="29"/>
  <c r="J80" i="29"/>
  <c r="H80" i="29"/>
  <c r="G80" i="29"/>
  <c r="E80" i="29"/>
  <c r="D80" i="29"/>
  <c r="D76" i="29" s="1"/>
  <c r="O79" i="29"/>
  <c r="L79" i="29"/>
  <c r="I79" i="29"/>
  <c r="F79" i="29"/>
  <c r="C79" i="29" s="1"/>
  <c r="O78" i="29"/>
  <c r="L78" i="29"/>
  <c r="L77" i="29" s="1"/>
  <c r="I78" i="29"/>
  <c r="I77" i="29" s="1"/>
  <c r="I76" i="29" s="1"/>
  <c r="F78" i="29"/>
  <c r="F77" i="29" s="1"/>
  <c r="O77" i="29"/>
  <c r="N77" i="29"/>
  <c r="M77" i="29"/>
  <c r="M76" i="29" s="1"/>
  <c r="K77" i="29"/>
  <c r="K76" i="29" s="1"/>
  <c r="J77" i="29"/>
  <c r="H77" i="29"/>
  <c r="H76" i="29" s="1"/>
  <c r="G77" i="29"/>
  <c r="E77" i="29"/>
  <c r="E76" i="29" s="1"/>
  <c r="D77" i="29"/>
  <c r="G76" i="29"/>
  <c r="O74" i="29"/>
  <c r="L74" i="29"/>
  <c r="I74" i="29"/>
  <c r="F74" i="29"/>
  <c r="O73" i="29"/>
  <c r="L73" i="29"/>
  <c r="I73" i="29"/>
  <c r="F73" i="29"/>
  <c r="O72" i="29"/>
  <c r="L72" i="29"/>
  <c r="I72" i="29"/>
  <c r="F72" i="29"/>
  <c r="O71" i="29"/>
  <c r="L71" i="29"/>
  <c r="I71" i="29"/>
  <c r="F71" i="29"/>
  <c r="O70" i="29"/>
  <c r="L70" i="29"/>
  <c r="I70" i="29"/>
  <c r="I69" i="29" s="1"/>
  <c r="F70" i="29"/>
  <c r="N69" i="29"/>
  <c r="N67" i="29" s="1"/>
  <c r="M69" i="29"/>
  <c r="M67" i="29" s="1"/>
  <c r="K69" i="29"/>
  <c r="J69" i="29"/>
  <c r="J67" i="29" s="1"/>
  <c r="H69" i="29"/>
  <c r="H67" i="29" s="1"/>
  <c r="G69" i="29"/>
  <c r="G67" i="29" s="1"/>
  <c r="E69" i="29"/>
  <c r="E67" i="29" s="1"/>
  <c r="D69" i="29"/>
  <c r="D67" i="29" s="1"/>
  <c r="O68" i="29"/>
  <c r="L68" i="29"/>
  <c r="I68" i="29"/>
  <c r="F68" i="29"/>
  <c r="K67" i="29"/>
  <c r="O66" i="29"/>
  <c r="L66" i="29"/>
  <c r="I66" i="29"/>
  <c r="F66" i="29"/>
  <c r="O65" i="29"/>
  <c r="L65" i="29"/>
  <c r="I65" i="29"/>
  <c r="F65" i="29"/>
  <c r="O64" i="29"/>
  <c r="L64" i="29"/>
  <c r="I64" i="29"/>
  <c r="F64" i="29"/>
  <c r="O63" i="29"/>
  <c r="L63" i="29"/>
  <c r="I63" i="29"/>
  <c r="F63" i="29"/>
  <c r="O62" i="29"/>
  <c r="L62" i="29"/>
  <c r="I62" i="29"/>
  <c r="F62" i="29"/>
  <c r="O61" i="29"/>
  <c r="L61" i="29"/>
  <c r="I61" i="29"/>
  <c r="F61" i="29"/>
  <c r="O60" i="29"/>
  <c r="L60" i="29"/>
  <c r="C60" i="29" s="1"/>
  <c r="I60" i="29"/>
  <c r="F60" i="29"/>
  <c r="O59" i="29"/>
  <c r="L59" i="29"/>
  <c r="I59" i="29"/>
  <c r="F59" i="29"/>
  <c r="N58" i="29"/>
  <c r="M58" i="29"/>
  <c r="K58" i="29"/>
  <c r="J58" i="29"/>
  <c r="J54" i="29" s="1"/>
  <c r="I58" i="29"/>
  <c r="H58" i="29"/>
  <c r="G58" i="29"/>
  <c r="E58" i="29"/>
  <c r="D58" i="29"/>
  <c r="O57" i="29"/>
  <c r="L57" i="29"/>
  <c r="I57" i="29"/>
  <c r="F57" i="29"/>
  <c r="O56" i="29"/>
  <c r="O55" i="29" s="1"/>
  <c r="L56" i="29"/>
  <c r="I56" i="29"/>
  <c r="F56" i="29"/>
  <c r="F55" i="29" s="1"/>
  <c r="N55" i="29"/>
  <c r="M55" i="29"/>
  <c r="L55" i="29"/>
  <c r="K55" i="29"/>
  <c r="K54" i="29" s="1"/>
  <c r="K53" i="29" s="1"/>
  <c r="J55" i="29"/>
  <c r="H55" i="29"/>
  <c r="H54" i="29" s="1"/>
  <c r="G55" i="29"/>
  <c r="G54" i="29" s="1"/>
  <c r="G53" i="29" s="1"/>
  <c r="E55" i="29"/>
  <c r="D55" i="29"/>
  <c r="N54" i="29"/>
  <c r="E54" i="29"/>
  <c r="O47" i="29"/>
  <c r="C47" i="29" s="1"/>
  <c r="O46" i="29"/>
  <c r="C46" i="29" s="1"/>
  <c r="N45" i="29"/>
  <c r="M45" i="29"/>
  <c r="L44" i="29"/>
  <c r="I44" i="29"/>
  <c r="F44" i="29"/>
  <c r="F43" i="29" s="1"/>
  <c r="L43" i="29"/>
  <c r="K43" i="29"/>
  <c r="J43" i="29"/>
  <c r="H43" i="29"/>
  <c r="G43" i="29"/>
  <c r="E43" i="29"/>
  <c r="D43" i="29"/>
  <c r="F42" i="29"/>
  <c r="C42" i="29" s="1"/>
  <c r="E41" i="29"/>
  <c r="D41" i="29"/>
  <c r="L40" i="29"/>
  <c r="C40" i="29" s="1"/>
  <c r="L39" i="29"/>
  <c r="C39" i="29" s="1"/>
  <c r="L38" i="29"/>
  <c r="L37" i="29"/>
  <c r="C37" i="29" s="1"/>
  <c r="K36" i="29"/>
  <c r="J36" i="29"/>
  <c r="L35" i="29"/>
  <c r="C35" i="29" s="1"/>
  <c r="L34" i="29"/>
  <c r="C34" i="29" s="1"/>
  <c r="K33" i="29"/>
  <c r="J33" i="29"/>
  <c r="L32" i="29"/>
  <c r="L31" i="29" s="1"/>
  <c r="K31" i="29"/>
  <c r="J31" i="29"/>
  <c r="J26" i="29" s="1"/>
  <c r="J20" i="29" s="1"/>
  <c r="L30" i="29"/>
  <c r="C30" i="29" s="1"/>
  <c r="L29" i="29"/>
  <c r="C29" i="29" s="1"/>
  <c r="L28" i="29"/>
  <c r="C28" i="29" s="1"/>
  <c r="L27" i="29"/>
  <c r="C27" i="29" s="1"/>
  <c r="K27" i="29"/>
  <c r="J27" i="29"/>
  <c r="F25" i="29"/>
  <c r="C25" i="29" s="1"/>
  <c r="I24" i="29"/>
  <c r="F24" i="29"/>
  <c r="O23" i="29"/>
  <c r="L23" i="29"/>
  <c r="I23" i="29"/>
  <c r="F23" i="29"/>
  <c r="O22" i="29"/>
  <c r="O21" i="29" s="1"/>
  <c r="L22" i="29"/>
  <c r="L21" i="29" s="1"/>
  <c r="I22" i="29"/>
  <c r="I21" i="29" s="1"/>
  <c r="F22" i="29"/>
  <c r="N21" i="29"/>
  <c r="N292" i="29" s="1"/>
  <c r="N291" i="29" s="1"/>
  <c r="M21" i="29"/>
  <c r="M292" i="29" s="1"/>
  <c r="K21" i="29"/>
  <c r="J21" i="29"/>
  <c r="J292" i="29" s="1"/>
  <c r="J291" i="29" s="1"/>
  <c r="H21" i="29"/>
  <c r="H292" i="29" s="1"/>
  <c r="H291" i="29" s="1"/>
  <c r="G21" i="29"/>
  <c r="G292" i="29" s="1"/>
  <c r="G291" i="29" s="1"/>
  <c r="E21" i="29"/>
  <c r="D21" i="29"/>
  <c r="D292" i="29" s="1"/>
  <c r="N20" i="29"/>
  <c r="C258" i="30" l="1"/>
  <c r="C262" i="30"/>
  <c r="H259" i="30"/>
  <c r="C56" i="29"/>
  <c r="C59" i="29"/>
  <c r="C64" i="29"/>
  <c r="L116" i="29"/>
  <c r="O58" i="30"/>
  <c r="E292" i="29"/>
  <c r="E291" i="29" s="1"/>
  <c r="C24" i="29"/>
  <c r="D20" i="29"/>
  <c r="I55" i="29"/>
  <c r="I54" i="29" s="1"/>
  <c r="M54" i="29"/>
  <c r="M53" i="29" s="1"/>
  <c r="C70" i="29"/>
  <c r="C71" i="29"/>
  <c r="C74" i="29"/>
  <c r="C97" i="29"/>
  <c r="C109" i="29"/>
  <c r="C117" i="29"/>
  <c r="K130" i="29"/>
  <c r="K75" i="29" s="1"/>
  <c r="C155" i="29"/>
  <c r="C159" i="29"/>
  <c r="C206" i="29"/>
  <c r="C211" i="29"/>
  <c r="C212" i="29"/>
  <c r="C213" i="29"/>
  <c r="C218" i="29"/>
  <c r="C222" i="29"/>
  <c r="C262" i="29"/>
  <c r="F264" i="29"/>
  <c r="C275" i="29"/>
  <c r="C295" i="29"/>
  <c r="C298" i="29"/>
  <c r="C300" i="29"/>
  <c r="D20" i="30"/>
  <c r="M187" i="30"/>
  <c r="C218" i="30"/>
  <c r="C242" i="30"/>
  <c r="C294" i="30"/>
  <c r="K26" i="29"/>
  <c r="D54" i="29"/>
  <c r="O58" i="29"/>
  <c r="C100" i="29"/>
  <c r="L151" i="30"/>
  <c r="L36" i="29"/>
  <c r="C36" i="29" s="1"/>
  <c r="C121" i="29"/>
  <c r="D130" i="29"/>
  <c r="J130" i="29"/>
  <c r="L136" i="29"/>
  <c r="C163" i="29"/>
  <c r="D173" i="29"/>
  <c r="C176" i="29"/>
  <c r="C177" i="29"/>
  <c r="C180" i="29"/>
  <c r="C181" i="29"/>
  <c r="O179" i="29"/>
  <c r="H195" i="29"/>
  <c r="E204" i="29"/>
  <c r="I216" i="29"/>
  <c r="L238" i="29"/>
  <c r="C243" i="29"/>
  <c r="C258" i="29"/>
  <c r="E259" i="29"/>
  <c r="N259" i="29"/>
  <c r="N230" i="29" s="1"/>
  <c r="N194" i="29" s="1"/>
  <c r="M269" i="29"/>
  <c r="C24" i="30"/>
  <c r="K26" i="30"/>
  <c r="C61" i="30"/>
  <c r="C72" i="30"/>
  <c r="C73" i="30"/>
  <c r="M130" i="30"/>
  <c r="C140" i="30"/>
  <c r="C155" i="30"/>
  <c r="D187" i="30"/>
  <c r="F196" i="30"/>
  <c r="G259" i="30"/>
  <c r="G230" i="30" s="1"/>
  <c r="C125" i="29"/>
  <c r="C126" i="29"/>
  <c r="C127" i="29"/>
  <c r="C135" i="29"/>
  <c r="L144" i="29"/>
  <c r="C170" i="29"/>
  <c r="E173" i="29"/>
  <c r="I174" i="29"/>
  <c r="I173" i="29" s="1"/>
  <c r="I179" i="29"/>
  <c r="C255" i="29"/>
  <c r="O264" i="29"/>
  <c r="N269" i="29"/>
  <c r="C279" i="29"/>
  <c r="E83" i="30"/>
  <c r="C92" i="30"/>
  <c r="C101" i="30"/>
  <c r="E187" i="30"/>
  <c r="C223" i="30"/>
  <c r="H270" i="30"/>
  <c r="C279" i="30"/>
  <c r="L36" i="30"/>
  <c r="C36" i="30" s="1"/>
  <c r="J53" i="29"/>
  <c r="I84" i="29"/>
  <c r="O188" i="29"/>
  <c r="C188" i="29" s="1"/>
  <c r="N187" i="29"/>
  <c r="I205" i="29"/>
  <c r="K204" i="29"/>
  <c r="H20" i="29"/>
  <c r="K292" i="29"/>
  <c r="K291" i="29" s="1"/>
  <c r="C22" i="29"/>
  <c r="C32" i="29"/>
  <c r="L33" i="29"/>
  <c r="C33" i="29" s="1"/>
  <c r="C38" i="29"/>
  <c r="G20" i="29"/>
  <c r="D53" i="29"/>
  <c r="H53" i="29"/>
  <c r="C57" i="29"/>
  <c r="L58" i="29"/>
  <c r="C65" i="29"/>
  <c r="N53" i="29"/>
  <c r="C72" i="29"/>
  <c r="J76" i="29"/>
  <c r="D83" i="29"/>
  <c r="D75" i="29" s="1"/>
  <c r="J83" i="29"/>
  <c r="C86" i="29"/>
  <c r="C98" i="29"/>
  <c r="C99" i="29"/>
  <c r="C105" i="29"/>
  <c r="C124" i="29"/>
  <c r="C134" i="29"/>
  <c r="I144" i="29"/>
  <c r="C158" i="29"/>
  <c r="C164" i="29"/>
  <c r="C168" i="29"/>
  <c r="O175" i="29"/>
  <c r="C183" i="29"/>
  <c r="O184" i="29"/>
  <c r="C184" i="29" s="1"/>
  <c r="C210" i="29"/>
  <c r="C215" i="29"/>
  <c r="F216" i="29"/>
  <c r="J204" i="29"/>
  <c r="J195" i="29" s="1"/>
  <c r="C217" i="29"/>
  <c r="O216" i="29"/>
  <c r="E231" i="29"/>
  <c r="C236" i="29"/>
  <c r="C237" i="29"/>
  <c r="C250" i="29"/>
  <c r="L252" i="29"/>
  <c r="L251" i="29" s="1"/>
  <c r="I270" i="29"/>
  <c r="I269" i="29" s="1"/>
  <c r="L276" i="29"/>
  <c r="C297" i="29"/>
  <c r="C37" i="30"/>
  <c r="C42" i="30"/>
  <c r="E54" i="30"/>
  <c r="E53" i="30" s="1"/>
  <c r="I58" i="30"/>
  <c r="G76" i="30"/>
  <c r="C88" i="30"/>
  <c r="C91" i="30"/>
  <c r="O89" i="30"/>
  <c r="H83" i="30"/>
  <c r="H75" i="30" s="1"/>
  <c r="H52" i="30" s="1"/>
  <c r="C108" i="30"/>
  <c r="C109" i="30"/>
  <c r="C163" i="30"/>
  <c r="C178" i="30"/>
  <c r="D174" i="30"/>
  <c r="D173" i="30" s="1"/>
  <c r="C183" i="30"/>
  <c r="C193" i="30"/>
  <c r="C226" i="30"/>
  <c r="I251" i="30"/>
  <c r="C298" i="30"/>
  <c r="L84" i="30"/>
  <c r="C167" i="30"/>
  <c r="C168" i="30"/>
  <c r="F187" i="30"/>
  <c r="L252" i="30"/>
  <c r="L251" i="30" s="1"/>
  <c r="D259" i="30"/>
  <c r="O264" i="30"/>
  <c r="E53" i="29"/>
  <c r="K195" i="29"/>
  <c r="D291" i="29"/>
  <c r="M291" i="29"/>
  <c r="C44" i="29"/>
  <c r="O45" i="29"/>
  <c r="O20" i="29" s="1"/>
  <c r="C63" i="29"/>
  <c r="C66" i="29"/>
  <c r="F69" i="29"/>
  <c r="F67" i="29" s="1"/>
  <c r="I67" i="29"/>
  <c r="I53" i="29" s="1"/>
  <c r="O76" i="29"/>
  <c r="C88" i="29"/>
  <c r="C94" i="29"/>
  <c r="I95" i="29"/>
  <c r="I83" i="29" s="1"/>
  <c r="C108" i="29"/>
  <c r="L112" i="29"/>
  <c r="C118" i="29"/>
  <c r="C119" i="29"/>
  <c r="C120" i="29"/>
  <c r="C138" i="29"/>
  <c r="C139" i="29"/>
  <c r="C146" i="29"/>
  <c r="C147" i="29"/>
  <c r="O151" i="29"/>
  <c r="G173" i="29"/>
  <c r="K173" i="29"/>
  <c r="C190" i="29"/>
  <c r="M195" i="29"/>
  <c r="C224" i="29"/>
  <c r="C225" i="29"/>
  <c r="G204" i="29"/>
  <c r="G195" i="29" s="1"/>
  <c r="G231" i="29"/>
  <c r="G230" i="29" s="1"/>
  <c r="G194" i="29" s="1"/>
  <c r="J259" i="29"/>
  <c r="J230" i="29" s="1"/>
  <c r="C261" i="29"/>
  <c r="O260" i="29"/>
  <c r="O259" i="29" s="1"/>
  <c r="L270" i="29"/>
  <c r="L269" i="29" s="1"/>
  <c r="I286" i="29"/>
  <c r="I292" i="29" s="1"/>
  <c r="I291" i="29" s="1"/>
  <c r="C23" i="30"/>
  <c r="C66" i="30"/>
  <c r="H53" i="30"/>
  <c r="O76" i="30"/>
  <c r="C102" i="30"/>
  <c r="I103" i="30"/>
  <c r="O116" i="30"/>
  <c r="C127" i="30"/>
  <c r="C152" i="30"/>
  <c r="C211" i="30"/>
  <c r="C214" i="30"/>
  <c r="J204" i="30"/>
  <c r="J195" i="30" s="1"/>
  <c r="C217" i="30"/>
  <c r="C239" i="30"/>
  <c r="C240" i="30"/>
  <c r="N231" i="30"/>
  <c r="C275" i="30"/>
  <c r="C278" i="30"/>
  <c r="E83" i="29"/>
  <c r="M83" i="29"/>
  <c r="J187" i="29"/>
  <c r="I259" i="29"/>
  <c r="C266" i="29"/>
  <c r="C23" i="29"/>
  <c r="F41" i="29"/>
  <c r="C41" i="29" s="1"/>
  <c r="O54" i="29"/>
  <c r="C62" i="29"/>
  <c r="L69" i="29"/>
  <c r="L67" i="29" s="1"/>
  <c r="G75" i="29"/>
  <c r="N76" i="29"/>
  <c r="L76" i="29"/>
  <c r="C82" i="29"/>
  <c r="H83" i="29"/>
  <c r="H75" i="29" s="1"/>
  <c r="O84" i="29"/>
  <c r="F95" i="29"/>
  <c r="C101" i="29"/>
  <c r="I103" i="29"/>
  <c r="C110" i="29"/>
  <c r="C111" i="29"/>
  <c r="C113" i="29"/>
  <c r="L122" i="29"/>
  <c r="C150" i="29"/>
  <c r="C162" i="29"/>
  <c r="C171" i="29"/>
  <c r="G187" i="29"/>
  <c r="N204" i="29"/>
  <c r="N195" i="29" s="1"/>
  <c r="M231" i="29"/>
  <c r="J231" i="29"/>
  <c r="I251" i="29"/>
  <c r="C257" i="29"/>
  <c r="K230" i="29"/>
  <c r="E270" i="29"/>
  <c r="E269" i="29" s="1"/>
  <c r="C274" i="29"/>
  <c r="C287" i="29"/>
  <c r="F293" i="29"/>
  <c r="C299" i="29"/>
  <c r="C56" i="30"/>
  <c r="J54" i="30"/>
  <c r="J53" i="30" s="1"/>
  <c r="D76" i="30"/>
  <c r="C96" i="30"/>
  <c r="C121" i="30"/>
  <c r="C125" i="30"/>
  <c r="C126" i="30"/>
  <c r="C143" i="30"/>
  <c r="C148" i="30"/>
  <c r="C171" i="30"/>
  <c r="N174" i="30"/>
  <c r="C197" i="30"/>
  <c r="C206" i="30"/>
  <c r="C212" i="30"/>
  <c r="C255" i="30"/>
  <c r="C257" i="30"/>
  <c r="C266" i="30"/>
  <c r="J26" i="30"/>
  <c r="J20" i="30" s="1"/>
  <c r="D54" i="30"/>
  <c r="I54" i="30"/>
  <c r="C65" i="30"/>
  <c r="O69" i="30"/>
  <c r="O67" i="30" s="1"/>
  <c r="O53" i="30" s="1"/>
  <c r="E76" i="30"/>
  <c r="E75" i="30" s="1"/>
  <c r="E52" i="30" s="1"/>
  <c r="G83" i="30"/>
  <c r="C87" i="30"/>
  <c r="C107" i="30"/>
  <c r="C117" i="30"/>
  <c r="D130" i="30"/>
  <c r="N130" i="30"/>
  <c r="O141" i="30"/>
  <c r="O144" i="30"/>
  <c r="H130" i="30"/>
  <c r="C158" i="30"/>
  <c r="C172" i="30"/>
  <c r="C180" i="30"/>
  <c r="C186" i="30"/>
  <c r="O196" i="30"/>
  <c r="D204" i="30"/>
  <c r="D195" i="30" s="1"/>
  <c r="E204" i="30"/>
  <c r="E195" i="30" s="1"/>
  <c r="C227" i="30"/>
  <c r="K204" i="30"/>
  <c r="K195" i="30" s="1"/>
  <c r="C228" i="30"/>
  <c r="C229" i="30"/>
  <c r="G231" i="30"/>
  <c r="I238" i="30"/>
  <c r="C256" i="30"/>
  <c r="M259" i="30"/>
  <c r="I264" i="30"/>
  <c r="M270" i="30"/>
  <c r="M269" i="30" s="1"/>
  <c r="I276" i="30"/>
  <c r="I270" i="30" s="1"/>
  <c r="I269" i="30" s="1"/>
  <c r="I293" i="30"/>
  <c r="C295" i="30"/>
  <c r="L293" i="30"/>
  <c r="C85" i="30"/>
  <c r="F21" i="30"/>
  <c r="K292" i="30"/>
  <c r="K291" i="30" s="1"/>
  <c r="C22" i="30"/>
  <c r="L27" i="30"/>
  <c r="C27" i="30" s="1"/>
  <c r="C44" i="30"/>
  <c r="N54" i="30"/>
  <c r="N53" i="30" s="1"/>
  <c r="M54" i="30"/>
  <c r="M53" i="30" s="1"/>
  <c r="C64" i="30"/>
  <c r="C68" i="30"/>
  <c r="N76" i="30"/>
  <c r="C100" i="30"/>
  <c r="M83" i="30"/>
  <c r="M75" i="30" s="1"/>
  <c r="M52" i="30" s="1"/>
  <c r="C106" i="30"/>
  <c r="L122" i="30"/>
  <c r="K130" i="30"/>
  <c r="C135" i="30"/>
  <c r="J130" i="30"/>
  <c r="I141" i="30"/>
  <c r="C150" i="30"/>
  <c r="C157" i="30"/>
  <c r="C170" i="30"/>
  <c r="C182" i="30"/>
  <c r="C192" i="30"/>
  <c r="G187" i="30"/>
  <c r="C202" i="30"/>
  <c r="C210" i="30"/>
  <c r="C215" i="30"/>
  <c r="C224" i="30"/>
  <c r="C225" i="30"/>
  <c r="G204" i="30"/>
  <c r="G195" i="30" s="1"/>
  <c r="M231" i="30"/>
  <c r="M230" i="30" s="1"/>
  <c r="J231" i="30"/>
  <c r="J230" i="30" s="1"/>
  <c r="C244" i="30"/>
  <c r="C250" i="30"/>
  <c r="C265" i="30"/>
  <c r="O272" i="30"/>
  <c r="C287" i="30"/>
  <c r="C299" i="30"/>
  <c r="J173" i="30"/>
  <c r="N20" i="30"/>
  <c r="I21" i="30"/>
  <c r="H20" i="30"/>
  <c r="F55" i="30"/>
  <c r="O54" i="30"/>
  <c r="C62" i="30"/>
  <c r="C74" i="30"/>
  <c r="J76" i="30"/>
  <c r="D83" i="30"/>
  <c r="D75" i="30" s="1"/>
  <c r="J83" i="30"/>
  <c r="C93" i="30"/>
  <c r="C110" i="30"/>
  <c r="C120" i="30"/>
  <c r="C129" i="30"/>
  <c r="I131" i="30"/>
  <c r="O151" i="30"/>
  <c r="C156" i="30"/>
  <c r="C164" i="30"/>
  <c r="N173" i="30"/>
  <c r="I205" i="30"/>
  <c r="C213" i="30"/>
  <c r="N204" i="30"/>
  <c r="E231" i="30"/>
  <c r="C235" i="30"/>
  <c r="K231" i="30"/>
  <c r="K230" i="30" s="1"/>
  <c r="C236" i="30"/>
  <c r="C237" i="30"/>
  <c r="O238" i="30"/>
  <c r="O231" i="30" s="1"/>
  <c r="C243" i="30"/>
  <c r="F260" i="30"/>
  <c r="C261" i="30"/>
  <c r="O260" i="30"/>
  <c r="C274" i="30"/>
  <c r="L276" i="30"/>
  <c r="L270" i="30" s="1"/>
  <c r="L269" i="30" s="1"/>
  <c r="F293" i="30"/>
  <c r="C293" i="30" s="1"/>
  <c r="C297" i="30"/>
  <c r="I77" i="30"/>
  <c r="C78" i="30"/>
  <c r="C98" i="30"/>
  <c r="I95" i="30"/>
  <c r="C146" i="30"/>
  <c r="F144" i="30"/>
  <c r="C147" i="30"/>
  <c r="C301" i="30"/>
  <c r="D53" i="30"/>
  <c r="C60" i="30"/>
  <c r="F58" i="30"/>
  <c r="L31" i="30"/>
  <c r="C32" i="30"/>
  <c r="L33" i="30"/>
  <c r="C33" i="30" s="1"/>
  <c r="O45" i="30"/>
  <c r="C57" i="30"/>
  <c r="L55" i="30"/>
  <c r="C71" i="30"/>
  <c r="F69" i="30"/>
  <c r="L76" i="30"/>
  <c r="C82" i="30"/>
  <c r="I80" i="30"/>
  <c r="C97" i="30"/>
  <c r="L95" i="30"/>
  <c r="C176" i="30"/>
  <c r="L175" i="30"/>
  <c r="L174" i="30" s="1"/>
  <c r="L173" i="30" s="1"/>
  <c r="G292" i="30"/>
  <c r="G291" i="30" s="1"/>
  <c r="G20" i="30"/>
  <c r="I20" i="30"/>
  <c r="C43" i="30"/>
  <c r="F54" i="30"/>
  <c r="L58" i="30"/>
  <c r="I69" i="30"/>
  <c r="I67" i="30" s="1"/>
  <c r="I53" i="30" s="1"/>
  <c r="C70" i="30"/>
  <c r="C81" i="30"/>
  <c r="L80" i="30"/>
  <c r="F103" i="30"/>
  <c r="C104" i="30"/>
  <c r="C114" i="30"/>
  <c r="I112" i="30"/>
  <c r="C118" i="30"/>
  <c r="I116" i="30"/>
  <c r="C124" i="30"/>
  <c r="F122" i="30"/>
  <c r="I136" i="30"/>
  <c r="C137" i="30"/>
  <c r="O174" i="30"/>
  <c r="O173" i="30" s="1"/>
  <c r="K20" i="30"/>
  <c r="L69" i="30"/>
  <c r="L67" i="30" s="1"/>
  <c r="F76" i="30"/>
  <c r="K76" i="30"/>
  <c r="C94" i="30"/>
  <c r="L103" i="30"/>
  <c r="C113" i="30"/>
  <c r="L112" i="30"/>
  <c r="K187" i="30"/>
  <c r="C232" i="30"/>
  <c r="L264" i="30"/>
  <c r="C264" i="30" s="1"/>
  <c r="C267" i="30"/>
  <c r="C142" i="30"/>
  <c r="F141" i="30"/>
  <c r="I144" i="30"/>
  <c r="C145" i="30"/>
  <c r="G174" i="30"/>
  <c r="G173" i="30" s="1"/>
  <c r="C199" i="30"/>
  <c r="L198" i="30"/>
  <c r="L196" i="30" s="1"/>
  <c r="C207" i="30"/>
  <c r="L205" i="30"/>
  <c r="E259" i="30"/>
  <c r="I259" i="30"/>
  <c r="N259" i="30"/>
  <c r="L260" i="30"/>
  <c r="C263" i="30"/>
  <c r="F281" i="30"/>
  <c r="C281" i="30" s="1"/>
  <c r="C282" i="30"/>
  <c r="M20" i="30"/>
  <c r="M292" i="30"/>
  <c r="M291" i="30" s="1"/>
  <c r="C63" i="30"/>
  <c r="C86" i="30"/>
  <c r="I84" i="30"/>
  <c r="I89" i="30"/>
  <c r="C90" i="30"/>
  <c r="F95" i="30"/>
  <c r="L116" i="30"/>
  <c r="L166" i="30"/>
  <c r="L165" i="30" s="1"/>
  <c r="F165" i="30"/>
  <c r="C191" i="30"/>
  <c r="C222" i="30"/>
  <c r="F216" i="30"/>
  <c r="C254" i="30"/>
  <c r="F252" i="30"/>
  <c r="E20" i="30"/>
  <c r="C59" i="30"/>
  <c r="C79" i="30"/>
  <c r="K83" i="30"/>
  <c r="N83" i="30"/>
  <c r="L89" i="30"/>
  <c r="C89" i="30" s="1"/>
  <c r="C99" i="30"/>
  <c r="O103" i="30"/>
  <c r="C111" i="30"/>
  <c r="C115" i="30"/>
  <c r="F116" i="30"/>
  <c r="C119" i="30"/>
  <c r="C123" i="30"/>
  <c r="O122" i="30"/>
  <c r="C128" i="30"/>
  <c r="C132" i="30"/>
  <c r="L131" i="30"/>
  <c r="C139" i="30"/>
  <c r="F136" i="30"/>
  <c r="I160" i="30"/>
  <c r="C160" i="30" s="1"/>
  <c r="C161" i="30"/>
  <c r="O187" i="30"/>
  <c r="C220" i="30"/>
  <c r="I216" i="30"/>
  <c r="H269" i="30"/>
  <c r="C273" i="30"/>
  <c r="F272" i="30"/>
  <c r="F276" i="30"/>
  <c r="E292" i="30"/>
  <c r="E291" i="30" s="1"/>
  <c r="G130" i="30"/>
  <c r="G75" i="30" s="1"/>
  <c r="L144" i="30"/>
  <c r="C154" i="30"/>
  <c r="F151" i="30"/>
  <c r="M195" i="30"/>
  <c r="O205" i="30"/>
  <c r="L216" i="30"/>
  <c r="C219" i="30"/>
  <c r="N230" i="30"/>
  <c r="C248" i="30"/>
  <c r="I246" i="30"/>
  <c r="J259" i="30"/>
  <c r="O259" i="30"/>
  <c r="C284" i="30"/>
  <c r="F283" i="30"/>
  <c r="C283" i="30" s="1"/>
  <c r="C300" i="30"/>
  <c r="D292" i="30"/>
  <c r="D291" i="30" s="1"/>
  <c r="H292" i="30"/>
  <c r="H291" i="30" s="1"/>
  <c r="C133" i="30"/>
  <c r="C134" i="30"/>
  <c r="F131" i="30"/>
  <c r="C138" i="30"/>
  <c r="C149" i="30"/>
  <c r="C153" i="30"/>
  <c r="I151" i="30"/>
  <c r="C169" i="30"/>
  <c r="C177" i="30"/>
  <c r="I175" i="30"/>
  <c r="C181" i="30"/>
  <c r="I179" i="30"/>
  <c r="C179" i="30" s="1"/>
  <c r="I184" i="30"/>
  <c r="C184" i="30" s="1"/>
  <c r="C185" i="30"/>
  <c r="I188" i="30"/>
  <c r="I187" i="30" s="1"/>
  <c r="C189" i="30"/>
  <c r="N195" i="30"/>
  <c r="C200" i="30"/>
  <c r="I198" i="30"/>
  <c r="O216" i="30"/>
  <c r="L238" i="30"/>
  <c r="C241" i="30"/>
  <c r="F238" i="30"/>
  <c r="C247" i="30"/>
  <c r="L246" i="30"/>
  <c r="F259" i="30"/>
  <c r="C268" i="30"/>
  <c r="C277" i="30"/>
  <c r="O276" i="30"/>
  <c r="O270" i="30" s="1"/>
  <c r="O269" i="30" s="1"/>
  <c r="C288" i="30"/>
  <c r="I286" i="30"/>
  <c r="I292" i="30" s="1"/>
  <c r="I291" i="30" s="1"/>
  <c r="F205" i="30"/>
  <c r="H231" i="30"/>
  <c r="H230" i="30" s="1"/>
  <c r="C233" i="30"/>
  <c r="C280" i="30"/>
  <c r="H195" i="30"/>
  <c r="C201" i="30"/>
  <c r="C208" i="30"/>
  <c r="C209" i="30"/>
  <c r="C221" i="30"/>
  <c r="D231" i="30"/>
  <c r="D230" i="30" s="1"/>
  <c r="C245" i="30"/>
  <c r="C249" i="30"/>
  <c r="F246" i="30"/>
  <c r="C253" i="30"/>
  <c r="O252" i="30"/>
  <c r="O251" i="30" s="1"/>
  <c r="J270" i="30"/>
  <c r="J269" i="30" s="1"/>
  <c r="C285" i="30"/>
  <c r="L286" i="30"/>
  <c r="C296" i="30"/>
  <c r="C31" i="29"/>
  <c r="L26" i="29"/>
  <c r="O292" i="29"/>
  <c r="H52" i="29"/>
  <c r="C68" i="29"/>
  <c r="C301" i="29"/>
  <c r="K20" i="29"/>
  <c r="F21" i="29"/>
  <c r="F58" i="29"/>
  <c r="C61" i="29"/>
  <c r="O69" i="29"/>
  <c r="C69" i="29" s="1"/>
  <c r="C73" i="29"/>
  <c r="C77" i="29"/>
  <c r="N83" i="29"/>
  <c r="F89" i="29"/>
  <c r="C89" i="29" s="1"/>
  <c r="O103" i="29"/>
  <c r="C154" i="29"/>
  <c r="F151" i="29"/>
  <c r="F175" i="29"/>
  <c r="C192" i="29"/>
  <c r="F191" i="29"/>
  <c r="C191" i="29" s="1"/>
  <c r="C241" i="29"/>
  <c r="F238" i="29"/>
  <c r="C247" i="29"/>
  <c r="L246" i="29"/>
  <c r="F259" i="29"/>
  <c r="C87" i="29"/>
  <c r="C122" i="29"/>
  <c r="C178" i="29"/>
  <c r="I43" i="29"/>
  <c r="C43" i="29" s="1"/>
  <c r="C45" i="29"/>
  <c r="C78" i="29"/>
  <c r="F84" i="29"/>
  <c r="C90" i="29"/>
  <c r="L103" i="29"/>
  <c r="L83" i="29" s="1"/>
  <c r="F103" i="29"/>
  <c r="E130" i="29"/>
  <c r="I151" i="29"/>
  <c r="I130" i="29" s="1"/>
  <c r="C152" i="29"/>
  <c r="E20" i="29"/>
  <c r="M20" i="29"/>
  <c r="L54" i="29"/>
  <c r="L53" i="29" s="1"/>
  <c r="F80" i="29"/>
  <c r="C80" i="29" s="1"/>
  <c r="C85" i="29"/>
  <c r="C96" i="29"/>
  <c r="O95" i="29"/>
  <c r="O83" i="29" s="1"/>
  <c r="C102" i="29"/>
  <c r="C106" i="29"/>
  <c r="C107" i="29"/>
  <c r="C114" i="29"/>
  <c r="C115" i="29"/>
  <c r="C123" i="29"/>
  <c r="C128" i="29"/>
  <c r="L165" i="29"/>
  <c r="C169" i="29"/>
  <c r="F166" i="29"/>
  <c r="F179" i="29"/>
  <c r="C200" i="29"/>
  <c r="I198" i="29"/>
  <c r="F131" i="29"/>
  <c r="C132" i="29"/>
  <c r="C133" i="29"/>
  <c r="F136" i="29"/>
  <c r="C137" i="29"/>
  <c r="O136" i="29"/>
  <c r="C142" i="29"/>
  <c r="O141" i="29"/>
  <c r="C141" i="29" s="1"/>
  <c r="F144" i="29"/>
  <c r="C145" i="29"/>
  <c r="O144" i="29"/>
  <c r="L151" i="29"/>
  <c r="L130" i="29" s="1"/>
  <c r="C157" i="29"/>
  <c r="O160" i="29"/>
  <c r="C160" i="29" s="1"/>
  <c r="C185" i="29"/>
  <c r="E187" i="29"/>
  <c r="M187" i="29"/>
  <c r="C193" i="29"/>
  <c r="C199" i="29"/>
  <c r="L198" i="29"/>
  <c r="L196" i="29" s="1"/>
  <c r="I204" i="29"/>
  <c r="C227" i="29"/>
  <c r="E230" i="29"/>
  <c r="C235" i="29"/>
  <c r="C284" i="29"/>
  <c r="F283" i="29"/>
  <c r="C283" i="29" s="1"/>
  <c r="C288" i="29"/>
  <c r="C294" i="29"/>
  <c r="O293" i="29"/>
  <c r="C293" i="29" s="1"/>
  <c r="F112" i="29"/>
  <c r="C112" i="29" s="1"/>
  <c r="F116" i="29"/>
  <c r="C116" i="29" s="1"/>
  <c r="C156" i="29"/>
  <c r="C161" i="29"/>
  <c r="C172" i="29"/>
  <c r="N173" i="29"/>
  <c r="L179" i="29"/>
  <c r="L174" i="29" s="1"/>
  <c r="L173" i="29" s="1"/>
  <c r="E195" i="29"/>
  <c r="F196" i="29"/>
  <c r="O196" i="29"/>
  <c r="C207" i="29"/>
  <c r="L205" i="29"/>
  <c r="C244" i="29"/>
  <c r="C254" i="29"/>
  <c r="F252" i="29"/>
  <c r="L264" i="29"/>
  <c r="C267" i="29"/>
  <c r="C277" i="29"/>
  <c r="O276" i="29"/>
  <c r="C276" i="29" s="1"/>
  <c r="C282" i="29"/>
  <c r="C129" i="29"/>
  <c r="N130" i="29"/>
  <c r="M130" i="29"/>
  <c r="C140" i="29"/>
  <c r="C148" i="29"/>
  <c r="C149" i="29"/>
  <c r="C153" i="29"/>
  <c r="J173" i="29"/>
  <c r="C189" i="29"/>
  <c r="I196" i="29"/>
  <c r="I195" i="29" s="1"/>
  <c r="O205" i="29"/>
  <c r="O204" i="29" s="1"/>
  <c r="L216" i="29"/>
  <c r="C216" i="29" s="1"/>
  <c r="C219" i="29"/>
  <c r="O238" i="29"/>
  <c r="O231" i="29" s="1"/>
  <c r="C248" i="29"/>
  <c r="I246" i="29"/>
  <c r="L260" i="29"/>
  <c r="C263" i="29"/>
  <c r="C264" i="29"/>
  <c r="C273" i="29"/>
  <c r="F272" i="29"/>
  <c r="C281" i="29"/>
  <c r="F205" i="29"/>
  <c r="H231" i="29"/>
  <c r="H230" i="29" s="1"/>
  <c r="H194" i="29" s="1"/>
  <c r="C233" i="29"/>
  <c r="C240" i="29"/>
  <c r="I238" i="29"/>
  <c r="I231" i="29" s="1"/>
  <c r="I230" i="29" s="1"/>
  <c r="C256" i="29"/>
  <c r="C280" i="29"/>
  <c r="C296" i="29"/>
  <c r="C197" i="29"/>
  <c r="C201" i="29"/>
  <c r="C208" i="29"/>
  <c r="C209" i="29"/>
  <c r="C220" i="29"/>
  <c r="C221" i="29"/>
  <c r="C232" i="29"/>
  <c r="D231" i="29"/>
  <c r="D230" i="29" s="1"/>
  <c r="D194" i="29" s="1"/>
  <c r="M230" i="29"/>
  <c r="M194" i="29" s="1"/>
  <c r="C245" i="29"/>
  <c r="F246" i="29"/>
  <c r="C249" i="29"/>
  <c r="C253" i="29"/>
  <c r="O252" i="29"/>
  <c r="O251" i="29" s="1"/>
  <c r="C268" i="29"/>
  <c r="J270" i="29"/>
  <c r="J269" i="29" s="1"/>
  <c r="O272" i="29"/>
  <c r="C285" i="29"/>
  <c r="G289" i="29"/>
  <c r="L286" i="29"/>
  <c r="K289" i="29" l="1"/>
  <c r="I75" i="29"/>
  <c r="O130" i="29"/>
  <c r="O174" i="29"/>
  <c r="O173" i="29" s="1"/>
  <c r="I83" i="30"/>
  <c r="L259" i="29"/>
  <c r="K194" i="29"/>
  <c r="M75" i="29"/>
  <c r="M289" i="29" s="1"/>
  <c r="E75" i="29"/>
  <c r="L231" i="29"/>
  <c r="N194" i="30"/>
  <c r="I231" i="30"/>
  <c r="I230" i="30" s="1"/>
  <c r="I204" i="30"/>
  <c r="O187" i="29"/>
  <c r="C55" i="29"/>
  <c r="C55" i="30"/>
  <c r="I76" i="30"/>
  <c r="K194" i="30"/>
  <c r="M289" i="30"/>
  <c r="O270" i="29"/>
  <c r="O269" i="29" s="1"/>
  <c r="E52" i="29"/>
  <c r="C260" i="29"/>
  <c r="F76" i="29"/>
  <c r="H194" i="30"/>
  <c r="C151" i="30"/>
  <c r="C77" i="30"/>
  <c r="C112" i="30"/>
  <c r="O130" i="30"/>
  <c r="J194" i="29"/>
  <c r="N75" i="29"/>
  <c r="N52" i="29" s="1"/>
  <c r="N51" i="29" s="1"/>
  <c r="I289" i="29"/>
  <c r="F187" i="29"/>
  <c r="C187" i="29" s="1"/>
  <c r="L75" i="29"/>
  <c r="O204" i="30"/>
  <c r="O195" i="30" s="1"/>
  <c r="D289" i="30"/>
  <c r="K52" i="29"/>
  <c r="K51" i="29" s="1"/>
  <c r="D52" i="29"/>
  <c r="D51" i="29" s="1"/>
  <c r="C246" i="29"/>
  <c r="O230" i="29"/>
  <c r="I52" i="29"/>
  <c r="C136" i="29"/>
  <c r="D289" i="29"/>
  <c r="D194" i="30"/>
  <c r="L231" i="30"/>
  <c r="O83" i="30"/>
  <c r="O75" i="30" s="1"/>
  <c r="O52" i="30" s="1"/>
  <c r="C165" i="30"/>
  <c r="G52" i="29"/>
  <c r="G51" i="29" s="1"/>
  <c r="J75" i="29"/>
  <c r="J289" i="29" s="1"/>
  <c r="H289" i="30"/>
  <c r="L130" i="30"/>
  <c r="N75" i="30"/>
  <c r="N52" i="30" s="1"/>
  <c r="N51" i="30" s="1"/>
  <c r="N50" i="30" s="1"/>
  <c r="C58" i="30"/>
  <c r="C21" i="30"/>
  <c r="F292" i="30"/>
  <c r="F291" i="30" s="1"/>
  <c r="F20" i="30"/>
  <c r="J75" i="30"/>
  <c r="J52" i="30" s="1"/>
  <c r="J194" i="30"/>
  <c r="H51" i="30"/>
  <c r="H50" i="30" s="1"/>
  <c r="O230" i="30"/>
  <c r="G194" i="30"/>
  <c r="G52" i="30"/>
  <c r="G51" i="30" s="1"/>
  <c r="G50" i="30" s="1"/>
  <c r="C136" i="30"/>
  <c r="E230" i="30"/>
  <c r="E289" i="30" s="1"/>
  <c r="C141" i="30"/>
  <c r="K75" i="30"/>
  <c r="K52" i="30" s="1"/>
  <c r="K51" i="30" s="1"/>
  <c r="K290" i="30" s="1"/>
  <c r="L54" i="30"/>
  <c r="L53" i="30" s="1"/>
  <c r="D52" i="30"/>
  <c r="D51" i="30" s="1"/>
  <c r="C205" i="30"/>
  <c r="F204" i="30"/>
  <c r="C198" i="30"/>
  <c r="I196" i="30"/>
  <c r="C122" i="30"/>
  <c r="F83" i="30"/>
  <c r="C216" i="30"/>
  <c r="C95" i="30"/>
  <c r="L259" i="30"/>
  <c r="L230" i="30" s="1"/>
  <c r="L83" i="30"/>
  <c r="L75" i="30" s="1"/>
  <c r="G289" i="30"/>
  <c r="C286" i="30"/>
  <c r="C238" i="30"/>
  <c r="F231" i="30"/>
  <c r="C188" i="30"/>
  <c r="F130" i="30"/>
  <c r="C131" i="30"/>
  <c r="M194" i="30"/>
  <c r="M51" i="30" s="1"/>
  <c r="L292" i="30"/>
  <c r="L291" i="30" s="1"/>
  <c r="C291" i="30" s="1"/>
  <c r="C252" i="30"/>
  <c r="F251" i="30"/>
  <c r="C251" i="30" s="1"/>
  <c r="C166" i="30"/>
  <c r="C76" i="30"/>
  <c r="C80" i="30"/>
  <c r="C69" i="30"/>
  <c r="F67" i="30"/>
  <c r="C67" i="30" s="1"/>
  <c r="C31" i="30"/>
  <c r="L26" i="30"/>
  <c r="C144" i="30"/>
  <c r="C187" i="30"/>
  <c r="C276" i="30"/>
  <c r="C246" i="30"/>
  <c r="C175" i="30"/>
  <c r="I174" i="30"/>
  <c r="C260" i="30"/>
  <c r="F270" i="30"/>
  <c r="C272" i="30"/>
  <c r="C116" i="30"/>
  <c r="L204" i="30"/>
  <c r="L195" i="30" s="1"/>
  <c r="C84" i="30"/>
  <c r="I130" i="30"/>
  <c r="I75" i="30" s="1"/>
  <c r="C103" i="30"/>
  <c r="C45" i="30"/>
  <c r="O20" i="30"/>
  <c r="N289" i="29"/>
  <c r="O75" i="29"/>
  <c r="C205" i="29"/>
  <c r="F204" i="29"/>
  <c r="I194" i="29"/>
  <c r="I51" i="29" s="1"/>
  <c r="E289" i="29"/>
  <c r="O67" i="29"/>
  <c r="C26" i="29"/>
  <c r="L20" i="29"/>
  <c r="O195" i="29"/>
  <c r="C198" i="29"/>
  <c r="L292" i="29"/>
  <c r="L291" i="29" s="1"/>
  <c r="C95" i="29"/>
  <c r="C151" i="29"/>
  <c r="F292" i="29"/>
  <c r="C21" i="29"/>
  <c r="F20" i="29"/>
  <c r="F270" i="29"/>
  <c r="C272" i="29"/>
  <c r="C252" i="29"/>
  <c r="F251" i="29"/>
  <c r="C251" i="29" s="1"/>
  <c r="L230" i="29"/>
  <c r="C196" i="29"/>
  <c r="C179" i="29"/>
  <c r="L52" i="29"/>
  <c r="F83" i="29"/>
  <c r="C83" i="29" s="1"/>
  <c r="C84" i="29"/>
  <c r="H51" i="29"/>
  <c r="C76" i="29"/>
  <c r="H289" i="29"/>
  <c r="C286" i="29"/>
  <c r="L204" i="29"/>
  <c r="L195" i="29" s="1"/>
  <c r="E194" i="29"/>
  <c r="E51" i="29" s="1"/>
  <c r="C144" i="29"/>
  <c r="F130" i="29"/>
  <c r="C130" i="29" s="1"/>
  <c r="C131" i="29"/>
  <c r="F165" i="29"/>
  <c r="C165" i="29" s="1"/>
  <c r="C166" i="29"/>
  <c r="I20" i="29"/>
  <c r="C103" i="29"/>
  <c r="C259" i="29"/>
  <c r="C238" i="29"/>
  <c r="F231" i="29"/>
  <c r="F174" i="29"/>
  <c r="C175" i="29"/>
  <c r="C58" i="29"/>
  <c r="F54" i="29"/>
  <c r="O291" i="29"/>
  <c r="K50" i="29" l="1"/>
  <c r="K290" i="29"/>
  <c r="G290" i="30"/>
  <c r="J51" i="30"/>
  <c r="J290" i="30" s="1"/>
  <c r="L289" i="29"/>
  <c r="M52" i="29"/>
  <c r="M51" i="29" s="1"/>
  <c r="O194" i="29"/>
  <c r="K50" i="30"/>
  <c r="D290" i="29"/>
  <c r="D50" i="29"/>
  <c r="F75" i="29"/>
  <c r="C75" i="29" s="1"/>
  <c r="H290" i="30"/>
  <c r="O289" i="30"/>
  <c r="L194" i="29"/>
  <c r="E194" i="30"/>
  <c r="E51" i="30" s="1"/>
  <c r="E290" i="30" s="1"/>
  <c r="J289" i="30"/>
  <c r="G50" i="29"/>
  <c r="G290" i="29"/>
  <c r="J52" i="29"/>
  <c r="J51" i="29" s="1"/>
  <c r="J290" i="29" s="1"/>
  <c r="O194" i="30"/>
  <c r="O51" i="30" s="1"/>
  <c r="F53" i="30"/>
  <c r="N290" i="30"/>
  <c r="N289" i="30"/>
  <c r="C54" i="30"/>
  <c r="C259" i="30"/>
  <c r="F75" i="30"/>
  <c r="F52" i="30" s="1"/>
  <c r="K289" i="30"/>
  <c r="M50" i="30"/>
  <c r="M290" i="30"/>
  <c r="L289" i="30"/>
  <c r="F269" i="30"/>
  <c r="C270" i="30"/>
  <c r="F230" i="30"/>
  <c r="C230" i="30" s="1"/>
  <c r="C231" i="30"/>
  <c r="L194" i="30"/>
  <c r="C204" i="30"/>
  <c r="F195" i="30"/>
  <c r="C26" i="30"/>
  <c r="L20" i="30"/>
  <c r="C20" i="30" s="1"/>
  <c r="J50" i="30"/>
  <c r="C292" i="30"/>
  <c r="I173" i="30"/>
  <c r="C173" i="30" s="1"/>
  <c r="C174" i="30"/>
  <c r="L52" i="30"/>
  <c r="C130" i="30"/>
  <c r="D290" i="30"/>
  <c r="D50" i="30"/>
  <c r="I195" i="30"/>
  <c r="C196" i="30"/>
  <c r="C53" i="30"/>
  <c r="C83" i="30"/>
  <c r="I290" i="29"/>
  <c r="I50" i="29"/>
  <c r="E290" i="29"/>
  <c r="E50" i="29"/>
  <c r="F173" i="29"/>
  <c r="C173" i="29" s="1"/>
  <c r="C174" i="29"/>
  <c r="L51" i="29"/>
  <c r="F269" i="29"/>
  <c r="C270" i="29"/>
  <c r="C292" i="29"/>
  <c r="F291" i="29"/>
  <c r="C291" i="29" s="1"/>
  <c r="M50" i="29"/>
  <c r="M290" i="29"/>
  <c r="F53" i="29"/>
  <c r="C54" i="29"/>
  <c r="F230" i="29"/>
  <c r="C230" i="29" s="1"/>
  <c r="C231" i="29"/>
  <c r="H290" i="29"/>
  <c r="H50" i="29"/>
  <c r="C204" i="29"/>
  <c r="J50" i="29"/>
  <c r="F195" i="29"/>
  <c r="C20" i="29"/>
  <c r="C67" i="29"/>
  <c r="O53" i="29"/>
  <c r="O52" i="29" s="1"/>
  <c r="O51" i="29" s="1"/>
  <c r="N50" i="29"/>
  <c r="N290" i="29"/>
  <c r="E50" i="30" l="1"/>
  <c r="O50" i="30"/>
  <c r="O290" i="30"/>
  <c r="L51" i="30"/>
  <c r="L50" i="30" s="1"/>
  <c r="C75" i="30"/>
  <c r="F194" i="30"/>
  <c r="C195" i="30"/>
  <c r="C269" i="30"/>
  <c r="F289" i="30"/>
  <c r="I194" i="30"/>
  <c r="I289" i="30"/>
  <c r="L290" i="30"/>
  <c r="I52" i="30"/>
  <c r="C269" i="29"/>
  <c r="F289" i="29"/>
  <c r="F194" i="29"/>
  <c r="C194" i="29" s="1"/>
  <c r="C195" i="29"/>
  <c r="L50" i="29"/>
  <c r="L290" i="29"/>
  <c r="O50" i="29"/>
  <c r="O290" i="29"/>
  <c r="F52" i="29"/>
  <c r="C53" i="29"/>
  <c r="O289" i="29"/>
  <c r="C289" i="29" l="1"/>
  <c r="I51" i="30"/>
  <c r="C52" i="30"/>
  <c r="C194" i="30"/>
  <c r="C289" i="30"/>
  <c r="F51" i="30"/>
  <c r="F51" i="29"/>
  <c r="C52" i="29"/>
  <c r="F290" i="30" l="1"/>
  <c r="C51" i="30"/>
  <c r="F50" i="30"/>
  <c r="C50" i="30" s="1"/>
  <c r="I290" i="30"/>
  <c r="I50" i="30"/>
  <c r="F290" i="29"/>
  <c r="C290" i="29" s="1"/>
  <c r="C51" i="29"/>
  <c r="F50" i="29"/>
  <c r="C50" i="29" s="1"/>
  <c r="C290" i="30" l="1"/>
  <c r="F96" i="28"/>
  <c r="F95" i="28"/>
  <c r="E94" i="28"/>
  <c r="D94" i="28"/>
  <c r="F88" i="28"/>
  <c r="D87" i="28"/>
  <c r="D86" i="28"/>
  <c r="F86" i="28" s="1"/>
  <c r="F85" i="28"/>
  <c r="D84" i="28"/>
  <c r="F84" i="28" s="1"/>
  <c r="F83" i="28"/>
  <c r="F82" i="28"/>
  <c r="F81" i="28"/>
  <c r="F80" i="28"/>
  <c r="F79" i="28"/>
  <c r="F78" i="28"/>
  <c r="F77" i="28"/>
  <c r="F76" i="28"/>
  <c r="F75" i="28"/>
  <c r="F74" i="28"/>
  <c r="F73" i="28"/>
  <c r="F72" i="28"/>
  <c r="F71" i="28"/>
  <c r="F70" i="28"/>
  <c r="F69" i="28"/>
  <c r="F68" i="28"/>
  <c r="F67" i="28"/>
  <c r="F66" i="28"/>
  <c r="F65" i="28"/>
  <c r="F64" i="28"/>
  <c r="F63" i="28"/>
  <c r="F62" i="28"/>
  <c r="F61" i="28"/>
  <c r="F60" i="28"/>
  <c r="F59" i="28"/>
  <c r="F58" i="28"/>
  <c r="F57" i="28"/>
  <c r="F56" i="28"/>
  <c r="F55" i="28"/>
  <c r="F54" i="28"/>
  <c r="E53" i="28"/>
  <c r="F48" i="28"/>
  <c r="F47" i="28"/>
  <c r="F46" i="28"/>
  <c r="F45" i="28"/>
  <c r="F44" i="28"/>
  <c r="D43" i="28"/>
  <c r="D11" i="28" s="1"/>
  <c r="F42" i="28"/>
  <c r="F41" i="28"/>
  <c r="F40" i="28"/>
  <c r="F39" i="28"/>
  <c r="F38" i="28"/>
  <c r="F37" i="28"/>
  <c r="F36" i="28"/>
  <c r="F35" i="28"/>
  <c r="F34" i="28"/>
  <c r="F33" i="28"/>
  <c r="F32" i="28"/>
  <c r="F31" i="28"/>
  <c r="F30" i="28"/>
  <c r="F29" i="28"/>
  <c r="F28" i="28"/>
  <c r="F27" i="28"/>
  <c r="F26" i="28"/>
  <c r="F25" i="28"/>
  <c r="F24" i="28"/>
  <c r="F23" i="28"/>
  <c r="F22" i="28"/>
  <c r="F21" i="28"/>
  <c r="F20" i="28"/>
  <c r="F19" i="28"/>
  <c r="F18" i="28"/>
  <c r="F17" i="28"/>
  <c r="F16" i="28"/>
  <c r="F15" i="28"/>
  <c r="F14" i="28"/>
  <c r="F13" i="28"/>
  <c r="F12" i="28"/>
  <c r="E11" i="28"/>
  <c r="F43" i="28" l="1"/>
  <c r="F11" i="28"/>
  <c r="D53" i="28"/>
  <c r="F94" i="28"/>
  <c r="F87" i="28"/>
  <c r="F53" i="28" s="1"/>
  <c r="O301" i="26" l="1"/>
  <c r="L301" i="26"/>
  <c r="I301" i="26"/>
  <c r="F301" i="26"/>
  <c r="O300" i="26"/>
  <c r="L300" i="26"/>
  <c r="I300" i="26"/>
  <c r="F300" i="26"/>
  <c r="O299" i="26"/>
  <c r="L299" i="26"/>
  <c r="I299" i="26"/>
  <c r="F299" i="26"/>
  <c r="O298" i="26"/>
  <c r="L298" i="26"/>
  <c r="I298" i="26"/>
  <c r="F298" i="26"/>
  <c r="O297" i="26"/>
  <c r="L297" i="26"/>
  <c r="I297" i="26"/>
  <c r="F297" i="26"/>
  <c r="O296" i="26"/>
  <c r="L296" i="26"/>
  <c r="I296" i="26"/>
  <c r="F296" i="26"/>
  <c r="O295" i="26"/>
  <c r="L295" i="26"/>
  <c r="I295" i="26"/>
  <c r="F295" i="26"/>
  <c r="O294" i="26"/>
  <c r="O293" i="26" s="1"/>
  <c r="L294" i="26"/>
  <c r="I294" i="26"/>
  <c r="F294" i="26"/>
  <c r="N293" i="26"/>
  <c r="M293" i="26"/>
  <c r="K293" i="26"/>
  <c r="J293" i="26"/>
  <c r="H293" i="26"/>
  <c r="G293" i="26"/>
  <c r="E293" i="26"/>
  <c r="D293" i="26"/>
  <c r="O288" i="26"/>
  <c r="L288" i="26"/>
  <c r="I288" i="26"/>
  <c r="F288" i="26"/>
  <c r="O287" i="26"/>
  <c r="L287" i="26"/>
  <c r="I287" i="26"/>
  <c r="F287" i="26"/>
  <c r="O286" i="26"/>
  <c r="N286" i="26"/>
  <c r="M286" i="26"/>
  <c r="K286" i="26"/>
  <c r="J286" i="26"/>
  <c r="H286" i="26"/>
  <c r="G286" i="26"/>
  <c r="F286" i="26"/>
  <c r="E286" i="26"/>
  <c r="D286" i="26"/>
  <c r="O285" i="26"/>
  <c r="L285" i="26"/>
  <c r="L284" i="26" s="1"/>
  <c r="L283" i="26" s="1"/>
  <c r="I285" i="26"/>
  <c r="I284" i="26" s="1"/>
  <c r="I283" i="26" s="1"/>
  <c r="F285" i="26"/>
  <c r="O284" i="26"/>
  <c r="O283" i="26" s="1"/>
  <c r="N284" i="26"/>
  <c r="N283" i="26" s="1"/>
  <c r="M284" i="26"/>
  <c r="M283" i="26" s="1"/>
  <c r="K284" i="26"/>
  <c r="J284" i="26"/>
  <c r="J283" i="26" s="1"/>
  <c r="H284" i="26"/>
  <c r="H283" i="26" s="1"/>
  <c r="G284" i="26"/>
  <c r="G283" i="26" s="1"/>
  <c r="E284" i="26"/>
  <c r="E283" i="26" s="1"/>
  <c r="D284" i="26"/>
  <c r="D283" i="26" s="1"/>
  <c r="K283" i="26"/>
  <c r="O282" i="26"/>
  <c r="O281" i="26" s="1"/>
  <c r="L282" i="26"/>
  <c r="L281" i="26" s="1"/>
  <c r="I282" i="26"/>
  <c r="F282" i="26"/>
  <c r="F281" i="26" s="1"/>
  <c r="N281" i="26"/>
  <c r="M281" i="26"/>
  <c r="K281" i="26"/>
  <c r="J281" i="26"/>
  <c r="H281" i="26"/>
  <c r="G281" i="26"/>
  <c r="E281" i="26"/>
  <c r="D281" i="26"/>
  <c r="O280" i="26"/>
  <c r="L280" i="26"/>
  <c r="I280" i="26"/>
  <c r="F280" i="26"/>
  <c r="O279" i="26"/>
  <c r="L279" i="26"/>
  <c r="I279" i="26"/>
  <c r="F279" i="26"/>
  <c r="O278" i="26"/>
  <c r="L278" i="26"/>
  <c r="I278" i="26"/>
  <c r="F278" i="26"/>
  <c r="O277" i="26"/>
  <c r="L277" i="26"/>
  <c r="I277" i="26"/>
  <c r="F277" i="26"/>
  <c r="N276" i="26"/>
  <c r="M276" i="26"/>
  <c r="K276" i="26"/>
  <c r="J276" i="26"/>
  <c r="H276" i="26"/>
  <c r="G276" i="26"/>
  <c r="E276" i="26"/>
  <c r="D276" i="26"/>
  <c r="O275" i="26"/>
  <c r="L275" i="26"/>
  <c r="I275" i="26"/>
  <c r="F275" i="26"/>
  <c r="O274" i="26"/>
  <c r="L274" i="26"/>
  <c r="I274" i="26"/>
  <c r="F274" i="26"/>
  <c r="O273" i="26"/>
  <c r="L273" i="26"/>
  <c r="L272" i="26" s="1"/>
  <c r="I273" i="26"/>
  <c r="F273" i="26"/>
  <c r="N272" i="26"/>
  <c r="M272" i="26"/>
  <c r="M270" i="26" s="1"/>
  <c r="K272" i="26"/>
  <c r="K270" i="26" s="1"/>
  <c r="J272" i="26"/>
  <c r="H272" i="26"/>
  <c r="H270" i="26" s="1"/>
  <c r="H269" i="26" s="1"/>
  <c r="G272" i="26"/>
  <c r="G270" i="26" s="1"/>
  <c r="E272" i="26"/>
  <c r="D272" i="26"/>
  <c r="D270" i="26" s="1"/>
  <c r="D269" i="26" s="1"/>
  <c r="O271" i="26"/>
  <c r="L271" i="26"/>
  <c r="I271" i="26"/>
  <c r="F271" i="26"/>
  <c r="N270" i="26"/>
  <c r="N269" i="26" s="1"/>
  <c r="O268" i="26"/>
  <c r="L268" i="26"/>
  <c r="I268" i="26"/>
  <c r="F268" i="26"/>
  <c r="O267" i="26"/>
  <c r="L267" i="26"/>
  <c r="I267" i="26"/>
  <c r="F267" i="26"/>
  <c r="O266" i="26"/>
  <c r="L266" i="26"/>
  <c r="I266" i="26"/>
  <c r="F266" i="26"/>
  <c r="O265" i="26"/>
  <c r="L265" i="26"/>
  <c r="I265" i="26"/>
  <c r="F265" i="26"/>
  <c r="N264" i="26"/>
  <c r="M264" i="26"/>
  <c r="K264" i="26"/>
  <c r="J264" i="26"/>
  <c r="H264" i="26"/>
  <c r="G264" i="26"/>
  <c r="E264" i="26"/>
  <c r="D264" i="26"/>
  <c r="O263" i="26"/>
  <c r="L263" i="26"/>
  <c r="I263" i="26"/>
  <c r="F263" i="26"/>
  <c r="O262" i="26"/>
  <c r="L262" i="26"/>
  <c r="I262" i="26"/>
  <c r="F262" i="26"/>
  <c r="O261" i="26"/>
  <c r="L261" i="26"/>
  <c r="I261" i="26"/>
  <c r="F261" i="26"/>
  <c r="N260" i="26"/>
  <c r="M260" i="26"/>
  <c r="K260" i="26"/>
  <c r="J260" i="26"/>
  <c r="J259" i="26" s="1"/>
  <c r="H260" i="26"/>
  <c r="H259" i="26" s="1"/>
  <c r="G260" i="26"/>
  <c r="E260" i="26"/>
  <c r="E259" i="26" s="1"/>
  <c r="D260" i="26"/>
  <c r="D259" i="26" s="1"/>
  <c r="O258" i="26"/>
  <c r="L258" i="26"/>
  <c r="I258" i="26"/>
  <c r="F258" i="26"/>
  <c r="O257" i="26"/>
  <c r="L257" i="26"/>
  <c r="I257" i="26"/>
  <c r="F257" i="26"/>
  <c r="O256" i="26"/>
  <c r="L256" i="26"/>
  <c r="I256" i="26"/>
  <c r="F256" i="26"/>
  <c r="O255" i="26"/>
  <c r="L255" i="26"/>
  <c r="I255" i="26"/>
  <c r="F255" i="26"/>
  <c r="O254" i="26"/>
  <c r="L254" i="26"/>
  <c r="I254" i="26"/>
  <c r="F254" i="26"/>
  <c r="O253" i="26"/>
  <c r="L253" i="26"/>
  <c r="I253" i="26"/>
  <c r="F253" i="26"/>
  <c r="N252" i="26"/>
  <c r="M252" i="26"/>
  <c r="M251" i="26" s="1"/>
  <c r="K252" i="26"/>
  <c r="K251" i="26" s="1"/>
  <c r="J252" i="26"/>
  <c r="J251" i="26" s="1"/>
  <c r="H252" i="26"/>
  <c r="H251" i="26" s="1"/>
  <c r="G252" i="26"/>
  <c r="E252" i="26"/>
  <c r="E251" i="26" s="1"/>
  <c r="D252" i="26"/>
  <c r="D251" i="26" s="1"/>
  <c r="N251" i="26"/>
  <c r="G251" i="26"/>
  <c r="O250" i="26"/>
  <c r="L250" i="26"/>
  <c r="I250" i="26"/>
  <c r="F250" i="26"/>
  <c r="O249" i="26"/>
  <c r="L249" i="26"/>
  <c r="I249" i="26"/>
  <c r="F249" i="26"/>
  <c r="O248" i="26"/>
  <c r="L248" i="26"/>
  <c r="I248" i="26"/>
  <c r="F248" i="26"/>
  <c r="O247" i="26"/>
  <c r="L247" i="26"/>
  <c r="I247" i="26"/>
  <c r="F247" i="26"/>
  <c r="N246" i="26"/>
  <c r="M246" i="26"/>
  <c r="K246" i="26"/>
  <c r="J246" i="26"/>
  <c r="H246" i="26"/>
  <c r="G246" i="26"/>
  <c r="E246" i="26"/>
  <c r="D246" i="26"/>
  <c r="O245" i="26"/>
  <c r="L245" i="26"/>
  <c r="I245" i="26"/>
  <c r="F245" i="26"/>
  <c r="O244" i="26"/>
  <c r="L244" i="26"/>
  <c r="I244" i="26"/>
  <c r="F244" i="26"/>
  <c r="O243" i="26"/>
  <c r="L243" i="26"/>
  <c r="I243" i="26"/>
  <c r="F243" i="26"/>
  <c r="O242" i="26"/>
  <c r="L242" i="26"/>
  <c r="I242" i="26"/>
  <c r="F242" i="26"/>
  <c r="O241" i="26"/>
  <c r="L241" i="26"/>
  <c r="I241" i="26"/>
  <c r="F241" i="26"/>
  <c r="O240" i="26"/>
  <c r="L240" i="26"/>
  <c r="I240" i="26"/>
  <c r="F240" i="26"/>
  <c r="O239" i="26"/>
  <c r="L239" i="26"/>
  <c r="I239" i="26"/>
  <c r="F239" i="26"/>
  <c r="N238" i="26"/>
  <c r="M238" i="26"/>
  <c r="K238" i="26"/>
  <c r="J238" i="26"/>
  <c r="H238" i="26"/>
  <c r="G238" i="26"/>
  <c r="E238" i="26"/>
  <c r="D238" i="26"/>
  <c r="O237" i="26"/>
  <c r="L237" i="26"/>
  <c r="I237" i="26"/>
  <c r="F237" i="26"/>
  <c r="O236" i="26"/>
  <c r="L236" i="26"/>
  <c r="L235" i="26" s="1"/>
  <c r="I236" i="26"/>
  <c r="I235" i="26" s="1"/>
  <c r="F236" i="26"/>
  <c r="O235" i="26"/>
  <c r="N235" i="26"/>
  <c r="M235" i="26"/>
  <c r="K235" i="26"/>
  <c r="J235" i="26"/>
  <c r="H235" i="26"/>
  <c r="G235" i="26"/>
  <c r="F235" i="26"/>
  <c r="E235" i="26"/>
  <c r="D235" i="26"/>
  <c r="O234" i="26"/>
  <c r="O233" i="26" s="1"/>
  <c r="L234" i="26"/>
  <c r="L233" i="26" s="1"/>
  <c r="I234" i="26"/>
  <c r="I233" i="26" s="1"/>
  <c r="F234" i="26"/>
  <c r="F233" i="26" s="1"/>
  <c r="N233" i="26"/>
  <c r="M233" i="26"/>
  <c r="K233" i="26"/>
  <c r="J233" i="26"/>
  <c r="H233" i="26"/>
  <c r="G233" i="26"/>
  <c r="E233" i="26"/>
  <c r="E231" i="26" s="1"/>
  <c r="D233" i="26"/>
  <c r="O232" i="26"/>
  <c r="L232" i="26"/>
  <c r="I232" i="26"/>
  <c r="F232" i="26"/>
  <c r="O229" i="26"/>
  <c r="L229" i="26"/>
  <c r="I229" i="26"/>
  <c r="F229" i="26"/>
  <c r="O228" i="26"/>
  <c r="L228" i="26"/>
  <c r="L227" i="26" s="1"/>
  <c r="I228" i="26"/>
  <c r="I227" i="26" s="1"/>
  <c r="F228" i="26"/>
  <c r="O227" i="26"/>
  <c r="N227" i="26"/>
  <c r="M227" i="26"/>
  <c r="K227" i="26"/>
  <c r="J227" i="26"/>
  <c r="H227" i="26"/>
  <c r="G227" i="26"/>
  <c r="F227" i="26"/>
  <c r="E227" i="26"/>
  <c r="D227" i="26"/>
  <c r="O226" i="26"/>
  <c r="L226" i="26"/>
  <c r="I226" i="26"/>
  <c r="F226" i="26"/>
  <c r="O225" i="26"/>
  <c r="L225" i="26"/>
  <c r="I225" i="26"/>
  <c r="F225" i="26"/>
  <c r="O224" i="26"/>
  <c r="L224" i="26"/>
  <c r="I224" i="26"/>
  <c r="F224" i="26"/>
  <c r="O223" i="26"/>
  <c r="L223" i="26"/>
  <c r="I223" i="26"/>
  <c r="F223" i="26"/>
  <c r="O222" i="26"/>
  <c r="L222" i="26"/>
  <c r="I222" i="26"/>
  <c r="F222" i="26"/>
  <c r="O221" i="26"/>
  <c r="L221" i="26"/>
  <c r="I221" i="26"/>
  <c r="F221" i="26"/>
  <c r="O220" i="26"/>
  <c r="L220" i="26"/>
  <c r="I220" i="26"/>
  <c r="F220" i="26"/>
  <c r="O219" i="26"/>
  <c r="L219" i="26"/>
  <c r="I219" i="26"/>
  <c r="F219" i="26"/>
  <c r="O218" i="26"/>
  <c r="L218" i="26"/>
  <c r="I218" i="26"/>
  <c r="F218" i="26"/>
  <c r="O217" i="26"/>
  <c r="L217" i="26"/>
  <c r="I217" i="26"/>
  <c r="F217" i="26"/>
  <c r="N216" i="26"/>
  <c r="M216" i="26"/>
  <c r="K216" i="26"/>
  <c r="J216" i="26"/>
  <c r="H216" i="26"/>
  <c r="G216" i="26"/>
  <c r="E216" i="26"/>
  <c r="D216" i="26"/>
  <c r="O215" i="26"/>
  <c r="L215" i="26"/>
  <c r="I215" i="26"/>
  <c r="F215" i="26"/>
  <c r="O214" i="26"/>
  <c r="L214" i="26"/>
  <c r="I214" i="26"/>
  <c r="F214" i="26"/>
  <c r="O213" i="26"/>
  <c r="L213" i="26"/>
  <c r="I213" i="26"/>
  <c r="F213" i="26"/>
  <c r="O212" i="26"/>
  <c r="L212" i="26"/>
  <c r="I212" i="26"/>
  <c r="F212" i="26"/>
  <c r="O211" i="26"/>
  <c r="L211" i="26"/>
  <c r="I211" i="26"/>
  <c r="F211" i="26"/>
  <c r="O210" i="26"/>
  <c r="L210" i="26"/>
  <c r="I210" i="26"/>
  <c r="F210" i="26"/>
  <c r="O209" i="26"/>
  <c r="L209" i="26"/>
  <c r="I209" i="26"/>
  <c r="F209" i="26"/>
  <c r="O208" i="26"/>
  <c r="L208" i="26"/>
  <c r="I208" i="26"/>
  <c r="F208" i="26"/>
  <c r="O207" i="26"/>
  <c r="L207" i="26"/>
  <c r="I207" i="26"/>
  <c r="F207" i="26"/>
  <c r="O206" i="26"/>
  <c r="L206" i="26"/>
  <c r="I206" i="26"/>
  <c r="F206" i="26"/>
  <c r="N205" i="26"/>
  <c r="M205" i="26"/>
  <c r="K205" i="26"/>
  <c r="J205" i="26"/>
  <c r="H205" i="26"/>
  <c r="G205" i="26"/>
  <c r="E205" i="26"/>
  <c r="D205" i="26"/>
  <c r="O203" i="26"/>
  <c r="L203" i="26"/>
  <c r="I203" i="26"/>
  <c r="F203" i="26"/>
  <c r="O202" i="26"/>
  <c r="L202" i="26"/>
  <c r="I202" i="26"/>
  <c r="F202" i="26"/>
  <c r="O201" i="26"/>
  <c r="L201" i="26"/>
  <c r="I201" i="26"/>
  <c r="F201" i="26"/>
  <c r="O200" i="26"/>
  <c r="L200" i="26"/>
  <c r="I200" i="26"/>
  <c r="F200" i="26"/>
  <c r="O199" i="26"/>
  <c r="O198" i="26" s="1"/>
  <c r="L199" i="26"/>
  <c r="I199" i="26"/>
  <c r="F199" i="26"/>
  <c r="F198" i="26" s="1"/>
  <c r="N198" i="26"/>
  <c r="N196" i="26" s="1"/>
  <c r="M198" i="26"/>
  <c r="K198" i="26"/>
  <c r="K196" i="26" s="1"/>
  <c r="J198" i="26"/>
  <c r="J196" i="26" s="1"/>
  <c r="H198" i="26"/>
  <c r="H196" i="26" s="1"/>
  <c r="G198" i="26"/>
  <c r="G196" i="26" s="1"/>
  <c r="E198" i="26"/>
  <c r="E196" i="26" s="1"/>
  <c r="D198" i="26"/>
  <c r="D196" i="26" s="1"/>
  <c r="O197" i="26"/>
  <c r="L197" i="26"/>
  <c r="I197" i="26"/>
  <c r="F197" i="26"/>
  <c r="M196" i="26"/>
  <c r="O193" i="26"/>
  <c r="O192" i="26" s="1"/>
  <c r="O191" i="26" s="1"/>
  <c r="L193" i="26"/>
  <c r="L192" i="26" s="1"/>
  <c r="L191" i="26" s="1"/>
  <c r="I193" i="26"/>
  <c r="I192" i="26" s="1"/>
  <c r="I191" i="26" s="1"/>
  <c r="F193" i="26"/>
  <c r="N192" i="26"/>
  <c r="N191" i="26" s="1"/>
  <c r="M192" i="26"/>
  <c r="M191" i="26" s="1"/>
  <c r="K192" i="26"/>
  <c r="K191" i="26" s="1"/>
  <c r="J192" i="26"/>
  <c r="J191" i="26" s="1"/>
  <c r="H192" i="26"/>
  <c r="H191" i="26" s="1"/>
  <c r="G192" i="26"/>
  <c r="E192" i="26"/>
  <c r="E191" i="26" s="1"/>
  <c r="D192" i="26"/>
  <c r="D191" i="26" s="1"/>
  <c r="G191" i="26"/>
  <c r="O190" i="26"/>
  <c r="L190" i="26"/>
  <c r="I190" i="26"/>
  <c r="F190" i="26"/>
  <c r="O189" i="26"/>
  <c r="L189" i="26"/>
  <c r="L188" i="26" s="1"/>
  <c r="I189" i="26"/>
  <c r="I188" i="26" s="1"/>
  <c r="F189" i="26"/>
  <c r="N188" i="26"/>
  <c r="M188" i="26"/>
  <c r="K188" i="26"/>
  <c r="J188" i="26"/>
  <c r="H188" i="26"/>
  <c r="G188" i="26"/>
  <c r="E188" i="26"/>
  <c r="D188" i="26"/>
  <c r="D187" i="26" s="1"/>
  <c r="O186" i="26"/>
  <c r="L186" i="26"/>
  <c r="I186" i="26"/>
  <c r="F186" i="26"/>
  <c r="O185" i="26"/>
  <c r="L185" i="26"/>
  <c r="L184" i="26" s="1"/>
  <c r="I185" i="26"/>
  <c r="I184" i="26" s="1"/>
  <c r="F185" i="26"/>
  <c r="O184" i="26"/>
  <c r="N184" i="26"/>
  <c r="M184" i="26"/>
  <c r="K184" i="26"/>
  <c r="J184" i="26"/>
  <c r="H184" i="26"/>
  <c r="G184" i="26"/>
  <c r="F184" i="26"/>
  <c r="E184" i="26"/>
  <c r="D184" i="26"/>
  <c r="O183" i="26"/>
  <c r="L183" i="26"/>
  <c r="I183" i="26"/>
  <c r="F183" i="26"/>
  <c r="O182" i="26"/>
  <c r="L182" i="26"/>
  <c r="I182" i="26"/>
  <c r="F182" i="26"/>
  <c r="O181" i="26"/>
  <c r="L181" i="26"/>
  <c r="I181" i="26"/>
  <c r="F181" i="26"/>
  <c r="O180" i="26"/>
  <c r="O179" i="26" s="1"/>
  <c r="L180" i="26"/>
  <c r="I180" i="26"/>
  <c r="I179" i="26" s="1"/>
  <c r="F180" i="26"/>
  <c r="N179" i="26"/>
  <c r="M179" i="26"/>
  <c r="K179" i="26"/>
  <c r="J179" i="26"/>
  <c r="H179" i="26"/>
  <c r="G179" i="26"/>
  <c r="E179" i="26"/>
  <c r="D179" i="26"/>
  <c r="O178" i="26"/>
  <c r="L178" i="26"/>
  <c r="I178" i="26"/>
  <c r="F178" i="26"/>
  <c r="O177" i="26"/>
  <c r="L177" i="26"/>
  <c r="I177" i="26"/>
  <c r="F177" i="26"/>
  <c r="O176" i="26"/>
  <c r="O175" i="26" s="1"/>
  <c r="L176" i="26"/>
  <c r="L175" i="26" s="1"/>
  <c r="I176" i="26"/>
  <c r="I175" i="26" s="1"/>
  <c r="I174" i="26" s="1"/>
  <c r="F176" i="26"/>
  <c r="N175" i="26"/>
  <c r="N174" i="26" s="1"/>
  <c r="M175" i="26"/>
  <c r="M174" i="26" s="1"/>
  <c r="K175" i="26"/>
  <c r="J175" i="26"/>
  <c r="J174" i="26" s="1"/>
  <c r="H175" i="26"/>
  <c r="H174" i="26" s="1"/>
  <c r="G175" i="26"/>
  <c r="E175" i="26"/>
  <c r="D175" i="26"/>
  <c r="D174" i="26" s="1"/>
  <c r="D173" i="26" s="1"/>
  <c r="O172" i="26"/>
  <c r="L172" i="26"/>
  <c r="I172" i="26"/>
  <c r="F172" i="26"/>
  <c r="O171" i="26"/>
  <c r="L171" i="26"/>
  <c r="I171" i="26"/>
  <c r="F171" i="26"/>
  <c r="O170" i="26"/>
  <c r="L170" i="26"/>
  <c r="I170" i="26"/>
  <c r="F170" i="26"/>
  <c r="O169" i="26"/>
  <c r="L169" i="26"/>
  <c r="I169" i="26"/>
  <c r="F169" i="26"/>
  <c r="O168" i="26"/>
  <c r="L168" i="26"/>
  <c r="I168" i="26"/>
  <c r="F168" i="26"/>
  <c r="O167" i="26"/>
  <c r="O166" i="26" s="1"/>
  <c r="O165" i="26" s="1"/>
  <c r="L167" i="26"/>
  <c r="I167" i="26"/>
  <c r="F167" i="26"/>
  <c r="F166" i="26" s="1"/>
  <c r="F165" i="26" s="1"/>
  <c r="N166" i="26"/>
  <c r="M166" i="26"/>
  <c r="K166" i="26"/>
  <c r="K165" i="26" s="1"/>
  <c r="J166" i="26"/>
  <c r="J165" i="26" s="1"/>
  <c r="H166" i="26"/>
  <c r="H165" i="26" s="1"/>
  <c r="G166" i="26"/>
  <c r="G165" i="26" s="1"/>
  <c r="E166" i="26"/>
  <c r="E165" i="26" s="1"/>
  <c r="D166" i="26"/>
  <c r="D165" i="26" s="1"/>
  <c r="N165" i="26"/>
  <c r="M165" i="26"/>
  <c r="O164" i="26"/>
  <c r="L164" i="26"/>
  <c r="I164" i="26"/>
  <c r="F164" i="26"/>
  <c r="O163" i="26"/>
  <c r="L163" i="26"/>
  <c r="I163" i="26"/>
  <c r="F163" i="26"/>
  <c r="O162" i="26"/>
  <c r="L162" i="26"/>
  <c r="I162" i="26"/>
  <c r="F162" i="26"/>
  <c r="O161" i="26"/>
  <c r="L161" i="26"/>
  <c r="L160" i="26" s="1"/>
  <c r="I161" i="26"/>
  <c r="I160" i="26" s="1"/>
  <c r="F161" i="26"/>
  <c r="F160" i="26" s="1"/>
  <c r="O160" i="26"/>
  <c r="N160" i="26"/>
  <c r="M160" i="26"/>
  <c r="K160" i="26"/>
  <c r="J160" i="26"/>
  <c r="H160" i="26"/>
  <c r="G160" i="26"/>
  <c r="E160" i="26"/>
  <c r="D160" i="26"/>
  <c r="O159" i="26"/>
  <c r="L159" i="26"/>
  <c r="I159" i="26"/>
  <c r="F159" i="26"/>
  <c r="O158" i="26"/>
  <c r="L158" i="26"/>
  <c r="I158" i="26"/>
  <c r="F158" i="26"/>
  <c r="O157" i="26"/>
  <c r="L157" i="26"/>
  <c r="I157" i="26"/>
  <c r="F157" i="26"/>
  <c r="O156" i="26"/>
  <c r="L156" i="26"/>
  <c r="I156" i="26"/>
  <c r="F156" i="26"/>
  <c r="O155" i="26"/>
  <c r="L155" i="26"/>
  <c r="I155" i="26"/>
  <c r="F155" i="26"/>
  <c r="O154" i="26"/>
  <c r="L154" i="26"/>
  <c r="I154" i="26"/>
  <c r="F154" i="26"/>
  <c r="O153" i="26"/>
  <c r="L153" i="26"/>
  <c r="I153" i="26"/>
  <c r="F153" i="26"/>
  <c r="O152" i="26"/>
  <c r="O151" i="26" s="1"/>
  <c r="L152" i="26"/>
  <c r="I152" i="26"/>
  <c r="I151" i="26" s="1"/>
  <c r="F152" i="26"/>
  <c r="N151" i="26"/>
  <c r="M151" i="26"/>
  <c r="K151" i="26"/>
  <c r="J151" i="26"/>
  <c r="H151" i="26"/>
  <c r="G151" i="26"/>
  <c r="E151" i="26"/>
  <c r="D151" i="26"/>
  <c r="O150" i="26"/>
  <c r="L150" i="26"/>
  <c r="I150" i="26"/>
  <c r="F150" i="26"/>
  <c r="O149" i="26"/>
  <c r="L149" i="26"/>
  <c r="I149" i="26"/>
  <c r="F149" i="26"/>
  <c r="O148" i="26"/>
  <c r="L148" i="26"/>
  <c r="I148" i="26"/>
  <c r="F148" i="26"/>
  <c r="O147" i="26"/>
  <c r="L147" i="26"/>
  <c r="I147" i="26"/>
  <c r="F147" i="26"/>
  <c r="O146" i="26"/>
  <c r="L146" i="26"/>
  <c r="I146" i="26"/>
  <c r="F146" i="26"/>
  <c r="O145" i="26"/>
  <c r="L145" i="26"/>
  <c r="I145" i="26"/>
  <c r="F145" i="26"/>
  <c r="N144" i="26"/>
  <c r="M144" i="26"/>
  <c r="K144" i="26"/>
  <c r="J144" i="26"/>
  <c r="H144" i="26"/>
  <c r="G144" i="26"/>
  <c r="E144" i="26"/>
  <c r="D144" i="26"/>
  <c r="O143" i="26"/>
  <c r="L143" i="26"/>
  <c r="I143" i="26"/>
  <c r="F143" i="26"/>
  <c r="O142" i="26"/>
  <c r="O141" i="26" s="1"/>
  <c r="L142" i="26"/>
  <c r="L141" i="26" s="1"/>
  <c r="I142" i="26"/>
  <c r="I141" i="26" s="1"/>
  <c r="F142" i="26"/>
  <c r="F141" i="26" s="1"/>
  <c r="N141" i="26"/>
  <c r="M141" i="26"/>
  <c r="K141" i="26"/>
  <c r="J141" i="26"/>
  <c r="H141" i="26"/>
  <c r="G141" i="26"/>
  <c r="E141" i="26"/>
  <c r="D141" i="26"/>
  <c r="O140" i="26"/>
  <c r="L140" i="26"/>
  <c r="I140" i="26"/>
  <c r="F140" i="26"/>
  <c r="O139" i="26"/>
  <c r="L139" i="26"/>
  <c r="I139" i="26"/>
  <c r="F139" i="26"/>
  <c r="O138" i="26"/>
  <c r="L138" i="26"/>
  <c r="I138" i="26"/>
  <c r="F138" i="26"/>
  <c r="O137" i="26"/>
  <c r="L137" i="26"/>
  <c r="L136" i="26" s="1"/>
  <c r="I137" i="26"/>
  <c r="I136" i="26" s="1"/>
  <c r="F137" i="26"/>
  <c r="N136" i="26"/>
  <c r="M136" i="26"/>
  <c r="K136" i="26"/>
  <c r="J136" i="26"/>
  <c r="H136" i="26"/>
  <c r="G136" i="26"/>
  <c r="F136" i="26"/>
  <c r="E136" i="26"/>
  <c r="D136" i="26"/>
  <c r="O135" i="26"/>
  <c r="L135" i="26"/>
  <c r="I135" i="26"/>
  <c r="F135" i="26"/>
  <c r="O134" i="26"/>
  <c r="L134" i="26"/>
  <c r="I134" i="26"/>
  <c r="F134" i="26"/>
  <c r="O133" i="26"/>
  <c r="L133" i="26"/>
  <c r="I133" i="26"/>
  <c r="F133" i="26"/>
  <c r="O132" i="26"/>
  <c r="O131" i="26" s="1"/>
  <c r="L132" i="26"/>
  <c r="I132" i="26"/>
  <c r="I131" i="26" s="1"/>
  <c r="F132" i="26"/>
  <c r="N131" i="26"/>
  <c r="M131" i="26"/>
  <c r="K131" i="26"/>
  <c r="J131" i="26"/>
  <c r="H131" i="26"/>
  <c r="G131" i="26"/>
  <c r="E131" i="26"/>
  <c r="D131" i="26"/>
  <c r="O129" i="26"/>
  <c r="L129" i="26"/>
  <c r="L128" i="26" s="1"/>
  <c r="I129" i="26"/>
  <c r="I128" i="26" s="1"/>
  <c r="F129" i="26"/>
  <c r="O128" i="26"/>
  <c r="N128" i="26"/>
  <c r="M128" i="26"/>
  <c r="K128" i="26"/>
  <c r="J128" i="26"/>
  <c r="H128" i="26"/>
  <c r="G128" i="26"/>
  <c r="F128" i="26"/>
  <c r="E128" i="26"/>
  <c r="D128" i="26"/>
  <c r="O127" i="26"/>
  <c r="L127" i="26"/>
  <c r="I127" i="26"/>
  <c r="F127" i="26"/>
  <c r="O126" i="26"/>
  <c r="L126" i="26"/>
  <c r="I126" i="26"/>
  <c r="F126" i="26"/>
  <c r="O125" i="26"/>
  <c r="L125" i="26"/>
  <c r="I125" i="26"/>
  <c r="F125" i="26"/>
  <c r="O124" i="26"/>
  <c r="L124" i="26"/>
  <c r="I124" i="26"/>
  <c r="F124" i="26"/>
  <c r="O123" i="26"/>
  <c r="O122" i="26" s="1"/>
  <c r="L123" i="26"/>
  <c r="I123" i="26"/>
  <c r="F123" i="26"/>
  <c r="N122" i="26"/>
  <c r="M122" i="26"/>
  <c r="K122" i="26"/>
  <c r="J122" i="26"/>
  <c r="H122" i="26"/>
  <c r="G122" i="26"/>
  <c r="E122" i="26"/>
  <c r="D122" i="26"/>
  <c r="O121" i="26"/>
  <c r="L121" i="26"/>
  <c r="I121" i="26"/>
  <c r="F121" i="26"/>
  <c r="O120" i="26"/>
  <c r="L120" i="26"/>
  <c r="I120" i="26"/>
  <c r="F120" i="26"/>
  <c r="O119" i="26"/>
  <c r="L119" i="26"/>
  <c r="I119" i="26"/>
  <c r="F119" i="26"/>
  <c r="O118" i="26"/>
  <c r="L118" i="26"/>
  <c r="I118" i="26"/>
  <c r="F118" i="26"/>
  <c r="O117" i="26"/>
  <c r="L117" i="26"/>
  <c r="I117" i="26"/>
  <c r="F117" i="26"/>
  <c r="N116" i="26"/>
  <c r="M116" i="26"/>
  <c r="K116" i="26"/>
  <c r="J116" i="26"/>
  <c r="H116" i="26"/>
  <c r="G116" i="26"/>
  <c r="E116" i="26"/>
  <c r="D116" i="26"/>
  <c r="O115" i="26"/>
  <c r="L115" i="26"/>
  <c r="I115" i="26"/>
  <c r="F115" i="26"/>
  <c r="O114" i="26"/>
  <c r="L114" i="26"/>
  <c r="I114" i="26"/>
  <c r="F114" i="26"/>
  <c r="O113" i="26"/>
  <c r="L113" i="26"/>
  <c r="I113" i="26"/>
  <c r="F113" i="26"/>
  <c r="O112" i="26"/>
  <c r="N112" i="26"/>
  <c r="M112" i="26"/>
  <c r="K112" i="26"/>
  <c r="J112" i="26"/>
  <c r="H112" i="26"/>
  <c r="G112" i="26"/>
  <c r="F112" i="26"/>
  <c r="E112" i="26"/>
  <c r="D112" i="26"/>
  <c r="O111" i="26"/>
  <c r="L111" i="26"/>
  <c r="I111" i="26"/>
  <c r="F111" i="26"/>
  <c r="O110" i="26"/>
  <c r="L110" i="26"/>
  <c r="I110" i="26"/>
  <c r="F110" i="26"/>
  <c r="O109" i="26"/>
  <c r="L109" i="26"/>
  <c r="I109" i="26"/>
  <c r="F109" i="26"/>
  <c r="O108" i="26"/>
  <c r="L108" i="26"/>
  <c r="I108" i="26"/>
  <c r="F108" i="26"/>
  <c r="O107" i="26"/>
  <c r="L107" i="26"/>
  <c r="I107" i="26"/>
  <c r="F107" i="26"/>
  <c r="O106" i="26"/>
  <c r="L106" i="26"/>
  <c r="I106" i="26"/>
  <c r="F106" i="26"/>
  <c r="O105" i="26"/>
  <c r="L105" i="26"/>
  <c r="I105" i="26"/>
  <c r="F105" i="26"/>
  <c r="O104" i="26"/>
  <c r="L104" i="26"/>
  <c r="I104" i="26"/>
  <c r="F104" i="26"/>
  <c r="N103" i="26"/>
  <c r="M103" i="26"/>
  <c r="K103" i="26"/>
  <c r="J103" i="26"/>
  <c r="H103" i="26"/>
  <c r="G103" i="26"/>
  <c r="E103" i="26"/>
  <c r="D103" i="26"/>
  <c r="O102" i="26"/>
  <c r="L102" i="26"/>
  <c r="I102" i="26"/>
  <c r="F102" i="26"/>
  <c r="O101" i="26"/>
  <c r="L101" i="26"/>
  <c r="I101" i="26"/>
  <c r="F101" i="26"/>
  <c r="O100" i="26"/>
  <c r="L100" i="26"/>
  <c r="I100" i="26"/>
  <c r="F100" i="26"/>
  <c r="O99" i="26"/>
  <c r="L99" i="26"/>
  <c r="I99" i="26"/>
  <c r="F99" i="26"/>
  <c r="O98" i="26"/>
  <c r="L98" i="26"/>
  <c r="I98" i="26"/>
  <c r="F98" i="26"/>
  <c r="O97" i="26"/>
  <c r="L97" i="26"/>
  <c r="I97" i="26"/>
  <c r="F97" i="26"/>
  <c r="O96" i="26"/>
  <c r="L96" i="26"/>
  <c r="I96" i="26"/>
  <c r="I95" i="26" s="1"/>
  <c r="F96" i="26"/>
  <c r="N95" i="26"/>
  <c r="M95" i="26"/>
  <c r="K95" i="26"/>
  <c r="J95" i="26"/>
  <c r="H95" i="26"/>
  <c r="G95" i="26"/>
  <c r="E95" i="26"/>
  <c r="D95" i="26"/>
  <c r="O94" i="26"/>
  <c r="L94" i="26"/>
  <c r="I94" i="26"/>
  <c r="F94" i="26"/>
  <c r="O93" i="26"/>
  <c r="L93" i="26"/>
  <c r="I93" i="26"/>
  <c r="F93" i="26"/>
  <c r="O92" i="26"/>
  <c r="L92" i="26"/>
  <c r="I92" i="26"/>
  <c r="F92" i="26"/>
  <c r="O91" i="26"/>
  <c r="L91" i="26"/>
  <c r="I91" i="26"/>
  <c r="F91" i="26"/>
  <c r="O90" i="26"/>
  <c r="L90" i="26"/>
  <c r="I90" i="26"/>
  <c r="F90" i="26"/>
  <c r="N89" i="26"/>
  <c r="M89" i="26"/>
  <c r="K89" i="26"/>
  <c r="J89" i="26"/>
  <c r="H89" i="26"/>
  <c r="G89" i="26"/>
  <c r="E89" i="26"/>
  <c r="D89" i="26"/>
  <c r="O88" i="26"/>
  <c r="L88" i="26"/>
  <c r="I88" i="26"/>
  <c r="F88" i="26"/>
  <c r="O87" i="26"/>
  <c r="L87" i="26"/>
  <c r="I87" i="26"/>
  <c r="F87" i="26"/>
  <c r="O86" i="26"/>
  <c r="L86" i="26"/>
  <c r="I86" i="26"/>
  <c r="F86" i="26"/>
  <c r="O85" i="26"/>
  <c r="L85" i="26"/>
  <c r="I85" i="26"/>
  <c r="F85" i="26"/>
  <c r="N84" i="26"/>
  <c r="M84" i="26"/>
  <c r="K84" i="26"/>
  <c r="J84" i="26"/>
  <c r="H84" i="26"/>
  <c r="G84" i="26"/>
  <c r="E84" i="26"/>
  <c r="D84" i="26"/>
  <c r="O82" i="26"/>
  <c r="L82" i="26"/>
  <c r="I82" i="26"/>
  <c r="F82" i="26"/>
  <c r="O81" i="26"/>
  <c r="L81" i="26"/>
  <c r="L80" i="26" s="1"/>
  <c r="I81" i="26"/>
  <c r="I80" i="26" s="1"/>
  <c r="F81" i="26"/>
  <c r="N80" i="26"/>
  <c r="M80" i="26"/>
  <c r="K80" i="26"/>
  <c r="J80" i="26"/>
  <c r="H80" i="26"/>
  <c r="G80" i="26"/>
  <c r="E80" i="26"/>
  <c r="D80" i="26"/>
  <c r="O79" i="26"/>
  <c r="L79" i="26"/>
  <c r="I79" i="26"/>
  <c r="F79" i="26"/>
  <c r="O78" i="26"/>
  <c r="L78" i="26"/>
  <c r="I78" i="26"/>
  <c r="I77" i="26" s="1"/>
  <c r="F78" i="26"/>
  <c r="F77" i="26" s="1"/>
  <c r="N77" i="26"/>
  <c r="M77" i="26"/>
  <c r="K77" i="26"/>
  <c r="K76" i="26" s="1"/>
  <c r="J77" i="26"/>
  <c r="J76" i="26" s="1"/>
  <c r="H77" i="26"/>
  <c r="G77" i="26"/>
  <c r="E77" i="26"/>
  <c r="E76" i="26" s="1"/>
  <c r="D77" i="26"/>
  <c r="O74" i="26"/>
  <c r="L74" i="26"/>
  <c r="I74" i="26"/>
  <c r="F74" i="26"/>
  <c r="O73" i="26"/>
  <c r="L73" i="26"/>
  <c r="I73" i="26"/>
  <c r="F73" i="26"/>
  <c r="O72" i="26"/>
  <c r="L72" i="26"/>
  <c r="I72" i="26"/>
  <c r="F72" i="26"/>
  <c r="O71" i="26"/>
  <c r="L71" i="26"/>
  <c r="I71" i="26"/>
  <c r="F71" i="26"/>
  <c r="O70" i="26"/>
  <c r="L70" i="26"/>
  <c r="L69" i="26" s="1"/>
  <c r="I70" i="26"/>
  <c r="F70" i="26"/>
  <c r="N69" i="26"/>
  <c r="M69" i="26"/>
  <c r="M67" i="26" s="1"/>
  <c r="K69" i="26"/>
  <c r="K67" i="26" s="1"/>
  <c r="J69" i="26"/>
  <c r="J67" i="26" s="1"/>
  <c r="H69" i="26"/>
  <c r="H67" i="26" s="1"/>
  <c r="G69" i="26"/>
  <c r="E69" i="26"/>
  <c r="E67" i="26" s="1"/>
  <c r="D69" i="26"/>
  <c r="D67" i="26" s="1"/>
  <c r="O68" i="26"/>
  <c r="L68" i="26"/>
  <c r="I68" i="26"/>
  <c r="F68" i="26"/>
  <c r="N67" i="26"/>
  <c r="G67" i="26"/>
  <c r="O66" i="26"/>
  <c r="L66" i="26"/>
  <c r="I66" i="26"/>
  <c r="F66" i="26"/>
  <c r="O65" i="26"/>
  <c r="L65" i="26"/>
  <c r="I65" i="26"/>
  <c r="F65" i="26"/>
  <c r="O64" i="26"/>
  <c r="L64" i="26"/>
  <c r="I64" i="26"/>
  <c r="F64" i="26"/>
  <c r="O63" i="26"/>
  <c r="L63" i="26"/>
  <c r="I63" i="26"/>
  <c r="F63" i="26"/>
  <c r="O62" i="26"/>
  <c r="L62" i="26"/>
  <c r="I62" i="26"/>
  <c r="F62" i="26"/>
  <c r="O61" i="26"/>
  <c r="L61" i="26"/>
  <c r="I61" i="26"/>
  <c r="F61" i="26"/>
  <c r="O60" i="26"/>
  <c r="L60" i="26"/>
  <c r="I60" i="26"/>
  <c r="F60" i="26"/>
  <c r="O59" i="26"/>
  <c r="L59" i="26"/>
  <c r="L58" i="26" s="1"/>
  <c r="I59" i="26"/>
  <c r="F59" i="26"/>
  <c r="N58" i="26"/>
  <c r="M58" i="26"/>
  <c r="K58" i="26"/>
  <c r="J58" i="26"/>
  <c r="H58" i="26"/>
  <c r="G58" i="26"/>
  <c r="E58" i="26"/>
  <c r="D58" i="26"/>
  <c r="O57" i="26"/>
  <c r="L57" i="26"/>
  <c r="I57" i="26"/>
  <c r="F57" i="26"/>
  <c r="O56" i="26"/>
  <c r="L56" i="26"/>
  <c r="L55" i="26" s="1"/>
  <c r="I56" i="26"/>
  <c r="I55" i="26" s="1"/>
  <c r="F56" i="26"/>
  <c r="F55" i="26" s="1"/>
  <c r="O55" i="26"/>
  <c r="N55" i="26"/>
  <c r="M55" i="26"/>
  <c r="K55" i="26"/>
  <c r="J55" i="26"/>
  <c r="H55" i="26"/>
  <c r="G55" i="26"/>
  <c r="E55" i="26"/>
  <c r="D55" i="26"/>
  <c r="O47" i="26"/>
  <c r="C47" i="26" s="1"/>
  <c r="O46" i="26"/>
  <c r="C46" i="26" s="1"/>
  <c r="N45" i="26"/>
  <c r="M45" i="26"/>
  <c r="L44" i="26"/>
  <c r="L43" i="26" s="1"/>
  <c r="I44" i="26"/>
  <c r="I43" i="26" s="1"/>
  <c r="F44" i="26"/>
  <c r="K43" i="26"/>
  <c r="J43" i="26"/>
  <c r="H43" i="26"/>
  <c r="G43" i="26"/>
  <c r="E43" i="26"/>
  <c r="D43" i="26"/>
  <c r="F42" i="26"/>
  <c r="C42" i="26" s="1"/>
  <c r="E41" i="26"/>
  <c r="D41" i="26"/>
  <c r="L40" i="26"/>
  <c r="C40" i="26" s="1"/>
  <c r="L39" i="26"/>
  <c r="C39" i="26" s="1"/>
  <c r="L38" i="26"/>
  <c r="C38" i="26" s="1"/>
  <c r="L37" i="26"/>
  <c r="C37" i="26" s="1"/>
  <c r="K36" i="26"/>
  <c r="J36" i="26"/>
  <c r="L35" i="26"/>
  <c r="C35" i="26" s="1"/>
  <c r="L34" i="26"/>
  <c r="C34" i="26" s="1"/>
  <c r="K33" i="26"/>
  <c r="J33" i="26"/>
  <c r="L32" i="26"/>
  <c r="C32" i="26" s="1"/>
  <c r="K31" i="26"/>
  <c r="J31" i="26"/>
  <c r="L30" i="26"/>
  <c r="C30" i="26" s="1"/>
  <c r="L29" i="26"/>
  <c r="C29" i="26" s="1"/>
  <c r="L28" i="26"/>
  <c r="C28" i="26" s="1"/>
  <c r="K27" i="26"/>
  <c r="J27" i="26"/>
  <c r="F25" i="26"/>
  <c r="C25" i="26" s="1"/>
  <c r="O24" i="26"/>
  <c r="I24" i="26"/>
  <c r="F24" i="26"/>
  <c r="O23" i="26"/>
  <c r="L23" i="26"/>
  <c r="I23" i="26"/>
  <c r="F23" i="26"/>
  <c r="O22" i="26"/>
  <c r="O21" i="26" s="1"/>
  <c r="L22" i="26"/>
  <c r="L21" i="26" s="1"/>
  <c r="I22" i="26"/>
  <c r="I21" i="26" s="1"/>
  <c r="F22" i="26"/>
  <c r="F21" i="26" s="1"/>
  <c r="N21" i="26"/>
  <c r="M21" i="26"/>
  <c r="K21" i="26"/>
  <c r="J21" i="26"/>
  <c r="J292" i="26" s="1"/>
  <c r="H21" i="26"/>
  <c r="G21" i="26"/>
  <c r="E21" i="26"/>
  <c r="E292" i="26" s="1"/>
  <c r="D21" i="26"/>
  <c r="J291" i="26" l="1"/>
  <c r="F292" i="26"/>
  <c r="I272" i="26"/>
  <c r="E291" i="26"/>
  <c r="K292" i="26"/>
  <c r="K291" i="26" s="1"/>
  <c r="M292" i="26"/>
  <c r="N173" i="26"/>
  <c r="F89" i="26"/>
  <c r="H173" i="26"/>
  <c r="C132" i="26"/>
  <c r="C250" i="26"/>
  <c r="C24" i="26"/>
  <c r="H54" i="26"/>
  <c r="H53" i="26" s="1"/>
  <c r="O144" i="26"/>
  <c r="K204" i="26"/>
  <c r="L205" i="26"/>
  <c r="D54" i="26"/>
  <c r="D53" i="26" s="1"/>
  <c r="M173" i="26"/>
  <c r="C180" i="26"/>
  <c r="C184" i="26"/>
  <c r="G269" i="26"/>
  <c r="C282" i="26"/>
  <c r="K195" i="26"/>
  <c r="E230" i="26"/>
  <c r="M76" i="26"/>
  <c r="I173" i="26"/>
  <c r="K187" i="26"/>
  <c r="C190" i="26"/>
  <c r="C226" i="26"/>
  <c r="E54" i="26"/>
  <c r="N54" i="26"/>
  <c r="J173" i="26"/>
  <c r="G187" i="26"/>
  <c r="I187" i="26"/>
  <c r="C262" i="26"/>
  <c r="J54" i="26"/>
  <c r="J53" i="26" s="1"/>
  <c r="E130" i="26"/>
  <c r="M204" i="26"/>
  <c r="M231" i="26"/>
  <c r="C274" i="26"/>
  <c r="K83" i="26"/>
  <c r="C139" i="26"/>
  <c r="C148" i="26"/>
  <c r="G259" i="26"/>
  <c r="C185" i="26"/>
  <c r="C186" i="26"/>
  <c r="J231" i="26"/>
  <c r="O246" i="26"/>
  <c r="C119" i="26"/>
  <c r="O188" i="26"/>
  <c r="O187" i="26" s="1"/>
  <c r="N187" i="26"/>
  <c r="I276" i="26"/>
  <c r="I270" i="26" s="1"/>
  <c r="I269" i="26" s="1"/>
  <c r="L31" i="26"/>
  <c r="C31" i="26" s="1"/>
  <c r="C94" i="26"/>
  <c r="C108" i="26"/>
  <c r="C115" i="26"/>
  <c r="C214" i="26"/>
  <c r="C258" i="26"/>
  <c r="I216" i="26"/>
  <c r="I281" i="26"/>
  <c r="C281" i="26" s="1"/>
  <c r="J26" i="26"/>
  <c r="C82" i="26"/>
  <c r="C123" i="26"/>
  <c r="C124" i="26"/>
  <c r="C143" i="26"/>
  <c r="C164" i="26"/>
  <c r="C176" i="26"/>
  <c r="H187" i="26"/>
  <c r="H204" i="26"/>
  <c r="H195" i="26" s="1"/>
  <c r="C242" i="26"/>
  <c r="C254" i="26"/>
  <c r="C256" i="26"/>
  <c r="C257" i="26"/>
  <c r="O260" i="26"/>
  <c r="N259" i="26"/>
  <c r="M269" i="26"/>
  <c r="C298" i="26"/>
  <c r="C300" i="26"/>
  <c r="M54" i="26"/>
  <c r="M53" i="26" s="1"/>
  <c r="K54" i="26"/>
  <c r="K53" i="26" s="1"/>
  <c r="C63" i="26"/>
  <c r="C66" i="26"/>
  <c r="L77" i="26"/>
  <c r="L76" i="26" s="1"/>
  <c r="I76" i="26"/>
  <c r="C93" i="26"/>
  <c r="C117" i="26"/>
  <c r="C118" i="26"/>
  <c r="O116" i="26"/>
  <c r="C152" i="26"/>
  <c r="C155" i="26"/>
  <c r="C159" i="26"/>
  <c r="C160" i="26"/>
  <c r="C172" i="26"/>
  <c r="E174" i="26"/>
  <c r="E173" i="26" s="1"/>
  <c r="J187" i="26"/>
  <c r="C202" i="26"/>
  <c r="C203" i="26"/>
  <c r="D204" i="26"/>
  <c r="D195" i="26" s="1"/>
  <c r="C210" i="26"/>
  <c r="C213" i="26"/>
  <c r="N231" i="26"/>
  <c r="G231" i="26"/>
  <c r="C266" i="26"/>
  <c r="C271" i="26"/>
  <c r="O272" i="26"/>
  <c r="O276" i="26"/>
  <c r="C294" i="26"/>
  <c r="C295" i="26"/>
  <c r="H20" i="26"/>
  <c r="N53" i="26"/>
  <c r="L54" i="26"/>
  <c r="G54" i="26"/>
  <c r="G53" i="26" s="1"/>
  <c r="D76" i="26"/>
  <c r="N76" i="26"/>
  <c r="E83" i="26"/>
  <c r="C98" i="26"/>
  <c r="C100" i="26"/>
  <c r="C101" i="26"/>
  <c r="C107" i="26"/>
  <c r="O103" i="26"/>
  <c r="C137" i="26"/>
  <c r="C138" i="26"/>
  <c r="O136" i="26"/>
  <c r="C167" i="26"/>
  <c r="L187" i="26"/>
  <c r="C206" i="26"/>
  <c r="C218" i="26"/>
  <c r="C222" i="26"/>
  <c r="C225" i="26"/>
  <c r="G204" i="26"/>
  <c r="D231" i="26"/>
  <c r="D230" i="26" s="1"/>
  <c r="H231" i="26"/>
  <c r="H230" i="26" s="1"/>
  <c r="C234" i="26"/>
  <c r="I260" i="26"/>
  <c r="K259" i="26"/>
  <c r="J270" i="26"/>
  <c r="J269" i="26" s="1"/>
  <c r="C104" i="26"/>
  <c r="F103" i="26"/>
  <c r="K26" i="26"/>
  <c r="K20" i="26" s="1"/>
  <c r="D20" i="26"/>
  <c r="C79" i="26"/>
  <c r="C86" i="26"/>
  <c r="C90" i="26"/>
  <c r="O89" i="26"/>
  <c r="F95" i="26"/>
  <c r="C111" i="26"/>
  <c r="F116" i="26"/>
  <c r="G292" i="26"/>
  <c r="G291" i="26" s="1"/>
  <c r="G20" i="26"/>
  <c r="C44" i="26"/>
  <c r="F43" i="26"/>
  <c r="C43" i="26" s="1"/>
  <c r="C22" i="26"/>
  <c r="C23" i="26"/>
  <c r="C62" i="26"/>
  <c r="C71" i="26"/>
  <c r="G76" i="26"/>
  <c r="I84" i="26"/>
  <c r="C135" i="26"/>
  <c r="L131" i="26"/>
  <c r="I69" i="26"/>
  <c r="I67" i="26" s="1"/>
  <c r="C81" i="26"/>
  <c r="M83" i="26"/>
  <c r="N83" i="26"/>
  <c r="C113" i="26"/>
  <c r="C114" i="26"/>
  <c r="C128" i="26"/>
  <c r="M130" i="26"/>
  <c r="L179" i="26"/>
  <c r="L174" i="26" s="1"/>
  <c r="L173" i="26" s="1"/>
  <c r="C183" i="26"/>
  <c r="C171" i="26"/>
  <c r="C181" i="26"/>
  <c r="C201" i="26"/>
  <c r="C207" i="26"/>
  <c r="C278" i="26"/>
  <c r="D292" i="26"/>
  <c r="D291" i="26" s="1"/>
  <c r="H292" i="26"/>
  <c r="H291" i="26" s="1"/>
  <c r="M291" i="26"/>
  <c r="C55" i="26"/>
  <c r="E53" i="26"/>
  <c r="C70" i="26"/>
  <c r="H76" i="26"/>
  <c r="H83" i="26"/>
  <c r="I89" i="26"/>
  <c r="C99" i="26"/>
  <c r="I103" i="26"/>
  <c r="C109" i="26"/>
  <c r="C110" i="26"/>
  <c r="I112" i="26"/>
  <c r="C127" i="26"/>
  <c r="G83" i="26"/>
  <c r="C149" i="26"/>
  <c r="C150" i="26"/>
  <c r="D130" i="26"/>
  <c r="C163" i="26"/>
  <c r="I166" i="26"/>
  <c r="I165" i="26" s="1"/>
  <c r="C165" i="26" s="1"/>
  <c r="K174" i="26"/>
  <c r="M187" i="26"/>
  <c r="G195" i="26"/>
  <c r="I198" i="26"/>
  <c r="I196" i="26" s="1"/>
  <c r="C211" i="26"/>
  <c r="E204" i="26"/>
  <c r="E195" i="26" s="1"/>
  <c r="J204" i="26"/>
  <c r="J195" i="26" s="1"/>
  <c r="C243" i="26"/>
  <c r="I246" i="26"/>
  <c r="I252" i="26"/>
  <c r="I251" i="26" s="1"/>
  <c r="L293" i="26"/>
  <c r="G130" i="26"/>
  <c r="C133" i="26"/>
  <c r="C147" i="26"/>
  <c r="H130" i="26"/>
  <c r="M195" i="26"/>
  <c r="C200" i="26"/>
  <c r="N204" i="26"/>
  <c r="N195" i="26" s="1"/>
  <c r="I293" i="26"/>
  <c r="N292" i="26"/>
  <c r="N291" i="26" s="1"/>
  <c r="O58" i="26"/>
  <c r="O54" i="26" s="1"/>
  <c r="C74" i="26"/>
  <c r="C91" i="26"/>
  <c r="C97" i="26"/>
  <c r="C102" i="26"/>
  <c r="L103" i="26"/>
  <c r="L112" i="26"/>
  <c r="J83" i="26"/>
  <c r="C120" i="26"/>
  <c r="I122" i="26"/>
  <c r="C140" i="26"/>
  <c r="L144" i="26"/>
  <c r="C153" i="26"/>
  <c r="G174" i="26"/>
  <c r="C177" i="26"/>
  <c r="E187" i="26"/>
  <c r="F205" i="26"/>
  <c r="C208" i="26"/>
  <c r="C209" i="26"/>
  <c r="C220" i="26"/>
  <c r="C221" i="26"/>
  <c r="C227" i="26"/>
  <c r="C228" i="26"/>
  <c r="C229" i="26"/>
  <c r="C236" i="26"/>
  <c r="C237" i="26"/>
  <c r="O238" i="26"/>
  <c r="O231" i="26" s="1"/>
  <c r="C268" i="26"/>
  <c r="K269" i="26"/>
  <c r="K231" i="26"/>
  <c r="K230" i="26" s="1"/>
  <c r="I238" i="26"/>
  <c r="C245" i="26"/>
  <c r="O252" i="26"/>
  <c r="L260" i="26"/>
  <c r="I264" i="26"/>
  <c r="C275" i="26"/>
  <c r="L276" i="26"/>
  <c r="I20" i="26"/>
  <c r="O292" i="26"/>
  <c r="O291" i="26" s="1"/>
  <c r="C59" i="26"/>
  <c r="C301" i="26"/>
  <c r="C21" i="26"/>
  <c r="L27" i="26"/>
  <c r="L33" i="26"/>
  <c r="C33" i="26" s="1"/>
  <c r="L36" i="26"/>
  <c r="C36" i="26" s="1"/>
  <c r="F41" i="26"/>
  <c r="C41" i="26" s="1"/>
  <c r="O45" i="26"/>
  <c r="O20" i="26" s="1"/>
  <c r="C56" i="26"/>
  <c r="C57" i="26"/>
  <c r="C60" i="26"/>
  <c r="C61" i="26"/>
  <c r="F58" i="26"/>
  <c r="L67" i="26"/>
  <c r="O69" i="26"/>
  <c r="O67" i="26" s="1"/>
  <c r="D83" i="26"/>
  <c r="D75" i="26" s="1"/>
  <c r="O84" i="26"/>
  <c r="L84" i="26"/>
  <c r="C87" i="26"/>
  <c r="L89" i="26"/>
  <c r="C92" i="26"/>
  <c r="L95" i="26"/>
  <c r="O130" i="26"/>
  <c r="C136" i="26"/>
  <c r="C154" i="26"/>
  <c r="F151" i="26"/>
  <c r="C168" i="26"/>
  <c r="L166" i="26"/>
  <c r="L165" i="26" s="1"/>
  <c r="O174" i="26"/>
  <c r="O173" i="26" s="1"/>
  <c r="C182" i="26"/>
  <c r="F179" i="26"/>
  <c r="L151" i="26"/>
  <c r="C156" i="26"/>
  <c r="E20" i="26"/>
  <c r="M20" i="26"/>
  <c r="I58" i="26"/>
  <c r="I54" i="26" s="1"/>
  <c r="F69" i="26"/>
  <c r="C85" i="26"/>
  <c r="F84" i="26"/>
  <c r="C178" i="26"/>
  <c r="F175" i="26"/>
  <c r="C239" i="26"/>
  <c r="L238" i="26"/>
  <c r="J20" i="26"/>
  <c r="N20" i="26"/>
  <c r="C64" i="26"/>
  <c r="C65" i="26"/>
  <c r="C68" i="26"/>
  <c r="C72" i="26"/>
  <c r="C73" i="26"/>
  <c r="M75" i="26"/>
  <c r="M52" i="26" s="1"/>
  <c r="C78" i="26"/>
  <c r="O77" i="26"/>
  <c r="F80" i="26"/>
  <c r="O80" i="26"/>
  <c r="C88" i="26"/>
  <c r="C96" i="26"/>
  <c r="O95" i="26"/>
  <c r="C235" i="26"/>
  <c r="C277" i="26"/>
  <c r="F276" i="26"/>
  <c r="C134" i="26"/>
  <c r="F131" i="26"/>
  <c r="C141" i="26"/>
  <c r="C189" i="26"/>
  <c r="F188" i="26"/>
  <c r="O196" i="26"/>
  <c r="N230" i="26"/>
  <c r="N194" i="26" s="1"/>
  <c r="I116" i="26"/>
  <c r="L122" i="26"/>
  <c r="F122" i="26"/>
  <c r="J130" i="26"/>
  <c r="J75" i="26" s="1"/>
  <c r="N130" i="26"/>
  <c r="C142" i="26"/>
  <c r="F144" i="26"/>
  <c r="C145" i="26"/>
  <c r="C146" i="26"/>
  <c r="C157" i="26"/>
  <c r="C158" i="26"/>
  <c r="C161" i="26"/>
  <c r="C162" i="26"/>
  <c r="C169" i="26"/>
  <c r="C170" i="26"/>
  <c r="K173" i="26"/>
  <c r="O205" i="26"/>
  <c r="C215" i="26"/>
  <c r="C217" i="26"/>
  <c r="F216" i="26"/>
  <c r="C261" i="26"/>
  <c r="F260" i="26"/>
  <c r="C105" i="26"/>
  <c r="C106" i="26"/>
  <c r="L116" i="26"/>
  <c r="C121" i="26"/>
  <c r="C125" i="26"/>
  <c r="C126" i="26"/>
  <c r="C129" i="26"/>
  <c r="K130" i="26"/>
  <c r="K75" i="26" s="1"/>
  <c r="I144" i="26"/>
  <c r="I130" i="26" s="1"/>
  <c r="G173" i="26"/>
  <c r="C193" i="26"/>
  <c r="F192" i="26"/>
  <c r="C244" i="26"/>
  <c r="C247" i="26"/>
  <c r="L246" i="26"/>
  <c r="C197" i="26"/>
  <c r="F196" i="26"/>
  <c r="I205" i="26"/>
  <c r="I204" i="26" s="1"/>
  <c r="C212" i="26"/>
  <c r="C219" i="26"/>
  <c r="C224" i="26"/>
  <c r="C232" i="26"/>
  <c r="C233" i="26"/>
  <c r="C248" i="26"/>
  <c r="C249" i="26"/>
  <c r="F246" i="26"/>
  <c r="L252" i="26"/>
  <c r="L251" i="26" s="1"/>
  <c r="C255" i="26"/>
  <c r="C263" i="26"/>
  <c r="O264" i="26"/>
  <c r="O259" i="26" s="1"/>
  <c r="L264" i="26"/>
  <c r="L259" i="26" s="1"/>
  <c r="C267" i="26"/>
  <c r="E270" i="26"/>
  <c r="E269" i="26" s="1"/>
  <c r="C279" i="26"/>
  <c r="C280" i="26"/>
  <c r="C285" i="26"/>
  <c r="F284" i="26"/>
  <c r="C288" i="26"/>
  <c r="I286" i="26"/>
  <c r="C299" i="26"/>
  <c r="C199" i="26"/>
  <c r="L198" i="26"/>
  <c r="O216" i="26"/>
  <c r="L216" i="26"/>
  <c r="C223" i="26"/>
  <c r="J230" i="26"/>
  <c r="I231" i="26"/>
  <c r="C240" i="26"/>
  <c r="C241" i="26"/>
  <c r="F238" i="26"/>
  <c r="C253" i="26"/>
  <c r="F252" i="26"/>
  <c r="O251" i="26"/>
  <c r="M259" i="26"/>
  <c r="M230" i="26" s="1"/>
  <c r="C265" i="26"/>
  <c r="F264" i="26"/>
  <c r="L270" i="26"/>
  <c r="L269" i="26" s="1"/>
  <c r="C273" i="26"/>
  <c r="F272" i="26"/>
  <c r="C287" i="26"/>
  <c r="L286" i="26"/>
  <c r="L292" i="26" s="1"/>
  <c r="L291" i="26" s="1"/>
  <c r="C296" i="26"/>
  <c r="C297" i="26"/>
  <c r="F293" i="26"/>
  <c r="J52" i="26" l="1"/>
  <c r="C276" i="26"/>
  <c r="C103" i="26"/>
  <c r="C293" i="26"/>
  <c r="L204" i="26"/>
  <c r="C89" i="26"/>
  <c r="C179" i="26"/>
  <c r="E75" i="26"/>
  <c r="E289" i="26" s="1"/>
  <c r="L231" i="26"/>
  <c r="C112" i="26"/>
  <c r="G230" i="26"/>
  <c r="G194" i="26" s="1"/>
  <c r="I53" i="26"/>
  <c r="C246" i="26"/>
  <c r="I195" i="26"/>
  <c r="J194" i="26"/>
  <c r="J51" i="26" s="1"/>
  <c r="J50" i="26" s="1"/>
  <c r="D194" i="26"/>
  <c r="K194" i="26"/>
  <c r="H75" i="26"/>
  <c r="H289" i="26" s="1"/>
  <c r="H194" i="26"/>
  <c r="F204" i="26"/>
  <c r="F195" i="26" s="1"/>
  <c r="C238" i="26"/>
  <c r="N75" i="26"/>
  <c r="N289" i="26" s="1"/>
  <c r="L53" i="26"/>
  <c r="I259" i="26"/>
  <c r="L130" i="26"/>
  <c r="F20" i="26"/>
  <c r="G75" i="26"/>
  <c r="C122" i="26"/>
  <c r="O270" i="26"/>
  <c r="O269" i="26" s="1"/>
  <c r="E194" i="26"/>
  <c r="I230" i="26"/>
  <c r="O53" i="26"/>
  <c r="C151" i="26"/>
  <c r="F291" i="26"/>
  <c r="E52" i="26"/>
  <c r="K52" i="26"/>
  <c r="C95" i="26"/>
  <c r="C216" i="26"/>
  <c r="I83" i="26"/>
  <c r="I75" i="26" s="1"/>
  <c r="C58" i="26"/>
  <c r="D289" i="26"/>
  <c r="D52" i="26"/>
  <c r="M194" i="26"/>
  <c r="M51" i="26" s="1"/>
  <c r="M289" i="26"/>
  <c r="J289" i="26"/>
  <c r="C116" i="26"/>
  <c r="C264" i="26"/>
  <c r="C252" i="26"/>
  <c r="F251" i="26"/>
  <c r="C251" i="26" s="1"/>
  <c r="C205" i="26"/>
  <c r="O230" i="26"/>
  <c r="C188" i="26"/>
  <c r="O76" i="26"/>
  <c r="F174" i="26"/>
  <c r="C175" i="26"/>
  <c r="F54" i="26"/>
  <c r="C286" i="26"/>
  <c r="C80" i="26"/>
  <c r="F76" i="26"/>
  <c r="C84" i="26"/>
  <c r="F83" i="26"/>
  <c r="C260" i="26"/>
  <c r="F259" i="26"/>
  <c r="C259" i="26" s="1"/>
  <c r="C144" i="26"/>
  <c r="F130" i="26"/>
  <c r="C131" i="26"/>
  <c r="F231" i="26"/>
  <c r="C69" i="26"/>
  <c r="F67" i="26"/>
  <c r="C67" i="26" s="1"/>
  <c r="L83" i="26"/>
  <c r="C45" i="26"/>
  <c r="C27" i="26"/>
  <c r="L26" i="26"/>
  <c r="C284" i="26"/>
  <c r="F283" i="26"/>
  <c r="C283" i="26" s="1"/>
  <c r="L230" i="26"/>
  <c r="F270" i="26"/>
  <c r="C272" i="26"/>
  <c r="L196" i="26"/>
  <c r="L195" i="26" s="1"/>
  <c r="C198" i="26"/>
  <c r="C192" i="26"/>
  <c r="F191" i="26"/>
  <c r="C191" i="26" s="1"/>
  <c r="K289" i="26"/>
  <c r="O204" i="26"/>
  <c r="O195" i="26" s="1"/>
  <c r="C166" i="26"/>
  <c r="C77" i="26"/>
  <c r="O83" i="26"/>
  <c r="I292" i="26"/>
  <c r="D51" i="26" l="1"/>
  <c r="N52" i="26"/>
  <c r="N51" i="26" s="1"/>
  <c r="N50" i="26" s="1"/>
  <c r="I52" i="26"/>
  <c r="H52" i="26"/>
  <c r="H51" i="26" s="1"/>
  <c r="L194" i="26"/>
  <c r="I194" i="26"/>
  <c r="L75" i="26"/>
  <c r="L52" i="26" s="1"/>
  <c r="K51" i="26"/>
  <c r="K50" i="26" s="1"/>
  <c r="C130" i="26"/>
  <c r="I289" i="26"/>
  <c r="J290" i="26"/>
  <c r="G289" i="26"/>
  <c r="G52" i="26"/>
  <c r="G51" i="26" s="1"/>
  <c r="I51" i="26"/>
  <c r="I50" i="26" s="1"/>
  <c r="O194" i="26"/>
  <c r="C196" i="26"/>
  <c r="E51" i="26"/>
  <c r="C195" i="26"/>
  <c r="C76" i="26"/>
  <c r="F75" i="26"/>
  <c r="F53" i="26"/>
  <c r="C54" i="26"/>
  <c r="O75" i="26"/>
  <c r="O52" i="26" s="1"/>
  <c r="N290" i="26"/>
  <c r="C292" i="26"/>
  <c r="I291" i="26"/>
  <c r="C291" i="26" s="1"/>
  <c r="F269" i="26"/>
  <c r="C270" i="26"/>
  <c r="C26" i="26"/>
  <c r="L20" i="26"/>
  <c r="C20" i="26" s="1"/>
  <c r="F230" i="26"/>
  <c r="C230" i="26" s="1"/>
  <c r="C231" i="26"/>
  <c r="C83" i="26"/>
  <c r="C204" i="26"/>
  <c r="F187" i="26"/>
  <c r="C187" i="26" s="1"/>
  <c r="D290" i="26"/>
  <c r="D50" i="26"/>
  <c r="C174" i="26"/>
  <c r="F173" i="26"/>
  <c r="C173" i="26" s="1"/>
  <c r="M50" i="26"/>
  <c r="M290" i="26"/>
  <c r="I290" i="26" l="1"/>
  <c r="H290" i="26"/>
  <c r="H50" i="26"/>
  <c r="K290" i="26"/>
  <c r="L51" i="26"/>
  <c r="L50" i="26" s="1"/>
  <c r="O51" i="26"/>
  <c r="L289" i="26"/>
  <c r="G290" i="26"/>
  <c r="G50" i="26"/>
  <c r="E290" i="26"/>
  <c r="E50" i="26"/>
  <c r="C75" i="26"/>
  <c r="O289" i="26"/>
  <c r="C269" i="26"/>
  <c r="F289" i="26"/>
  <c r="F52" i="26"/>
  <c r="C53" i="26"/>
  <c r="O50" i="26"/>
  <c r="O290" i="26"/>
  <c r="F194" i="26"/>
  <c r="C194" i="26" s="1"/>
  <c r="L290" i="26" l="1"/>
  <c r="C289" i="26"/>
  <c r="C52" i="26"/>
  <c r="F51" i="26"/>
  <c r="F290" i="26" l="1"/>
  <c r="C290" i="26" s="1"/>
  <c r="C51" i="26"/>
  <c r="F50" i="26"/>
  <c r="C50" i="26" s="1"/>
  <c r="G78" i="25" l="1"/>
  <c r="G77" i="25"/>
  <c r="G76" i="25"/>
  <c r="G75" i="25"/>
  <c r="G74" i="25"/>
  <c r="G73" i="25"/>
  <c r="G72" i="25"/>
  <c r="G71" i="25"/>
  <c r="G70" i="25" s="1"/>
  <c r="F70" i="25"/>
  <c r="E70" i="25"/>
  <c r="G65" i="25"/>
  <c r="G64" i="25"/>
  <c r="F64" i="25"/>
  <c r="E64" i="25"/>
  <c r="G59" i="25"/>
  <c r="G58" i="25"/>
  <c r="G57" i="25"/>
  <c r="G56" i="25"/>
  <c r="G55" i="25"/>
  <c r="G54" i="25"/>
  <c r="G53" i="25"/>
  <c r="G52" i="25"/>
  <c r="G51" i="25"/>
  <c r="G50" i="25"/>
  <c r="G49" i="25"/>
  <c r="G48" i="25"/>
  <c r="G47" i="25"/>
  <c r="G46" i="25"/>
  <c r="G43" i="25" s="1"/>
  <c r="G45" i="25"/>
  <c r="G44" i="25"/>
  <c r="F43" i="25"/>
  <c r="E43" i="25"/>
  <c r="G38" i="25"/>
  <c r="G37" i="25"/>
  <c r="G36" i="25"/>
  <c r="G35" i="25"/>
  <c r="G34" i="25"/>
  <c r="F33" i="25"/>
  <c r="E33" i="25"/>
  <c r="G28" i="25"/>
  <c r="G27" i="25" s="1"/>
  <c r="F27" i="25"/>
  <c r="E27" i="25"/>
  <c r="G22" i="25"/>
  <c r="G21" i="25"/>
  <c r="G20" i="25"/>
  <c r="G19" i="25"/>
  <c r="F18" i="25"/>
  <c r="E18" i="25"/>
  <c r="G13" i="25"/>
  <c r="G12" i="25" s="1"/>
  <c r="F12" i="25"/>
  <c r="E12" i="25"/>
  <c r="G18" i="25" l="1"/>
  <c r="G33" i="25"/>
  <c r="G51" i="24"/>
  <c r="G50" i="24"/>
  <c r="G49" i="24"/>
  <c r="G48" i="24"/>
  <c r="G47" i="24"/>
  <c r="G46" i="24"/>
  <c r="G45" i="24"/>
  <c r="G44" i="24"/>
  <c r="G43" i="24"/>
  <c r="G42" i="24"/>
  <c r="G41" i="24"/>
  <c r="G40" i="24"/>
  <c r="G39" i="24"/>
  <c r="G38" i="24"/>
  <c r="G37" i="24"/>
  <c r="F36" i="24"/>
  <c r="E36" i="24"/>
  <c r="G31" i="24"/>
  <c r="G30" i="24"/>
  <c r="G29" i="24"/>
  <c r="G28" i="24"/>
  <c r="G27" i="24"/>
  <c r="G26" i="24"/>
  <c r="G25" i="24"/>
  <c r="G24" i="24"/>
  <c r="G23" i="24"/>
  <c r="G22" i="24"/>
  <c r="G21" i="24"/>
  <c r="G20" i="24"/>
  <c r="F19" i="24"/>
  <c r="E19" i="24"/>
  <c r="G14" i="24"/>
  <c r="G13" i="24"/>
  <c r="G12" i="24"/>
  <c r="F12" i="24"/>
  <c r="E12" i="24"/>
  <c r="G19" i="24" l="1"/>
  <c r="G36" i="24"/>
  <c r="D41" i="23"/>
  <c r="D37" i="23" s="1"/>
  <c r="F40" i="23"/>
  <c r="F39" i="23"/>
  <c r="F38" i="23"/>
  <c r="E37" i="23"/>
  <c r="F32" i="23"/>
  <c r="F31" i="23" s="1"/>
  <c r="E31" i="23"/>
  <c r="D31" i="23"/>
  <c r="E26" i="23"/>
  <c r="F26" i="23" s="1"/>
  <c r="F25" i="23"/>
  <c r="E24" i="23"/>
  <c r="D24" i="23"/>
  <c r="F19" i="23"/>
  <c r="F18" i="23"/>
  <c r="F17" i="23"/>
  <c r="F16" i="23"/>
  <c r="F15" i="23"/>
  <c r="F14" i="23"/>
  <c r="F13" i="23"/>
  <c r="F12" i="23" s="1"/>
  <c r="E12" i="23"/>
  <c r="D12" i="23"/>
  <c r="F61" i="22"/>
  <c r="F60" i="22"/>
  <c r="F57" i="22" s="1"/>
  <c r="F59" i="22"/>
  <c r="F58" i="22"/>
  <c r="E57" i="22"/>
  <c r="D57" i="22"/>
  <c r="F52" i="22"/>
  <c r="F51" i="22"/>
  <c r="F50" i="22"/>
  <c r="F47" i="22" s="1"/>
  <c r="F49" i="22"/>
  <c r="F48" i="22"/>
  <c r="E47" i="22"/>
  <c r="D47" i="22"/>
  <c r="F42" i="22"/>
  <c r="F41" i="22"/>
  <c r="F40" i="22"/>
  <c r="F39" i="22"/>
  <c r="F38" i="22"/>
  <c r="E37" i="22"/>
  <c r="D37" i="22"/>
  <c r="F32" i="22"/>
  <c r="F31" i="22"/>
  <c r="F30" i="22"/>
  <c r="F29" i="22"/>
  <c r="F27" i="22" s="1"/>
  <c r="F28" i="22"/>
  <c r="E27" i="22"/>
  <c r="D27" i="22"/>
  <c r="F22" i="22"/>
  <c r="F21" i="22"/>
  <c r="F20" i="22"/>
  <c r="E19" i="22"/>
  <c r="D19" i="22"/>
  <c r="F14" i="22"/>
  <c r="F13" i="22"/>
  <c r="F12" i="22"/>
  <c r="F11" i="22" s="1"/>
  <c r="E11" i="22"/>
  <c r="D11" i="22"/>
  <c r="F36" i="21"/>
  <c r="F35" i="21"/>
  <c r="F34" i="21"/>
  <c r="F33" i="21"/>
  <c r="F32" i="21"/>
  <c r="E31" i="21"/>
  <c r="D31" i="21"/>
  <c r="F26" i="21"/>
  <c r="F25" i="21"/>
  <c r="E25" i="21"/>
  <c r="D25" i="21"/>
  <c r="F20" i="21"/>
  <c r="F19" i="21"/>
  <c r="F18" i="21"/>
  <c r="F17" i="21"/>
  <c r="F16" i="21"/>
  <c r="F15" i="21"/>
  <c r="F14" i="21"/>
  <c r="F13" i="21"/>
  <c r="F12" i="21"/>
  <c r="E11" i="21"/>
  <c r="D11" i="21"/>
  <c r="F31" i="21" l="1"/>
  <c r="F37" i="22"/>
  <c r="F24" i="23"/>
  <c r="F37" i="23"/>
  <c r="F41" i="23"/>
  <c r="F11" i="21"/>
  <c r="F19" i="22"/>
  <c r="O301" i="20"/>
  <c r="L301" i="20"/>
  <c r="I301" i="20"/>
  <c r="F301" i="20"/>
  <c r="O300" i="20"/>
  <c r="L300" i="20"/>
  <c r="I300" i="20"/>
  <c r="F300" i="20"/>
  <c r="O299" i="20"/>
  <c r="L299" i="20"/>
  <c r="I299" i="20"/>
  <c r="F299" i="20"/>
  <c r="O298" i="20"/>
  <c r="L298" i="20"/>
  <c r="I298" i="20"/>
  <c r="F298" i="20"/>
  <c r="O297" i="20"/>
  <c r="L297" i="20"/>
  <c r="I297" i="20"/>
  <c r="F297" i="20"/>
  <c r="O296" i="20"/>
  <c r="L296" i="20"/>
  <c r="I296" i="20"/>
  <c r="F296" i="20"/>
  <c r="O295" i="20"/>
  <c r="L295" i="20"/>
  <c r="I295" i="20"/>
  <c r="F295" i="20"/>
  <c r="O294" i="20"/>
  <c r="O293" i="20" s="1"/>
  <c r="L294" i="20"/>
  <c r="I294" i="20"/>
  <c r="F294" i="20"/>
  <c r="N293" i="20"/>
  <c r="M293" i="20"/>
  <c r="K293" i="20"/>
  <c r="J293" i="20"/>
  <c r="H293" i="20"/>
  <c r="G293" i="20"/>
  <c r="E293" i="20"/>
  <c r="D293" i="20"/>
  <c r="O288" i="20"/>
  <c r="L288" i="20"/>
  <c r="I288" i="20"/>
  <c r="F288" i="20"/>
  <c r="O287" i="20"/>
  <c r="L287" i="20"/>
  <c r="L286" i="20" s="1"/>
  <c r="I287" i="20"/>
  <c r="F287" i="20"/>
  <c r="O286" i="20"/>
  <c r="N286" i="20"/>
  <c r="M286" i="20"/>
  <c r="K286" i="20"/>
  <c r="J286" i="20"/>
  <c r="H286" i="20"/>
  <c r="G286" i="20"/>
  <c r="F286" i="20"/>
  <c r="E286" i="20"/>
  <c r="D286" i="20"/>
  <c r="O285" i="20"/>
  <c r="O284" i="20" s="1"/>
  <c r="O283" i="20" s="1"/>
  <c r="L285" i="20"/>
  <c r="I285" i="20"/>
  <c r="I284" i="20" s="1"/>
  <c r="I283" i="20" s="1"/>
  <c r="F285" i="20"/>
  <c r="N284" i="20"/>
  <c r="N283" i="20" s="1"/>
  <c r="M284" i="20"/>
  <c r="M283" i="20" s="1"/>
  <c r="L284" i="20"/>
  <c r="K284" i="20"/>
  <c r="J284" i="20"/>
  <c r="J283" i="20" s="1"/>
  <c r="H284" i="20"/>
  <c r="H283" i="20" s="1"/>
  <c r="G284" i="20"/>
  <c r="E284" i="20"/>
  <c r="E283" i="20" s="1"/>
  <c r="D284" i="20"/>
  <c r="L283" i="20"/>
  <c r="K283" i="20"/>
  <c r="G283" i="20"/>
  <c r="D283" i="20"/>
  <c r="O282" i="20"/>
  <c r="O281" i="20" s="1"/>
  <c r="L282" i="20"/>
  <c r="L281" i="20" s="1"/>
  <c r="I282" i="20"/>
  <c r="F282" i="20"/>
  <c r="C282" i="20" s="1"/>
  <c r="N281" i="20"/>
  <c r="M281" i="20"/>
  <c r="K281" i="20"/>
  <c r="J281" i="20"/>
  <c r="I281" i="20"/>
  <c r="H281" i="20"/>
  <c r="G281" i="20"/>
  <c r="E281" i="20"/>
  <c r="D281" i="20"/>
  <c r="O280" i="20"/>
  <c r="L280" i="20"/>
  <c r="I280" i="20"/>
  <c r="F280" i="20"/>
  <c r="O279" i="20"/>
  <c r="L279" i="20"/>
  <c r="I279" i="20"/>
  <c r="F279" i="20"/>
  <c r="O278" i="20"/>
  <c r="L278" i="20"/>
  <c r="I278" i="20"/>
  <c r="F278" i="20"/>
  <c r="O277" i="20"/>
  <c r="L277" i="20"/>
  <c r="I277" i="20"/>
  <c r="F277" i="20"/>
  <c r="N276" i="20"/>
  <c r="N270" i="20" s="1"/>
  <c r="N269" i="20" s="1"/>
  <c r="M276" i="20"/>
  <c r="K276" i="20"/>
  <c r="J276" i="20"/>
  <c r="I276" i="20"/>
  <c r="H276" i="20"/>
  <c r="G276" i="20"/>
  <c r="E276" i="20"/>
  <c r="D276" i="20"/>
  <c r="O275" i="20"/>
  <c r="L275" i="20"/>
  <c r="I275" i="20"/>
  <c r="F275" i="20"/>
  <c r="O274" i="20"/>
  <c r="L274" i="20"/>
  <c r="I274" i="20"/>
  <c r="F274" i="20"/>
  <c r="O273" i="20"/>
  <c r="L273" i="20"/>
  <c r="I273" i="20"/>
  <c r="I272" i="20" s="1"/>
  <c r="F273" i="20"/>
  <c r="N272" i="20"/>
  <c r="M272" i="20"/>
  <c r="L272" i="20"/>
  <c r="K272" i="20"/>
  <c r="J272" i="20"/>
  <c r="H272" i="20"/>
  <c r="G272" i="20"/>
  <c r="G270" i="20" s="1"/>
  <c r="G269" i="20" s="1"/>
  <c r="E272" i="20"/>
  <c r="E270" i="20" s="1"/>
  <c r="E269" i="20" s="1"/>
  <c r="D272" i="20"/>
  <c r="O271" i="20"/>
  <c r="L271" i="20"/>
  <c r="I271" i="20"/>
  <c r="F271" i="20"/>
  <c r="K270" i="20"/>
  <c r="K269" i="20" s="1"/>
  <c r="J270" i="20"/>
  <c r="J269" i="20" s="1"/>
  <c r="H270" i="20"/>
  <c r="D270" i="20"/>
  <c r="D269" i="20" s="1"/>
  <c r="H269" i="20"/>
  <c r="O268" i="20"/>
  <c r="L268" i="20"/>
  <c r="I268" i="20"/>
  <c r="F268" i="20"/>
  <c r="O267" i="20"/>
  <c r="L267" i="20"/>
  <c r="I267" i="20"/>
  <c r="F267" i="20"/>
  <c r="O266" i="20"/>
  <c r="L266" i="20"/>
  <c r="I266" i="20"/>
  <c r="F266" i="20"/>
  <c r="O265" i="20"/>
  <c r="L265" i="20"/>
  <c r="I265" i="20"/>
  <c r="F265" i="20"/>
  <c r="N264" i="20"/>
  <c r="N259" i="20" s="1"/>
  <c r="M264" i="20"/>
  <c r="K264" i="20"/>
  <c r="J264" i="20"/>
  <c r="I264" i="20"/>
  <c r="H264" i="20"/>
  <c r="G264" i="20"/>
  <c r="E264" i="20"/>
  <c r="D264" i="20"/>
  <c r="O263" i="20"/>
  <c r="L263" i="20"/>
  <c r="I263" i="20"/>
  <c r="F263" i="20"/>
  <c r="O262" i="20"/>
  <c r="L262" i="20"/>
  <c r="I262" i="20"/>
  <c r="F262" i="20"/>
  <c r="C262" i="20" s="1"/>
  <c r="O261" i="20"/>
  <c r="O260" i="20" s="1"/>
  <c r="L261" i="20"/>
  <c r="I261" i="20"/>
  <c r="I260" i="20" s="1"/>
  <c r="I259" i="20" s="1"/>
  <c r="F261" i="20"/>
  <c r="N260" i="20"/>
  <c r="M260" i="20"/>
  <c r="M259" i="20" s="1"/>
  <c r="K260" i="20"/>
  <c r="J260" i="20"/>
  <c r="H260" i="20"/>
  <c r="H259" i="20" s="1"/>
  <c r="G260" i="20"/>
  <c r="G259" i="20" s="1"/>
  <c r="E260" i="20"/>
  <c r="D260" i="20"/>
  <c r="K259" i="20"/>
  <c r="J259" i="20"/>
  <c r="O258" i="20"/>
  <c r="L258" i="20"/>
  <c r="I258" i="20"/>
  <c r="F258" i="20"/>
  <c r="O257" i="20"/>
  <c r="L257" i="20"/>
  <c r="I257" i="20"/>
  <c r="F257" i="20"/>
  <c r="O256" i="20"/>
  <c r="L256" i="20"/>
  <c r="I256" i="20"/>
  <c r="F256" i="20"/>
  <c r="O255" i="20"/>
  <c r="L255" i="20"/>
  <c r="I255" i="20"/>
  <c r="F255" i="20"/>
  <c r="O254" i="20"/>
  <c r="L254" i="20"/>
  <c r="I254" i="20"/>
  <c r="F254" i="20"/>
  <c r="O253" i="20"/>
  <c r="O252" i="20" s="1"/>
  <c r="O251" i="20" s="1"/>
  <c r="L253" i="20"/>
  <c r="I253" i="20"/>
  <c r="F253" i="20"/>
  <c r="N252" i="20"/>
  <c r="M252" i="20"/>
  <c r="M251" i="20" s="1"/>
  <c r="K252" i="20"/>
  <c r="J252" i="20"/>
  <c r="H252" i="20"/>
  <c r="H251" i="20" s="1"/>
  <c r="G252" i="20"/>
  <c r="G251" i="20" s="1"/>
  <c r="E252" i="20"/>
  <c r="D252" i="20"/>
  <c r="D251" i="20" s="1"/>
  <c r="N251" i="20"/>
  <c r="K251" i="20"/>
  <c r="J251" i="20"/>
  <c r="E251" i="20"/>
  <c r="O250" i="20"/>
  <c r="L250" i="20"/>
  <c r="C250" i="20" s="1"/>
  <c r="I250" i="20"/>
  <c r="F250" i="20"/>
  <c r="O249" i="20"/>
  <c r="L249" i="20"/>
  <c r="I249" i="20"/>
  <c r="F249" i="20"/>
  <c r="O248" i="20"/>
  <c r="L248" i="20"/>
  <c r="I248" i="20"/>
  <c r="F248" i="20"/>
  <c r="O247" i="20"/>
  <c r="L247" i="20"/>
  <c r="I247" i="20"/>
  <c r="F247" i="20"/>
  <c r="N246" i="20"/>
  <c r="M246" i="20"/>
  <c r="K246" i="20"/>
  <c r="J246" i="20"/>
  <c r="H246" i="20"/>
  <c r="G246" i="20"/>
  <c r="E246" i="20"/>
  <c r="D246" i="20"/>
  <c r="O245" i="20"/>
  <c r="L245" i="20"/>
  <c r="I245" i="20"/>
  <c r="F245" i="20"/>
  <c r="O244" i="20"/>
  <c r="L244" i="20"/>
  <c r="I244" i="20"/>
  <c r="F244" i="20"/>
  <c r="O243" i="20"/>
  <c r="L243" i="20"/>
  <c r="I243" i="20"/>
  <c r="F243" i="20"/>
  <c r="O242" i="20"/>
  <c r="L242" i="20"/>
  <c r="I242" i="20"/>
  <c r="F242" i="20"/>
  <c r="O241" i="20"/>
  <c r="L241" i="20"/>
  <c r="I241" i="20"/>
  <c r="F241" i="20"/>
  <c r="O240" i="20"/>
  <c r="L240" i="20"/>
  <c r="I240" i="20"/>
  <c r="F240" i="20"/>
  <c r="O239" i="20"/>
  <c r="L239" i="20"/>
  <c r="I239" i="20"/>
  <c r="F239" i="20"/>
  <c r="O238" i="20"/>
  <c r="N238" i="20"/>
  <c r="M238" i="20"/>
  <c r="K238" i="20"/>
  <c r="J238" i="20"/>
  <c r="H238" i="20"/>
  <c r="G238" i="20"/>
  <c r="F238" i="20"/>
  <c r="E238" i="20"/>
  <c r="D238" i="20"/>
  <c r="O237" i="20"/>
  <c r="L237" i="20"/>
  <c r="I237" i="20"/>
  <c r="C237" i="20" s="1"/>
  <c r="F237" i="20"/>
  <c r="O236" i="20"/>
  <c r="L236" i="20"/>
  <c r="L235" i="20" s="1"/>
  <c r="I236" i="20"/>
  <c r="F236" i="20"/>
  <c r="N235" i="20"/>
  <c r="M235" i="20"/>
  <c r="K235" i="20"/>
  <c r="J235" i="20"/>
  <c r="I235" i="20"/>
  <c r="H235" i="20"/>
  <c r="G235" i="20"/>
  <c r="F235" i="20"/>
  <c r="E235" i="20"/>
  <c r="E231" i="20" s="1"/>
  <c r="D235" i="20"/>
  <c r="O234" i="20"/>
  <c r="L234" i="20"/>
  <c r="I234" i="20"/>
  <c r="I233" i="20" s="1"/>
  <c r="F234" i="20"/>
  <c r="O233" i="20"/>
  <c r="N233" i="20"/>
  <c r="M233" i="20"/>
  <c r="K233" i="20"/>
  <c r="K231" i="20" s="1"/>
  <c r="J233" i="20"/>
  <c r="H233" i="20"/>
  <c r="H231" i="20" s="1"/>
  <c r="G233" i="20"/>
  <c r="G231" i="20" s="1"/>
  <c r="F233" i="20"/>
  <c r="E233" i="20"/>
  <c r="D233" i="20"/>
  <c r="D231" i="20" s="1"/>
  <c r="O232" i="20"/>
  <c r="L232" i="20"/>
  <c r="I232" i="20"/>
  <c r="F232" i="20"/>
  <c r="O229" i="20"/>
  <c r="L229" i="20"/>
  <c r="I229" i="20"/>
  <c r="F229" i="20"/>
  <c r="O228" i="20"/>
  <c r="O227" i="20" s="1"/>
  <c r="L228" i="20"/>
  <c r="I228" i="20"/>
  <c r="I227" i="20" s="1"/>
  <c r="F228" i="20"/>
  <c r="F227" i="20" s="1"/>
  <c r="N227" i="20"/>
  <c r="M227" i="20"/>
  <c r="L227" i="20"/>
  <c r="K227" i="20"/>
  <c r="J227" i="20"/>
  <c r="H227" i="20"/>
  <c r="H204" i="20" s="1"/>
  <c r="G227" i="20"/>
  <c r="E227" i="20"/>
  <c r="D227" i="20"/>
  <c r="O226" i="20"/>
  <c r="L226" i="20"/>
  <c r="I226" i="20"/>
  <c r="F226" i="20"/>
  <c r="O225" i="20"/>
  <c r="L225" i="20"/>
  <c r="I225" i="20"/>
  <c r="F225" i="20"/>
  <c r="C225" i="20" s="1"/>
  <c r="O224" i="20"/>
  <c r="L224" i="20"/>
  <c r="I224" i="20"/>
  <c r="F224" i="20"/>
  <c r="O223" i="20"/>
  <c r="L223" i="20"/>
  <c r="I223" i="20"/>
  <c r="F223" i="20"/>
  <c r="O222" i="20"/>
  <c r="L222" i="20"/>
  <c r="I222" i="20"/>
  <c r="F222" i="20"/>
  <c r="C222" i="20" s="1"/>
  <c r="O221" i="20"/>
  <c r="L221" i="20"/>
  <c r="I221" i="20"/>
  <c r="F221" i="20"/>
  <c r="O220" i="20"/>
  <c r="L220" i="20"/>
  <c r="I220" i="20"/>
  <c r="F220" i="20"/>
  <c r="O219" i="20"/>
  <c r="L219" i="20"/>
  <c r="I219" i="20"/>
  <c r="F219" i="20"/>
  <c r="O218" i="20"/>
  <c r="L218" i="20"/>
  <c r="I218" i="20"/>
  <c r="F218" i="20"/>
  <c r="O217" i="20"/>
  <c r="L217" i="20"/>
  <c r="I217" i="20"/>
  <c r="F217" i="20"/>
  <c r="N216" i="20"/>
  <c r="M216" i="20"/>
  <c r="K216" i="20"/>
  <c r="J216" i="20"/>
  <c r="H216" i="20"/>
  <c r="G216" i="20"/>
  <c r="E216" i="20"/>
  <c r="D216" i="20"/>
  <c r="O215" i="20"/>
  <c r="L215" i="20"/>
  <c r="I215" i="20"/>
  <c r="F215" i="20"/>
  <c r="O214" i="20"/>
  <c r="L214" i="20"/>
  <c r="I214" i="20"/>
  <c r="F214" i="20"/>
  <c r="O213" i="20"/>
  <c r="L213" i="20"/>
  <c r="I213" i="20"/>
  <c r="F213" i="20"/>
  <c r="O212" i="20"/>
  <c r="L212" i="20"/>
  <c r="I212" i="20"/>
  <c r="F212" i="20"/>
  <c r="O211" i="20"/>
  <c r="L211" i="20"/>
  <c r="I211" i="20"/>
  <c r="C211" i="20" s="1"/>
  <c r="F211" i="20"/>
  <c r="O210" i="20"/>
  <c r="L210" i="20"/>
  <c r="I210" i="20"/>
  <c r="C210" i="20" s="1"/>
  <c r="F210" i="20"/>
  <c r="O209" i="20"/>
  <c r="L209" i="20"/>
  <c r="I209" i="20"/>
  <c r="F209" i="20"/>
  <c r="O208" i="20"/>
  <c r="L208" i="20"/>
  <c r="I208" i="20"/>
  <c r="F208" i="20"/>
  <c r="O207" i="20"/>
  <c r="L207" i="20"/>
  <c r="I207" i="20"/>
  <c r="F207" i="20"/>
  <c r="O206" i="20"/>
  <c r="L206" i="20"/>
  <c r="I206" i="20"/>
  <c r="F206" i="20"/>
  <c r="N205" i="20"/>
  <c r="M205" i="20"/>
  <c r="K205" i="20"/>
  <c r="K204" i="20" s="1"/>
  <c r="J205" i="20"/>
  <c r="H205" i="20"/>
  <c r="G205" i="20"/>
  <c r="G204" i="20" s="1"/>
  <c r="E205" i="20"/>
  <c r="D205" i="20"/>
  <c r="O203" i="20"/>
  <c r="L203" i="20"/>
  <c r="I203" i="20"/>
  <c r="F203" i="20"/>
  <c r="O202" i="20"/>
  <c r="L202" i="20"/>
  <c r="C202" i="20" s="1"/>
  <c r="I202" i="20"/>
  <c r="F202" i="20"/>
  <c r="O201" i="20"/>
  <c r="L201" i="20"/>
  <c r="I201" i="20"/>
  <c r="F201" i="20"/>
  <c r="O200" i="20"/>
  <c r="L200" i="20"/>
  <c r="I200" i="20"/>
  <c r="F200" i="20"/>
  <c r="O199" i="20"/>
  <c r="L199" i="20"/>
  <c r="L198" i="20" s="1"/>
  <c r="I199" i="20"/>
  <c r="I198" i="20" s="1"/>
  <c r="F199" i="20"/>
  <c r="O198" i="20"/>
  <c r="N198" i="20"/>
  <c r="N196" i="20" s="1"/>
  <c r="M198" i="20"/>
  <c r="K198" i="20"/>
  <c r="K196" i="20" s="1"/>
  <c r="J198" i="20"/>
  <c r="J196" i="20" s="1"/>
  <c r="H198" i="20"/>
  <c r="G198" i="20"/>
  <c r="G196" i="20" s="1"/>
  <c r="G195" i="20" s="1"/>
  <c r="F198" i="20"/>
  <c r="C198" i="20" s="1"/>
  <c r="E198" i="20"/>
  <c r="E196" i="20" s="1"/>
  <c r="D198" i="20"/>
  <c r="O197" i="20"/>
  <c r="L197" i="20"/>
  <c r="I197" i="20"/>
  <c r="F197" i="20"/>
  <c r="M196" i="20"/>
  <c r="L196" i="20"/>
  <c r="I196" i="20"/>
  <c r="H196" i="20"/>
  <c r="D196" i="20"/>
  <c r="O193" i="20"/>
  <c r="O192" i="20" s="1"/>
  <c r="O191" i="20" s="1"/>
  <c r="L193" i="20"/>
  <c r="I193" i="20"/>
  <c r="F193" i="20"/>
  <c r="N192" i="20"/>
  <c r="M192" i="20"/>
  <c r="M191" i="20" s="1"/>
  <c r="L192" i="20"/>
  <c r="L191" i="20" s="1"/>
  <c r="K192" i="20"/>
  <c r="J192" i="20"/>
  <c r="I192" i="20"/>
  <c r="H192" i="20"/>
  <c r="H191" i="20" s="1"/>
  <c r="G192" i="20"/>
  <c r="G191" i="20" s="1"/>
  <c r="G187" i="20" s="1"/>
  <c r="E192" i="20"/>
  <c r="E191" i="20" s="1"/>
  <c r="D192" i="20"/>
  <c r="D191" i="20" s="1"/>
  <c r="N191" i="20"/>
  <c r="K191" i="20"/>
  <c r="K187" i="20" s="1"/>
  <c r="J191" i="20"/>
  <c r="I191" i="20"/>
  <c r="O190" i="20"/>
  <c r="L190" i="20"/>
  <c r="I190" i="20"/>
  <c r="F190" i="20"/>
  <c r="O189" i="20"/>
  <c r="O188" i="20" s="1"/>
  <c r="O187" i="20" s="1"/>
  <c r="L189" i="20"/>
  <c r="I189" i="20"/>
  <c r="F189" i="20"/>
  <c r="N188" i="20"/>
  <c r="M188" i="20"/>
  <c r="M187" i="20" s="1"/>
  <c r="L188" i="20"/>
  <c r="K188" i="20"/>
  <c r="J188" i="20"/>
  <c r="J187" i="20" s="1"/>
  <c r="I188" i="20"/>
  <c r="I187" i="20" s="1"/>
  <c r="H188" i="20"/>
  <c r="G188" i="20"/>
  <c r="E188" i="20"/>
  <c r="D188" i="20"/>
  <c r="D187" i="20" s="1"/>
  <c r="O186" i="20"/>
  <c r="L186" i="20"/>
  <c r="I186" i="20"/>
  <c r="F186" i="20"/>
  <c r="O185" i="20"/>
  <c r="O184" i="20" s="1"/>
  <c r="L185" i="20"/>
  <c r="I185" i="20"/>
  <c r="F185" i="20"/>
  <c r="N184" i="20"/>
  <c r="M184" i="20"/>
  <c r="L184" i="20"/>
  <c r="K184" i="20"/>
  <c r="J184" i="20"/>
  <c r="I184" i="20"/>
  <c r="H184" i="20"/>
  <c r="G184" i="20"/>
  <c r="E184" i="20"/>
  <c r="D184" i="20"/>
  <c r="O183" i="20"/>
  <c r="L183" i="20"/>
  <c r="I183" i="20"/>
  <c r="F183" i="20"/>
  <c r="O182" i="20"/>
  <c r="L182" i="20"/>
  <c r="I182" i="20"/>
  <c r="F182" i="20"/>
  <c r="O181" i="20"/>
  <c r="L181" i="20"/>
  <c r="I181" i="20"/>
  <c r="F181" i="20"/>
  <c r="O180" i="20"/>
  <c r="L180" i="20"/>
  <c r="L179" i="20" s="1"/>
  <c r="I180" i="20"/>
  <c r="I179" i="20" s="1"/>
  <c r="F180" i="20"/>
  <c r="N179" i="20"/>
  <c r="M179" i="20"/>
  <c r="K179" i="20"/>
  <c r="J179" i="20"/>
  <c r="H179" i="20"/>
  <c r="G179" i="20"/>
  <c r="F179" i="20"/>
  <c r="E179" i="20"/>
  <c r="D179" i="20"/>
  <c r="O178" i="20"/>
  <c r="L178" i="20"/>
  <c r="C178" i="20" s="1"/>
  <c r="I178" i="20"/>
  <c r="F178" i="20"/>
  <c r="O177" i="20"/>
  <c r="L177" i="20"/>
  <c r="I177" i="20"/>
  <c r="F177" i="20"/>
  <c r="O176" i="20"/>
  <c r="L176" i="20"/>
  <c r="I176" i="20"/>
  <c r="I175" i="20" s="1"/>
  <c r="F176" i="20"/>
  <c r="N175" i="20"/>
  <c r="N174" i="20" s="1"/>
  <c r="N173" i="20" s="1"/>
  <c r="M175" i="20"/>
  <c r="K175" i="20"/>
  <c r="J175" i="20"/>
  <c r="J174" i="20" s="1"/>
  <c r="H175" i="20"/>
  <c r="H174" i="20" s="1"/>
  <c r="H173" i="20" s="1"/>
  <c r="G175" i="20"/>
  <c r="E175" i="20"/>
  <c r="E174" i="20" s="1"/>
  <c r="D175" i="20"/>
  <c r="D174" i="20" s="1"/>
  <c r="D173" i="20" s="1"/>
  <c r="M174" i="20"/>
  <c r="G174" i="20"/>
  <c r="G173" i="20" s="1"/>
  <c r="O172" i="20"/>
  <c r="L172" i="20"/>
  <c r="I172" i="20"/>
  <c r="F172" i="20"/>
  <c r="O171" i="20"/>
  <c r="L171" i="20"/>
  <c r="I171" i="20"/>
  <c r="F171" i="20"/>
  <c r="O170" i="20"/>
  <c r="L170" i="20"/>
  <c r="I170" i="20"/>
  <c r="F170" i="20"/>
  <c r="C170" i="20"/>
  <c r="O169" i="20"/>
  <c r="L169" i="20"/>
  <c r="I169" i="20"/>
  <c r="F169" i="20"/>
  <c r="O168" i="20"/>
  <c r="L168" i="20"/>
  <c r="I168" i="20"/>
  <c r="F168" i="20"/>
  <c r="C168" i="20" s="1"/>
  <c r="O167" i="20"/>
  <c r="L167" i="20"/>
  <c r="I167" i="20"/>
  <c r="F167" i="20"/>
  <c r="N166" i="20"/>
  <c r="M166" i="20"/>
  <c r="K166" i="20"/>
  <c r="K165" i="20" s="1"/>
  <c r="J166" i="20"/>
  <c r="J165" i="20" s="1"/>
  <c r="H166" i="20"/>
  <c r="G166" i="20"/>
  <c r="G165" i="20" s="1"/>
  <c r="E166" i="20"/>
  <c r="E165" i="20" s="1"/>
  <c r="D166" i="20"/>
  <c r="D165" i="20" s="1"/>
  <c r="N165" i="20"/>
  <c r="M165" i="20"/>
  <c r="H165" i="20"/>
  <c r="O164" i="20"/>
  <c r="L164" i="20"/>
  <c r="I164" i="20"/>
  <c r="F164" i="20"/>
  <c r="O163" i="20"/>
  <c r="L163" i="20"/>
  <c r="I163" i="20"/>
  <c r="F163" i="20"/>
  <c r="O162" i="20"/>
  <c r="L162" i="20"/>
  <c r="L160" i="20" s="1"/>
  <c r="I162" i="20"/>
  <c r="F162" i="20"/>
  <c r="O161" i="20"/>
  <c r="O160" i="20" s="1"/>
  <c r="L161" i="20"/>
  <c r="I161" i="20"/>
  <c r="F161" i="20"/>
  <c r="N160" i="20"/>
  <c r="M160" i="20"/>
  <c r="K160" i="20"/>
  <c r="J160" i="20"/>
  <c r="I160" i="20"/>
  <c r="H160" i="20"/>
  <c r="G160" i="20"/>
  <c r="E160" i="20"/>
  <c r="D160" i="20"/>
  <c r="O159" i="20"/>
  <c r="L159" i="20"/>
  <c r="I159" i="20"/>
  <c r="F159" i="20"/>
  <c r="O158" i="20"/>
  <c r="L158" i="20"/>
  <c r="I158" i="20"/>
  <c r="F158" i="20"/>
  <c r="C158" i="20" s="1"/>
  <c r="O157" i="20"/>
  <c r="L157" i="20"/>
  <c r="I157" i="20"/>
  <c r="F157" i="20"/>
  <c r="O156" i="20"/>
  <c r="L156" i="20"/>
  <c r="I156" i="20"/>
  <c r="F156" i="20"/>
  <c r="O155" i="20"/>
  <c r="L155" i="20"/>
  <c r="I155" i="20"/>
  <c r="F155" i="20"/>
  <c r="O154" i="20"/>
  <c r="L154" i="20"/>
  <c r="C154" i="20" s="1"/>
  <c r="I154" i="20"/>
  <c r="F154" i="20"/>
  <c r="O153" i="20"/>
  <c r="L153" i="20"/>
  <c r="I153" i="20"/>
  <c r="F153" i="20"/>
  <c r="O152" i="20"/>
  <c r="L152" i="20"/>
  <c r="I152" i="20"/>
  <c r="F152" i="20"/>
  <c r="N151" i="20"/>
  <c r="M151" i="20"/>
  <c r="K151" i="20"/>
  <c r="J151" i="20"/>
  <c r="H151" i="20"/>
  <c r="H130" i="20" s="1"/>
  <c r="G151" i="20"/>
  <c r="E151" i="20"/>
  <c r="D151" i="20"/>
  <c r="O150" i="20"/>
  <c r="L150" i="20"/>
  <c r="I150" i="20"/>
  <c r="F150" i="20"/>
  <c r="O149" i="20"/>
  <c r="L149" i="20"/>
  <c r="I149" i="20"/>
  <c r="F149" i="20"/>
  <c r="O148" i="20"/>
  <c r="L148" i="20"/>
  <c r="I148" i="20"/>
  <c r="F148" i="20"/>
  <c r="O147" i="20"/>
  <c r="L147" i="20"/>
  <c r="I147" i="20"/>
  <c r="F147" i="20"/>
  <c r="O146" i="20"/>
  <c r="L146" i="20"/>
  <c r="I146" i="20"/>
  <c r="F146" i="20"/>
  <c r="C146" i="20"/>
  <c r="O145" i="20"/>
  <c r="L145" i="20"/>
  <c r="I145" i="20"/>
  <c r="F145" i="20"/>
  <c r="N144" i="20"/>
  <c r="M144" i="20"/>
  <c r="K144" i="20"/>
  <c r="J144" i="20"/>
  <c r="H144" i="20"/>
  <c r="G144" i="20"/>
  <c r="E144" i="20"/>
  <c r="D144" i="20"/>
  <c r="O143" i="20"/>
  <c r="L143" i="20"/>
  <c r="I143" i="20"/>
  <c r="F143" i="20"/>
  <c r="O142" i="20"/>
  <c r="O141" i="20" s="1"/>
  <c r="L142" i="20"/>
  <c r="I142" i="20"/>
  <c r="I141" i="20" s="1"/>
  <c r="F142" i="20"/>
  <c r="F141" i="20" s="1"/>
  <c r="N141" i="20"/>
  <c r="M141" i="20"/>
  <c r="K141" i="20"/>
  <c r="J141" i="20"/>
  <c r="H141" i="20"/>
  <c r="G141" i="20"/>
  <c r="E141" i="20"/>
  <c r="D141" i="20"/>
  <c r="O140" i="20"/>
  <c r="L140" i="20"/>
  <c r="I140" i="20"/>
  <c r="F140" i="20"/>
  <c r="O139" i="20"/>
  <c r="L139" i="20"/>
  <c r="I139" i="20"/>
  <c r="F139" i="20"/>
  <c r="O138" i="20"/>
  <c r="L138" i="20"/>
  <c r="C138" i="20" s="1"/>
  <c r="I138" i="20"/>
  <c r="F138" i="20"/>
  <c r="O137" i="20"/>
  <c r="L137" i="20"/>
  <c r="I137" i="20"/>
  <c r="F137" i="20"/>
  <c r="N136" i="20"/>
  <c r="M136" i="20"/>
  <c r="K136" i="20"/>
  <c r="J136" i="20"/>
  <c r="I136" i="20"/>
  <c r="H136" i="20"/>
  <c r="G136" i="20"/>
  <c r="E136" i="20"/>
  <c r="D136" i="20"/>
  <c r="O135" i="20"/>
  <c r="L135" i="20"/>
  <c r="I135" i="20"/>
  <c r="F135" i="20"/>
  <c r="O134" i="20"/>
  <c r="L134" i="20"/>
  <c r="I134" i="20"/>
  <c r="F134" i="20"/>
  <c r="O133" i="20"/>
  <c r="L133" i="20"/>
  <c r="I133" i="20"/>
  <c r="F133" i="20"/>
  <c r="O132" i="20"/>
  <c r="L132" i="20"/>
  <c r="L131" i="20" s="1"/>
  <c r="I132" i="20"/>
  <c r="F132" i="20"/>
  <c r="N131" i="20"/>
  <c r="M131" i="20"/>
  <c r="K131" i="20"/>
  <c r="K130" i="20" s="1"/>
  <c r="J131" i="20"/>
  <c r="J130" i="20" s="1"/>
  <c r="H131" i="20"/>
  <c r="G131" i="20"/>
  <c r="E131" i="20"/>
  <c r="D131" i="20"/>
  <c r="D130" i="20" s="1"/>
  <c r="O129" i="20"/>
  <c r="O128" i="20" s="1"/>
  <c r="L129" i="20"/>
  <c r="L128" i="20" s="1"/>
  <c r="I129" i="20"/>
  <c r="I128" i="20" s="1"/>
  <c r="F129" i="20"/>
  <c r="N128" i="20"/>
  <c r="M128" i="20"/>
  <c r="K128" i="20"/>
  <c r="J128" i="20"/>
  <c r="H128" i="20"/>
  <c r="G128" i="20"/>
  <c r="E128" i="20"/>
  <c r="D128" i="20"/>
  <c r="O127" i="20"/>
  <c r="L127" i="20"/>
  <c r="I127" i="20"/>
  <c r="F127" i="20"/>
  <c r="O126" i="20"/>
  <c r="L126" i="20"/>
  <c r="I126" i="20"/>
  <c r="F126" i="20"/>
  <c r="C126" i="20" s="1"/>
  <c r="O125" i="20"/>
  <c r="L125" i="20"/>
  <c r="I125" i="20"/>
  <c r="F125" i="20"/>
  <c r="O124" i="20"/>
  <c r="L124" i="20"/>
  <c r="I124" i="20"/>
  <c r="F124" i="20"/>
  <c r="O123" i="20"/>
  <c r="L123" i="20"/>
  <c r="I123" i="20"/>
  <c r="F123" i="20"/>
  <c r="F122" i="20" s="1"/>
  <c r="O122" i="20"/>
  <c r="N122" i="20"/>
  <c r="M122" i="20"/>
  <c r="K122" i="20"/>
  <c r="J122" i="20"/>
  <c r="H122" i="20"/>
  <c r="G122" i="20"/>
  <c r="E122" i="20"/>
  <c r="D122" i="20"/>
  <c r="O121" i="20"/>
  <c r="L121" i="20"/>
  <c r="I121" i="20"/>
  <c r="F121" i="20"/>
  <c r="O120" i="20"/>
  <c r="L120" i="20"/>
  <c r="I120" i="20"/>
  <c r="F120" i="20"/>
  <c r="O119" i="20"/>
  <c r="L119" i="20"/>
  <c r="I119" i="20"/>
  <c r="F119" i="20"/>
  <c r="O118" i="20"/>
  <c r="L118" i="20"/>
  <c r="I118" i="20"/>
  <c r="C118" i="20" s="1"/>
  <c r="F118" i="20"/>
  <c r="O117" i="20"/>
  <c r="L117" i="20"/>
  <c r="I117" i="20"/>
  <c r="I116" i="20" s="1"/>
  <c r="F117" i="20"/>
  <c r="N116" i="20"/>
  <c r="M116" i="20"/>
  <c r="K116" i="20"/>
  <c r="J116" i="20"/>
  <c r="H116" i="20"/>
  <c r="G116" i="20"/>
  <c r="E116" i="20"/>
  <c r="D116" i="20"/>
  <c r="O115" i="20"/>
  <c r="L115" i="20"/>
  <c r="I115" i="20"/>
  <c r="F115" i="20"/>
  <c r="O114" i="20"/>
  <c r="L114" i="20"/>
  <c r="I114" i="20"/>
  <c r="F114" i="20"/>
  <c r="O113" i="20"/>
  <c r="L113" i="20"/>
  <c r="L112" i="20" s="1"/>
  <c r="I113" i="20"/>
  <c r="F113" i="20"/>
  <c r="N112" i="20"/>
  <c r="M112" i="20"/>
  <c r="K112" i="20"/>
  <c r="J112" i="20"/>
  <c r="I112" i="20"/>
  <c r="H112" i="20"/>
  <c r="G112" i="20"/>
  <c r="E112" i="20"/>
  <c r="D112" i="20"/>
  <c r="O111" i="20"/>
  <c r="L111" i="20"/>
  <c r="I111" i="20"/>
  <c r="F111" i="20"/>
  <c r="O110" i="20"/>
  <c r="L110" i="20"/>
  <c r="I110" i="20"/>
  <c r="F110" i="20"/>
  <c r="O109" i="20"/>
  <c r="L109" i="20"/>
  <c r="I109" i="20"/>
  <c r="F109" i="20"/>
  <c r="O108" i="20"/>
  <c r="L108" i="20"/>
  <c r="I108" i="20"/>
  <c r="F108" i="20"/>
  <c r="O107" i="20"/>
  <c r="L107" i="20"/>
  <c r="I107" i="20"/>
  <c r="F107" i="20"/>
  <c r="O106" i="20"/>
  <c r="L106" i="20"/>
  <c r="I106" i="20"/>
  <c r="F106" i="20"/>
  <c r="C106" i="20"/>
  <c r="O105" i="20"/>
  <c r="L105" i="20"/>
  <c r="I105" i="20"/>
  <c r="F105" i="20"/>
  <c r="C105" i="20" s="1"/>
  <c r="O104" i="20"/>
  <c r="L104" i="20"/>
  <c r="L103" i="20" s="1"/>
  <c r="I104" i="20"/>
  <c r="I103" i="20" s="1"/>
  <c r="F104" i="20"/>
  <c r="F103" i="20" s="1"/>
  <c r="N103" i="20"/>
  <c r="M103" i="20"/>
  <c r="K103" i="20"/>
  <c r="J103" i="20"/>
  <c r="H103" i="20"/>
  <c r="G103" i="20"/>
  <c r="E103" i="20"/>
  <c r="D103" i="20"/>
  <c r="O102" i="20"/>
  <c r="L102" i="20"/>
  <c r="I102" i="20"/>
  <c r="F102" i="20"/>
  <c r="O101" i="20"/>
  <c r="L101" i="20"/>
  <c r="I101" i="20"/>
  <c r="F101" i="20"/>
  <c r="O100" i="20"/>
  <c r="L100" i="20"/>
  <c r="I100" i="20"/>
  <c r="F100" i="20"/>
  <c r="O99" i="20"/>
  <c r="L99" i="20"/>
  <c r="I99" i="20"/>
  <c r="F99" i="20"/>
  <c r="O98" i="20"/>
  <c r="L98" i="20"/>
  <c r="I98" i="20"/>
  <c r="C98" i="20" s="1"/>
  <c r="F98" i="20"/>
  <c r="O97" i="20"/>
  <c r="L97" i="20"/>
  <c r="I97" i="20"/>
  <c r="F97" i="20"/>
  <c r="O96" i="20"/>
  <c r="L96" i="20"/>
  <c r="L95" i="20" s="1"/>
  <c r="I96" i="20"/>
  <c r="F96" i="20"/>
  <c r="N95" i="20"/>
  <c r="M95" i="20"/>
  <c r="M83" i="20" s="1"/>
  <c r="K95" i="20"/>
  <c r="J95" i="20"/>
  <c r="H95" i="20"/>
  <c r="G95" i="20"/>
  <c r="F95" i="20"/>
  <c r="E95" i="20"/>
  <c r="D95" i="20"/>
  <c r="O94" i="20"/>
  <c r="L94" i="20"/>
  <c r="I94" i="20"/>
  <c r="F94" i="20"/>
  <c r="O93" i="20"/>
  <c r="L93" i="20"/>
  <c r="I93" i="20"/>
  <c r="F93" i="20"/>
  <c r="O92" i="20"/>
  <c r="L92" i="20"/>
  <c r="I92" i="20"/>
  <c r="F92" i="20"/>
  <c r="O91" i="20"/>
  <c r="L91" i="20"/>
  <c r="I91" i="20"/>
  <c r="F91" i="20"/>
  <c r="O90" i="20"/>
  <c r="O89" i="20" s="1"/>
  <c r="L90" i="20"/>
  <c r="L89" i="20" s="1"/>
  <c r="I90" i="20"/>
  <c r="F90" i="20"/>
  <c r="F89" i="20" s="1"/>
  <c r="N89" i="20"/>
  <c r="N83" i="20" s="1"/>
  <c r="M89" i="20"/>
  <c r="K89" i="20"/>
  <c r="J89" i="20"/>
  <c r="H89" i="20"/>
  <c r="G89" i="20"/>
  <c r="E89" i="20"/>
  <c r="D89" i="20"/>
  <c r="O88" i="20"/>
  <c r="L88" i="20"/>
  <c r="I88" i="20"/>
  <c r="F88" i="20"/>
  <c r="O87" i="20"/>
  <c r="L87" i="20"/>
  <c r="I87" i="20"/>
  <c r="F87" i="20"/>
  <c r="O86" i="20"/>
  <c r="L86" i="20"/>
  <c r="I86" i="20"/>
  <c r="F86" i="20"/>
  <c r="O85" i="20"/>
  <c r="O84" i="20" s="1"/>
  <c r="L85" i="20"/>
  <c r="I85" i="20"/>
  <c r="F85" i="20"/>
  <c r="F84" i="20" s="1"/>
  <c r="C85" i="20"/>
  <c r="N84" i="20"/>
  <c r="M84" i="20"/>
  <c r="L84" i="20"/>
  <c r="K84" i="20"/>
  <c r="J84" i="20"/>
  <c r="H84" i="20"/>
  <c r="G84" i="20"/>
  <c r="E84" i="20"/>
  <c r="E83" i="20" s="1"/>
  <c r="D84" i="20"/>
  <c r="J83" i="20"/>
  <c r="O82" i="20"/>
  <c r="L82" i="20"/>
  <c r="I82" i="20"/>
  <c r="F82" i="20"/>
  <c r="O81" i="20"/>
  <c r="O80" i="20" s="1"/>
  <c r="L81" i="20"/>
  <c r="I81" i="20"/>
  <c r="C81" i="20" s="1"/>
  <c r="F81" i="20"/>
  <c r="F80" i="20" s="1"/>
  <c r="N80" i="20"/>
  <c r="M80" i="20"/>
  <c r="M76" i="20" s="1"/>
  <c r="L80" i="20"/>
  <c r="K80" i="20"/>
  <c r="J80" i="20"/>
  <c r="I80" i="20"/>
  <c r="H80" i="20"/>
  <c r="G80" i="20"/>
  <c r="E80" i="20"/>
  <c r="D80" i="20"/>
  <c r="D76" i="20" s="1"/>
  <c r="O79" i="20"/>
  <c r="L79" i="20"/>
  <c r="I79" i="20"/>
  <c r="F79" i="20"/>
  <c r="O78" i="20"/>
  <c r="L78" i="20"/>
  <c r="I78" i="20"/>
  <c r="F78" i="20"/>
  <c r="F77" i="20" s="1"/>
  <c r="O77" i="20"/>
  <c r="N77" i="20"/>
  <c r="M77" i="20"/>
  <c r="K77" i="20"/>
  <c r="K76" i="20" s="1"/>
  <c r="J77" i="20"/>
  <c r="H77" i="20"/>
  <c r="G77" i="20"/>
  <c r="G76" i="20" s="1"/>
  <c r="E77" i="20"/>
  <c r="E76" i="20" s="1"/>
  <c r="D77" i="20"/>
  <c r="N76" i="20"/>
  <c r="J76" i="20"/>
  <c r="J75" i="20" s="1"/>
  <c r="O74" i="20"/>
  <c r="L74" i="20"/>
  <c r="I74" i="20"/>
  <c r="F74" i="20"/>
  <c r="O73" i="20"/>
  <c r="L73" i="20"/>
  <c r="I73" i="20"/>
  <c r="F73" i="20"/>
  <c r="C73" i="20"/>
  <c r="O72" i="20"/>
  <c r="L72" i="20"/>
  <c r="I72" i="20"/>
  <c r="F72" i="20"/>
  <c r="C72" i="20" s="1"/>
  <c r="O71" i="20"/>
  <c r="L71" i="20"/>
  <c r="I71" i="20"/>
  <c r="F71" i="20"/>
  <c r="O70" i="20"/>
  <c r="L70" i="20"/>
  <c r="I70" i="20"/>
  <c r="F70" i="20"/>
  <c r="F69" i="20" s="1"/>
  <c r="N69" i="20"/>
  <c r="M69" i="20"/>
  <c r="K69" i="20"/>
  <c r="K67" i="20" s="1"/>
  <c r="J69" i="20"/>
  <c r="J67" i="20" s="1"/>
  <c r="H69" i="20"/>
  <c r="H67" i="20" s="1"/>
  <c r="G69" i="20"/>
  <c r="G67" i="20" s="1"/>
  <c r="E69" i="20"/>
  <c r="D69" i="20"/>
  <c r="D67" i="20" s="1"/>
  <c r="D53" i="20" s="1"/>
  <c r="O68" i="20"/>
  <c r="L68" i="20"/>
  <c r="I68" i="20"/>
  <c r="F68" i="20"/>
  <c r="N67" i="20"/>
  <c r="M67" i="20"/>
  <c r="E67" i="20"/>
  <c r="O66" i="20"/>
  <c r="L66" i="20"/>
  <c r="I66" i="20"/>
  <c r="F66" i="20"/>
  <c r="C66" i="20" s="1"/>
  <c r="O65" i="20"/>
  <c r="L65" i="20"/>
  <c r="I65" i="20"/>
  <c r="F65" i="20"/>
  <c r="O64" i="20"/>
  <c r="L64" i="20"/>
  <c r="I64" i="20"/>
  <c r="F64" i="20"/>
  <c r="O63" i="20"/>
  <c r="L63" i="20"/>
  <c r="I63" i="20"/>
  <c r="F63" i="20"/>
  <c r="O62" i="20"/>
  <c r="L62" i="20"/>
  <c r="I62" i="20"/>
  <c r="F62" i="20"/>
  <c r="O61" i="20"/>
  <c r="L61" i="20"/>
  <c r="I61" i="20"/>
  <c r="F61" i="20"/>
  <c r="C61" i="20" s="1"/>
  <c r="O60" i="20"/>
  <c r="L60" i="20"/>
  <c r="I60" i="20"/>
  <c r="F60" i="20"/>
  <c r="O59" i="20"/>
  <c r="L59" i="20"/>
  <c r="I59" i="20"/>
  <c r="F59" i="20"/>
  <c r="N58" i="20"/>
  <c r="M58" i="20"/>
  <c r="K58" i="20"/>
  <c r="J58" i="20"/>
  <c r="H58" i="20"/>
  <c r="G58" i="20"/>
  <c r="F58" i="20"/>
  <c r="E58" i="20"/>
  <c r="D58" i="20"/>
  <c r="O57" i="20"/>
  <c r="L57" i="20"/>
  <c r="I57" i="20"/>
  <c r="F57" i="20"/>
  <c r="C57" i="20"/>
  <c r="O56" i="20"/>
  <c r="L56" i="20"/>
  <c r="L55" i="20" s="1"/>
  <c r="I56" i="20"/>
  <c r="I55" i="20" s="1"/>
  <c r="F56" i="20"/>
  <c r="C56" i="20" s="1"/>
  <c r="N55" i="20"/>
  <c r="M55" i="20"/>
  <c r="K55" i="20"/>
  <c r="J55" i="20"/>
  <c r="J54" i="20" s="1"/>
  <c r="H55" i="20"/>
  <c r="G55" i="20"/>
  <c r="E55" i="20"/>
  <c r="E54" i="20" s="1"/>
  <c r="D55" i="20"/>
  <c r="N54" i="20"/>
  <c r="N53" i="20" s="1"/>
  <c r="H54" i="20"/>
  <c r="H53" i="20" s="1"/>
  <c r="G54" i="20"/>
  <c r="G53" i="20" s="1"/>
  <c r="D54" i="20"/>
  <c r="O47" i="20"/>
  <c r="C47" i="20" s="1"/>
  <c r="O46" i="20"/>
  <c r="C46" i="20"/>
  <c r="N45" i="20"/>
  <c r="M45" i="20"/>
  <c r="M20" i="20" s="1"/>
  <c r="L44" i="20"/>
  <c r="I44" i="20"/>
  <c r="F44" i="20"/>
  <c r="C44" i="20"/>
  <c r="L43" i="20"/>
  <c r="K43" i="20"/>
  <c r="J43" i="20"/>
  <c r="I43" i="20"/>
  <c r="H43" i="20"/>
  <c r="G43" i="20"/>
  <c r="F43" i="20"/>
  <c r="E43" i="20"/>
  <c r="D43" i="20"/>
  <c r="F42" i="20"/>
  <c r="C42" i="20" s="1"/>
  <c r="F41" i="20"/>
  <c r="C41" i="20" s="1"/>
  <c r="E41" i="20"/>
  <c r="D41" i="20"/>
  <c r="L40" i="20"/>
  <c r="C40" i="20" s="1"/>
  <c r="L39" i="20"/>
  <c r="C39" i="20" s="1"/>
  <c r="L38" i="20"/>
  <c r="C38" i="20" s="1"/>
  <c r="L37" i="20"/>
  <c r="C37" i="20"/>
  <c r="K36" i="20"/>
  <c r="J36" i="20"/>
  <c r="L35" i="20"/>
  <c r="C35" i="20" s="1"/>
  <c r="L34" i="20"/>
  <c r="L33" i="20" s="1"/>
  <c r="C33" i="20" s="1"/>
  <c r="K33" i="20"/>
  <c r="J33" i="20"/>
  <c r="L32" i="20"/>
  <c r="K31" i="20"/>
  <c r="J31" i="20"/>
  <c r="L30" i="20"/>
  <c r="C30" i="20" s="1"/>
  <c r="L29" i="20"/>
  <c r="C29" i="20" s="1"/>
  <c r="L28" i="20"/>
  <c r="C28" i="20" s="1"/>
  <c r="K27" i="20"/>
  <c r="J27" i="20"/>
  <c r="F25" i="20"/>
  <c r="C25" i="20" s="1"/>
  <c r="I24" i="20"/>
  <c r="O23" i="20"/>
  <c r="L23" i="20"/>
  <c r="I23" i="20"/>
  <c r="F23" i="20"/>
  <c r="O22" i="20"/>
  <c r="O21" i="20" s="1"/>
  <c r="L22" i="20"/>
  <c r="I22" i="20"/>
  <c r="F22" i="20"/>
  <c r="F21" i="20" s="1"/>
  <c r="N21" i="20"/>
  <c r="N292" i="20" s="1"/>
  <c r="N291" i="20" s="1"/>
  <c r="M21" i="20"/>
  <c r="M292" i="20" s="1"/>
  <c r="M291" i="20" s="1"/>
  <c r="K21" i="20"/>
  <c r="K292" i="20" s="1"/>
  <c r="K291" i="20" s="1"/>
  <c r="J21" i="20"/>
  <c r="I21" i="20"/>
  <c r="H21" i="20"/>
  <c r="G21" i="20"/>
  <c r="G292" i="20" s="1"/>
  <c r="G291" i="20" s="1"/>
  <c r="E21" i="20"/>
  <c r="D21" i="20"/>
  <c r="G20" i="20"/>
  <c r="J292" i="20" l="1"/>
  <c r="J291" i="20" s="1"/>
  <c r="F55" i="20"/>
  <c r="C62" i="20"/>
  <c r="C119" i="20"/>
  <c r="C124" i="20"/>
  <c r="C129" i="20"/>
  <c r="C134" i="20"/>
  <c r="O136" i="20"/>
  <c r="C148" i="20"/>
  <c r="C150" i="20"/>
  <c r="C152" i="20"/>
  <c r="C153" i="20"/>
  <c r="C162" i="20"/>
  <c r="J173" i="20"/>
  <c r="C176" i="20"/>
  <c r="C177" i="20"/>
  <c r="C186" i="20"/>
  <c r="C201" i="20"/>
  <c r="C240" i="20"/>
  <c r="C241" i="20"/>
  <c r="C245" i="20"/>
  <c r="C266" i="20"/>
  <c r="C268" i="20"/>
  <c r="C278" i="20"/>
  <c r="C287" i="20"/>
  <c r="C288" i="20"/>
  <c r="C298" i="20"/>
  <c r="M54" i="20"/>
  <c r="C60" i="20"/>
  <c r="H83" i="20"/>
  <c r="C94" i="20"/>
  <c r="C96" i="20"/>
  <c r="C97" i="20"/>
  <c r="C114" i="20"/>
  <c r="F128" i="20"/>
  <c r="G130" i="20"/>
  <c r="C157" i="20"/>
  <c r="K174" i="20"/>
  <c r="K173" i="20" s="1"/>
  <c r="C190" i="20"/>
  <c r="H195" i="20"/>
  <c r="C226" i="20"/>
  <c r="C236" i="20"/>
  <c r="C254" i="20"/>
  <c r="C257" i="20"/>
  <c r="C258" i="20"/>
  <c r="D259" i="20"/>
  <c r="D230" i="20" s="1"/>
  <c r="C274" i="20"/>
  <c r="C275" i="20"/>
  <c r="J53" i="20"/>
  <c r="J52" i="20" s="1"/>
  <c r="E292" i="20"/>
  <c r="E291" i="20" s="1"/>
  <c r="N20" i="20"/>
  <c r="O45" i="20"/>
  <c r="C45" i="20" s="1"/>
  <c r="C65" i="20"/>
  <c r="D83" i="20"/>
  <c r="D75" i="20" s="1"/>
  <c r="D52" i="20" s="1"/>
  <c r="C91" i="20"/>
  <c r="I95" i="20"/>
  <c r="C100" i="20"/>
  <c r="C102" i="20"/>
  <c r="C107" i="20"/>
  <c r="C111" i="20"/>
  <c r="C142" i="20"/>
  <c r="L151" i="20"/>
  <c r="L175" i="20"/>
  <c r="C182" i="20"/>
  <c r="D204" i="20"/>
  <c r="D195" i="20" s="1"/>
  <c r="C213" i="20"/>
  <c r="C217" i="20"/>
  <c r="K230" i="20"/>
  <c r="L246" i="20"/>
  <c r="F281" i="20"/>
  <c r="C294" i="20"/>
  <c r="C23" i="20"/>
  <c r="C34" i="20"/>
  <c r="K54" i="20"/>
  <c r="K53" i="20" s="1"/>
  <c r="C74" i="20"/>
  <c r="C82" i="20"/>
  <c r="C88" i="20"/>
  <c r="C101" i="20"/>
  <c r="C108" i="20"/>
  <c r="C113" i="20"/>
  <c r="O112" i="20"/>
  <c r="O83" i="20" s="1"/>
  <c r="L116" i="20"/>
  <c r="C120" i="20"/>
  <c r="K83" i="20"/>
  <c r="C125" i="20"/>
  <c r="I131" i="20"/>
  <c r="C171" i="20"/>
  <c r="C181" i="20"/>
  <c r="O179" i="20"/>
  <c r="E187" i="20"/>
  <c r="C206" i="20"/>
  <c r="M204" i="20"/>
  <c r="M195" i="20" s="1"/>
  <c r="M231" i="20"/>
  <c r="M230" i="20" s="1"/>
  <c r="C242" i="20"/>
  <c r="O276" i="20"/>
  <c r="I293" i="20"/>
  <c r="C299" i="20"/>
  <c r="C300" i="20"/>
  <c r="C22" i="20"/>
  <c r="J26" i="20"/>
  <c r="I20" i="20"/>
  <c r="O55" i="20"/>
  <c r="O69" i="20"/>
  <c r="O67" i="20" s="1"/>
  <c r="C92" i="20"/>
  <c r="C93" i="20"/>
  <c r="G83" i="20"/>
  <c r="G75" i="20" s="1"/>
  <c r="E130" i="20"/>
  <c r="E75" i="20" s="1"/>
  <c r="C149" i="20"/>
  <c r="C155" i="20"/>
  <c r="C163" i="20"/>
  <c r="O166" i="20"/>
  <c r="O165" i="20" s="1"/>
  <c r="M173" i="20"/>
  <c r="E204" i="20"/>
  <c r="E195" i="20" s="1"/>
  <c r="C221" i="20"/>
  <c r="J204" i="20"/>
  <c r="J195" i="20" s="1"/>
  <c r="N204" i="20"/>
  <c r="N195" i="20" s="1"/>
  <c r="N289" i="20" s="1"/>
  <c r="N231" i="20"/>
  <c r="N230" i="20" s="1"/>
  <c r="C263" i="20"/>
  <c r="L293" i="20"/>
  <c r="K26" i="20"/>
  <c r="K20" i="20" s="1"/>
  <c r="H76" i="20"/>
  <c r="H75" i="20" s="1"/>
  <c r="C86" i="20"/>
  <c r="I89" i="20"/>
  <c r="C99" i="20"/>
  <c r="O103" i="20"/>
  <c r="C110" i="20"/>
  <c r="C117" i="20"/>
  <c r="O116" i="20"/>
  <c r="C123" i="20"/>
  <c r="C135" i="20"/>
  <c r="C143" i="20"/>
  <c r="I144" i="20"/>
  <c r="O151" i="20"/>
  <c r="C159" i="20"/>
  <c r="I166" i="20"/>
  <c r="I165" i="20" s="1"/>
  <c r="C172" i="20"/>
  <c r="O175" i="20"/>
  <c r="E173" i="20"/>
  <c r="C203" i="20"/>
  <c r="C209" i="20"/>
  <c r="O205" i="20"/>
  <c r="C214" i="20"/>
  <c r="I216" i="20"/>
  <c r="C223" i="20"/>
  <c r="C224" i="20"/>
  <c r="C229" i="20"/>
  <c r="O235" i="20"/>
  <c r="C235" i="20" s="1"/>
  <c r="O246" i="20"/>
  <c r="I252" i="20"/>
  <c r="I251" i="20" s="1"/>
  <c r="L260" i="20"/>
  <c r="I286" i="20"/>
  <c r="C286" i="20" s="1"/>
  <c r="L27" i="20"/>
  <c r="C27" i="20" s="1"/>
  <c r="O58" i="20"/>
  <c r="O95" i="20"/>
  <c r="C95" i="20" s="1"/>
  <c r="C109" i="20"/>
  <c r="C115" i="20"/>
  <c r="C121" i="20"/>
  <c r="C127" i="20"/>
  <c r="C132" i="20"/>
  <c r="C133" i="20"/>
  <c r="O131" i="20"/>
  <c r="M130" i="20"/>
  <c r="M75" i="20" s="1"/>
  <c r="C183" i="20"/>
  <c r="N187" i="20"/>
  <c r="I205" i="20"/>
  <c r="C212" i="20"/>
  <c r="C218" i="20"/>
  <c r="G230" i="20"/>
  <c r="G194" i="20" s="1"/>
  <c r="C243" i="20"/>
  <c r="O292" i="20"/>
  <c r="O291" i="20" s="1"/>
  <c r="O20" i="20"/>
  <c r="F292" i="20"/>
  <c r="F67" i="20"/>
  <c r="C80" i="20"/>
  <c r="C89" i="20"/>
  <c r="D292" i="20"/>
  <c r="D291" i="20" s="1"/>
  <c r="L36" i="20"/>
  <c r="C36" i="20" s="1"/>
  <c r="M53" i="20"/>
  <c r="L58" i="20"/>
  <c r="L54" i="20" s="1"/>
  <c r="C64" i="20"/>
  <c r="C68" i="20"/>
  <c r="L69" i="20"/>
  <c r="C70" i="20"/>
  <c r="K75" i="20"/>
  <c r="K52" i="20" s="1"/>
  <c r="F76" i="20"/>
  <c r="L67" i="20"/>
  <c r="C78" i="20"/>
  <c r="L77" i="20"/>
  <c r="L76" i="20" s="1"/>
  <c r="H292" i="20"/>
  <c r="H291" i="20" s="1"/>
  <c r="H20" i="20"/>
  <c r="L21" i="20"/>
  <c r="C43" i="20"/>
  <c r="I58" i="20"/>
  <c r="C59" i="20"/>
  <c r="C71" i="20"/>
  <c r="I69" i="20"/>
  <c r="I67" i="20" s="1"/>
  <c r="O76" i="20"/>
  <c r="I84" i="20"/>
  <c r="C84" i="20" s="1"/>
  <c r="C87" i="20"/>
  <c r="J20" i="20"/>
  <c r="C32" i="20"/>
  <c r="L31" i="20"/>
  <c r="F54" i="20"/>
  <c r="E53" i="20"/>
  <c r="E52" i="20" s="1"/>
  <c r="C63" i="20"/>
  <c r="C79" i="20"/>
  <c r="I77" i="20"/>
  <c r="C103" i="20"/>
  <c r="C179" i="20"/>
  <c r="I246" i="20"/>
  <c r="C247" i="20"/>
  <c r="C265" i="20"/>
  <c r="F264" i="20"/>
  <c r="C301" i="20"/>
  <c r="F112" i="20"/>
  <c r="F116" i="20"/>
  <c r="L122" i="20"/>
  <c r="L83" i="20" s="1"/>
  <c r="F131" i="20"/>
  <c r="L136" i="20"/>
  <c r="C139" i="20"/>
  <c r="F196" i="20"/>
  <c r="C197" i="20"/>
  <c r="C234" i="20"/>
  <c r="L233" i="20"/>
  <c r="J231" i="20"/>
  <c r="J230" i="20" s="1"/>
  <c r="J194" i="20" s="1"/>
  <c r="C90" i="20"/>
  <c r="C128" i="20"/>
  <c r="C169" i="20"/>
  <c r="F166" i="20"/>
  <c r="C104" i="20"/>
  <c r="I122" i="20"/>
  <c r="C137" i="20"/>
  <c r="F136" i="20"/>
  <c r="L141" i="20"/>
  <c r="L130" i="20" s="1"/>
  <c r="O144" i="20"/>
  <c r="O130" i="20" s="1"/>
  <c r="L144" i="20"/>
  <c r="C147" i="20"/>
  <c r="C161" i="20"/>
  <c r="F160" i="20"/>
  <c r="C160" i="20" s="1"/>
  <c r="C167" i="20"/>
  <c r="L166" i="20"/>
  <c r="L165" i="20" s="1"/>
  <c r="F175" i="20"/>
  <c r="I174" i="20"/>
  <c r="I173" i="20" s="1"/>
  <c r="C185" i="20"/>
  <c r="F184" i="20"/>
  <c r="C184" i="20" s="1"/>
  <c r="C189" i="20"/>
  <c r="F188" i="20"/>
  <c r="C273" i="20"/>
  <c r="F272" i="20"/>
  <c r="N130" i="20"/>
  <c r="N75" i="20" s="1"/>
  <c r="N52" i="20" s="1"/>
  <c r="C140" i="20"/>
  <c r="C145" i="20"/>
  <c r="F144" i="20"/>
  <c r="C144" i="20" s="1"/>
  <c r="F151" i="20"/>
  <c r="I151" i="20"/>
  <c r="I130" i="20" s="1"/>
  <c r="C156" i="20"/>
  <c r="C164" i="20"/>
  <c r="L174" i="20"/>
  <c r="L173" i="20" s="1"/>
  <c r="C180" i="20"/>
  <c r="H187" i="20"/>
  <c r="H52" i="20" s="1"/>
  <c r="L187" i="20"/>
  <c r="F192" i="20"/>
  <c r="C193" i="20"/>
  <c r="O204" i="20"/>
  <c r="C232" i="20"/>
  <c r="C249" i="20"/>
  <c r="F246" i="20"/>
  <c r="C246" i="20" s="1"/>
  <c r="O216" i="20"/>
  <c r="C227" i="20"/>
  <c r="H230" i="20"/>
  <c r="H194" i="20" s="1"/>
  <c r="L252" i="20"/>
  <c r="L251" i="20" s="1"/>
  <c r="C255" i="20"/>
  <c r="L259" i="20"/>
  <c r="L276" i="20"/>
  <c r="L270" i="20" s="1"/>
  <c r="L269" i="20" s="1"/>
  <c r="C279" i="20"/>
  <c r="C285" i="20"/>
  <c r="F284" i="20"/>
  <c r="L205" i="20"/>
  <c r="L204" i="20" s="1"/>
  <c r="L195" i="20" s="1"/>
  <c r="L216" i="20"/>
  <c r="F216" i="20"/>
  <c r="C228" i="20"/>
  <c r="E230" i="20"/>
  <c r="E194" i="20" s="1"/>
  <c r="I238" i="20"/>
  <c r="C239" i="20"/>
  <c r="C253" i="20"/>
  <c r="F252" i="20"/>
  <c r="E259" i="20"/>
  <c r="C261" i="20"/>
  <c r="F260" i="20"/>
  <c r="C271" i="20"/>
  <c r="I270" i="20"/>
  <c r="I269" i="20" s="1"/>
  <c r="M270" i="20"/>
  <c r="M269" i="20" s="1"/>
  <c r="C277" i="20"/>
  <c r="F276" i="20"/>
  <c r="O196" i="20"/>
  <c r="O195" i="20" s="1"/>
  <c r="K195" i="20"/>
  <c r="K194" i="20" s="1"/>
  <c r="C199" i="20"/>
  <c r="C200" i="20"/>
  <c r="C207" i="20"/>
  <c r="C208" i="20"/>
  <c r="F205" i="20"/>
  <c r="C215" i="20"/>
  <c r="C219" i="20"/>
  <c r="C220" i="20"/>
  <c r="L238" i="20"/>
  <c r="C244" i="20"/>
  <c r="C248" i="20"/>
  <c r="C256" i="20"/>
  <c r="O264" i="20"/>
  <c r="O259" i="20" s="1"/>
  <c r="L264" i="20"/>
  <c r="C267" i="20"/>
  <c r="O272" i="20"/>
  <c r="O270" i="20" s="1"/>
  <c r="O269" i="20" s="1"/>
  <c r="C280" i="20"/>
  <c r="C281" i="20"/>
  <c r="C295" i="20"/>
  <c r="C296" i="20"/>
  <c r="C297" i="20"/>
  <c r="F293" i="20"/>
  <c r="J51" i="20" l="1"/>
  <c r="C293" i="20"/>
  <c r="E289" i="20"/>
  <c r="M289" i="20"/>
  <c r="C216" i="20"/>
  <c r="N194" i="20"/>
  <c r="M52" i="20"/>
  <c r="N51" i="20"/>
  <c r="N50" i="20" s="1"/>
  <c r="C238" i="20"/>
  <c r="C122" i="20"/>
  <c r="C112" i="20"/>
  <c r="I204" i="20"/>
  <c r="I195" i="20" s="1"/>
  <c r="O174" i="20"/>
  <c r="O173" i="20" s="1"/>
  <c r="G289" i="20"/>
  <c r="O54" i="20"/>
  <c r="O53" i="20" s="1"/>
  <c r="O231" i="20"/>
  <c r="C141" i="20"/>
  <c r="C58" i="20"/>
  <c r="K51" i="20"/>
  <c r="K50" i="20" s="1"/>
  <c r="L53" i="20"/>
  <c r="C151" i="20"/>
  <c r="C55" i="20"/>
  <c r="I54" i="20"/>
  <c r="I53" i="20" s="1"/>
  <c r="I292" i="20"/>
  <c r="I291" i="20" s="1"/>
  <c r="C276" i="20"/>
  <c r="K289" i="20"/>
  <c r="M194" i="20"/>
  <c r="M51" i="20" s="1"/>
  <c r="C116" i="20"/>
  <c r="C69" i="20"/>
  <c r="J50" i="20"/>
  <c r="J290" i="20"/>
  <c r="K290" i="20"/>
  <c r="C260" i="20"/>
  <c r="F259" i="20"/>
  <c r="C259" i="20" s="1"/>
  <c r="C284" i="20"/>
  <c r="F283" i="20"/>
  <c r="C283" i="20" s="1"/>
  <c r="D194" i="20"/>
  <c r="D51" i="20" s="1"/>
  <c r="D289" i="20"/>
  <c r="F174" i="20"/>
  <c r="C175" i="20"/>
  <c r="L292" i="20"/>
  <c r="L291" i="20" s="1"/>
  <c r="H51" i="20"/>
  <c r="H289" i="20"/>
  <c r="C31" i="20"/>
  <c r="L26" i="20"/>
  <c r="C21" i="20"/>
  <c r="F204" i="20"/>
  <c r="C205" i="20"/>
  <c r="I231" i="20"/>
  <c r="I230" i="20" s="1"/>
  <c r="F270" i="20"/>
  <c r="C272" i="20"/>
  <c r="O230" i="20"/>
  <c r="O194" i="20" s="1"/>
  <c r="C136" i="20"/>
  <c r="L231" i="20"/>
  <c r="L230" i="20" s="1"/>
  <c r="C233" i="20"/>
  <c r="C196" i="20"/>
  <c r="F130" i="20"/>
  <c r="C130" i="20" s="1"/>
  <c r="C131" i="20"/>
  <c r="C264" i="20"/>
  <c r="I76" i="20"/>
  <c r="C77" i="20"/>
  <c r="E51" i="20"/>
  <c r="O75" i="20"/>
  <c r="O52" i="20" s="1"/>
  <c r="L75" i="20"/>
  <c r="L52" i="20" s="1"/>
  <c r="C292" i="20"/>
  <c r="F165" i="20"/>
  <c r="C165" i="20" s="1"/>
  <c r="C166" i="20"/>
  <c r="I194" i="20"/>
  <c r="I83" i="20"/>
  <c r="G52" i="20"/>
  <c r="G51" i="20" s="1"/>
  <c r="J289" i="20"/>
  <c r="C252" i="20"/>
  <c r="F251" i="20"/>
  <c r="C251" i="20" s="1"/>
  <c r="F231" i="20"/>
  <c r="C192" i="20"/>
  <c r="F191" i="20"/>
  <c r="C191" i="20" s="1"/>
  <c r="C188" i="20"/>
  <c r="F291" i="20"/>
  <c r="F53" i="20"/>
  <c r="C54" i="20"/>
  <c r="F83" i="20"/>
  <c r="C76" i="20"/>
  <c r="C67" i="20"/>
  <c r="N290" i="20" l="1"/>
  <c r="C204" i="20"/>
  <c r="C291" i="20"/>
  <c r="L289" i="20"/>
  <c r="C83" i="20"/>
  <c r="O289" i="20"/>
  <c r="L194" i="20"/>
  <c r="L51" i="20" s="1"/>
  <c r="L50" i="20" s="1"/>
  <c r="F173" i="20"/>
  <c r="C173" i="20" s="1"/>
  <c r="C174" i="20"/>
  <c r="M50" i="20"/>
  <c r="M290" i="20"/>
  <c r="F187" i="20"/>
  <c r="C187" i="20" s="1"/>
  <c r="C231" i="20"/>
  <c r="F230" i="20"/>
  <c r="C230" i="20" s="1"/>
  <c r="G290" i="20"/>
  <c r="G50" i="20"/>
  <c r="I75" i="20"/>
  <c r="I289" i="20" s="1"/>
  <c r="F195" i="20"/>
  <c r="C26" i="20"/>
  <c r="L20" i="20"/>
  <c r="E50" i="20"/>
  <c r="E24" i="20" s="1"/>
  <c r="E20" i="20" s="1"/>
  <c r="I52" i="20"/>
  <c r="I51" i="20" s="1"/>
  <c r="F269" i="20"/>
  <c r="C270" i="20"/>
  <c r="H290" i="20"/>
  <c r="H50" i="20"/>
  <c r="F75" i="20"/>
  <c r="C75" i="20" s="1"/>
  <c r="C53" i="20"/>
  <c r="O51" i="20"/>
  <c r="D50" i="20"/>
  <c r="D24" i="20" s="1"/>
  <c r="D290" i="20" s="1"/>
  <c r="E290" i="20" l="1"/>
  <c r="I290" i="20"/>
  <c r="I50" i="20"/>
  <c r="L290" i="20"/>
  <c r="C269" i="20"/>
  <c r="F289" i="20"/>
  <c r="C289" i="20" s="1"/>
  <c r="C195" i="20"/>
  <c r="F194" i="20"/>
  <c r="C194" i="20" s="1"/>
  <c r="O50" i="20"/>
  <c r="O290" i="20"/>
  <c r="F24" i="20"/>
  <c r="D20" i="20"/>
  <c r="F52" i="20"/>
  <c r="C52" i="20" l="1"/>
  <c r="F51" i="20"/>
  <c r="C24" i="20"/>
  <c r="F20" i="20"/>
  <c r="C20" i="20" s="1"/>
  <c r="F290" i="20" l="1"/>
  <c r="C290" i="20" s="1"/>
  <c r="C51" i="20"/>
  <c r="F50" i="20"/>
  <c r="C50" i="20" s="1"/>
  <c r="O301" i="19" l="1"/>
  <c r="L301" i="19"/>
  <c r="I301" i="19"/>
  <c r="F301" i="19"/>
  <c r="O300" i="19"/>
  <c r="L300" i="19"/>
  <c r="I300" i="19"/>
  <c r="F300" i="19"/>
  <c r="O299" i="19"/>
  <c r="L299" i="19"/>
  <c r="I299" i="19"/>
  <c r="F299" i="19"/>
  <c r="O298" i="19"/>
  <c r="L298" i="19"/>
  <c r="I298" i="19"/>
  <c r="F298" i="19"/>
  <c r="C298" i="19" s="1"/>
  <c r="O297" i="19"/>
  <c r="L297" i="19"/>
  <c r="I297" i="19"/>
  <c r="F297" i="19"/>
  <c r="O296" i="19"/>
  <c r="L296" i="19"/>
  <c r="I296" i="19"/>
  <c r="F296" i="19"/>
  <c r="O295" i="19"/>
  <c r="L295" i="19"/>
  <c r="I295" i="19"/>
  <c r="F295" i="19"/>
  <c r="O294" i="19"/>
  <c r="O293" i="19" s="1"/>
  <c r="L294" i="19"/>
  <c r="I294" i="19"/>
  <c r="F294" i="19"/>
  <c r="N293" i="19"/>
  <c r="M293" i="19"/>
  <c r="K293" i="19"/>
  <c r="J293" i="19"/>
  <c r="H293" i="19"/>
  <c r="G293" i="19"/>
  <c r="E293" i="19"/>
  <c r="D293" i="19"/>
  <c r="O288" i="19"/>
  <c r="L288" i="19"/>
  <c r="I288" i="19"/>
  <c r="F288" i="19"/>
  <c r="O287" i="19"/>
  <c r="L287" i="19"/>
  <c r="L286" i="19" s="1"/>
  <c r="I287" i="19"/>
  <c r="F287" i="19"/>
  <c r="F286" i="19" s="1"/>
  <c r="O286" i="19"/>
  <c r="N286" i="19"/>
  <c r="M286" i="19"/>
  <c r="K286" i="19"/>
  <c r="J286" i="19"/>
  <c r="H286" i="19"/>
  <c r="G286" i="19"/>
  <c r="E286" i="19"/>
  <c r="D286" i="19"/>
  <c r="O285" i="19"/>
  <c r="L285" i="19"/>
  <c r="L284" i="19" s="1"/>
  <c r="L283" i="19" s="1"/>
  <c r="I285" i="19"/>
  <c r="I284" i="19" s="1"/>
  <c r="I283" i="19" s="1"/>
  <c r="F285" i="19"/>
  <c r="O284" i="19"/>
  <c r="O283" i="19" s="1"/>
  <c r="N284" i="19"/>
  <c r="M284" i="19"/>
  <c r="M283" i="19" s="1"/>
  <c r="K284" i="19"/>
  <c r="K283" i="19" s="1"/>
  <c r="J284" i="19"/>
  <c r="J283" i="19" s="1"/>
  <c r="H284" i="19"/>
  <c r="H283" i="19" s="1"/>
  <c r="G284" i="19"/>
  <c r="G283" i="19" s="1"/>
  <c r="E284" i="19"/>
  <c r="E283" i="19" s="1"/>
  <c r="D284" i="19"/>
  <c r="N283" i="19"/>
  <c r="D283" i="19"/>
  <c r="O282" i="19"/>
  <c r="O281" i="19" s="1"/>
  <c r="L282" i="19"/>
  <c r="L281" i="19" s="1"/>
  <c r="I282" i="19"/>
  <c r="I281" i="19" s="1"/>
  <c r="F282" i="19"/>
  <c r="F281" i="19" s="1"/>
  <c r="N281" i="19"/>
  <c r="M281" i="19"/>
  <c r="K281" i="19"/>
  <c r="J281" i="19"/>
  <c r="H281" i="19"/>
  <c r="G281" i="19"/>
  <c r="E281" i="19"/>
  <c r="D281" i="19"/>
  <c r="O280" i="19"/>
  <c r="L280" i="19"/>
  <c r="I280" i="19"/>
  <c r="F280" i="19"/>
  <c r="O279" i="19"/>
  <c r="L279" i="19"/>
  <c r="I279" i="19"/>
  <c r="F279" i="19"/>
  <c r="C279" i="19" s="1"/>
  <c r="O278" i="19"/>
  <c r="L278" i="19"/>
  <c r="I278" i="19"/>
  <c r="F278" i="19"/>
  <c r="C278" i="19" s="1"/>
  <c r="O277" i="19"/>
  <c r="L277" i="19"/>
  <c r="I277" i="19"/>
  <c r="I276" i="19" s="1"/>
  <c r="F277" i="19"/>
  <c r="N276" i="19"/>
  <c r="M276" i="19"/>
  <c r="K276" i="19"/>
  <c r="J276" i="19"/>
  <c r="J270" i="19" s="1"/>
  <c r="J269" i="19" s="1"/>
  <c r="H276" i="19"/>
  <c r="G276" i="19"/>
  <c r="E276" i="19"/>
  <c r="D276" i="19"/>
  <c r="O275" i="19"/>
  <c r="L275" i="19"/>
  <c r="I275" i="19"/>
  <c r="F275" i="19"/>
  <c r="O274" i="19"/>
  <c r="L274" i="19"/>
  <c r="I274" i="19"/>
  <c r="F274" i="19"/>
  <c r="C274" i="19" s="1"/>
  <c r="O273" i="19"/>
  <c r="L273" i="19"/>
  <c r="L272" i="19" s="1"/>
  <c r="I273" i="19"/>
  <c r="I272" i="19" s="1"/>
  <c r="F273" i="19"/>
  <c r="N272" i="19"/>
  <c r="M272" i="19"/>
  <c r="M270" i="19" s="1"/>
  <c r="M269" i="19" s="1"/>
  <c r="K272" i="19"/>
  <c r="J272" i="19"/>
  <c r="H272" i="19"/>
  <c r="H270" i="19" s="1"/>
  <c r="H269" i="19" s="1"/>
  <c r="G272" i="19"/>
  <c r="G270" i="19" s="1"/>
  <c r="G269" i="19" s="1"/>
  <c r="E272" i="19"/>
  <c r="D272" i="19"/>
  <c r="O271" i="19"/>
  <c r="L271" i="19"/>
  <c r="I271" i="19"/>
  <c r="F271" i="19"/>
  <c r="N270" i="19"/>
  <c r="N269" i="19" s="1"/>
  <c r="K270" i="19"/>
  <c r="K269" i="19" s="1"/>
  <c r="D270" i="19"/>
  <c r="O268" i="19"/>
  <c r="L268" i="19"/>
  <c r="I268" i="19"/>
  <c r="F268" i="19"/>
  <c r="O267" i="19"/>
  <c r="L267" i="19"/>
  <c r="I267" i="19"/>
  <c r="F267" i="19"/>
  <c r="O266" i="19"/>
  <c r="O264" i="19" s="1"/>
  <c r="L266" i="19"/>
  <c r="I266" i="19"/>
  <c r="F266" i="19"/>
  <c r="O265" i="19"/>
  <c r="L265" i="19"/>
  <c r="L264" i="19" s="1"/>
  <c r="I265" i="19"/>
  <c r="F265" i="19"/>
  <c r="N264" i="19"/>
  <c r="N259" i="19" s="1"/>
  <c r="M264" i="19"/>
  <c r="K264" i="19"/>
  <c r="J264" i="19"/>
  <c r="H264" i="19"/>
  <c r="H259" i="19" s="1"/>
  <c r="G264" i="19"/>
  <c r="E264" i="19"/>
  <c r="D264" i="19"/>
  <c r="O263" i="19"/>
  <c r="L263" i="19"/>
  <c r="I263" i="19"/>
  <c r="F263" i="19"/>
  <c r="O262" i="19"/>
  <c r="O260" i="19" s="1"/>
  <c r="O259" i="19" s="1"/>
  <c r="L262" i="19"/>
  <c r="I262" i="19"/>
  <c r="F262" i="19"/>
  <c r="C262" i="19"/>
  <c r="O261" i="19"/>
  <c r="L261" i="19"/>
  <c r="L260" i="19" s="1"/>
  <c r="I261" i="19"/>
  <c r="I260" i="19" s="1"/>
  <c r="F261" i="19"/>
  <c r="N260" i="19"/>
  <c r="M260" i="19"/>
  <c r="K260" i="19"/>
  <c r="K259" i="19" s="1"/>
  <c r="J260" i="19"/>
  <c r="J259" i="19" s="1"/>
  <c r="H260" i="19"/>
  <c r="G260" i="19"/>
  <c r="G259" i="19" s="1"/>
  <c r="E260" i="19"/>
  <c r="E259" i="19" s="1"/>
  <c r="D260" i="19"/>
  <c r="D259" i="19"/>
  <c r="O258" i="19"/>
  <c r="L258" i="19"/>
  <c r="I258" i="19"/>
  <c r="F258" i="19"/>
  <c r="O257" i="19"/>
  <c r="L257" i="19"/>
  <c r="I257" i="19"/>
  <c r="F257" i="19"/>
  <c r="O256" i="19"/>
  <c r="L256" i="19"/>
  <c r="I256" i="19"/>
  <c r="F256" i="19"/>
  <c r="O255" i="19"/>
  <c r="L255" i="19"/>
  <c r="I255" i="19"/>
  <c r="F255" i="19"/>
  <c r="O254" i="19"/>
  <c r="O252" i="19" s="1"/>
  <c r="O251" i="19" s="1"/>
  <c r="L254" i="19"/>
  <c r="I254" i="19"/>
  <c r="F254" i="19"/>
  <c r="C254" i="19" s="1"/>
  <c r="O253" i="19"/>
  <c r="L253" i="19"/>
  <c r="L252" i="19" s="1"/>
  <c r="L251" i="19" s="1"/>
  <c r="I253" i="19"/>
  <c r="F253" i="19"/>
  <c r="N252" i="19"/>
  <c r="M252" i="19"/>
  <c r="M251" i="19" s="1"/>
  <c r="K252" i="19"/>
  <c r="K251" i="19" s="1"/>
  <c r="J252" i="19"/>
  <c r="H252" i="19"/>
  <c r="G252" i="19"/>
  <c r="G251" i="19" s="1"/>
  <c r="E252" i="19"/>
  <c r="E251" i="19" s="1"/>
  <c r="D252" i="19"/>
  <c r="D251" i="19" s="1"/>
  <c r="N251" i="19"/>
  <c r="J251" i="19"/>
  <c r="H251" i="19"/>
  <c r="O250" i="19"/>
  <c r="L250" i="19"/>
  <c r="C250" i="19" s="1"/>
  <c r="I250" i="19"/>
  <c r="F250" i="19"/>
  <c r="O249" i="19"/>
  <c r="L249" i="19"/>
  <c r="I249" i="19"/>
  <c r="F249" i="19"/>
  <c r="O248" i="19"/>
  <c r="L248" i="19"/>
  <c r="I248" i="19"/>
  <c r="F248" i="19"/>
  <c r="O247" i="19"/>
  <c r="L247" i="19"/>
  <c r="I247" i="19"/>
  <c r="F247" i="19"/>
  <c r="O246" i="19"/>
  <c r="N246" i="19"/>
  <c r="M246" i="19"/>
  <c r="K246" i="19"/>
  <c r="J246" i="19"/>
  <c r="H246" i="19"/>
  <c r="G246" i="19"/>
  <c r="E246" i="19"/>
  <c r="D246" i="19"/>
  <c r="O245" i="19"/>
  <c r="L245" i="19"/>
  <c r="I245" i="19"/>
  <c r="F245" i="19"/>
  <c r="O244" i="19"/>
  <c r="L244" i="19"/>
  <c r="I244" i="19"/>
  <c r="F244" i="19"/>
  <c r="O243" i="19"/>
  <c r="L243" i="19"/>
  <c r="I243" i="19"/>
  <c r="F243" i="19"/>
  <c r="O242" i="19"/>
  <c r="L242" i="19"/>
  <c r="I242" i="19"/>
  <c r="F242" i="19"/>
  <c r="C242" i="19" s="1"/>
  <c r="O241" i="19"/>
  <c r="L241" i="19"/>
  <c r="I241" i="19"/>
  <c r="F241" i="19"/>
  <c r="O240" i="19"/>
  <c r="L240" i="19"/>
  <c r="I240" i="19"/>
  <c r="F240" i="19"/>
  <c r="O239" i="19"/>
  <c r="L239" i="19"/>
  <c r="I239" i="19"/>
  <c r="F239" i="19"/>
  <c r="N238" i="19"/>
  <c r="M238" i="19"/>
  <c r="K238" i="19"/>
  <c r="J238" i="19"/>
  <c r="H238" i="19"/>
  <c r="G238" i="19"/>
  <c r="E238" i="19"/>
  <c r="D238" i="19"/>
  <c r="O237" i="19"/>
  <c r="L237" i="19"/>
  <c r="I237" i="19"/>
  <c r="F237" i="19"/>
  <c r="O236" i="19"/>
  <c r="L236" i="19"/>
  <c r="L235" i="19" s="1"/>
  <c r="I236" i="19"/>
  <c r="I235" i="19" s="1"/>
  <c r="F236" i="19"/>
  <c r="O235" i="19"/>
  <c r="N235" i="19"/>
  <c r="M235" i="19"/>
  <c r="M231" i="19" s="1"/>
  <c r="K235" i="19"/>
  <c r="J235" i="19"/>
  <c r="H235" i="19"/>
  <c r="G235" i="19"/>
  <c r="E235" i="19"/>
  <c r="D235" i="19"/>
  <c r="O234" i="19"/>
  <c r="O233" i="19" s="1"/>
  <c r="L234" i="19"/>
  <c r="I234" i="19"/>
  <c r="F234" i="19"/>
  <c r="N233" i="19"/>
  <c r="M233" i="19"/>
  <c r="L233" i="19"/>
  <c r="K233" i="19"/>
  <c r="J233" i="19"/>
  <c r="I233" i="19"/>
  <c r="H233" i="19"/>
  <c r="G233" i="19"/>
  <c r="E233" i="19"/>
  <c r="E231" i="19" s="1"/>
  <c r="D233" i="19"/>
  <c r="O232" i="19"/>
  <c r="L232" i="19"/>
  <c r="I232" i="19"/>
  <c r="F232" i="19"/>
  <c r="O229" i="19"/>
  <c r="L229" i="19"/>
  <c r="I229" i="19"/>
  <c r="F229" i="19"/>
  <c r="O228" i="19"/>
  <c r="L228" i="19"/>
  <c r="I228" i="19"/>
  <c r="I227" i="19" s="1"/>
  <c r="F228" i="19"/>
  <c r="O227" i="19"/>
  <c r="N227" i="19"/>
  <c r="M227" i="19"/>
  <c r="L227" i="19"/>
  <c r="K227" i="19"/>
  <c r="J227" i="19"/>
  <c r="H227" i="19"/>
  <c r="G227" i="19"/>
  <c r="F227" i="19"/>
  <c r="E227" i="19"/>
  <c r="D227" i="19"/>
  <c r="O226" i="19"/>
  <c r="L226" i="19"/>
  <c r="I226" i="19"/>
  <c r="F226" i="19"/>
  <c r="O225" i="19"/>
  <c r="L225" i="19"/>
  <c r="I225" i="19"/>
  <c r="F225" i="19"/>
  <c r="O224" i="19"/>
  <c r="L224" i="19"/>
  <c r="I224" i="19"/>
  <c r="F224" i="19"/>
  <c r="O223" i="19"/>
  <c r="L223" i="19"/>
  <c r="I223" i="19"/>
  <c r="F223" i="19"/>
  <c r="O222" i="19"/>
  <c r="L222" i="19"/>
  <c r="I222" i="19"/>
  <c r="F222" i="19"/>
  <c r="C222" i="19" s="1"/>
  <c r="O221" i="19"/>
  <c r="L221" i="19"/>
  <c r="I221" i="19"/>
  <c r="F221" i="19"/>
  <c r="O220" i="19"/>
  <c r="L220" i="19"/>
  <c r="I220" i="19"/>
  <c r="F220" i="19"/>
  <c r="O219" i="19"/>
  <c r="L219" i="19"/>
  <c r="I219" i="19"/>
  <c r="F219" i="19"/>
  <c r="O218" i="19"/>
  <c r="L218" i="19"/>
  <c r="I218" i="19"/>
  <c r="F218" i="19"/>
  <c r="O217" i="19"/>
  <c r="L217" i="19"/>
  <c r="I217" i="19"/>
  <c r="F217" i="19"/>
  <c r="N216" i="19"/>
  <c r="M216" i="19"/>
  <c r="K216" i="19"/>
  <c r="J216" i="19"/>
  <c r="H216" i="19"/>
  <c r="G216" i="19"/>
  <c r="E216" i="19"/>
  <c r="D216" i="19"/>
  <c r="O215" i="19"/>
  <c r="L215" i="19"/>
  <c r="I215" i="19"/>
  <c r="F215" i="19"/>
  <c r="O214" i="19"/>
  <c r="L214" i="19"/>
  <c r="I214" i="19"/>
  <c r="F214" i="19"/>
  <c r="O213" i="19"/>
  <c r="L213" i="19"/>
  <c r="I213" i="19"/>
  <c r="F213" i="19"/>
  <c r="O212" i="19"/>
  <c r="L212" i="19"/>
  <c r="I212" i="19"/>
  <c r="F212" i="19"/>
  <c r="O211" i="19"/>
  <c r="L211" i="19"/>
  <c r="I211" i="19"/>
  <c r="F211" i="19"/>
  <c r="O210" i="19"/>
  <c r="L210" i="19"/>
  <c r="I210" i="19"/>
  <c r="F210" i="19"/>
  <c r="O209" i="19"/>
  <c r="L209" i="19"/>
  <c r="I209" i="19"/>
  <c r="F209" i="19"/>
  <c r="O208" i="19"/>
  <c r="L208" i="19"/>
  <c r="I208" i="19"/>
  <c r="F208" i="19"/>
  <c r="O207" i="19"/>
  <c r="L207" i="19"/>
  <c r="I207" i="19"/>
  <c r="F207" i="19"/>
  <c r="O206" i="19"/>
  <c r="L206" i="19"/>
  <c r="I206" i="19"/>
  <c r="F206" i="19"/>
  <c r="N205" i="19"/>
  <c r="M205" i="19"/>
  <c r="K205" i="19"/>
  <c r="J205" i="19"/>
  <c r="H205" i="19"/>
  <c r="H204" i="19" s="1"/>
  <c r="G205" i="19"/>
  <c r="G204" i="19" s="1"/>
  <c r="E205" i="19"/>
  <c r="D205" i="19"/>
  <c r="D204" i="19" s="1"/>
  <c r="M204" i="19"/>
  <c r="O203" i="19"/>
  <c r="L203" i="19"/>
  <c r="I203" i="19"/>
  <c r="F203" i="19"/>
  <c r="O202" i="19"/>
  <c r="L202" i="19"/>
  <c r="I202" i="19"/>
  <c r="F202" i="19"/>
  <c r="C202" i="19" s="1"/>
  <c r="O201" i="19"/>
  <c r="L201" i="19"/>
  <c r="I201" i="19"/>
  <c r="F201" i="19"/>
  <c r="C201" i="19" s="1"/>
  <c r="O200" i="19"/>
  <c r="L200" i="19"/>
  <c r="I200" i="19"/>
  <c r="F200" i="19"/>
  <c r="O199" i="19"/>
  <c r="L199" i="19"/>
  <c r="I199" i="19"/>
  <c r="I198" i="19" s="1"/>
  <c r="F199" i="19"/>
  <c r="O198" i="19"/>
  <c r="N198" i="19"/>
  <c r="M198" i="19"/>
  <c r="K198" i="19"/>
  <c r="K196" i="19" s="1"/>
  <c r="J198" i="19"/>
  <c r="H198" i="19"/>
  <c r="G198" i="19"/>
  <c r="G196" i="19" s="1"/>
  <c r="G195" i="19" s="1"/>
  <c r="F198" i="19"/>
  <c r="E198" i="19"/>
  <c r="D198" i="19"/>
  <c r="O197" i="19"/>
  <c r="L197" i="19"/>
  <c r="I197" i="19"/>
  <c r="I196" i="19" s="1"/>
  <c r="F197" i="19"/>
  <c r="N196" i="19"/>
  <c r="M196" i="19"/>
  <c r="M195" i="19" s="1"/>
  <c r="J196" i="19"/>
  <c r="H196" i="19"/>
  <c r="E196" i="19"/>
  <c r="D196" i="19"/>
  <c r="O193" i="19"/>
  <c r="O192" i="19" s="1"/>
  <c r="O191" i="19" s="1"/>
  <c r="L193" i="19"/>
  <c r="I193" i="19"/>
  <c r="I192" i="19" s="1"/>
  <c r="I191" i="19" s="1"/>
  <c r="F193" i="19"/>
  <c r="N192" i="19"/>
  <c r="M192" i="19"/>
  <c r="M191" i="19" s="1"/>
  <c r="L192" i="19"/>
  <c r="L191" i="19" s="1"/>
  <c r="K192" i="19"/>
  <c r="J192" i="19"/>
  <c r="H192" i="19"/>
  <c r="H191" i="19" s="1"/>
  <c r="G192" i="19"/>
  <c r="G191" i="19" s="1"/>
  <c r="G187" i="19" s="1"/>
  <c r="E192" i="19"/>
  <c r="D192" i="19"/>
  <c r="D191" i="19" s="1"/>
  <c r="N191" i="19"/>
  <c r="N187" i="19" s="1"/>
  <c r="K191" i="19"/>
  <c r="J191" i="19"/>
  <c r="E191" i="19"/>
  <c r="O190" i="19"/>
  <c r="L190" i="19"/>
  <c r="I190" i="19"/>
  <c r="F190" i="19"/>
  <c r="O189" i="19"/>
  <c r="O188" i="19" s="1"/>
  <c r="O187" i="19" s="1"/>
  <c r="L189" i="19"/>
  <c r="I189" i="19"/>
  <c r="I188" i="19" s="1"/>
  <c r="F189" i="19"/>
  <c r="C189" i="19" s="1"/>
  <c r="N188" i="19"/>
  <c r="M188" i="19"/>
  <c r="M187" i="19" s="1"/>
  <c r="K188" i="19"/>
  <c r="J188" i="19"/>
  <c r="J187" i="19" s="1"/>
  <c r="H188" i="19"/>
  <c r="H187" i="19" s="1"/>
  <c r="G188" i="19"/>
  <c r="E188" i="19"/>
  <c r="D188" i="19"/>
  <c r="K187" i="19"/>
  <c r="O186" i="19"/>
  <c r="L186" i="19"/>
  <c r="I186" i="19"/>
  <c r="F186" i="19"/>
  <c r="O185" i="19"/>
  <c r="L185" i="19"/>
  <c r="L184" i="19" s="1"/>
  <c r="I185" i="19"/>
  <c r="F185" i="19"/>
  <c r="F184" i="19" s="1"/>
  <c r="O184" i="19"/>
  <c r="N184" i="19"/>
  <c r="M184" i="19"/>
  <c r="K184" i="19"/>
  <c r="J184" i="19"/>
  <c r="H184" i="19"/>
  <c r="G184" i="19"/>
  <c r="E184" i="19"/>
  <c r="D184" i="19"/>
  <c r="O183" i="19"/>
  <c r="L183" i="19"/>
  <c r="I183" i="19"/>
  <c r="F183" i="19"/>
  <c r="O182" i="19"/>
  <c r="L182" i="19"/>
  <c r="I182" i="19"/>
  <c r="C182" i="19" s="1"/>
  <c r="F182" i="19"/>
  <c r="O181" i="19"/>
  <c r="L181" i="19"/>
  <c r="I181" i="19"/>
  <c r="F181" i="19"/>
  <c r="O180" i="19"/>
  <c r="O179" i="19" s="1"/>
  <c r="L180" i="19"/>
  <c r="I180" i="19"/>
  <c r="I179" i="19" s="1"/>
  <c r="F180" i="19"/>
  <c r="N179" i="19"/>
  <c r="M179" i="19"/>
  <c r="K179" i="19"/>
  <c r="K174" i="19" s="1"/>
  <c r="K173" i="19" s="1"/>
  <c r="J179" i="19"/>
  <c r="H179" i="19"/>
  <c r="G179" i="19"/>
  <c r="E179" i="19"/>
  <c r="D179" i="19"/>
  <c r="O178" i="19"/>
  <c r="L178" i="19"/>
  <c r="I178" i="19"/>
  <c r="F178" i="19"/>
  <c r="O177" i="19"/>
  <c r="L177" i="19"/>
  <c r="I177" i="19"/>
  <c r="F177" i="19"/>
  <c r="O176" i="19"/>
  <c r="O175" i="19" s="1"/>
  <c r="L176" i="19"/>
  <c r="I176" i="19"/>
  <c r="F176" i="19"/>
  <c r="C176" i="19" s="1"/>
  <c r="N175" i="19"/>
  <c r="N174" i="19" s="1"/>
  <c r="M175" i="19"/>
  <c r="M174" i="19" s="1"/>
  <c r="M173" i="19" s="1"/>
  <c r="L175" i="19"/>
  <c r="K175" i="19"/>
  <c r="J175" i="19"/>
  <c r="H175" i="19"/>
  <c r="H174" i="19" s="1"/>
  <c r="H173" i="19" s="1"/>
  <c r="G175" i="19"/>
  <c r="G174" i="19" s="1"/>
  <c r="G173" i="19" s="1"/>
  <c r="E175" i="19"/>
  <c r="D175" i="19"/>
  <c r="D174" i="19" s="1"/>
  <c r="D173" i="19" s="1"/>
  <c r="E174" i="19"/>
  <c r="E173" i="19" s="1"/>
  <c r="N173" i="19"/>
  <c r="O172" i="19"/>
  <c r="L172" i="19"/>
  <c r="I172" i="19"/>
  <c r="F172" i="19"/>
  <c r="O171" i="19"/>
  <c r="L171" i="19"/>
  <c r="I171" i="19"/>
  <c r="F171" i="19"/>
  <c r="O170" i="19"/>
  <c r="L170" i="19"/>
  <c r="I170" i="19"/>
  <c r="F170" i="19"/>
  <c r="O169" i="19"/>
  <c r="L169" i="19"/>
  <c r="I169" i="19"/>
  <c r="F169" i="19"/>
  <c r="O168" i="19"/>
  <c r="L168" i="19"/>
  <c r="I168" i="19"/>
  <c r="C168" i="19" s="1"/>
  <c r="F168" i="19"/>
  <c r="O167" i="19"/>
  <c r="L167" i="19"/>
  <c r="I167" i="19"/>
  <c r="F167" i="19"/>
  <c r="N166" i="19"/>
  <c r="M166" i="19"/>
  <c r="M165" i="19" s="1"/>
  <c r="K166" i="19"/>
  <c r="K165" i="19" s="1"/>
  <c r="J166" i="19"/>
  <c r="H166" i="19"/>
  <c r="H165" i="19" s="1"/>
  <c r="G166" i="19"/>
  <c r="G165" i="19" s="1"/>
  <c r="E166" i="19"/>
  <c r="E165" i="19" s="1"/>
  <c r="D166" i="19"/>
  <c r="N165" i="19"/>
  <c r="J165" i="19"/>
  <c r="D165" i="19"/>
  <c r="O164" i="19"/>
  <c r="L164" i="19"/>
  <c r="I164" i="19"/>
  <c r="F164" i="19"/>
  <c r="O163" i="19"/>
  <c r="L163" i="19"/>
  <c r="I163" i="19"/>
  <c r="F163" i="19"/>
  <c r="O162" i="19"/>
  <c r="L162" i="19"/>
  <c r="I162" i="19"/>
  <c r="F162" i="19"/>
  <c r="O161" i="19"/>
  <c r="L161" i="19"/>
  <c r="L160" i="19" s="1"/>
  <c r="I161" i="19"/>
  <c r="F161" i="19"/>
  <c r="F160" i="19" s="1"/>
  <c r="O160" i="19"/>
  <c r="N160" i="19"/>
  <c r="M160" i="19"/>
  <c r="K160" i="19"/>
  <c r="J160" i="19"/>
  <c r="H160" i="19"/>
  <c r="G160" i="19"/>
  <c r="E160" i="19"/>
  <c r="D160" i="19"/>
  <c r="O159" i="19"/>
  <c r="L159" i="19"/>
  <c r="I159" i="19"/>
  <c r="F159" i="19"/>
  <c r="O158" i="19"/>
  <c r="L158" i="19"/>
  <c r="I158" i="19"/>
  <c r="F158" i="19"/>
  <c r="O157" i="19"/>
  <c r="L157" i="19"/>
  <c r="I157" i="19"/>
  <c r="F157" i="19"/>
  <c r="O156" i="19"/>
  <c r="L156" i="19"/>
  <c r="I156" i="19"/>
  <c r="F156" i="19"/>
  <c r="C156" i="19" s="1"/>
  <c r="O155" i="19"/>
  <c r="L155" i="19"/>
  <c r="I155" i="19"/>
  <c r="F155" i="19"/>
  <c r="O154" i="19"/>
  <c r="L154" i="19"/>
  <c r="I154" i="19"/>
  <c r="F154" i="19"/>
  <c r="O153" i="19"/>
  <c r="L153" i="19"/>
  <c r="I153" i="19"/>
  <c r="F153" i="19"/>
  <c r="O152" i="19"/>
  <c r="L152" i="19"/>
  <c r="I152" i="19"/>
  <c r="F152" i="19"/>
  <c r="C152" i="19" s="1"/>
  <c r="N151" i="19"/>
  <c r="M151" i="19"/>
  <c r="L151" i="19"/>
  <c r="K151" i="19"/>
  <c r="J151" i="19"/>
  <c r="H151" i="19"/>
  <c r="G151" i="19"/>
  <c r="E151" i="19"/>
  <c r="E130" i="19" s="1"/>
  <c r="D151" i="19"/>
  <c r="O150" i="19"/>
  <c r="L150" i="19"/>
  <c r="I150" i="19"/>
  <c r="C150" i="19" s="1"/>
  <c r="F150" i="19"/>
  <c r="O149" i="19"/>
  <c r="L149" i="19"/>
  <c r="I149" i="19"/>
  <c r="F149" i="19"/>
  <c r="O148" i="19"/>
  <c r="L148" i="19"/>
  <c r="I148" i="19"/>
  <c r="F148" i="19"/>
  <c r="O147" i="19"/>
  <c r="L147" i="19"/>
  <c r="I147" i="19"/>
  <c r="F147" i="19"/>
  <c r="O146" i="19"/>
  <c r="L146" i="19"/>
  <c r="I146" i="19"/>
  <c r="F146" i="19"/>
  <c r="O145" i="19"/>
  <c r="L145" i="19"/>
  <c r="I145" i="19"/>
  <c r="F145" i="19"/>
  <c r="F144" i="19" s="1"/>
  <c r="O144" i="19"/>
  <c r="N144" i="19"/>
  <c r="M144" i="19"/>
  <c r="K144" i="19"/>
  <c r="J144" i="19"/>
  <c r="H144" i="19"/>
  <c r="G144" i="19"/>
  <c r="E144" i="19"/>
  <c r="D144" i="19"/>
  <c r="O143" i="19"/>
  <c r="L143" i="19"/>
  <c r="I143" i="19"/>
  <c r="F143" i="19"/>
  <c r="O142" i="19"/>
  <c r="O141" i="19" s="1"/>
  <c r="L142" i="19"/>
  <c r="L141" i="19" s="1"/>
  <c r="I142" i="19"/>
  <c r="F142" i="19"/>
  <c r="N141" i="19"/>
  <c r="M141" i="19"/>
  <c r="K141" i="19"/>
  <c r="J141" i="19"/>
  <c r="H141" i="19"/>
  <c r="G141" i="19"/>
  <c r="F141" i="19"/>
  <c r="E141" i="19"/>
  <c r="D141" i="19"/>
  <c r="O140" i="19"/>
  <c r="L140" i="19"/>
  <c r="I140" i="19"/>
  <c r="F140" i="19"/>
  <c r="C140" i="19" s="1"/>
  <c r="O139" i="19"/>
  <c r="L139" i="19"/>
  <c r="I139" i="19"/>
  <c r="F139" i="19"/>
  <c r="O138" i="19"/>
  <c r="L138" i="19"/>
  <c r="I138" i="19"/>
  <c r="F138" i="19"/>
  <c r="O137" i="19"/>
  <c r="L137" i="19"/>
  <c r="L136" i="19" s="1"/>
  <c r="I137" i="19"/>
  <c r="F137" i="19"/>
  <c r="F136" i="19" s="1"/>
  <c r="O136" i="19"/>
  <c r="N136" i="19"/>
  <c r="M136" i="19"/>
  <c r="K136" i="19"/>
  <c r="J136" i="19"/>
  <c r="H136" i="19"/>
  <c r="G136" i="19"/>
  <c r="E136" i="19"/>
  <c r="D136" i="19"/>
  <c r="O135" i="19"/>
  <c r="L135" i="19"/>
  <c r="I135" i="19"/>
  <c r="F135" i="19"/>
  <c r="O134" i="19"/>
  <c r="L134" i="19"/>
  <c r="I134" i="19"/>
  <c r="F134" i="19"/>
  <c r="O133" i="19"/>
  <c r="L133" i="19"/>
  <c r="I133" i="19"/>
  <c r="F133" i="19"/>
  <c r="O132" i="19"/>
  <c r="O131" i="19" s="1"/>
  <c r="L132" i="19"/>
  <c r="I132" i="19"/>
  <c r="I131" i="19" s="1"/>
  <c r="F132" i="19"/>
  <c r="N131" i="19"/>
  <c r="N130" i="19" s="1"/>
  <c r="M131" i="19"/>
  <c r="M130" i="19" s="1"/>
  <c r="K131" i="19"/>
  <c r="J131" i="19"/>
  <c r="H131" i="19"/>
  <c r="G131" i="19"/>
  <c r="E131" i="19"/>
  <c r="D131" i="19"/>
  <c r="K130" i="19"/>
  <c r="O129" i="19"/>
  <c r="L129" i="19"/>
  <c r="L128" i="19" s="1"/>
  <c r="I129" i="19"/>
  <c r="I128" i="19" s="1"/>
  <c r="F129" i="19"/>
  <c r="O128" i="19"/>
  <c r="N128" i="19"/>
  <c r="M128" i="19"/>
  <c r="K128" i="19"/>
  <c r="J128" i="19"/>
  <c r="H128" i="19"/>
  <c r="G128" i="19"/>
  <c r="E128" i="19"/>
  <c r="D128" i="19"/>
  <c r="O127" i="19"/>
  <c r="L127" i="19"/>
  <c r="I127" i="19"/>
  <c r="F127" i="19"/>
  <c r="O126" i="19"/>
  <c r="L126" i="19"/>
  <c r="I126" i="19"/>
  <c r="F126" i="19"/>
  <c r="O125" i="19"/>
  <c r="L125" i="19"/>
  <c r="I125" i="19"/>
  <c r="F125" i="19"/>
  <c r="O124" i="19"/>
  <c r="L124" i="19"/>
  <c r="I124" i="19"/>
  <c r="F124" i="19"/>
  <c r="O123" i="19"/>
  <c r="L123" i="19"/>
  <c r="I123" i="19"/>
  <c r="F123" i="19"/>
  <c r="N122" i="19"/>
  <c r="M122" i="19"/>
  <c r="K122" i="19"/>
  <c r="J122" i="19"/>
  <c r="H122" i="19"/>
  <c r="G122" i="19"/>
  <c r="E122" i="19"/>
  <c r="D122" i="19"/>
  <c r="O121" i="19"/>
  <c r="L121" i="19"/>
  <c r="I121" i="19"/>
  <c r="F121" i="19"/>
  <c r="O120" i="19"/>
  <c r="L120" i="19"/>
  <c r="I120" i="19"/>
  <c r="F120" i="19"/>
  <c r="O119" i="19"/>
  <c r="O116" i="19" s="1"/>
  <c r="L119" i="19"/>
  <c r="I119" i="19"/>
  <c r="F119" i="19"/>
  <c r="O118" i="19"/>
  <c r="L118" i="19"/>
  <c r="I118" i="19"/>
  <c r="F118" i="19"/>
  <c r="C118" i="19" s="1"/>
  <c r="O117" i="19"/>
  <c r="L117" i="19"/>
  <c r="I117" i="19"/>
  <c r="I116" i="19" s="1"/>
  <c r="F117" i="19"/>
  <c r="N116" i="19"/>
  <c r="M116" i="19"/>
  <c r="K116" i="19"/>
  <c r="J116" i="19"/>
  <c r="H116" i="19"/>
  <c r="G116" i="19"/>
  <c r="F116" i="19"/>
  <c r="E116" i="19"/>
  <c r="D116" i="19"/>
  <c r="O115" i="19"/>
  <c r="L115" i="19"/>
  <c r="I115" i="19"/>
  <c r="F115" i="19"/>
  <c r="O114" i="19"/>
  <c r="L114" i="19"/>
  <c r="I114" i="19"/>
  <c r="F114" i="19"/>
  <c r="O113" i="19"/>
  <c r="L113" i="19"/>
  <c r="I113" i="19"/>
  <c r="I112" i="19" s="1"/>
  <c r="F113" i="19"/>
  <c r="N112" i="19"/>
  <c r="M112" i="19"/>
  <c r="K112" i="19"/>
  <c r="J112" i="19"/>
  <c r="H112" i="19"/>
  <c r="G112" i="19"/>
  <c r="E112" i="19"/>
  <c r="D112" i="19"/>
  <c r="O111" i="19"/>
  <c r="L111" i="19"/>
  <c r="I111" i="19"/>
  <c r="F111" i="19"/>
  <c r="O110" i="19"/>
  <c r="L110" i="19"/>
  <c r="I110" i="19"/>
  <c r="F110" i="19"/>
  <c r="O109" i="19"/>
  <c r="L109" i="19"/>
  <c r="I109" i="19"/>
  <c r="F109" i="19"/>
  <c r="O108" i="19"/>
  <c r="L108" i="19"/>
  <c r="I108" i="19"/>
  <c r="F108" i="19"/>
  <c r="O107" i="19"/>
  <c r="L107" i="19"/>
  <c r="I107" i="19"/>
  <c r="F107" i="19"/>
  <c r="O106" i="19"/>
  <c r="L106" i="19"/>
  <c r="I106" i="19"/>
  <c r="F106" i="19"/>
  <c r="O105" i="19"/>
  <c r="L105" i="19"/>
  <c r="I105" i="19"/>
  <c r="F105" i="19"/>
  <c r="O104" i="19"/>
  <c r="L104" i="19"/>
  <c r="L103" i="19" s="1"/>
  <c r="I104" i="19"/>
  <c r="F104" i="19"/>
  <c r="O103" i="19"/>
  <c r="N103" i="19"/>
  <c r="N83" i="19" s="1"/>
  <c r="M103" i="19"/>
  <c r="K103" i="19"/>
  <c r="J103" i="19"/>
  <c r="H103" i="19"/>
  <c r="G103" i="19"/>
  <c r="F103" i="19"/>
  <c r="E103" i="19"/>
  <c r="D103" i="19"/>
  <c r="O102" i="19"/>
  <c r="L102" i="19"/>
  <c r="I102" i="19"/>
  <c r="F102" i="19"/>
  <c r="C102" i="19" s="1"/>
  <c r="O101" i="19"/>
  <c r="L101" i="19"/>
  <c r="I101" i="19"/>
  <c r="F101" i="19"/>
  <c r="C101" i="19" s="1"/>
  <c r="O100" i="19"/>
  <c r="L100" i="19"/>
  <c r="I100" i="19"/>
  <c r="F100" i="19"/>
  <c r="O99" i="19"/>
  <c r="L99" i="19"/>
  <c r="I99" i="19"/>
  <c r="F99" i="19"/>
  <c r="C99" i="19" s="1"/>
  <c r="O98" i="19"/>
  <c r="L98" i="19"/>
  <c r="I98" i="19"/>
  <c r="F98" i="19"/>
  <c r="O97" i="19"/>
  <c r="L97" i="19"/>
  <c r="I97" i="19"/>
  <c r="F97" i="19"/>
  <c r="O96" i="19"/>
  <c r="O95" i="19" s="1"/>
  <c r="L96" i="19"/>
  <c r="I96" i="19"/>
  <c r="I95" i="19" s="1"/>
  <c r="F96" i="19"/>
  <c r="C96" i="19" s="1"/>
  <c r="N95" i="19"/>
  <c r="M95" i="19"/>
  <c r="L95" i="19"/>
  <c r="K95" i="19"/>
  <c r="J95" i="19"/>
  <c r="H95" i="19"/>
  <c r="G95" i="19"/>
  <c r="E95" i="19"/>
  <c r="D95" i="19"/>
  <c r="O94" i="19"/>
  <c r="L94" i="19"/>
  <c r="I94" i="19"/>
  <c r="F94" i="19"/>
  <c r="O93" i="19"/>
  <c r="L93" i="19"/>
  <c r="I93" i="19"/>
  <c r="F93" i="19"/>
  <c r="O92" i="19"/>
  <c r="L92" i="19"/>
  <c r="I92" i="19"/>
  <c r="F92" i="19"/>
  <c r="O91" i="19"/>
  <c r="L91" i="19"/>
  <c r="I91" i="19"/>
  <c r="F91" i="19"/>
  <c r="O90" i="19"/>
  <c r="O89" i="19" s="1"/>
  <c r="L90" i="19"/>
  <c r="L89" i="19" s="1"/>
  <c r="I90" i="19"/>
  <c r="I89" i="19" s="1"/>
  <c r="F90" i="19"/>
  <c r="N89" i="19"/>
  <c r="M89" i="19"/>
  <c r="K89" i="19"/>
  <c r="J89" i="19"/>
  <c r="H89" i="19"/>
  <c r="G89" i="19"/>
  <c r="E89" i="19"/>
  <c r="D89" i="19"/>
  <c r="O88" i="19"/>
  <c r="L88" i="19"/>
  <c r="I88" i="19"/>
  <c r="F88" i="19"/>
  <c r="O87" i="19"/>
  <c r="L87" i="19"/>
  <c r="I87" i="19"/>
  <c r="F87" i="19"/>
  <c r="O86" i="19"/>
  <c r="O84" i="19" s="1"/>
  <c r="L86" i="19"/>
  <c r="I86" i="19"/>
  <c r="F86" i="19"/>
  <c r="C86" i="19"/>
  <c r="O85" i="19"/>
  <c r="L85" i="19"/>
  <c r="L84" i="19" s="1"/>
  <c r="I85" i="19"/>
  <c r="I84" i="19" s="1"/>
  <c r="F85" i="19"/>
  <c r="C85" i="19" s="1"/>
  <c r="N84" i="19"/>
  <c r="M84" i="19"/>
  <c r="K84" i="19"/>
  <c r="J84" i="19"/>
  <c r="J83" i="19" s="1"/>
  <c r="H84" i="19"/>
  <c r="G84" i="19"/>
  <c r="E84" i="19"/>
  <c r="E83" i="19" s="1"/>
  <c r="D84" i="19"/>
  <c r="O82" i="19"/>
  <c r="L82" i="19"/>
  <c r="C82" i="19" s="1"/>
  <c r="I82" i="19"/>
  <c r="F82" i="19"/>
  <c r="O81" i="19"/>
  <c r="L81" i="19"/>
  <c r="I81" i="19"/>
  <c r="I80" i="19" s="1"/>
  <c r="F81" i="19"/>
  <c r="N80" i="19"/>
  <c r="M80" i="19"/>
  <c r="K80" i="19"/>
  <c r="J80" i="19"/>
  <c r="H80" i="19"/>
  <c r="G80" i="19"/>
  <c r="E80" i="19"/>
  <c r="D80" i="19"/>
  <c r="O79" i="19"/>
  <c r="L79" i="19"/>
  <c r="I79" i="19"/>
  <c r="F79" i="19"/>
  <c r="O78" i="19"/>
  <c r="O77" i="19" s="1"/>
  <c r="L78" i="19"/>
  <c r="I78" i="19"/>
  <c r="I77" i="19" s="1"/>
  <c r="F78" i="19"/>
  <c r="C78" i="19"/>
  <c r="N77" i="19"/>
  <c r="M77" i="19"/>
  <c r="M76" i="19" s="1"/>
  <c r="L77" i="19"/>
  <c r="K77" i="19"/>
  <c r="K76" i="19" s="1"/>
  <c r="J77" i="19"/>
  <c r="J76" i="19" s="1"/>
  <c r="H77" i="19"/>
  <c r="G77" i="19"/>
  <c r="F77" i="19"/>
  <c r="E77" i="19"/>
  <c r="D77" i="19"/>
  <c r="D76" i="19" s="1"/>
  <c r="G76" i="19"/>
  <c r="E76" i="19"/>
  <c r="O74" i="19"/>
  <c r="L74" i="19"/>
  <c r="I74" i="19"/>
  <c r="F74" i="19"/>
  <c r="O73" i="19"/>
  <c r="L73" i="19"/>
  <c r="I73" i="19"/>
  <c r="F73" i="19"/>
  <c r="O72" i="19"/>
  <c r="L72" i="19"/>
  <c r="I72" i="19"/>
  <c r="F72" i="19"/>
  <c r="O71" i="19"/>
  <c r="L71" i="19"/>
  <c r="I71" i="19"/>
  <c r="F71" i="19"/>
  <c r="O70" i="19"/>
  <c r="O69" i="19" s="1"/>
  <c r="L70" i="19"/>
  <c r="I70" i="19"/>
  <c r="I69" i="19" s="1"/>
  <c r="F70" i="19"/>
  <c r="N69" i="19"/>
  <c r="M69" i="19"/>
  <c r="L69" i="19"/>
  <c r="K69" i="19"/>
  <c r="K67" i="19" s="1"/>
  <c r="J69" i="19"/>
  <c r="H69" i="19"/>
  <c r="H67" i="19" s="1"/>
  <c r="G69" i="19"/>
  <c r="G67" i="19" s="1"/>
  <c r="E69" i="19"/>
  <c r="E67" i="19" s="1"/>
  <c r="D69" i="19"/>
  <c r="D67" i="19" s="1"/>
  <c r="O68" i="19"/>
  <c r="O67" i="19" s="1"/>
  <c r="L68" i="19"/>
  <c r="I68" i="19"/>
  <c r="F68" i="19"/>
  <c r="N67" i="19"/>
  <c r="M67" i="19"/>
  <c r="J67" i="19"/>
  <c r="O66" i="19"/>
  <c r="L66" i="19"/>
  <c r="I66" i="19"/>
  <c r="F66" i="19"/>
  <c r="C66" i="19" s="1"/>
  <c r="O65" i="19"/>
  <c r="L65" i="19"/>
  <c r="I65" i="19"/>
  <c r="F65" i="19"/>
  <c r="O64" i="19"/>
  <c r="L64" i="19"/>
  <c r="I64" i="19"/>
  <c r="F64" i="19"/>
  <c r="O63" i="19"/>
  <c r="L63" i="19"/>
  <c r="I63" i="19"/>
  <c r="F63" i="19"/>
  <c r="O62" i="19"/>
  <c r="L62" i="19"/>
  <c r="I62" i="19"/>
  <c r="F62" i="19"/>
  <c r="O61" i="19"/>
  <c r="L61" i="19"/>
  <c r="I61" i="19"/>
  <c r="F61" i="19"/>
  <c r="O60" i="19"/>
  <c r="L60" i="19"/>
  <c r="I60" i="19"/>
  <c r="F60" i="19"/>
  <c r="O59" i="19"/>
  <c r="L59" i="19"/>
  <c r="L58" i="19" s="1"/>
  <c r="I59" i="19"/>
  <c r="F59" i="19"/>
  <c r="F58" i="19" s="1"/>
  <c r="O58" i="19"/>
  <c r="N58" i="19"/>
  <c r="M58" i="19"/>
  <c r="K58" i="19"/>
  <c r="J58" i="19"/>
  <c r="H58" i="19"/>
  <c r="G58" i="19"/>
  <c r="E58" i="19"/>
  <c r="D58" i="19"/>
  <c r="O57" i="19"/>
  <c r="L57" i="19"/>
  <c r="I57" i="19"/>
  <c r="F57" i="19"/>
  <c r="C57" i="19" s="1"/>
  <c r="O56" i="19"/>
  <c r="O55" i="19" s="1"/>
  <c r="L56" i="19"/>
  <c r="I56" i="19"/>
  <c r="I55" i="19" s="1"/>
  <c r="F56" i="19"/>
  <c r="N55" i="19"/>
  <c r="N54" i="19" s="1"/>
  <c r="N53" i="19" s="1"/>
  <c r="M55" i="19"/>
  <c r="L55" i="19"/>
  <c r="K55" i="19"/>
  <c r="J55" i="19"/>
  <c r="H55" i="19"/>
  <c r="G55" i="19"/>
  <c r="F55" i="19"/>
  <c r="F54" i="19" s="1"/>
  <c r="E55" i="19"/>
  <c r="E54" i="19" s="1"/>
  <c r="D55" i="19"/>
  <c r="M54" i="19"/>
  <c r="K54" i="19"/>
  <c r="K53" i="19" s="1"/>
  <c r="G54" i="19"/>
  <c r="O47" i="19"/>
  <c r="C47" i="19" s="1"/>
  <c r="O46" i="19"/>
  <c r="C46" i="19" s="1"/>
  <c r="N45" i="19"/>
  <c r="M45" i="19"/>
  <c r="L44" i="19"/>
  <c r="I44" i="19"/>
  <c r="F44" i="19"/>
  <c r="C44" i="19" s="1"/>
  <c r="L43" i="19"/>
  <c r="K43" i="19"/>
  <c r="J43" i="19"/>
  <c r="I43" i="19"/>
  <c r="H43" i="19"/>
  <c r="G43" i="19"/>
  <c r="E43" i="19"/>
  <c r="D43" i="19"/>
  <c r="F42" i="19"/>
  <c r="C42" i="19" s="1"/>
  <c r="F41" i="19"/>
  <c r="C41" i="19" s="1"/>
  <c r="E41" i="19"/>
  <c r="D41" i="19"/>
  <c r="L40" i="19"/>
  <c r="C40" i="19" s="1"/>
  <c r="L39" i="19"/>
  <c r="C39" i="19" s="1"/>
  <c r="L38" i="19"/>
  <c r="C38" i="19" s="1"/>
  <c r="L37" i="19"/>
  <c r="L36" i="19" s="1"/>
  <c r="C36" i="19" s="1"/>
  <c r="K36" i="19"/>
  <c r="J36" i="19"/>
  <c r="L35" i="19"/>
  <c r="C35" i="19" s="1"/>
  <c r="L34" i="19"/>
  <c r="C34" i="19" s="1"/>
  <c r="K33" i="19"/>
  <c r="J33" i="19"/>
  <c r="L32" i="19"/>
  <c r="L31" i="19" s="1"/>
  <c r="K31" i="19"/>
  <c r="J31" i="19"/>
  <c r="L30" i="19"/>
  <c r="C30" i="19" s="1"/>
  <c r="L29" i="19"/>
  <c r="C29" i="19" s="1"/>
  <c r="L28" i="19"/>
  <c r="C28" i="19" s="1"/>
  <c r="K27" i="19"/>
  <c r="J27" i="19"/>
  <c r="F25" i="19"/>
  <c r="C25" i="19" s="1"/>
  <c r="O23" i="19"/>
  <c r="L23" i="19"/>
  <c r="I23" i="19"/>
  <c r="F23" i="19"/>
  <c r="O22" i="19"/>
  <c r="L22" i="19"/>
  <c r="L21" i="19" s="1"/>
  <c r="I22" i="19"/>
  <c r="F22" i="19"/>
  <c r="F21" i="19" s="1"/>
  <c r="O21" i="19"/>
  <c r="O292" i="19" s="1"/>
  <c r="N21" i="19"/>
  <c r="N292" i="19" s="1"/>
  <c r="N291" i="19" s="1"/>
  <c r="M21" i="19"/>
  <c r="M292" i="19" s="1"/>
  <c r="M291" i="19" s="1"/>
  <c r="K21" i="19"/>
  <c r="J21" i="19"/>
  <c r="J292" i="19" s="1"/>
  <c r="H21" i="19"/>
  <c r="H292" i="19" s="1"/>
  <c r="H291" i="19" s="1"/>
  <c r="G21" i="19"/>
  <c r="G292" i="19" s="1"/>
  <c r="G291" i="19" s="1"/>
  <c r="E21" i="19"/>
  <c r="D21" i="19"/>
  <c r="D292" i="19" s="1"/>
  <c r="N20" i="19"/>
  <c r="D291" i="19" l="1"/>
  <c r="J291" i="19"/>
  <c r="L27" i="19"/>
  <c r="C27" i="19" s="1"/>
  <c r="F43" i="19"/>
  <c r="C43" i="19" s="1"/>
  <c r="M53" i="19"/>
  <c r="L54" i="19"/>
  <c r="C61" i="19"/>
  <c r="C63" i="19"/>
  <c r="C65" i="19"/>
  <c r="C81" i="19"/>
  <c r="O80" i="19"/>
  <c r="O76" i="19" s="1"/>
  <c r="K83" i="19"/>
  <c r="C124" i="19"/>
  <c r="C126" i="19"/>
  <c r="H130" i="19"/>
  <c r="C163" i="19"/>
  <c r="C164" i="19"/>
  <c r="O166" i="19"/>
  <c r="O165" i="19" s="1"/>
  <c r="J174" i="19"/>
  <c r="J173" i="19" s="1"/>
  <c r="E187" i="19"/>
  <c r="C206" i="19"/>
  <c r="C221" i="19"/>
  <c r="C234" i="19"/>
  <c r="J231" i="19"/>
  <c r="C247" i="19"/>
  <c r="C256" i="19"/>
  <c r="C258" i="19"/>
  <c r="C266" i="19"/>
  <c r="C267" i="19"/>
  <c r="C119" i="19"/>
  <c r="O205" i="19"/>
  <c r="E292" i="19"/>
  <c r="E291" i="19" s="1"/>
  <c r="K292" i="19"/>
  <c r="K291" i="19" s="1"/>
  <c r="D54" i="19"/>
  <c r="D53" i="19" s="1"/>
  <c r="H54" i="19"/>
  <c r="H53" i="19" s="1"/>
  <c r="H76" i="19"/>
  <c r="G83" i="19"/>
  <c r="M83" i="19"/>
  <c r="M75" i="19" s="1"/>
  <c r="M52" i="19" s="1"/>
  <c r="C90" i="19"/>
  <c r="C107" i="19"/>
  <c r="C110" i="19"/>
  <c r="C114" i="19"/>
  <c r="C120" i="19"/>
  <c r="J130" i="19"/>
  <c r="C172" i="19"/>
  <c r="F175" i="19"/>
  <c r="C175" i="19" s="1"/>
  <c r="C203" i="19"/>
  <c r="K204" i="19"/>
  <c r="C214" i="19"/>
  <c r="C215" i="19"/>
  <c r="C218" i="19"/>
  <c r="C219" i="19"/>
  <c r="H231" i="19"/>
  <c r="H230" i="19" s="1"/>
  <c r="C294" i="19"/>
  <c r="L33" i="19"/>
  <c r="C33" i="19" s="1"/>
  <c r="C37" i="19"/>
  <c r="G53" i="19"/>
  <c r="E53" i="19"/>
  <c r="E52" i="19" s="1"/>
  <c r="J54" i="19"/>
  <c r="J53" i="19" s="1"/>
  <c r="N52" i="19"/>
  <c r="O54" i="19"/>
  <c r="C70" i="19"/>
  <c r="C71" i="19"/>
  <c r="C73" i="19"/>
  <c r="E75" i="19"/>
  <c r="J75" i="19"/>
  <c r="J52" i="19" s="1"/>
  <c r="N76" i="19"/>
  <c r="N75" i="19" s="1"/>
  <c r="L80" i="19"/>
  <c r="L76" i="19" s="1"/>
  <c r="C92" i="19"/>
  <c r="C111" i="19"/>
  <c r="C134" i="19"/>
  <c r="C139" i="19"/>
  <c r="C147" i="19"/>
  <c r="C148" i="19"/>
  <c r="L166" i="19"/>
  <c r="L165" i="19" s="1"/>
  <c r="C170" i="19"/>
  <c r="C177" i="19"/>
  <c r="C180" i="19"/>
  <c r="C210" i="19"/>
  <c r="C211" i="19"/>
  <c r="C226" i="19"/>
  <c r="D231" i="19"/>
  <c r="D230" i="19" s="1"/>
  <c r="C236" i="19"/>
  <c r="L246" i="19"/>
  <c r="C32" i="19"/>
  <c r="O45" i="19"/>
  <c r="C45" i="19" s="1"/>
  <c r="C72" i="19"/>
  <c r="C87" i="19"/>
  <c r="D83" i="19"/>
  <c r="F95" i="19"/>
  <c r="C95" i="19" s="1"/>
  <c r="C115" i="19"/>
  <c r="I122" i="19"/>
  <c r="F131" i="19"/>
  <c r="C131" i="19" s="1"/>
  <c r="C135" i="19"/>
  <c r="C143" i="19"/>
  <c r="C153" i="19"/>
  <c r="C169" i="19"/>
  <c r="C171" i="19"/>
  <c r="F188" i="19"/>
  <c r="I205" i="19"/>
  <c r="C212" i="19"/>
  <c r="C213" i="19"/>
  <c r="F233" i="19"/>
  <c r="C237" i="19"/>
  <c r="O238" i="19"/>
  <c r="O231" i="19" s="1"/>
  <c r="O230" i="19" s="1"/>
  <c r="I270" i="19"/>
  <c r="I269" i="19" s="1"/>
  <c r="D269" i="19"/>
  <c r="I293" i="19"/>
  <c r="C296" i="19"/>
  <c r="C299" i="19"/>
  <c r="C60" i="19"/>
  <c r="C64" i="19"/>
  <c r="C88" i="19"/>
  <c r="C104" i="19"/>
  <c r="C106" i="19"/>
  <c r="C121" i="19"/>
  <c r="C154" i="19"/>
  <c r="C159" i="19"/>
  <c r="L179" i="19"/>
  <c r="D187" i="19"/>
  <c r="C207" i="19"/>
  <c r="J204" i="19"/>
  <c r="J195" i="19" s="1"/>
  <c r="N204" i="19"/>
  <c r="N195" i="19" s="1"/>
  <c r="K231" i="19"/>
  <c r="K230" i="19" s="1"/>
  <c r="C245" i="19"/>
  <c r="O272" i="19"/>
  <c r="C280" i="19"/>
  <c r="J26" i="19"/>
  <c r="J20" i="19" s="1"/>
  <c r="C74" i="19"/>
  <c r="C79" i="19"/>
  <c r="C91" i="19"/>
  <c r="C94" i="19"/>
  <c r="C125" i="19"/>
  <c r="O122" i="19"/>
  <c r="L131" i="19"/>
  <c r="C158" i="19"/>
  <c r="L188" i="19"/>
  <c r="L187" i="19" s="1"/>
  <c r="E204" i="19"/>
  <c r="J230" i="19"/>
  <c r="J289" i="19" s="1"/>
  <c r="N231" i="19"/>
  <c r="N230" i="19" s="1"/>
  <c r="E230" i="19"/>
  <c r="C257" i="19"/>
  <c r="C282" i="19"/>
  <c r="L293" i="19"/>
  <c r="C23" i="19"/>
  <c r="K26" i="19"/>
  <c r="K20" i="19" s="1"/>
  <c r="C62" i="19"/>
  <c r="L67" i="19"/>
  <c r="L53" i="19" s="1"/>
  <c r="I76" i="19"/>
  <c r="H83" i="19"/>
  <c r="H75" i="19" s="1"/>
  <c r="C100" i="19"/>
  <c r="C108" i="19"/>
  <c r="G130" i="19"/>
  <c r="G75" i="19" s="1"/>
  <c r="C178" i="19"/>
  <c r="C209" i="19"/>
  <c r="I216" i="19"/>
  <c r="C224" i="19"/>
  <c r="C225" i="19"/>
  <c r="C228" i="19"/>
  <c r="C229" i="19"/>
  <c r="O276" i="19"/>
  <c r="C295" i="19"/>
  <c r="L292" i="19"/>
  <c r="L291" i="19" s="1"/>
  <c r="L26" i="19"/>
  <c r="L20" i="19" s="1"/>
  <c r="C31" i="19"/>
  <c r="K75" i="19"/>
  <c r="K52" i="19" s="1"/>
  <c r="C77" i="19"/>
  <c r="F292" i="19"/>
  <c r="O53" i="19"/>
  <c r="I67" i="19"/>
  <c r="I175" i="19"/>
  <c r="I174" i="19" s="1"/>
  <c r="C186" i="19"/>
  <c r="I184" i="19"/>
  <c r="C184" i="19" s="1"/>
  <c r="C301" i="19"/>
  <c r="M20" i="19"/>
  <c r="C22" i="19"/>
  <c r="C55" i="19"/>
  <c r="C59" i="19"/>
  <c r="F80" i="19"/>
  <c r="F84" i="19"/>
  <c r="C97" i="19"/>
  <c r="C98" i="19"/>
  <c r="C109" i="19"/>
  <c r="L112" i="19"/>
  <c r="C117" i="19"/>
  <c r="L122" i="19"/>
  <c r="C127" i="19"/>
  <c r="C132" i="19"/>
  <c r="C138" i="19"/>
  <c r="I136" i="19"/>
  <c r="I151" i="19"/>
  <c r="C157" i="19"/>
  <c r="I166" i="19"/>
  <c r="I165" i="19" s="1"/>
  <c r="C181" i="19"/>
  <c r="C183" i="19"/>
  <c r="F179" i="19"/>
  <c r="C179" i="19" s="1"/>
  <c r="C197" i="19"/>
  <c r="F196" i="19"/>
  <c r="I204" i="19"/>
  <c r="I195" i="19" s="1"/>
  <c r="C248" i="19"/>
  <c r="I246" i="19"/>
  <c r="C268" i="19"/>
  <c r="I264" i="19"/>
  <c r="I259" i="19" s="1"/>
  <c r="F128" i="19"/>
  <c r="C128" i="19" s="1"/>
  <c r="C129" i="19"/>
  <c r="C155" i="19"/>
  <c r="F151" i="19"/>
  <c r="C162" i="19"/>
  <c r="I160" i="19"/>
  <c r="C160" i="19" s="1"/>
  <c r="I21" i="19"/>
  <c r="C56" i="19"/>
  <c r="I58" i="19"/>
  <c r="I54" i="19" s="1"/>
  <c r="C54" i="19" s="1"/>
  <c r="C68" i="19"/>
  <c r="F69" i="19"/>
  <c r="F89" i="19"/>
  <c r="C89" i="19" s="1"/>
  <c r="C105" i="19"/>
  <c r="F112" i="19"/>
  <c r="O112" i="19"/>
  <c r="O83" i="19" s="1"/>
  <c r="C133" i="19"/>
  <c r="C146" i="19"/>
  <c r="I144" i="19"/>
  <c r="C149" i="19"/>
  <c r="C167" i="19"/>
  <c r="F166" i="19"/>
  <c r="O174" i="19"/>
  <c r="O173" i="19" s="1"/>
  <c r="C188" i="19"/>
  <c r="C217" i="19"/>
  <c r="F216" i="19"/>
  <c r="C241" i="19"/>
  <c r="F238" i="19"/>
  <c r="C261" i="19"/>
  <c r="F260" i="19"/>
  <c r="I141" i="19"/>
  <c r="C141" i="19" s="1"/>
  <c r="C142" i="19"/>
  <c r="C93" i="19"/>
  <c r="I103" i="19"/>
  <c r="C103" i="19" s="1"/>
  <c r="C113" i="19"/>
  <c r="L116" i="19"/>
  <c r="C116" i="19" s="1"/>
  <c r="C123" i="19"/>
  <c r="F122" i="19"/>
  <c r="D130" i="19"/>
  <c r="L144" i="19"/>
  <c r="O151" i="19"/>
  <c r="O130" i="19" s="1"/>
  <c r="L174" i="19"/>
  <c r="L173" i="19" s="1"/>
  <c r="I187" i="19"/>
  <c r="C253" i="19"/>
  <c r="F252" i="19"/>
  <c r="C137" i="19"/>
  <c r="C145" i="19"/>
  <c r="C161" i="19"/>
  <c r="C185" i="19"/>
  <c r="C190" i="19"/>
  <c r="D195" i="19"/>
  <c r="C199" i="19"/>
  <c r="L198" i="19"/>
  <c r="L205" i="19"/>
  <c r="F205" i="19"/>
  <c r="C208" i="19"/>
  <c r="C220" i="19"/>
  <c r="C227" i="19"/>
  <c r="F235" i="19"/>
  <c r="G231" i="19"/>
  <c r="G230" i="19" s="1"/>
  <c r="G194" i="19" s="1"/>
  <c r="C240" i="19"/>
  <c r="I238" i="19"/>
  <c r="I231" i="19" s="1"/>
  <c r="C243" i="19"/>
  <c r="C244" i="19"/>
  <c r="C255" i="19"/>
  <c r="C263" i="19"/>
  <c r="E270" i="19"/>
  <c r="E269" i="19" s="1"/>
  <c r="C273" i="19"/>
  <c r="F272" i="19"/>
  <c r="C272" i="19" s="1"/>
  <c r="L276" i="19"/>
  <c r="C288" i="19"/>
  <c r="I286" i="19"/>
  <c r="C300" i="19"/>
  <c r="C193" i="19"/>
  <c r="F192" i="19"/>
  <c r="E195" i="19"/>
  <c r="E194" i="19" s="1"/>
  <c r="C223" i="19"/>
  <c r="C239" i="19"/>
  <c r="L238" i="19"/>
  <c r="L231" i="19" s="1"/>
  <c r="L230" i="19" s="1"/>
  <c r="M259" i="19"/>
  <c r="M230" i="19" s="1"/>
  <c r="L259" i="19"/>
  <c r="C265" i="19"/>
  <c r="F264" i="19"/>
  <c r="C264" i="19" s="1"/>
  <c r="L270" i="19"/>
  <c r="L269" i="19" s="1"/>
  <c r="C275" i="19"/>
  <c r="C281" i="19"/>
  <c r="C285" i="19"/>
  <c r="F284" i="19"/>
  <c r="H195" i="19"/>
  <c r="H194" i="19" s="1"/>
  <c r="O196" i="19"/>
  <c r="K195" i="19"/>
  <c r="C200" i="19"/>
  <c r="O216" i="19"/>
  <c r="L216" i="19"/>
  <c r="C232" i="19"/>
  <c r="C233" i="19"/>
  <c r="C249" i="19"/>
  <c r="F246" i="19"/>
  <c r="C246" i="19" s="1"/>
  <c r="I252" i="19"/>
  <c r="I251" i="19" s="1"/>
  <c r="N289" i="19"/>
  <c r="C277" i="19"/>
  <c r="F276" i="19"/>
  <c r="C297" i="19"/>
  <c r="F293" i="19"/>
  <c r="C293" i="19" s="1"/>
  <c r="O291" i="19"/>
  <c r="C271" i="19"/>
  <c r="C287" i="19"/>
  <c r="H52" i="19" l="1"/>
  <c r="C80" i="19"/>
  <c r="K194" i="19"/>
  <c r="E289" i="19"/>
  <c r="L130" i="19"/>
  <c r="O20" i="19"/>
  <c r="J194" i="19"/>
  <c r="J51" i="19" s="1"/>
  <c r="J50" i="19" s="1"/>
  <c r="O204" i="19"/>
  <c r="O195" i="19" s="1"/>
  <c r="O194" i="19" s="1"/>
  <c r="D75" i="19"/>
  <c r="D52" i="19" s="1"/>
  <c r="G52" i="19"/>
  <c r="G289" i="19"/>
  <c r="L83" i="19"/>
  <c r="L75" i="19" s="1"/>
  <c r="L52" i="19" s="1"/>
  <c r="H289" i="19"/>
  <c r="I83" i="19"/>
  <c r="N194" i="19"/>
  <c r="N51" i="19" s="1"/>
  <c r="C112" i="19"/>
  <c r="F76" i="19"/>
  <c r="K51" i="19"/>
  <c r="K50" i="19" s="1"/>
  <c r="E51" i="19"/>
  <c r="C58" i="19"/>
  <c r="O270" i="19"/>
  <c r="O269" i="19" s="1"/>
  <c r="I230" i="19"/>
  <c r="I194" i="19" s="1"/>
  <c r="G51" i="19"/>
  <c r="G50" i="19" s="1"/>
  <c r="G24" i="19" s="1"/>
  <c r="M194" i="19"/>
  <c r="M51" i="19" s="1"/>
  <c r="M289" i="19"/>
  <c r="C216" i="19"/>
  <c r="I292" i="19"/>
  <c r="I291" i="19" s="1"/>
  <c r="I130" i="19"/>
  <c r="I75" i="19" s="1"/>
  <c r="C76" i="19"/>
  <c r="C21" i="19"/>
  <c r="C136" i="19"/>
  <c r="C276" i="19"/>
  <c r="F174" i="19"/>
  <c r="F270" i="19"/>
  <c r="K289" i="19"/>
  <c r="C238" i="19"/>
  <c r="C166" i="19"/>
  <c r="F165" i="19"/>
  <c r="C165" i="19" s="1"/>
  <c r="I173" i="19"/>
  <c r="K290" i="19"/>
  <c r="H51" i="19"/>
  <c r="C26" i="19"/>
  <c r="L196" i="19"/>
  <c r="C196" i="19" s="1"/>
  <c r="C198" i="19"/>
  <c r="C284" i="19"/>
  <c r="F283" i="19"/>
  <c r="C283" i="19" s="1"/>
  <c r="C192" i="19"/>
  <c r="F191" i="19"/>
  <c r="C235" i="19"/>
  <c r="F231" i="19"/>
  <c r="C205" i="19"/>
  <c r="F204" i="19"/>
  <c r="F195" i="19" s="1"/>
  <c r="D194" i="19"/>
  <c r="D51" i="19" s="1"/>
  <c r="D289" i="19"/>
  <c r="C252" i="19"/>
  <c r="F251" i="19"/>
  <c r="C251" i="19" s="1"/>
  <c r="F83" i="19"/>
  <c r="C84" i="19"/>
  <c r="C292" i="19"/>
  <c r="O75" i="19"/>
  <c r="C144" i="19"/>
  <c r="L204" i="19"/>
  <c r="C122" i="19"/>
  <c r="C286" i="19"/>
  <c r="C260" i="19"/>
  <c r="F259" i="19"/>
  <c r="C259" i="19" s="1"/>
  <c r="C69" i="19"/>
  <c r="F67" i="19"/>
  <c r="C151" i="19"/>
  <c r="F291" i="19"/>
  <c r="O52" i="19"/>
  <c r="J290" i="19"/>
  <c r="F130" i="19"/>
  <c r="I53" i="19"/>
  <c r="C291" i="19" l="1"/>
  <c r="E50" i="19"/>
  <c r="E24" i="19" s="1"/>
  <c r="E20" i="19" s="1"/>
  <c r="C130" i="19"/>
  <c r="O51" i="19"/>
  <c r="O50" i="19" s="1"/>
  <c r="C83" i="19"/>
  <c r="L195" i="19"/>
  <c r="L194" i="19" s="1"/>
  <c r="L51" i="19" s="1"/>
  <c r="I289" i="19"/>
  <c r="N50" i="19"/>
  <c r="N290" i="19"/>
  <c r="O289" i="19"/>
  <c r="D50" i="19"/>
  <c r="D24" i="19" s="1"/>
  <c r="D290" i="19" s="1"/>
  <c r="G20" i="19"/>
  <c r="C204" i="19"/>
  <c r="F269" i="19"/>
  <c r="C270" i="19"/>
  <c r="G290" i="19"/>
  <c r="O290" i="19"/>
  <c r="C191" i="19"/>
  <c r="F187" i="19"/>
  <c r="C187" i="19" s="1"/>
  <c r="H50" i="19"/>
  <c r="H24" i="19" s="1"/>
  <c r="H20" i="19" s="1"/>
  <c r="C174" i="19"/>
  <c r="F173" i="19"/>
  <c r="C173" i="19" s="1"/>
  <c r="M50" i="19"/>
  <c r="M290" i="19"/>
  <c r="I52" i="19"/>
  <c r="I51" i="19" s="1"/>
  <c r="C67" i="19"/>
  <c r="F53" i="19"/>
  <c r="F230" i="19"/>
  <c r="C230" i="19" s="1"/>
  <c r="C231" i="19"/>
  <c r="F75" i="19"/>
  <c r="C75" i="19" s="1"/>
  <c r="L289" i="19" l="1"/>
  <c r="C195" i="19"/>
  <c r="E290" i="19"/>
  <c r="L50" i="19"/>
  <c r="L290" i="19"/>
  <c r="H290" i="19"/>
  <c r="I50" i="19"/>
  <c r="F194" i="19"/>
  <c r="C194" i="19" s="1"/>
  <c r="C269" i="19"/>
  <c r="F289" i="19"/>
  <c r="C289" i="19" s="1"/>
  <c r="I24" i="19"/>
  <c r="I20" i="19" s="1"/>
  <c r="C53" i="19"/>
  <c r="F52" i="19"/>
  <c r="F24" i="19"/>
  <c r="D20" i="19"/>
  <c r="C24" i="19" l="1"/>
  <c r="F20" i="19"/>
  <c r="C20" i="19" s="1"/>
  <c r="C52" i="19"/>
  <c r="F51" i="19"/>
  <c r="I290" i="19"/>
  <c r="F290" i="19" l="1"/>
  <c r="C290" i="19" s="1"/>
  <c r="F50" i="19"/>
  <c r="C50" i="19" s="1"/>
  <c r="C51" i="19"/>
  <c r="O301" i="18" l="1"/>
  <c r="L301" i="18"/>
  <c r="I301" i="18"/>
  <c r="F301" i="18"/>
  <c r="O300" i="18"/>
  <c r="L300" i="18"/>
  <c r="I300" i="18"/>
  <c r="F300" i="18"/>
  <c r="O299" i="18"/>
  <c r="L299" i="18"/>
  <c r="I299" i="18"/>
  <c r="F299" i="18"/>
  <c r="C299" i="18" s="1"/>
  <c r="O298" i="18"/>
  <c r="L298" i="18"/>
  <c r="I298" i="18"/>
  <c r="F298" i="18"/>
  <c r="O297" i="18"/>
  <c r="L297" i="18"/>
  <c r="I297" i="18"/>
  <c r="F297" i="18"/>
  <c r="O296" i="18"/>
  <c r="L296" i="18"/>
  <c r="I296" i="18"/>
  <c r="F296" i="18"/>
  <c r="O295" i="18"/>
  <c r="L295" i="18"/>
  <c r="I295" i="18"/>
  <c r="F295" i="18"/>
  <c r="O294" i="18"/>
  <c r="O293" i="18" s="1"/>
  <c r="L294" i="18"/>
  <c r="I294" i="18"/>
  <c r="F294" i="18"/>
  <c r="F293" i="18" s="1"/>
  <c r="N293" i="18"/>
  <c r="M293" i="18"/>
  <c r="K293" i="18"/>
  <c r="J293" i="18"/>
  <c r="H293" i="18"/>
  <c r="G293" i="18"/>
  <c r="E293" i="18"/>
  <c r="D293" i="18"/>
  <c r="O288" i="18"/>
  <c r="L288" i="18"/>
  <c r="I288" i="18"/>
  <c r="F288" i="18"/>
  <c r="O287" i="18"/>
  <c r="O286" i="18" s="1"/>
  <c r="L287" i="18"/>
  <c r="I287" i="18"/>
  <c r="F287" i="18"/>
  <c r="C287" i="18" s="1"/>
  <c r="N286" i="18"/>
  <c r="M286" i="18"/>
  <c r="L286" i="18"/>
  <c r="K286" i="18"/>
  <c r="J286" i="18"/>
  <c r="H286" i="18"/>
  <c r="G286" i="18"/>
  <c r="E286" i="18"/>
  <c r="D286" i="18"/>
  <c r="O285" i="18"/>
  <c r="L285" i="18"/>
  <c r="L284" i="18" s="1"/>
  <c r="L283" i="18" s="1"/>
  <c r="I285" i="18"/>
  <c r="F285" i="18"/>
  <c r="O284" i="18"/>
  <c r="O283" i="18" s="1"/>
  <c r="N284" i="18"/>
  <c r="M284" i="18"/>
  <c r="M283" i="18" s="1"/>
  <c r="K284" i="18"/>
  <c r="K283" i="18" s="1"/>
  <c r="J284" i="18"/>
  <c r="J283" i="18" s="1"/>
  <c r="I284" i="18"/>
  <c r="I283" i="18" s="1"/>
  <c r="H284" i="18"/>
  <c r="G284" i="18"/>
  <c r="F284" i="18"/>
  <c r="E284" i="18"/>
  <c r="E283" i="18" s="1"/>
  <c r="D284" i="18"/>
  <c r="N283" i="18"/>
  <c r="H283" i="18"/>
  <c r="G283" i="18"/>
  <c r="D283" i="18"/>
  <c r="O282" i="18"/>
  <c r="O281" i="18" s="1"/>
  <c r="L282" i="18"/>
  <c r="I282" i="18"/>
  <c r="I281" i="18" s="1"/>
  <c r="F282" i="18"/>
  <c r="F281" i="18" s="1"/>
  <c r="N281" i="18"/>
  <c r="M281" i="18"/>
  <c r="L281" i="18"/>
  <c r="K281" i="18"/>
  <c r="J281" i="18"/>
  <c r="H281" i="18"/>
  <c r="G281" i="18"/>
  <c r="E281" i="18"/>
  <c r="D281" i="18"/>
  <c r="O280" i="18"/>
  <c r="L280" i="18"/>
  <c r="I280" i="18"/>
  <c r="F280" i="18"/>
  <c r="O279" i="18"/>
  <c r="L279" i="18"/>
  <c r="I279" i="18"/>
  <c r="F279" i="18"/>
  <c r="C279" i="18" s="1"/>
  <c r="O278" i="18"/>
  <c r="L278" i="18"/>
  <c r="I278" i="18"/>
  <c r="F278" i="18"/>
  <c r="O277" i="18"/>
  <c r="L277" i="18"/>
  <c r="I277" i="18"/>
  <c r="F277" i="18"/>
  <c r="F276" i="18" s="1"/>
  <c r="N276" i="18"/>
  <c r="M276" i="18"/>
  <c r="K276" i="18"/>
  <c r="J276" i="18"/>
  <c r="H276" i="18"/>
  <c r="G276" i="18"/>
  <c r="E276" i="18"/>
  <c r="D276" i="18"/>
  <c r="O275" i="18"/>
  <c r="L275" i="18"/>
  <c r="I275" i="18"/>
  <c r="F275" i="18"/>
  <c r="O274" i="18"/>
  <c r="L274" i="18"/>
  <c r="I274" i="18"/>
  <c r="F274" i="18"/>
  <c r="O273" i="18"/>
  <c r="L273" i="18"/>
  <c r="L272" i="18" s="1"/>
  <c r="I273" i="18"/>
  <c r="I272" i="18" s="1"/>
  <c r="F273" i="18"/>
  <c r="N272" i="18"/>
  <c r="N270" i="18" s="1"/>
  <c r="N269" i="18" s="1"/>
  <c r="M272" i="18"/>
  <c r="M270" i="18" s="1"/>
  <c r="M269" i="18" s="1"/>
  <c r="K272" i="18"/>
  <c r="J272" i="18"/>
  <c r="H272" i="18"/>
  <c r="H270" i="18" s="1"/>
  <c r="H269" i="18" s="1"/>
  <c r="G272" i="18"/>
  <c r="G270" i="18" s="1"/>
  <c r="G269" i="18" s="1"/>
  <c r="E272" i="18"/>
  <c r="D272" i="18"/>
  <c r="O271" i="18"/>
  <c r="L271" i="18"/>
  <c r="C271" i="18" s="1"/>
  <c r="I271" i="18"/>
  <c r="F271" i="18"/>
  <c r="K270" i="18"/>
  <c r="K269" i="18" s="1"/>
  <c r="D270" i="18"/>
  <c r="D269" i="18" s="1"/>
  <c r="O268" i="18"/>
  <c r="L268" i="18"/>
  <c r="I268" i="18"/>
  <c r="F268" i="18"/>
  <c r="O267" i="18"/>
  <c r="L267" i="18"/>
  <c r="I267" i="18"/>
  <c r="F267" i="18"/>
  <c r="O266" i="18"/>
  <c r="L266" i="18"/>
  <c r="C266" i="18" s="1"/>
  <c r="I266" i="18"/>
  <c r="F266" i="18"/>
  <c r="O265" i="18"/>
  <c r="L265" i="18"/>
  <c r="I265" i="18"/>
  <c r="F265" i="18"/>
  <c r="N264" i="18"/>
  <c r="M264" i="18"/>
  <c r="K264" i="18"/>
  <c r="J264" i="18"/>
  <c r="H264" i="18"/>
  <c r="G264" i="18"/>
  <c r="G259" i="18" s="1"/>
  <c r="E264" i="18"/>
  <c r="D264" i="18"/>
  <c r="O263" i="18"/>
  <c r="L263" i="18"/>
  <c r="I263" i="18"/>
  <c r="F263" i="18"/>
  <c r="O262" i="18"/>
  <c r="L262" i="18"/>
  <c r="I262" i="18"/>
  <c r="F262" i="18"/>
  <c r="O261" i="18"/>
  <c r="L261" i="18"/>
  <c r="I261" i="18"/>
  <c r="F261" i="18"/>
  <c r="N260" i="18"/>
  <c r="M260" i="18"/>
  <c r="M259" i="18" s="1"/>
  <c r="K260" i="18"/>
  <c r="J260" i="18"/>
  <c r="J259" i="18" s="1"/>
  <c r="I260" i="18"/>
  <c r="H260" i="18"/>
  <c r="G260" i="18"/>
  <c r="F260" i="18"/>
  <c r="E260" i="18"/>
  <c r="E259" i="18" s="1"/>
  <c r="D260" i="18"/>
  <c r="D259" i="18" s="1"/>
  <c r="K259" i="18"/>
  <c r="O258" i="18"/>
  <c r="L258" i="18"/>
  <c r="C258" i="18" s="1"/>
  <c r="I258" i="18"/>
  <c r="F258" i="18"/>
  <c r="O257" i="18"/>
  <c r="L257" i="18"/>
  <c r="I257" i="18"/>
  <c r="F257" i="18"/>
  <c r="O256" i="18"/>
  <c r="L256" i="18"/>
  <c r="I256" i="18"/>
  <c r="F256" i="18"/>
  <c r="O255" i="18"/>
  <c r="L255" i="18"/>
  <c r="I255" i="18"/>
  <c r="F255" i="18"/>
  <c r="O254" i="18"/>
  <c r="L254" i="18"/>
  <c r="I254" i="18"/>
  <c r="F254" i="18"/>
  <c r="O253" i="18"/>
  <c r="L253" i="18"/>
  <c r="I253" i="18"/>
  <c r="I252" i="18" s="1"/>
  <c r="I251" i="18" s="1"/>
  <c r="F253" i="18"/>
  <c r="N252" i="18"/>
  <c r="M252" i="18"/>
  <c r="M251" i="18" s="1"/>
  <c r="K252" i="18"/>
  <c r="K251" i="18" s="1"/>
  <c r="J252" i="18"/>
  <c r="J251" i="18" s="1"/>
  <c r="H252" i="18"/>
  <c r="H251" i="18" s="1"/>
  <c r="G252" i="18"/>
  <c r="E252" i="18"/>
  <c r="E251" i="18" s="1"/>
  <c r="D252" i="18"/>
  <c r="N251" i="18"/>
  <c r="G251" i="18"/>
  <c r="D251" i="18"/>
  <c r="O250" i="18"/>
  <c r="L250" i="18"/>
  <c r="I250" i="18"/>
  <c r="F250" i="18"/>
  <c r="O249" i="18"/>
  <c r="L249" i="18"/>
  <c r="I249" i="18"/>
  <c r="F249" i="18"/>
  <c r="O248" i="18"/>
  <c r="L248" i="18"/>
  <c r="I248" i="18"/>
  <c r="F248" i="18"/>
  <c r="O247" i="18"/>
  <c r="L247" i="18"/>
  <c r="I247" i="18"/>
  <c r="F247" i="18"/>
  <c r="O246" i="18"/>
  <c r="N246" i="18"/>
  <c r="M246" i="18"/>
  <c r="K246" i="18"/>
  <c r="J246" i="18"/>
  <c r="H246" i="18"/>
  <c r="G246" i="18"/>
  <c r="E246" i="18"/>
  <c r="D246" i="18"/>
  <c r="O245" i="18"/>
  <c r="L245" i="18"/>
  <c r="I245" i="18"/>
  <c r="F245" i="18"/>
  <c r="O244" i="18"/>
  <c r="L244" i="18"/>
  <c r="I244" i="18"/>
  <c r="F244" i="18"/>
  <c r="O243" i="18"/>
  <c r="L243" i="18"/>
  <c r="I243" i="18"/>
  <c r="F243" i="18"/>
  <c r="O242" i="18"/>
  <c r="L242" i="18"/>
  <c r="I242" i="18"/>
  <c r="F242" i="18"/>
  <c r="C242" i="18" s="1"/>
  <c r="O241" i="18"/>
  <c r="L241" i="18"/>
  <c r="I241" i="18"/>
  <c r="F241" i="18"/>
  <c r="O240" i="18"/>
  <c r="L240" i="18"/>
  <c r="I240" i="18"/>
  <c r="F240" i="18"/>
  <c r="O239" i="18"/>
  <c r="L239" i="18"/>
  <c r="I239" i="18"/>
  <c r="F239" i="18"/>
  <c r="N238" i="18"/>
  <c r="M238" i="18"/>
  <c r="L238" i="18"/>
  <c r="K238" i="18"/>
  <c r="J238" i="18"/>
  <c r="H238" i="18"/>
  <c r="G238" i="18"/>
  <c r="E238" i="18"/>
  <c r="D238" i="18"/>
  <c r="O237" i="18"/>
  <c r="L237" i="18"/>
  <c r="I237" i="18"/>
  <c r="F237" i="18"/>
  <c r="O236" i="18"/>
  <c r="L236" i="18"/>
  <c r="L235" i="18" s="1"/>
  <c r="I236" i="18"/>
  <c r="I235" i="18" s="1"/>
  <c r="F236" i="18"/>
  <c r="O235" i="18"/>
  <c r="N235" i="18"/>
  <c r="M235" i="18"/>
  <c r="K235" i="18"/>
  <c r="J235" i="18"/>
  <c r="H235" i="18"/>
  <c r="G235" i="18"/>
  <c r="F235" i="18"/>
  <c r="E235" i="18"/>
  <c r="D235" i="18"/>
  <c r="O234" i="18"/>
  <c r="O233" i="18" s="1"/>
  <c r="L234" i="18"/>
  <c r="L233" i="18" s="1"/>
  <c r="I234" i="18"/>
  <c r="F234" i="18"/>
  <c r="F233" i="18" s="1"/>
  <c r="N233" i="18"/>
  <c r="N231" i="18" s="1"/>
  <c r="M233" i="18"/>
  <c r="K233" i="18"/>
  <c r="J233" i="18"/>
  <c r="I233" i="18"/>
  <c r="H233" i="18"/>
  <c r="G233" i="18"/>
  <c r="E233" i="18"/>
  <c r="D233" i="18"/>
  <c r="O232" i="18"/>
  <c r="L232" i="18"/>
  <c r="I232" i="18"/>
  <c r="F232" i="18"/>
  <c r="O229" i="18"/>
  <c r="L229" i="18"/>
  <c r="I229" i="18"/>
  <c r="F229" i="18"/>
  <c r="O228" i="18"/>
  <c r="L228" i="18"/>
  <c r="L227" i="18" s="1"/>
  <c r="I228" i="18"/>
  <c r="I227" i="18" s="1"/>
  <c r="F228" i="18"/>
  <c r="O227" i="18"/>
  <c r="N227" i="18"/>
  <c r="M227" i="18"/>
  <c r="K227" i="18"/>
  <c r="J227" i="18"/>
  <c r="H227" i="18"/>
  <c r="G227" i="18"/>
  <c r="F227" i="18"/>
  <c r="E227" i="18"/>
  <c r="D227" i="18"/>
  <c r="O226" i="18"/>
  <c r="C226" i="18" s="1"/>
  <c r="L226" i="18"/>
  <c r="I226" i="18"/>
  <c r="F226" i="18"/>
  <c r="O225" i="18"/>
  <c r="L225" i="18"/>
  <c r="I225" i="18"/>
  <c r="F225" i="18"/>
  <c r="C225" i="18" s="1"/>
  <c r="O224" i="18"/>
  <c r="L224" i="18"/>
  <c r="I224" i="18"/>
  <c r="F224" i="18"/>
  <c r="C224" i="18" s="1"/>
  <c r="O223" i="18"/>
  <c r="L223" i="18"/>
  <c r="I223" i="18"/>
  <c r="F223" i="18"/>
  <c r="O222" i="18"/>
  <c r="L222" i="18"/>
  <c r="I222" i="18"/>
  <c r="F222" i="18"/>
  <c r="O221" i="18"/>
  <c r="L221" i="18"/>
  <c r="I221" i="18"/>
  <c r="F221" i="18"/>
  <c r="O220" i="18"/>
  <c r="L220" i="18"/>
  <c r="I220" i="18"/>
  <c r="F220" i="18"/>
  <c r="O219" i="18"/>
  <c r="L219" i="18"/>
  <c r="I219" i="18"/>
  <c r="F219" i="18"/>
  <c r="O218" i="18"/>
  <c r="L218" i="18"/>
  <c r="I218" i="18"/>
  <c r="F218" i="18"/>
  <c r="O217" i="18"/>
  <c r="L217" i="18"/>
  <c r="I217" i="18"/>
  <c r="F217" i="18"/>
  <c r="N216" i="18"/>
  <c r="M216" i="18"/>
  <c r="K216" i="18"/>
  <c r="J216" i="18"/>
  <c r="H216" i="18"/>
  <c r="G216" i="18"/>
  <c r="E216" i="18"/>
  <c r="D216" i="18"/>
  <c r="O215" i="18"/>
  <c r="L215" i="18"/>
  <c r="I215" i="18"/>
  <c r="F215" i="18"/>
  <c r="O214" i="18"/>
  <c r="L214" i="18"/>
  <c r="I214" i="18"/>
  <c r="F214" i="18"/>
  <c r="O213" i="18"/>
  <c r="L213" i="18"/>
  <c r="I213" i="18"/>
  <c r="F213" i="18"/>
  <c r="C213" i="18" s="1"/>
  <c r="O212" i="18"/>
  <c r="L212" i="18"/>
  <c r="I212" i="18"/>
  <c r="F212" i="18"/>
  <c r="C212" i="18" s="1"/>
  <c r="O211" i="18"/>
  <c r="L211" i="18"/>
  <c r="I211" i="18"/>
  <c r="F211" i="18"/>
  <c r="C211" i="18" s="1"/>
  <c r="O210" i="18"/>
  <c r="L210" i="18"/>
  <c r="I210" i="18"/>
  <c r="F210" i="18"/>
  <c r="O209" i="18"/>
  <c r="L209" i="18"/>
  <c r="I209" i="18"/>
  <c r="F209" i="18"/>
  <c r="O208" i="18"/>
  <c r="L208" i="18"/>
  <c r="I208" i="18"/>
  <c r="F208" i="18"/>
  <c r="O207" i="18"/>
  <c r="L207" i="18"/>
  <c r="I207" i="18"/>
  <c r="F207" i="18"/>
  <c r="O206" i="18"/>
  <c r="L206" i="18"/>
  <c r="I206" i="18"/>
  <c r="F206" i="18"/>
  <c r="N205" i="18"/>
  <c r="M205" i="18"/>
  <c r="K205" i="18"/>
  <c r="J205" i="18"/>
  <c r="H205" i="18"/>
  <c r="G205" i="18"/>
  <c r="E205" i="18"/>
  <c r="E204" i="18" s="1"/>
  <c r="D205" i="18"/>
  <c r="D204" i="18" s="1"/>
  <c r="O203" i="18"/>
  <c r="L203" i="18"/>
  <c r="I203" i="18"/>
  <c r="F203" i="18"/>
  <c r="O202" i="18"/>
  <c r="L202" i="18"/>
  <c r="I202" i="18"/>
  <c r="F202" i="18"/>
  <c r="O201" i="18"/>
  <c r="L201" i="18"/>
  <c r="I201" i="18"/>
  <c r="F201" i="18"/>
  <c r="O200" i="18"/>
  <c r="L200" i="18"/>
  <c r="I200" i="18"/>
  <c r="F200" i="18"/>
  <c r="O199" i="18"/>
  <c r="L199" i="18"/>
  <c r="I199" i="18"/>
  <c r="F199" i="18"/>
  <c r="O198" i="18"/>
  <c r="N198" i="18"/>
  <c r="M198" i="18"/>
  <c r="M196" i="18" s="1"/>
  <c r="K198" i="18"/>
  <c r="K196" i="18" s="1"/>
  <c r="J198" i="18"/>
  <c r="J196" i="18" s="1"/>
  <c r="H198" i="18"/>
  <c r="H196" i="18" s="1"/>
  <c r="G198" i="18"/>
  <c r="G196" i="18" s="1"/>
  <c r="F198" i="18"/>
  <c r="E198" i="18"/>
  <c r="D198" i="18"/>
  <c r="D196" i="18" s="1"/>
  <c r="O197" i="18"/>
  <c r="L197" i="18"/>
  <c r="I197" i="18"/>
  <c r="F197" i="18"/>
  <c r="N196" i="18"/>
  <c r="E196" i="18"/>
  <c r="O193" i="18"/>
  <c r="O192" i="18" s="1"/>
  <c r="O191" i="18" s="1"/>
  <c r="L193" i="18"/>
  <c r="L192" i="18" s="1"/>
  <c r="L191" i="18" s="1"/>
  <c r="I193" i="18"/>
  <c r="I192" i="18" s="1"/>
  <c r="I191" i="18" s="1"/>
  <c r="F193" i="18"/>
  <c r="N192" i="18"/>
  <c r="M192" i="18"/>
  <c r="M191" i="18" s="1"/>
  <c r="K192" i="18"/>
  <c r="K191" i="18" s="1"/>
  <c r="J192" i="18"/>
  <c r="J191" i="18" s="1"/>
  <c r="J187" i="18" s="1"/>
  <c r="H192" i="18"/>
  <c r="H191" i="18" s="1"/>
  <c r="G192" i="18"/>
  <c r="G191" i="18" s="1"/>
  <c r="E192" i="18"/>
  <c r="D192" i="18"/>
  <c r="D191" i="18" s="1"/>
  <c r="N191" i="18"/>
  <c r="E191" i="18"/>
  <c r="O190" i="18"/>
  <c r="L190" i="18"/>
  <c r="I190" i="18"/>
  <c r="F190" i="18"/>
  <c r="O189" i="18"/>
  <c r="O188" i="18" s="1"/>
  <c r="O187" i="18" s="1"/>
  <c r="L189" i="18"/>
  <c r="I189" i="18"/>
  <c r="F189" i="18"/>
  <c r="F188" i="18" s="1"/>
  <c r="N188" i="18"/>
  <c r="M188" i="18"/>
  <c r="K188" i="18"/>
  <c r="J188" i="18"/>
  <c r="I188" i="18"/>
  <c r="H188" i="18"/>
  <c r="G188" i="18"/>
  <c r="G187" i="18" s="1"/>
  <c r="E188" i="18"/>
  <c r="E187" i="18" s="1"/>
  <c r="D188" i="18"/>
  <c r="O186" i="18"/>
  <c r="L186" i="18"/>
  <c r="I186" i="18"/>
  <c r="F186" i="18"/>
  <c r="O185" i="18"/>
  <c r="L185" i="18"/>
  <c r="L184" i="18" s="1"/>
  <c r="I185" i="18"/>
  <c r="I184" i="18" s="1"/>
  <c r="F185" i="18"/>
  <c r="N184" i="18"/>
  <c r="M184" i="18"/>
  <c r="K184" i="18"/>
  <c r="J184" i="18"/>
  <c r="H184" i="18"/>
  <c r="G184" i="18"/>
  <c r="E184" i="18"/>
  <c r="D184" i="18"/>
  <c r="O183" i="18"/>
  <c r="L183" i="18"/>
  <c r="I183" i="18"/>
  <c r="F183" i="18"/>
  <c r="O182" i="18"/>
  <c r="L182" i="18"/>
  <c r="I182" i="18"/>
  <c r="F182" i="18"/>
  <c r="O181" i="18"/>
  <c r="L181" i="18"/>
  <c r="I181" i="18"/>
  <c r="F181" i="18"/>
  <c r="O180" i="18"/>
  <c r="L180" i="18"/>
  <c r="I180" i="18"/>
  <c r="I179" i="18" s="1"/>
  <c r="F180" i="18"/>
  <c r="N179" i="18"/>
  <c r="M179" i="18"/>
  <c r="K179" i="18"/>
  <c r="J179" i="18"/>
  <c r="H179" i="18"/>
  <c r="G179" i="18"/>
  <c r="E179" i="18"/>
  <c r="D179" i="18"/>
  <c r="O178" i="18"/>
  <c r="L178" i="18"/>
  <c r="I178" i="18"/>
  <c r="C178" i="18" s="1"/>
  <c r="F178" i="18"/>
  <c r="O177" i="18"/>
  <c r="L177" i="18"/>
  <c r="I177" i="18"/>
  <c r="F177" i="18"/>
  <c r="O176" i="18"/>
  <c r="L176" i="18"/>
  <c r="I176" i="18"/>
  <c r="F176" i="18"/>
  <c r="N175" i="18"/>
  <c r="M175" i="18"/>
  <c r="M174" i="18" s="1"/>
  <c r="M173" i="18" s="1"/>
  <c r="K175" i="18"/>
  <c r="K174" i="18" s="1"/>
  <c r="K173" i="18" s="1"/>
  <c r="J175" i="18"/>
  <c r="H175" i="18"/>
  <c r="H174" i="18" s="1"/>
  <c r="H173" i="18" s="1"/>
  <c r="G175" i="18"/>
  <c r="G174" i="18" s="1"/>
  <c r="G173" i="18" s="1"/>
  <c r="E175" i="18"/>
  <c r="D175" i="18"/>
  <c r="N174" i="18"/>
  <c r="N173" i="18" s="1"/>
  <c r="J174" i="18"/>
  <c r="J173" i="18" s="1"/>
  <c r="D174" i="18"/>
  <c r="O172" i="18"/>
  <c r="L172" i="18"/>
  <c r="I172" i="18"/>
  <c r="F172" i="18"/>
  <c r="O171" i="18"/>
  <c r="L171" i="18"/>
  <c r="I171" i="18"/>
  <c r="F171" i="18"/>
  <c r="O170" i="18"/>
  <c r="C170" i="18" s="1"/>
  <c r="L170" i="18"/>
  <c r="I170" i="18"/>
  <c r="F170" i="18"/>
  <c r="O169" i="18"/>
  <c r="L169" i="18"/>
  <c r="I169" i="18"/>
  <c r="F169" i="18"/>
  <c r="O168" i="18"/>
  <c r="L168" i="18"/>
  <c r="I168" i="18"/>
  <c r="F168" i="18"/>
  <c r="O167" i="18"/>
  <c r="L167" i="18"/>
  <c r="L166" i="18" s="1"/>
  <c r="I167" i="18"/>
  <c r="I166" i="18" s="1"/>
  <c r="I165" i="18" s="1"/>
  <c r="F167" i="18"/>
  <c r="N166" i="18"/>
  <c r="N165" i="18" s="1"/>
  <c r="M166" i="18"/>
  <c r="M165" i="18" s="1"/>
  <c r="K166" i="18"/>
  <c r="J166" i="18"/>
  <c r="J165" i="18" s="1"/>
  <c r="H166" i="18"/>
  <c r="G166" i="18"/>
  <c r="G165" i="18" s="1"/>
  <c r="E166" i="18"/>
  <c r="E165" i="18" s="1"/>
  <c r="D166" i="18"/>
  <c r="D165" i="18" s="1"/>
  <c r="L165" i="18"/>
  <c r="K165" i="18"/>
  <c r="H165" i="18"/>
  <c r="O164" i="18"/>
  <c r="L164" i="18"/>
  <c r="I164" i="18"/>
  <c r="F164" i="18"/>
  <c r="O163" i="18"/>
  <c r="L163" i="18"/>
  <c r="I163" i="18"/>
  <c r="F163" i="18"/>
  <c r="O162" i="18"/>
  <c r="L162" i="18"/>
  <c r="I162" i="18"/>
  <c r="F162" i="18"/>
  <c r="O161" i="18"/>
  <c r="O160" i="18" s="1"/>
  <c r="L161" i="18"/>
  <c r="I161" i="18"/>
  <c r="I160" i="18" s="1"/>
  <c r="F161" i="18"/>
  <c r="F160" i="18" s="1"/>
  <c r="N160" i="18"/>
  <c r="M160" i="18"/>
  <c r="K160" i="18"/>
  <c r="J160" i="18"/>
  <c r="H160" i="18"/>
  <c r="G160" i="18"/>
  <c r="E160" i="18"/>
  <c r="D160" i="18"/>
  <c r="O159" i="18"/>
  <c r="L159" i="18"/>
  <c r="I159" i="18"/>
  <c r="F159" i="18"/>
  <c r="O158" i="18"/>
  <c r="L158" i="18"/>
  <c r="I158" i="18"/>
  <c r="F158" i="18"/>
  <c r="O157" i="18"/>
  <c r="L157" i="18"/>
  <c r="I157" i="18"/>
  <c r="F157" i="18"/>
  <c r="O156" i="18"/>
  <c r="L156" i="18"/>
  <c r="I156" i="18"/>
  <c r="F156" i="18"/>
  <c r="O155" i="18"/>
  <c r="L155" i="18"/>
  <c r="I155" i="18"/>
  <c r="F155" i="18"/>
  <c r="O154" i="18"/>
  <c r="L154" i="18"/>
  <c r="I154" i="18"/>
  <c r="F154" i="18"/>
  <c r="O153" i="18"/>
  <c r="L153" i="18"/>
  <c r="I153" i="18"/>
  <c r="F153" i="18"/>
  <c r="O152" i="18"/>
  <c r="L152" i="18"/>
  <c r="I152" i="18"/>
  <c r="F152" i="18"/>
  <c r="N151" i="18"/>
  <c r="M151" i="18"/>
  <c r="K151" i="18"/>
  <c r="J151" i="18"/>
  <c r="H151" i="18"/>
  <c r="G151" i="18"/>
  <c r="E151" i="18"/>
  <c r="D151" i="18"/>
  <c r="O150" i="18"/>
  <c r="L150" i="18"/>
  <c r="I150" i="18"/>
  <c r="F150" i="18"/>
  <c r="O149" i="18"/>
  <c r="L149" i="18"/>
  <c r="I149" i="18"/>
  <c r="F149" i="18"/>
  <c r="O148" i="18"/>
  <c r="L148" i="18"/>
  <c r="I148" i="18"/>
  <c r="F148" i="18"/>
  <c r="O147" i="18"/>
  <c r="L147" i="18"/>
  <c r="I147" i="18"/>
  <c r="F147" i="18"/>
  <c r="O146" i="18"/>
  <c r="L146" i="18"/>
  <c r="I146" i="18"/>
  <c r="F146" i="18"/>
  <c r="O145" i="18"/>
  <c r="L145" i="18"/>
  <c r="C145" i="18" s="1"/>
  <c r="I145" i="18"/>
  <c r="F145" i="18"/>
  <c r="N144" i="18"/>
  <c r="M144" i="18"/>
  <c r="K144" i="18"/>
  <c r="J144" i="18"/>
  <c r="H144" i="18"/>
  <c r="G144" i="18"/>
  <c r="E144" i="18"/>
  <c r="D144" i="18"/>
  <c r="O143" i="18"/>
  <c r="L143" i="18"/>
  <c r="I143" i="18"/>
  <c r="F143" i="18"/>
  <c r="O142" i="18"/>
  <c r="L142" i="18"/>
  <c r="I142" i="18"/>
  <c r="I141" i="18" s="1"/>
  <c r="F142" i="18"/>
  <c r="O141" i="18"/>
  <c r="N141" i="18"/>
  <c r="M141" i="18"/>
  <c r="K141" i="18"/>
  <c r="J141" i="18"/>
  <c r="H141" i="18"/>
  <c r="G141" i="18"/>
  <c r="F141" i="18"/>
  <c r="E141" i="18"/>
  <c r="D141" i="18"/>
  <c r="O140" i="18"/>
  <c r="L140" i="18"/>
  <c r="I140" i="18"/>
  <c r="F140" i="18"/>
  <c r="O139" i="18"/>
  <c r="L139" i="18"/>
  <c r="I139" i="18"/>
  <c r="F139" i="18"/>
  <c r="O138" i="18"/>
  <c r="L138" i="18"/>
  <c r="I138" i="18"/>
  <c r="F138" i="18"/>
  <c r="O137" i="18"/>
  <c r="O136" i="18" s="1"/>
  <c r="L137" i="18"/>
  <c r="I137" i="18"/>
  <c r="F137" i="18"/>
  <c r="F136" i="18" s="1"/>
  <c r="N136" i="18"/>
  <c r="M136" i="18"/>
  <c r="K136" i="18"/>
  <c r="J136" i="18"/>
  <c r="H136" i="18"/>
  <c r="G136" i="18"/>
  <c r="E136" i="18"/>
  <c r="D136" i="18"/>
  <c r="O135" i="18"/>
  <c r="L135" i="18"/>
  <c r="I135" i="18"/>
  <c r="F135" i="18"/>
  <c r="O134" i="18"/>
  <c r="L134" i="18"/>
  <c r="I134" i="18"/>
  <c r="F134" i="18"/>
  <c r="O133" i="18"/>
  <c r="L133" i="18"/>
  <c r="I133" i="18"/>
  <c r="C133" i="18" s="1"/>
  <c r="F133" i="18"/>
  <c r="O132" i="18"/>
  <c r="L132" i="18"/>
  <c r="I132" i="18"/>
  <c r="F132" i="18"/>
  <c r="N131" i="18"/>
  <c r="M131" i="18"/>
  <c r="M130" i="18" s="1"/>
  <c r="K131" i="18"/>
  <c r="J131" i="18"/>
  <c r="H131" i="18"/>
  <c r="G131" i="18"/>
  <c r="E131" i="18"/>
  <c r="D131" i="18"/>
  <c r="O129" i="18"/>
  <c r="O128" i="18" s="1"/>
  <c r="L129" i="18"/>
  <c r="L128" i="18" s="1"/>
  <c r="I129" i="18"/>
  <c r="F129" i="18"/>
  <c r="F128" i="18" s="1"/>
  <c r="N128" i="18"/>
  <c r="M128" i="18"/>
  <c r="K128" i="18"/>
  <c r="J128" i="18"/>
  <c r="I128" i="18"/>
  <c r="H128" i="18"/>
  <c r="G128" i="18"/>
  <c r="E128" i="18"/>
  <c r="D128" i="18"/>
  <c r="O127" i="18"/>
  <c r="L127" i="18"/>
  <c r="I127" i="18"/>
  <c r="F127" i="18"/>
  <c r="O126" i="18"/>
  <c r="L126" i="18"/>
  <c r="I126" i="18"/>
  <c r="F126" i="18"/>
  <c r="O125" i="18"/>
  <c r="L125" i="18"/>
  <c r="I125" i="18"/>
  <c r="F125" i="18"/>
  <c r="O124" i="18"/>
  <c r="L124" i="18"/>
  <c r="I124" i="18"/>
  <c r="F124" i="18"/>
  <c r="O123" i="18"/>
  <c r="L123" i="18"/>
  <c r="L122" i="18" s="1"/>
  <c r="I123" i="18"/>
  <c r="F123" i="18"/>
  <c r="F122" i="18" s="1"/>
  <c r="N122" i="18"/>
  <c r="M122" i="18"/>
  <c r="K122" i="18"/>
  <c r="J122" i="18"/>
  <c r="H122" i="18"/>
  <c r="G122" i="18"/>
  <c r="E122" i="18"/>
  <c r="D122" i="18"/>
  <c r="O121" i="18"/>
  <c r="L121" i="18"/>
  <c r="I121" i="18"/>
  <c r="F121" i="18"/>
  <c r="O120" i="18"/>
  <c r="L120" i="18"/>
  <c r="I120" i="18"/>
  <c r="F120" i="18"/>
  <c r="O119" i="18"/>
  <c r="L119" i="18"/>
  <c r="I119" i="18"/>
  <c r="F119" i="18"/>
  <c r="O118" i="18"/>
  <c r="L118" i="18"/>
  <c r="I118" i="18"/>
  <c r="F118" i="18"/>
  <c r="O117" i="18"/>
  <c r="L117" i="18"/>
  <c r="I117" i="18"/>
  <c r="F117" i="18"/>
  <c r="F116" i="18" s="1"/>
  <c r="N116" i="18"/>
  <c r="M116" i="18"/>
  <c r="L116" i="18"/>
  <c r="K116" i="18"/>
  <c r="J116" i="18"/>
  <c r="H116" i="18"/>
  <c r="G116" i="18"/>
  <c r="E116" i="18"/>
  <c r="D116" i="18"/>
  <c r="O115" i="18"/>
  <c r="L115" i="18"/>
  <c r="I115" i="18"/>
  <c r="F115" i="18"/>
  <c r="O114" i="18"/>
  <c r="L114" i="18"/>
  <c r="I114" i="18"/>
  <c r="F114" i="18"/>
  <c r="O113" i="18"/>
  <c r="O112" i="18" s="1"/>
  <c r="L113" i="18"/>
  <c r="I113" i="18"/>
  <c r="F113" i="18"/>
  <c r="F112" i="18" s="1"/>
  <c r="N112" i="18"/>
  <c r="M112" i="18"/>
  <c r="K112" i="18"/>
  <c r="J112" i="18"/>
  <c r="H112" i="18"/>
  <c r="G112" i="18"/>
  <c r="E112" i="18"/>
  <c r="D112" i="18"/>
  <c r="O111" i="18"/>
  <c r="L111" i="18"/>
  <c r="I111" i="18"/>
  <c r="F111" i="18"/>
  <c r="O110" i="18"/>
  <c r="L110" i="18"/>
  <c r="I110" i="18"/>
  <c r="F110" i="18"/>
  <c r="O109" i="18"/>
  <c r="L109" i="18"/>
  <c r="I109" i="18"/>
  <c r="F109" i="18"/>
  <c r="C109" i="18" s="1"/>
  <c r="O108" i="18"/>
  <c r="L108" i="18"/>
  <c r="I108" i="18"/>
  <c r="F108" i="18"/>
  <c r="O107" i="18"/>
  <c r="L107" i="18"/>
  <c r="I107" i="18"/>
  <c r="F107" i="18"/>
  <c r="O106" i="18"/>
  <c r="L106" i="18"/>
  <c r="I106" i="18"/>
  <c r="F106" i="18"/>
  <c r="O105" i="18"/>
  <c r="L105" i="18"/>
  <c r="I105" i="18"/>
  <c r="F105" i="18"/>
  <c r="O104" i="18"/>
  <c r="L104" i="18"/>
  <c r="I104" i="18"/>
  <c r="F104" i="18"/>
  <c r="N103" i="18"/>
  <c r="M103" i="18"/>
  <c r="K103" i="18"/>
  <c r="J103" i="18"/>
  <c r="H103" i="18"/>
  <c r="G103" i="18"/>
  <c r="E103" i="18"/>
  <c r="D103" i="18"/>
  <c r="O102" i="18"/>
  <c r="L102" i="18"/>
  <c r="I102" i="18"/>
  <c r="F102" i="18"/>
  <c r="O101" i="18"/>
  <c r="L101" i="18"/>
  <c r="I101" i="18"/>
  <c r="F101" i="18"/>
  <c r="O100" i="18"/>
  <c r="L100" i="18"/>
  <c r="I100" i="18"/>
  <c r="F100" i="18"/>
  <c r="O99" i="18"/>
  <c r="L99" i="18"/>
  <c r="I99" i="18"/>
  <c r="F99" i="18"/>
  <c r="O98" i="18"/>
  <c r="L98" i="18"/>
  <c r="I98" i="18"/>
  <c r="F98" i="18"/>
  <c r="O97" i="18"/>
  <c r="L97" i="18"/>
  <c r="I97" i="18"/>
  <c r="C97" i="18" s="1"/>
  <c r="F97" i="18"/>
  <c r="O96" i="18"/>
  <c r="L96" i="18"/>
  <c r="I96" i="18"/>
  <c r="F96" i="18"/>
  <c r="N95" i="18"/>
  <c r="M95" i="18"/>
  <c r="K95" i="18"/>
  <c r="J95" i="18"/>
  <c r="H95" i="18"/>
  <c r="G95" i="18"/>
  <c r="E95" i="18"/>
  <c r="D95" i="18"/>
  <c r="O94" i="18"/>
  <c r="L94" i="18"/>
  <c r="I94" i="18"/>
  <c r="F94" i="18"/>
  <c r="O93" i="18"/>
  <c r="L93" i="18"/>
  <c r="I93" i="18"/>
  <c r="C93" i="18" s="1"/>
  <c r="F93" i="18"/>
  <c r="O92" i="18"/>
  <c r="L92" i="18"/>
  <c r="I92" i="18"/>
  <c r="F92" i="18"/>
  <c r="O91" i="18"/>
  <c r="L91" i="18"/>
  <c r="I91" i="18"/>
  <c r="F91" i="18"/>
  <c r="O90" i="18"/>
  <c r="L90" i="18"/>
  <c r="I90" i="18"/>
  <c r="F90" i="18"/>
  <c r="N89" i="18"/>
  <c r="M89" i="18"/>
  <c r="K89" i="18"/>
  <c r="J89" i="18"/>
  <c r="H89" i="18"/>
  <c r="G89" i="18"/>
  <c r="E89" i="18"/>
  <c r="D89" i="18"/>
  <c r="O88" i="18"/>
  <c r="L88" i="18"/>
  <c r="I88" i="18"/>
  <c r="F88" i="18"/>
  <c r="O87" i="18"/>
  <c r="L87" i="18"/>
  <c r="I87" i="18"/>
  <c r="F87" i="18"/>
  <c r="O86" i="18"/>
  <c r="L86" i="18"/>
  <c r="I86" i="18"/>
  <c r="F86" i="18"/>
  <c r="O85" i="18"/>
  <c r="O84" i="18" s="1"/>
  <c r="L85" i="18"/>
  <c r="L84" i="18" s="1"/>
  <c r="I85" i="18"/>
  <c r="F85" i="18"/>
  <c r="F84" i="18" s="1"/>
  <c r="N84" i="18"/>
  <c r="M84" i="18"/>
  <c r="M83" i="18" s="1"/>
  <c r="K84" i="18"/>
  <c r="J84" i="18"/>
  <c r="H84" i="18"/>
  <c r="G84" i="18"/>
  <c r="E84" i="18"/>
  <c r="D84" i="18"/>
  <c r="O82" i="18"/>
  <c r="L82" i="18"/>
  <c r="I82" i="18"/>
  <c r="F82" i="18"/>
  <c r="O81" i="18"/>
  <c r="O80" i="18" s="1"/>
  <c r="L81" i="18"/>
  <c r="I81" i="18"/>
  <c r="F81" i="18"/>
  <c r="F80" i="18" s="1"/>
  <c r="N80" i="18"/>
  <c r="M80" i="18"/>
  <c r="K80" i="18"/>
  <c r="J80" i="18"/>
  <c r="I80" i="18"/>
  <c r="H80" i="18"/>
  <c r="G80" i="18"/>
  <c r="E80" i="18"/>
  <c r="D80" i="18"/>
  <c r="O79" i="18"/>
  <c r="L79" i="18"/>
  <c r="I79" i="18"/>
  <c r="F79" i="18"/>
  <c r="O78" i="18"/>
  <c r="L78" i="18"/>
  <c r="I78" i="18"/>
  <c r="F78" i="18"/>
  <c r="O77" i="18"/>
  <c r="N77" i="18"/>
  <c r="M77" i="18"/>
  <c r="K77" i="18"/>
  <c r="J77" i="18"/>
  <c r="H77" i="18"/>
  <c r="G77" i="18"/>
  <c r="F77" i="18"/>
  <c r="E77" i="18"/>
  <c r="D77" i="18"/>
  <c r="M76" i="18"/>
  <c r="J76" i="18"/>
  <c r="H76" i="18"/>
  <c r="O74" i="18"/>
  <c r="L74" i="18"/>
  <c r="C74" i="18" s="1"/>
  <c r="I74" i="18"/>
  <c r="F74" i="18"/>
  <c r="O73" i="18"/>
  <c r="L73" i="18"/>
  <c r="I73" i="18"/>
  <c r="F73" i="18"/>
  <c r="O72" i="18"/>
  <c r="L72" i="18"/>
  <c r="I72" i="18"/>
  <c r="F72" i="18"/>
  <c r="O71" i="18"/>
  <c r="L71" i="18"/>
  <c r="I71" i="18"/>
  <c r="F71" i="18"/>
  <c r="O70" i="18"/>
  <c r="O69" i="18" s="1"/>
  <c r="L70" i="18"/>
  <c r="L69" i="18" s="1"/>
  <c r="I70" i="18"/>
  <c r="F70" i="18"/>
  <c r="N69" i="18"/>
  <c r="N67" i="18" s="1"/>
  <c r="M69" i="18"/>
  <c r="K69" i="18"/>
  <c r="K67" i="18" s="1"/>
  <c r="J69" i="18"/>
  <c r="J67" i="18" s="1"/>
  <c r="H69" i="18"/>
  <c r="H67" i="18" s="1"/>
  <c r="G69" i="18"/>
  <c r="G67" i="18" s="1"/>
  <c r="E69" i="18"/>
  <c r="E67" i="18" s="1"/>
  <c r="D69" i="18"/>
  <c r="D67" i="18" s="1"/>
  <c r="O68" i="18"/>
  <c r="L68" i="18"/>
  <c r="I68" i="18"/>
  <c r="F68" i="18"/>
  <c r="M67" i="18"/>
  <c r="O66" i="18"/>
  <c r="L66" i="18"/>
  <c r="I66" i="18"/>
  <c r="F66" i="18"/>
  <c r="O65" i="18"/>
  <c r="L65" i="18"/>
  <c r="I65" i="18"/>
  <c r="F65" i="18"/>
  <c r="O64" i="18"/>
  <c r="L64" i="18"/>
  <c r="I64" i="18"/>
  <c r="F64" i="18"/>
  <c r="O63" i="18"/>
  <c r="L63" i="18"/>
  <c r="I63" i="18"/>
  <c r="F63" i="18"/>
  <c r="O62" i="18"/>
  <c r="L62" i="18"/>
  <c r="I62" i="18"/>
  <c r="C62" i="18" s="1"/>
  <c r="F62" i="18"/>
  <c r="O61" i="18"/>
  <c r="L61" i="18"/>
  <c r="I61" i="18"/>
  <c r="F61" i="18"/>
  <c r="O60" i="18"/>
  <c r="L60" i="18"/>
  <c r="I60" i="18"/>
  <c r="F60" i="18"/>
  <c r="O59" i="18"/>
  <c r="L59" i="18"/>
  <c r="L58" i="18" s="1"/>
  <c r="I59" i="18"/>
  <c r="F59" i="18"/>
  <c r="N58" i="18"/>
  <c r="M58" i="18"/>
  <c r="K58" i="18"/>
  <c r="J58" i="18"/>
  <c r="H58" i="18"/>
  <c r="G58" i="18"/>
  <c r="E58" i="18"/>
  <c r="D58" i="18"/>
  <c r="O57" i="18"/>
  <c r="L57" i="18"/>
  <c r="I57" i="18"/>
  <c r="F57" i="18"/>
  <c r="O56" i="18"/>
  <c r="L56" i="18"/>
  <c r="L55" i="18" s="1"/>
  <c r="I56" i="18"/>
  <c r="I55" i="18" s="1"/>
  <c r="F56" i="18"/>
  <c r="F55" i="18" s="1"/>
  <c r="N55" i="18"/>
  <c r="M55" i="18"/>
  <c r="M54" i="18" s="1"/>
  <c r="K55" i="18"/>
  <c r="K54" i="18" s="1"/>
  <c r="K53" i="18" s="1"/>
  <c r="J55" i="18"/>
  <c r="H55" i="18"/>
  <c r="H54" i="18" s="1"/>
  <c r="G55" i="18"/>
  <c r="E55" i="18"/>
  <c r="E54" i="18" s="1"/>
  <c r="D55" i="18"/>
  <c r="J54" i="18"/>
  <c r="D54" i="18"/>
  <c r="D53" i="18" s="1"/>
  <c r="O47" i="18"/>
  <c r="C47" i="18" s="1"/>
  <c r="O46" i="18"/>
  <c r="C46" i="18" s="1"/>
  <c r="N45" i="18"/>
  <c r="M45" i="18"/>
  <c r="L44" i="18"/>
  <c r="L43" i="18" s="1"/>
  <c r="I44" i="18"/>
  <c r="I43" i="18" s="1"/>
  <c r="F44" i="18"/>
  <c r="K43" i="18"/>
  <c r="J43" i="18"/>
  <c r="H43" i="18"/>
  <c r="G43" i="18"/>
  <c r="F43" i="18"/>
  <c r="E43" i="18"/>
  <c r="D43" i="18"/>
  <c r="F42" i="18"/>
  <c r="F41" i="18" s="1"/>
  <c r="C41" i="18" s="1"/>
  <c r="C42" i="18"/>
  <c r="E41" i="18"/>
  <c r="D41" i="18"/>
  <c r="L40" i="18"/>
  <c r="C40" i="18" s="1"/>
  <c r="L39" i="18"/>
  <c r="C39" i="18" s="1"/>
  <c r="L38" i="18"/>
  <c r="C38" i="18" s="1"/>
  <c r="L37" i="18"/>
  <c r="L36" i="18" s="1"/>
  <c r="C36" i="18" s="1"/>
  <c r="K36" i="18"/>
  <c r="J36" i="18"/>
  <c r="L35" i="18"/>
  <c r="C35" i="18" s="1"/>
  <c r="L34" i="18"/>
  <c r="C34" i="18" s="1"/>
  <c r="K33" i="18"/>
  <c r="J33" i="18"/>
  <c r="L32" i="18"/>
  <c r="K31" i="18"/>
  <c r="J31" i="18"/>
  <c r="L30" i="18"/>
  <c r="C30" i="18" s="1"/>
  <c r="L29" i="18"/>
  <c r="C29" i="18" s="1"/>
  <c r="L28" i="18"/>
  <c r="C28" i="18"/>
  <c r="K27" i="18"/>
  <c r="J27" i="18"/>
  <c r="F25" i="18"/>
  <c r="C25" i="18" s="1"/>
  <c r="I24" i="18"/>
  <c r="O23" i="18"/>
  <c r="L23" i="18"/>
  <c r="I23" i="18"/>
  <c r="F23" i="18"/>
  <c r="O22" i="18"/>
  <c r="L22" i="18"/>
  <c r="I22" i="18"/>
  <c r="F22" i="18"/>
  <c r="N21" i="18"/>
  <c r="N292" i="18" s="1"/>
  <c r="N291" i="18" s="1"/>
  <c r="M21" i="18"/>
  <c r="K21" i="18"/>
  <c r="K292" i="18" s="1"/>
  <c r="J21" i="18"/>
  <c r="J292" i="18" s="1"/>
  <c r="I21" i="18"/>
  <c r="H21" i="18"/>
  <c r="G21" i="18"/>
  <c r="E21" i="18"/>
  <c r="E292" i="18" s="1"/>
  <c r="E291" i="18" s="1"/>
  <c r="D21" i="18"/>
  <c r="M75" i="18" l="1"/>
  <c r="E53" i="18"/>
  <c r="J291" i="18"/>
  <c r="M53" i="18"/>
  <c r="G54" i="18"/>
  <c r="G53" i="18" s="1"/>
  <c r="C68" i="18"/>
  <c r="C120" i="18"/>
  <c r="C138" i="18"/>
  <c r="C186" i="18"/>
  <c r="C255" i="18"/>
  <c r="C257" i="18"/>
  <c r="H259" i="18"/>
  <c r="K291" i="18"/>
  <c r="K26" i="18"/>
  <c r="C73" i="18"/>
  <c r="N76" i="18"/>
  <c r="O89" i="18"/>
  <c r="C114" i="18"/>
  <c r="C121" i="18"/>
  <c r="C125" i="18"/>
  <c r="J130" i="18"/>
  <c r="N130" i="18"/>
  <c r="C150" i="18"/>
  <c r="C157" i="18"/>
  <c r="E195" i="18"/>
  <c r="M204" i="18"/>
  <c r="C234" i="18"/>
  <c r="J231" i="18"/>
  <c r="J230" i="18" s="1"/>
  <c r="C261" i="18"/>
  <c r="C278" i="18"/>
  <c r="C295" i="18"/>
  <c r="M195" i="18"/>
  <c r="F216" i="18"/>
  <c r="C23" i="18"/>
  <c r="C119" i="18"/>
  <c r="C137" i="18"/>
  <c r="C162" i="18"/>
  <c r="D195" i="18"/>
  <c r="C206" i="18"/>
  <c r="C218" i="18"/>
  <c r="C239" i="18"/>
  <c r="C256" i="18"/>
  <c r="N259" i="18"/>
  <c r="C294" i="18"/>
  <c r="G292" i="18"/>
  <c r="G291" i="18" s="1"/>
  <c r="G20" i="18"/>
  <c r="M292" i="18"/>
  <c r="M291" i="18" s="1"/>
  <c r="L21" i="18"/>
  <c r="L292" i="18" s="1"/>
  <c r="L291" i="18" s="1"/>
  <c r="C37" i="18"/>
  <c r="I20" i="18"/>
  <c r="E76" i="18"/>
  <c r="O76" i="18"/>
  <c r="C85" i="18"/>
  <c r="C105" i="18"/>
  <c r="C107" i="18"/>
  <c r="C108" i="18"/>
  <c r="E130" i="18"/>
  <c r="C154" i="18"/>
  <c r="C182" i="18"/>
  <c r="K187" i="18"/>
  <c r="I187" i="18"/>
  <c r="F196" i="18"/>
  <c r="M231" i="18"/>
  <c r="L252" i="18"/>
  <c r="L251" i="18" s="1"/>
  <c r="C275" i="18"/>
  <c r="I276" i="18"/>
  <c r="F286" i="18"/>
  <c r="J26" i="18"/>
  <c r="J53" i="18"/>
  <c r="I58" i="18"/>
  <c r="I54" i="18" s="1"/>
  <c r="I53" i="18" s="1"/>
  <c r="C63" i="18"/>
  <c r="C64" i="18"/>
  <c r="H53" i="18"/>
  <c r="G76" i="18"/>
  <c r="C81" i="18"/>
  <c r="C88" i="18"/>
  <c r="C94" i="18"/>
  <c r="C99" i="18"/>
  <c r="C100" i="18"/>
  <c r="C110" i="18"/>
  <c r="I112" i="18"/>
  <c r="C117" i="18"/>
  <c r="O116" i="18"/>
  <c r="C116" i="18" s="1"/>
  <c r="I122" i="18"/>
  <c r="C127" i="18"/>
  <c r="H130" i="18"/>
  <c r="I136" i="18"/>
  <c r="C146" i="18"/>
  <c r="I151" i="18"/>
  <c r="C156" i="18"/>
  <c r="C163" i="18"/>
  <c r="O166" i="18"/>
  <c r="O165" i="18" s="1"/>
  <c r="E174" i="18"/>
  <c r="E173" i="18" s="1"/>
  <c r="I175" i="18"/>
  <c r="I174" i="18" s="1"/>
  <c r="I173" i="18" s="1"/>
  <c r="C190" i="18"/>
  <c r="C202" i="18"/>
  <c r="C203" i="18"/>
  <c r="C210" i="18"/>
  <c r="C214" i="18"/>
  <c r="C222" i="18"/>
  <c r="C223" i="18"/>
  <c r="K204" i="18"/>
  <c r="K195" i="18" s="1"/>
  <c r="C228" i="18"/>
  <c r="C229" i="18"/>
  <c r="G231" i="18"/>
  <c r="G230" i="18" s="1"/>
  <c r="C240" i="18"/>
  <c r="C262" i="18"/>
  <c r="I264" i="18"/>
  <c r="I270" i="18"/>
  <c r="I269" i="18" s="1"/>
  <c r="L276" i="18"/>
  <c r="L270" i="18" s="1"/>
  <c r="L269" i="18" s="1"/>
  <c r="I293" i="18"/>
  <c r="C293" i="18" s="1"/>
  <c r="C300" i="18"/>
  <c r="L54" i="18"/>
  <c r="K83" i="18"/>
  <c r="K130" i="18"/>
  <c r="D173" i="18"/>
  <c r="N187" i="18"/>
  <c r="I205" i="18"/>
  <c r="I204" i="18" s="1"/>
  <c r="G204" i="18"/>
  <c r="G195" i="18" s="1"/>
  <c r="I238" i="18"/>
  <c r="L293" i="18"/>
  <c r="J20" i="18"/>
  <c r="F21" i="18"/>
  <c r="C44" i="18"/>
  <c r="N54" i="18"/>
  <c r="N53" i="18" s="1"/>
  <c r="O58" i="18"/>
  <c r="C66" i="18"/>
  <c r="C71" i="18"/>
  <c r="C86" i="18"/>
  <c r="G83" i="18"/>
  <c r="I89" i="18"/>
  <c r="I95" i="18"/>
  <c r="C102" i="18"/>
  <c r="I103" i="18"/>
  <c r="C111" i="18"/>
  <c r="C113" i="18"/>
  <c r="I116" i="18"/>
  <c r="N83" i="18"/>
  <c r="C126" i="18"/>
  <c r="C129" i="18"/>
  <c r="C135" i="18"/>
  <c r="G130" i="18"/>
  <c r="C143" i="18"/>
  <c r="C149" i="18"/>
  <c r="C159" i="18"/>
  <c r="C161" i="18"/>
  <c r="C171" i="18"/>
  <c r="C172" i="18"/>
  <c r="L175" i="18"/>
  <c r="M187" i="18"/>
  <c r="M52" i="18" s="1"/>
  <c r="H195" i="18"/>
  <c r="H204" i="18"/>
  <c r="I216" i="18"/>
  <c r="N204" i="18"/>
  <c r="N195" i="18" s="1"/>
  <c r="E231" i="18"/>
  <c r="E230" i="18" s="1"/>
  <c r="K231" i="18"/>
  <c r="C236" i="18"/>
  <c r="C237" i="18"/>
  <c r="C250" i="18"/>
  <c r="C265" i="18"/>
  <c r="O264" i="18"/>
  <c r="O272" i="18"/>
  <c r="N20" i="18"/>
  <c r="C57" i="18"/>
  <c r="C61" i="18"/>
  <c r="C65" i="18"/>
  <c r="L67" i="18"/>
  <c r="L53" i="18" s="1"/>
  <c r="I69" i="18"/>
  <c r="I67" i="18" s="1"/>
  <c r="K76" i="18"/>
  <c r="D76" i="18"/>
  <c r="C82" i="18"/>
  <c r="E83" i="18"/>
  <c r="C101" i="18"/>
  <c r="C118" i="18"/>
  <c r="J83" i="18"/>
  <c r="C124" i="18"/>
  <c r="O122" i="18"/>
  <c r="I131" i="18"/>
  <c r="C140" i="18"/>
  <c r="C158" i="18"/>
  <c r="L179" i="18"/>
  <c r="C215" i="18"/>
  <c r="J204" i="18"/>
  <c r="J195" i="18" s="1"/>
  <c r="C217" i="18"/>
  <c r="O216" i="18"/>
  <c r="C243" i="18"/>
  <c r="I246" i="18"/>
  <c r="F264" i="18"/>
  <c r="C274" i="18"/>
  <c r="I286" i="18"/>
  <c r="I292" i="18" s="1"/>
  <c r="I291" i="18" s="1"/>
  <c r="C298" i="18"/>
  <c r="D292" i="18"/>
  <c r="D291" i="18" s="1"/>
  <c r="K20" i="18"/>
  <c r="O67" i="18"/>
  <c r="C96" i="18"/>
  <c r="F95" i="18"/>
  <c r="F259" i="18"/>
  <c r="C301" i="18"/>
  <c r="L33" i="18"/>
  <c r="C33" i="18" s="1"/>
  <c r="C72" i="18"/>
  <c r="F69" i="18"/>
  <c r="C79" i="18"/>
  <c r="I77" i="18"/>
  <c r="I84" i="18"/>
  <c r="C87" i="18"/>
  <c r="M20" i="18"/>
  <c r="C22" i="18"/>
  <c r="O21" i="18"/>
  <c r="C21" i="18" s="1"/>
  <c r="C43" i="18"/>
  <c r="O55" i="18"/>
  <c r="C55" i="18" s="1"/>
  <c r="C78" i="18"/>
  <c r="L77" i="18"/>
  <c r="D83" i="18"/>
  <c r="C91" i="18"/>
  <c r="C92" i="18"/>
  <c r="F89" i="18"/>
  <c r="O103" i="18"/>
  <c r="L103" i="18"/>
  <c r="C106" i="18"/>
  <c r="N75" i="18"/>
  <c r="N52" i="18" s="1"/>
  <c r="D130" i="18"/>
  <c r="O131" i="18"/>
  <c r="L131" i="18"/>
  <c r="C134" i="18"/>
  <c r="L136" i="18"/>
  <c r="C139" i="18"/>
  <c r="C169" i="18"/>
  <c r="F166" i="18"/>
  <c r="C177" i="18"/>
  <c r="F175" i="18"/>
  <c r="F184" i="18"/>
  <c r="C185" i="18"/>
  <c r="C70" i="18"/>
  <c r="C90" i="18"/>
  <c r="L89" i="18"/>
  <c r="F192" i="18"/>
  <c r="C193" i="18"/>
  <c r="L27" i="18"/>
  <c r="C32" i="18"/>
  <c r="L31" i="18"/>
  <c r="C31" i="18" s="1"/>
  <c r="O45" i="18"/>
  <c r="H83" i="18"/>
  <c r="K230" i="18"/>
  <c r="H292" i="18"/>
  <c r="H291" i="18" s="1"/>
  <c r="H20" i="18"/>
  <c r="F292" i="18"/>
  <c r="C56" i="18"/>
  <c r="F58" i="18"/>
  <c r="C59" i="18"/>
  <c r="C60" i="18"/>
  <c r="L80" i="18"/>
  <c r="C80" i="18" s="1"/>
  <c r="F76" i="18"/>
  <c r="O95" i="18"/>
  <c r="L95" i="18"/>
  <c r="C98" i="18"/>
  <c r="C104" i="18"/>
  <c r="F103" i="18"/>
  <c r="L112" i="18"/>
  <c r="C112" i="18" s="1"/>
  <c r="C115" i="18"/>
  <c r="J75" i="18"/>
  <c r="J52" i="18" s="1"/>
  <c r="C123" i="18"/>
  <c r="C128" i="18"/>
  <c r="C132" i="18"/>
  <c r="F131" i="18"/>
  <c r="C142" i="18"/>
  <c r="L141" i="18"/>
  <c r="C141" i="18" s="1"/>
  <c r="C147" i="18"/>
  <c r="I144" i="18"/>
  <c r="C153" i="18"/>
  <c r="F151" i="18"/>
  <c r="C181" i="18"/>
  <c r="F179" i="18"/>
  <c r="C200" i="18"/>
  <c r="I198" i="18"/>
  <c r="C241" i="18"/>
  <c r="F238" i="18"/>
  <c r="C247" i="18"/>
  <c r="L246" i="18"/>
  <c r="L231" i="18" s="1"/>
  <c r="O144" i="18"/>
  <c r="L144" i="18"/>
  <c r="F144" i="18"/>
  <c r="C155" i="18"/>
  <c r="L160" i="18"/>
  <c r="C160" i="18" s="1"/>
  <c r="C183" i="18"/>
  <c r="H187" i="18"/>
  <c r="L188" i="18"/>
  <c r="L187" i="18" s="1"/>
  <c r="O196" i="18"/>
  <c r="C207" i="18"/>
  <c r="L205" i="18"/>
  <c r="C254" i="18"/>
  <c r="F252" i="18"/>
  <c r="L264" i="18"/>
  <c r="C264" i="18" s="1"/>
  <c r="C267" i="18"/>
  <c r="C277" i="18"/>
  <c r="O276" i="18"/>
  <c r="C282" i="18"/>
  <c r="C288" i="18"/>
  <c r="C189" i="18"/>
  <c r="C199" i="18"/>
  <c r="L198" i="18"/>
  <c r="C227" i="18"/>
  <c r="I231" i="18"/>
  <c r="C232" i="18"/>
  <c r="C235" i="18"/>
  <c r="C284" i="18"/>
  <c r="F283" i="18"/>
  <c r="C283" i="18" s="1"/>
  <c r="C148" i="18"/>
  <c r="C152" i="18"/>
  <c r="O151" i="18"/>
  <c r="L151" i="18"/>
  <c r="C164" i="18"/>
  <c r="C167" i="18"/>
  <c r="C168" i="18"/>
  <c r="C176" i="18"/>
  <c r="O175" i="18"/>
  <c r="C180" i="18"/>
  <c r="O179" i="18"/>
  <c r="O184" i="18"/>
  <c r="D187" i="18"/>
  <c r="L196" i="18"/>
  <c r="O205" i="18"/>
  <c r="L216" i="18"/>
  <c r="C216" i="18" s="1"/>
  <c r="C219" i="18"/>
  <c r="N230" i="18"/>
  <c r="O238" i="18"/>
  <c r="O231" i="18" s="1"/>
  <c r="I259" i="18"/>
  <c r="O260" i="18"/>
  <c r="O259" i="18" s="1"/>
  <c r="L260" i="18"/>
  <c r="C263" i="18"/>
  <c r="C273" i="18"/>
  <c r="F272" i="18"/>
  <c r="C281" i="18"/>
  <c r="C286" i="18"/>
  <c r="C197" i="18"/>
  <c r="F205" i="18"/>
  <c r="H231" i="18"/>
  <c r="C233" i="18"/>
  <c r="E270" i="18"/>
  <c r="E269" i="18" s="1"/>
  <c r="C280" i="18"/>
  <c r="C296" i="18"/>
  <c r="C297" i="18"/>
  <c r="C201" i="18"/>
  <c r="C208" i="18"/>
  <c r="C209" i="18"/>
  <c r="C220" i="18"/>
  <c r="C221" i="18"/>
  <c r="D231" i="18"/>
  <c r="D230" i="18" s="1"/>
  <c r="D194" i="18" s="1"/>
  <c r="M230" i="18"/>
  <c r="C244" i="18"/>
  <c r="C245" i="18"/>
  <c r="C248" i="18"/>
  <c r="C249" i="18"/>
  <c r="F246" i="18"/>
  <c r="C246" i="18" s="1"/>
  <c r="C253" i="18"/>
  <c r="O252" i="18"/>
  <c r="O251" i="18" s="1"/>
  <c r="C268" i="18"/>
  <c r="J270" i="18"/>
  <c r="J269" i="18" s="1"/>
  <c r="C285" i="18"/>
  <c r="L76" i="18" l="1"/>
  <c r="H230" i="18"/>
  <c r="H194" i="18" s="1"/>
  <c r="I130" i="18"/>
  <c r="L83" i="18"/>
  <c r="K75" i="18"/>
  <c r="K52" i="18" s="1"/>
  <c r="G75" i="18"/>
  <c r="G52" i="18" s="1"/>
  <c r="C276" i="18"/>
  <c r="H75" i="18"/>
  <c r="H52" i="18" s="1"/>
  <c r="H51" i="18" s="1"/>
  <c r="H50" i="18" s="1"/>
  <c r="E75" i="18"/>
  <c r="E52" i="18" s="1"/>
  <c r="J289" i="18"/>
  <c r="E289" i="18"/>
  <c r="L259" i="18"/>
  <c r="L230" i="18" s="1"/>
  <c r="C58" i="18"/>
  <c r="C136" i="18"/>
  <c r="C122" i="18"/>
  <c r="G289" i="18"/>
  <c r="E194" i="18"/>
  <c r="E51" i="18" s="1"/>
  <c r="C89" i="18"/>
  <c r="O204" i="18"/>
  <c r="O195" i="18" s="1"/>
  <c r="I230" i="18"/>
  <c r="O270" i="18"/>
  <c r="O269" i="18" s="1"/>
  <c r="O83" i="18"/>
  <c r="D75" i="18"/>
  <c r="D52" i="18" s="1"/>
  <c r="D51" i="18" s="1"/>
  <c r="F54" i="18"/>
  <c r="N194" i="18"/>
  <c r="M289" i="18"/>
  <c r="C184" i="18"/>
  <c r="I83" i="18"/>
  <c r="L174" i="18"/>
  <c r="L173" i="18" s="1"/>
  <c r="G194" i="18"/>
  <c r="G51" i="18" s="1"/>
  <c r="L204" i="18"/>
  <c r="L195" i="18" s="1"/>
  <c r="C198" i="18"/>
  <c r="K194" i="18"/>
  <c r="K51" i="18" s="1"/>
  <c r="K290" i="18" s="1"/>
  <c r="O54" i="18"/>
  <c r="H290" i="18"/>
  <c r="E50" i="18"/>
  <c r="E24" i="18" s="1"/>
  <c r="E20" i="18" s="1"/>
  <c r="N51" i="18"/>
  <c r="F270" i="18"/>
  <c r="C272" i="18"/>
  <c r="C151" i="18"/>
  <c r="C45" i="18"/>
  <c r="N289" i="18"/>
  <c r="M194" i="18"/>
  <c r="M51" i="18" s="1"/>
  <c r="C179" i="18"/>
  <c r="C192" i="18"/>
  <c r="F191" i="18"/>
  <c r="J194" i="18"/>
  <c r="J51" i="18" s="1"/>
  <c r="O174" i="18"/>
  <c r="O173" i="18" s="1"/>
  <c r="I196" i="18"/>
  <c r="C144" i="18"/>
  <c r="C131" i="18"/>
  <c r="F130" i="18"/>
  <c r="C103" i="18"/>
  <c r="C175" i="18"/>
  <c r="F174" i="18"/>
  <c r="L130" i="18"/>
  <c r="F291" i="18"/>
  <c r="C260" i="18"/>
  <c r="C84" i="18"/>
  <c r="F165" i="18"/>
  <c r="C165" i="18" s="1"/>
  <c r="C166" i="18"/>
  <c r="C205" i="18"/>
  <c r="F204" i="18"/>
  <c r="O230" i="18"/>
  <c r="L75" i="18"/>
  <c r="L52" i="18" s="1"/>
  <c r="O292" i="18"/>
  <c r="O291" i="18" s="1"/>
  <c r="O20" i="18"/>
  <c r="I76" i="18"/>
  <c r="C77" i="18"/>
  <c r="F83" i="18"/>
  <c r="K289" i="18"/>
  <c r="C252" i="18"/>
  <c r="F251" i="18"/>
  <c r="C251" i="18" s="1"/>
  <c r="C188" i="18"/>
  <c r="C238" i="18"/>
  <c r="F231" i="18"/>
  <c r="C27" i="18"/>
  <c r="L26" i="18"/>
  <c r="O130" i="18"/>
  <c r="O75" i="18" s="1"/>
  <c r="O53" i="18"/>
  <c r="C69" i="18"/>
  <c r="F67" i="18"/>
  <c r="C67" i="18" s="1"/>
  <c r="C95" i="18"/>
  <c r="L194" i="18" l="1"/>
  <c r="D289" i="18"/>
  <c r="C83" i="18"/>
  <c r="C259" i="18"/>
  <c r="H289" i="18"/>
  <c r="K50" i="18"/>
  <c r="F53" i="18"/>
  <c r="G290" i="18"/>
  <c r="G50" i="18"/>
  <c r="L51" i="18"/>
  <c r="L50" i="18" s="1"/>
  <c r="C54" i="18"/>
  <c r="C130" i="18"/>
  <c r="O289" i="18"/>
  <c r="C292" i="18"/>
  <c r="I75" i="18"/>
  <c r="I52" i="18" s="1"/>
  <c r="O194" i="18"/>
  <c r="J50" i="18"/>
  <c r="J290" i="18"/>
  <c r="O52" i="18"/>
  <c r="C53" i="18"/>
  <c r="F173" i="18"/>
  <c r="C173" i="18" s="1"/>
  <c r="C174" i="18"/>
  <c r="L290" i="18"/>
  <c r="C26" i="18"/>
  <c r="L20" i="18"/>
  <c r="C204" i="18"/>
  <c r="F195" i="18"/>
  <c r="C191" i="18"/>
  <c r="F187" i="18"/>
  <c r="C187" i="18" s="1"/>
  <c r="F75" i="18"/>
  <c r="F269" i="18"/>
  <c r="C270" i="18"/>
  <c r="E290" i="18"/>
  <c r="D50" i="18"/>
  <c r="D24" i="18" s="1"/>
  <c r="D290" i="18" s="1"/>
  <c r="F230" i="18"/>
  <c r="C230" i="18" s="1"/>
  <c r="C231" i="18"/>
  <c r="N50" i="18"/>
  <c r="N290" i="18"/>
  <c r="C291" i="18"/>
  <c r="I195" i="18"/>
  <c r="C196" i="18"/>
  <c r="M50" i="18"/>
  <c r="M290" i="18"/>
  <c r="C76" i="18"/>
  <c r="L289" i="18"/>
  <c r="O51" i="18" l="1"/>
  <c r="C75" i="18"/>
  <c r="I194" i="18"/>
  <c r="I51" i="18" s="1"/>
  <c r="I289" i="18"/>
  <c r="O50" i="18"/>
  <c r="O290" i="18"/>
  <c r="F24" i="18"/>
  <c r="D20" i="18"/>
  <c r="C269" i="18"/>
  <c r="F289" i="18"/>
  <c r="F194" i="18"/>
  <c r="C194" i="18" s="1"/>
  <c r="C195" i="18"/>
  <c r="F52" i="18"/>
  <c r="C289" i="18" l="1"/>
  <c r="C52" i="18"/>
  <c r="F51" i="18"/>
  <c r="C24" i="18"/>
  <c r="F20" i="18"/>
  <c r="C20" i="18" s="1"/>
  <c r="I290" i="18"/>
  <c r="I50" i="18"/>
  <c r="F290" i="18" l="1"/>
  <c r="C290" i="18" s="1"/>
  <c r="C51" i="18"/>
  <c r="F50" i="18"/>
  <c r="C50" i="18" s="1"/>
  <c r="O301" i="17" l="1"/>
  <c r="L301" i="17"/>
  <c r="I301" i="17"/>
  <c r="F301" i="17"/>
  <c r="O300" i="17"/>
  <c r="L300" i="17"/>
  <c r="I300" i="17"/>
  <c r="F300" i="17"/>
  <c r="O299" i="17"/>
  <c r="L299" i="17"/>
  <c r="I299" i="17"/>
  <c r="F299" i="17"/>
  <c r="O298" i="17"/>
  <c r="L298" i="17"/>
  <c r="I298" i="17"/>
  <c r="F298" i="17"/>
  <c r="C298" i="17" s="1"/>
  <c r="O297" i="17"/>
  <c r="L297" i="17"/>
  <c r="I297" i="17"/>
  <c r="F297" i="17"/>
  <c r="O296" i="17"/>
  <c r="L296" i="17"/>
  <c r="I296" i="17"/>
  <c r="F296" i="17"/>
  <c r="O295" i="17"/>
  <c r="L295" i="17"/>
  <c r="I295" i="17"/>
  <c r="F295" i="17"/>
  <c r="O294" i="17"/>
  <c r="O293" i="17" s="1"/>
  <c r="L294" i="17"/>
  <c r="I294" i="17"/>
  <c r="F294" i="17"/>
  <c r="N293" i="17"/>
  <c r="M293" i="17"/>
  <c r="K293" i="17"/>
  <c r="J293" i="17"/>
  <c r="I293" i="17"/>
  <c r="H293" i="17"/>
  <c r="G293" i="17"/>
  <c r="E293" i="17"/>
  <c r="D293" i="17"/>
  <c r="O288" i="17"/>
  <c r="L288" i="17"/>
  <c r="I288" i="17"/>
  <c r="F288" i="17"/>
  <c r="O287" i="17"/>
  <c r="L287" i="17"/>
  <c r="I287" i="17"/>
  <c r="F287" i="17"/>
  <c r="O286" i="17"/>
  <c r="N286" i="17"/>
  <c r="M286" i="17"/>
  <c r="K286" i="17"/>
  <c r="J286" i="17"/>
  <c r="H286" i="17"/>
  <c r="G286" i="17"/>
  <c r="F286" i="17"/>
  <c r="E286" i="17"/>
  <c r="D286" i="17"/>
  <c r="O285" i="17"/>
  <c r="O284" i="17" s="1"/>
  <c r="O283" i="17" s="1"/>
  <c r="L285" i="17"/>
  <c r="I285" i="17"/>
  <c r="F285" i="17"/>
  <c r="N284" i="17"/>
  <c r="M284" i="17"/>
  <c r="M283" i="17" s="1"/>
  <c r="L284" i="17"/>
  <c r="K284" i="17"/>
  <c r="K283" i="17" s="1"/>
  <c r="J284" i="17"/>
  <c r="I284" i="17"/>
  <c r="I283" i="17" s="1"/>
  <c r="H284" i="17"/>
  <c r="G284" i="17"/>
  <c r="G283" i="17" s="1"/>
  <c r="F284" i="17"/>
  <c r="E284" i="17"/>
  <c r="E283" i="17" s="1"/>
  <c r="D284" i="17"/>
  <c r="N283" i="17"/>
  <c r="L283" i="17"/>
  <c r="J283" i="17"/>
  <c r="H283" i="17"/>
  <c r="D283" i="17"/>
  <c r="O282" i="17"/>
  <c r="O281" i="17" s="1"/>
  <c r="L282" i="17"/>
  <c r="I282" i="17"/>
  <c r="C282" i="17" s="1"/>
  <c r="F282" i="17"/>
  <c r="F281" i="17" s="1"/>
  <c r="N281" i="17"/>
  <c r="M281" i="17"/>
  <c r="M269" i="17" s="1"/>
  <c r="L281" i="17"/>
  <c r="K281" i="17"/>
  <c r="J281" i="17"/>
  <c r="I281" i="17"/>
  <c r="H281" i="17"/>
  <c r="G281" i="17"/>
  <c r="E281" i="17"/>
  <c r="D281" i="17"/>
  <c r="O280" i="17"/>
  <c r="L280" i="17"/>
  <c r="I280" i="17"/>
  <c r="F280" i="17"/>
  <c r="O279" i="17"/>
  <c r="L279" i="17"/>
  <c r="I279" i="17"/>
  <c r="F279" i="17"/>
  <c r="O278" i="17"/>
  <c r="L278" i="17"/>
  <c r="I278" i="17"/>
  <c r="F278" i="17"/>
  <c r="O277" i="17"/>
  <c r="L277" i="17"/>
  <c r="I277" i="17"/>
  <c r="I276" i="17" s="1"/>
  <c r="F277" i="17"/>
  <c r="N276" i="17"/>
  <c r="M276" i="17"/>
  <c r="K276" i="17"/>
  <c r="J276" i="17"/>
  <c r="H276" i="17"/>
  <c r="G276" i="17"/>
  <c r="E276" i="17"/>
  <c r="D276" i="17"/>
  <c r="D270" i="17" s="1"/>
  <c r="D269" i="17" s="1"/>
  <c r="O275" i="17"/>
  <c r="L275" i="17"/>
  <c r="I275" i="17"/>
  <c r="F275" i="17"/>
  <c r="O274" i="17"/>
  <c r="L274" i="17"/>
  <c r="I274" i="17"/>
  <c r="F274" i="17"/>
  <c r="C274" i="17" s="1"/>
  <c r="O273" i="17"/>
  <c r="L273" i="17"/>
  <c r="I273" i="17"/>
  <c r="I272" i="17" s="1"/>
  <c r="F273" i="17"/>
  <c r="N272" i="17"/>
  <c r="M272" i="17"/>
  <c r="M270" i="17" s="1"/>
  <c r="L272" i="17"/>
  <c r="K272" i="17"/>
  <c r="J272" i="17"/>
  <c r="H272" i="17"/>
  <c r="G272" i="17"/>
  <c r="G270" i="17" s="1"/>
  <c r="G269" i="17" s="1"/>
  <c r="E272" i="17"/>
  <c r="E270" i="17" s="1"/>
  <c r="E269" i="17" s="1"/>
  <c r="D272" i="17"/>
  <c r="O271" i="17"/>
  <c r="L271" i="17"/>
  <c r="I271" i="17"/>
  <c r="F271" i="17"/>
  <c r="K270" i="17"/>
  <c r="K269" i="17" s="1"/>
  <c r="O268" i="17"/>
  <c r="L268" i="17"/>
  <c r="I268" i="17"/>
  <c r="F268" i="17"/>
  <c r="O267" i="17"/>
  <c r="L267" i="17"/>
  <c r="I267" i="17"/>
  <c r="F267" i="17"/>
  <c r="O266" i="17"/>
  <c r="L266" i="17"/>
  <c r="I266" i="17"/>
  <c r="F266" i="17"/>
  <c r="O265" i="17"/>
  <c r="L265" i="17"/>
  <c r="I265" i="17"/>
  <c r="F265" i="17"/>
  <c r="N264" i="17"/>
  <c r="M264" i="17"/>
  <c r="K264" i="17"/>
  <c r="J264" i="17"/>
  <c r="H264" i="17"/>
  <c r="H259" i="17" s="1"/>
  <c r="G264" i="17"/>
  <c r="E264" i="17"/>
  <c r="D264" i="17"/>
  <c r="O263" i="17"/>
  <c r="L263" i="17"/>
  <c r="I263" i="17"/>
  <c r="F263" i="17"/>
  <c r="O262" i="17"/>
  <c r="L262" i="17"/>
  <c r="I262" i="17"/>
  <c r="F262" i="17"/>
  <c r="O261" i="17"/>
  <c r="O260" i="17" s="1"/>
  <c r="L261" i="17"/>
  <c r="I261" i="17"/>
  <c r="F261" i="17"/>
  <c r="N260" i="17"/>
  <c r="N259" i="17" s="1"/>
  <c r="M260" i="17"/>
  <c r="K260" i="17"/>
  <c r="J260" i="17"/>
  <c r="J259" i="17" s="1"/>
  <c r="I260" i="17"/>
  <c r="H260" i="17"/>
  <c r="G260" i="17"/>
  <c r="E260" i="17"/>
  <c r="D260" i="17"/>
  <c r="D259" i="17" s="1"/>
  <c r="K259" i="17"/>
  <c r="O258" i="17"/>
  <c r="L258" i="17"/>
  <c r="I258" i="17"/>
  <c r="F258" i="17"/>
  <c r="O257" i="17"/>
  <c r="L257" i="17"/>
  <c r="I257" i="17"/>
  <c r="F257" i="17"/>
  <c r="O256" i="17"/>
  <c r="L256" i="17"/>
  <c r="I256" i="17"/>
  <c r="F256" i="17"/>
  <c r="O255" i="17"/>
  <c r="L255" i="17"/>
  <c r="I255" i="17"/>
  <c r="F255" i="17"/>
  <c r="O254" i="17"/>
  <c r="L254" i="17"/>
  <c r="I254" i="17"/>
  <c r="F254" i="17"/>
  <c r="O253" i="17"/>
  <c r="L253" i="17"/>
  <c r="I253" i="17"/>
  <c r="I252" i="17" s="1"/>
  <c r="I251" i="17" s="1"/>
  <c r="F253" i="17"/>
  <c r="N252" i="17"/>
  <c r="N251" i="17" s="1"/>
  <c r="M252" i="17"/>
  <c r="M251" i="17" s="1"/>
  <c r="K252" i="17"/>
  <c r="K251" i="17" s="1"/>
  <c r="J252" i="17"/>
  <c r="H252" i="17"/>
  <c r="H251" i="17" s="1"/>
  <c r="G252" i="17"/>
  <c r="E252" i="17"/>
  <c r="E251" i="17" s="1"/>
  <c r="D252" i="17"/>
  <c r="J251" i="17"/>
  <c r="G251" i="17"/>
  <c r="D251" i="17"/>
  <c r="O250" i="17"/>
  <c r="L250" i="17"/>
  <c r="I250" i="17"/>
  <c r="F250" i="17"/>
  <c r="O249" i="17"/>
  <c r="L249" i="17"/>
  <c r="I249" i="17"/>
  <c r="F249" i="17"/>
  <c r="O248" i="17"/>
  <c r="L248" i="17"/>
  <c r="I248" i="17"/>
  <c r="F248" i="17"/>
  <c r="O247" i="17"/>
  <c r="O246" i="17" s="1"/>
  <c r="L247" i="17"/>
  <c r="L246" i="17" s="1"/>
  <c r="I247" i="17"/>
  <c r="F247" i="17"/>
  <c r="N246" i="17"/>
  <c r="M246" i="17"/>
  <c r="K246" i="17"/>
  <c r="J246" i="17"/>
  <c r="H246" i="17"/>
  <c r="G246" i="17"/>
  <c r="E246" i="17"/>
  <c r="D246" i="17"/>
  <c r="O245" i="17"/>
  <c r="L245" i="17"/>
  <c r="I245" i="17"/>
  <c r="F245" i="17"/>
  <c r="O244" i="17"/>
  <c r="L244" i="17"/>
  <c r="I244" i="17"/>
  <c r="F244" i="17"/>
  <c r="O243" i="17"/>
  <c r="L243" i="17"/>
  <c r="I243" i="17"/>
  <c r="F243" i="17"/>
  <c r="O242" i="17"/>
  <c r="L242" i="17"/>
  <c r="I242" i="17"/>
  <c r="F242" i="17"/>
  <c r="O241" i="17"/>
  <c r="L241" i="17"/>
  <c r="I241" i="17"/>
  <c r="F241" i="17"/>
  <c r="O240" i="17"/>
  <c r="L240" i="17"/>
  <c r="I240" i="17"/>
  <c r="F240" i="17"/>
  <c r="O239" i="17"/>
  <c r="O238" i="17" s="1"/>
  <c r="L239" i="17"/>
  <c r="I239" i="17"/>
  <c r="F239" i="17"/>
  <c r="N238" i="17"/>
  <c r="M238" i="17"/>
  <c r="L238" i="17"/>
  <c r="K238" i="17"/>
  <c r="J238" i="17"/>
  <c r="H238" i="17"/>
  <c r="G238" i="17"/>
  <c r="E238" i="17"/>
  <c r="D238" i="17"/>
  <c r="O237" i="17"/>
  <c r="L237" i="17"/>
  <c r="I237" i="17"/>
  <c r="F237" i="17"/>
  <c r="O236" i="17"/>
  <c r="L236" i="17"/>
  <c r="L235" i="17" s="1"/>
  <c r="I236" i="17"/>
  <c r="I235" i="17" s="1"/>
  <c r="F236" i="17"/>
  <c r="O235" i="17"/>
  <c r="N235" i="17"/>
  <c r="M235" i="17"/>
  <c r="K235" i="17"/>
  <c r="K231" i="17" s="1"/>
  <c r="J235" i="17"/>
  <c r="H235" i="17"/>
  <c r="G235" i="17"/>
  <c r="F235" i="17"/>
  <c r="E235" i="17"/>
  <c r="D235" i="17"/>
  <c r="O234" i="17"/>
  <c r="O233" i="17" s="1"/>
  <c r="L234" i="17"/>
  <c r="L233" i="17" s="1"/>
  <c r="I234" i="17"/>
  <c r="I233" i="17" s="1"/>
  <c r="F234" i="17"/>
  <c r="F233" i="17" s="1"/>
  <c r="N233" i="17"/>
  <c r="M233" i="17"/>
  <c r="K233" i="17"/>
  <c r="J233" i="17"/>
  <c r="H233" i="17"/>
  <c r="H231" i="17" s="1"/>
  <c r="G233" i="17"/>
  <c r="E233" i="17"/>
  <c r="D233" i="17"/>
  <c r="O232" i="17"/>
  <c r="L232" i="17"/>
  <c r="I232" i="17"/>
  <c r="F232" i="17"/>
  <c r="N231" i="17"/>
  <c r="O229" i="17"/>
  <c r="L229" i="17"/>
  <c r="I229" i="17"/>
  <c r="F229" i="17"/>
  <c r="O228" i="17"/>
  <c r="L228" i="17"/>
  <c r="L227" i="17" s="1"/>
  <c r="I228" i="17"/>
  <c r="I227" i="17" s="1"/>
  <c r="F228" i="17"/>
  <c r="O227" i="17"/>
  <c r="N227" i="17"/>
  <c r="M227" i="17"/>
  <c r="K227" i="17"/>
  <c r="J227" i="17"/>
  <c r="H227" i="17"/>
  <c r="G227" i="17"/>
  <c r="F227" i="17"/>
  <c r="E227" i="17"/>
  <c r="D227" i="17"/>
  <c r="O226" i="17"/>
  <c r="L226" i="17"/>
  <c r="I226" i="17"/>
  <c r="F226" i="17"/>
  <c r="O225" i="17"/>
  <c r="L225" i="17"/>
  <c r="I225" i="17"/>
  <c r="F225" i="17"/>
  <c r="O224" i="17"/>
  <c r="L224" i="17"/>
  <c r="I224" i="17"/>
  <c r="F224" i="17"/>
  <c r="O223" i="17"/>
  <c r="L223" i="17"/>
  <c r="I223" i="17"/>
  <c r="F223" i="17"/>
  <c r="O222" i="17"/>
  <c r="L222" i="17"/>
  <c r="I222" i="17"/>
  <c r="F222" i="17"/>
  <c r="O221" i="17"/>
  <c r="L221" i="17"/>
  <c r="I221" i="17"/>
  <c r="F221" i="17"/>
  <c r="O220" i="17"/>
  <c r="L220" i="17"/>
  <c r="I220" i="17"/>
  <c r="F220" i="17"/>
  <c r="O219" i="17"/>
  <c r="L219" i="17"/>
  <c r="I219" i="17"/>
  <c r="F219" i="17"/>
  <c r="O218" i="17"/>
  <c r="L218" i="17"/>
  <c r="I218" i="17"/>
  <c r="F218" i="17"/>
  <c r="O217" i="17"/>
  <c r="L217" i="17"/>
  <c r="I217" i="17"/>
  <c r="F217" i="17"/>
  <c r="N216" i="17"/>
  <c r="M216" i="17"/>
  <c r="K216" i="17"/>
  <c r="J216" i="17"/>
  <c r="H216" i="17"/>
  <c r="G216" i="17"/>
  <c r="E216" i="17"/>
  <c r="D216" i="17"/>
  <c r="O215" i="17"/>
  <c r="L215" i="17"/>
  <c r="I215" i="17"/>
  <c r="F215" i="17"/>
  <c r="C215" i="17"/>
  <c r="O214" i="17"/>
  <c r="L214" i="17"/>
  <c r="I214" i="17"/>
  <c r="F214" i="17"/>
  <c r="C214" i="17" s="1"/>
  <c r="O213" i="17"/>
  <c r="L213" i="17"/>
  <c r="I213" i="17"/>
  <c r="F213" i="17"/>
  <c r="O212" i="17"/>
  <c r="L212" i="17"/>
  <c r="I212" i="17"/>
  <c r="F212" i="17"/>
  <c r="O211" i="17"/>
  <c r="L211" i="17"/>
  <c r="I211" i="17"/>
  <c r="F211" i="17"/>
  <c r="C211" i="17" s="1"/>
  <c r="O210" i="17"/>
  <c r="L210" i="17"/>
  <c r="I210" i="17"/>
  <c r="F210" i="17"/>
  <c r="O209" i="17"/>
  <c r="L209" i="17"/>
  <c r="I209" i="17"/>
  <c r="F209" i="17"/>
  <c r="O208" i="17"/>
  <c r="L208" i="17"/>
  <c r="I208" i="17"/>
  <c r="F208" i="17"/>
  <c r="O207" i="17"/>
  <c r="L207" i="17"/>
  <c r="I207" i="17"/>
  <c r="F207" i="17"/>
  <c r="O206" i="17"/>
  <c r="L206" i="17"/>
  <c r="L205" i="17" s="1"/>
  <c r="I206" i="17"/>
  <c r="F206" i="17"/>
  <c r="N205" i="17"/>
  <c r="M205" i="17"/>
  <c r="M204" i="17" s="1"/>
  <c r="K205" i="17"/>
  <c r="J205" i="17"/>
  <c r="J204" i="17" s="1"/>
  <c r="H205" i="17"/>
  <c r="G205" i="17"/>
  <c r="E205" i="17"/>
  <c r="E204" i="17" s="1"/>
  <c r="D205" i="17"/>
  <c r="D204" i="17" s="1"/>
  <c r="O203" i="17"/>
  <c r="L203" i="17"/>
  <c r="I203" i="17"/>
  <c r="C203" i="17" s="1"/>
  <c r="F203" i="17"/>
  <c r="O202" i="17"/>
  <c r="L202" i="17"/>
  <c r="I202" i="17"/>
  <c r="F202" i="17"/>
  <c r="O201" i="17"/>
  <c r="L201" i="17"/>
  <c r="I201" i="17"/>
  <c r="F201" i="17"/>
  <c r="O200" i="17"/>
  <c r="L200" i="17"/>
  <c r="I200" i="17"/>
  <c r="F200" i="17"/>
  <c r="O199" i="17"/>
  <c r="O198" i="17" s="1"/>
  <c r="L199" i="17"/>
  <c r="L198" i="17" s="1"/>
  <c r="I199" i="17"/>
  <c r="F199" i="17"/>
  <c r="N198" i="17"/>
  <c r="N196" i="17" s="1"/>
  <c r="M198" i="17"/>
  <c r="K198" i="17"/>
  <c r="K196" i="17" s="1"/>
  <c r="J198" i="17"/>
  <c r="H198" i="17"/>
  <c r="H196" i="17" s="1"/>
  <c r="G198" i="17"/>
  <c r="G196" i="17" s="1"/>
  <c r="F198" i="17"/>
  <c r="E198" i="17"/>
  <c r="E196" i="17" s="1"/>
  <c r="E195" i="17" s="1"/>
  <c r="D198" i="17"/>
  <c r="D196" i="17" s="1"/>
  <c r="O197" i="17"/>
  <c r="L197" i="17"/>
  <c r="I197" i="17"/>
  <c r="F197" i="17"/>
  <c r="M196" i="17"/>
  <c r="J196" i="17"/>
  <c r="O193" i="17"/>
  <c r="L193" i="17"/>
  <c r="I193" i="17"/>
  <c r="F193" i="17"/>
  <c r="F192" i="17" s="1"/>
  <c r="F191" i="17" s="1"/>
  <c r="F187" i="17" s="1"/>
  <c r="O192" i="17"/>
  <c r="O191" i="17" s="1"/>
  <c r="N192" i="17"/>
  <c r="M192" i="17"/>
  <c r="M191" i="17" s="1"/>
  <c r="L192" i="17"/>
  <c r="L191" i="17" s="1"/>
  <c r="K192" i="17"/>
  <c r="K191" i="17" s="1"/>
  <c r="J192" i="17"/>
  <c r="J191" i="17" s="1"/>
  <c r="I192" i="17"/>
  <c r="I191" i="17" s="1"/>
  <c r="H192" i="17"/>
  <c r="H191" i="17" s="1"/>
  <c r="G192" i="17"/>
  <c r="G191" i="17" s="1"/>
  <c r="E192" i="17"/>
  <c r="E191" i="17" s="1"/>
  <c r="D192" i="17"/>
  <c r="N191" i="17"/>
  <c r="N187" i="17" s="1"/>
  <c r="D191" i="17"/>
  <c r="O190" i="17"/>
  <c r="L190" i="17"/>
  <c r="I190" i="17"/>
  <c r="F190" i="17"/>
  <c r="O189" i="17"/>
  <c r="L189" i="17"/>
  <c r="L188" i="17" s="1"/>
  <c r="I189" i="17"/>
  <c r="F189" i="17"/>
  <c r="F188" i="17" s="1"/>
  <c r="O188" i="17"/>
  <c r="N188" i="17"/>
  <c r="M188" i="17"/>
  <c r="M187" i="17" s="1"/>
  <c r="K188" i="17"/>
  <c r="K187" i="17" s="1"/>
  <c r="J188" i="17"/>
  <c r="J187" i="17" s="1"/>
  <c r="H188" i="17"/>
  <c r="G188" i="17"/>
  <c r="E188" i="17"/>
  <c r="D188" i="17"/>
  <c r="O186" i="17"/>
  <c r="L186" i="17"/>
  <c r="I186" i="17"/>
  <c r="F186" i="17"/>
  <c r="O185" i="17"/>
  <c r="L185" i="17"/>
  <c r="L184" i="17" s="1"/>
  <c r="I185" i="17"/>
  <c r="I184" i="17" s="1"/>
  <c r="F185" i="17"/>
  <c r="N184" i="17"/>
  <c r="M184" i="17"/>
  <c r="K184" i="17"/>
  <c r="J184" i="17"/>
  <c r="H184" i="17"/>
  <c r="G184" i="17"/>
  <c r="E184" i="17"/>
  <c r="D184" i="17"/>
  <c r="O183" i="17"/>
  <c r="L183" i="17"/>
  <c r="I183" i="17"/>
  <c r="F183" i="17"/>
  <c r="O182" i="17"/>
  <c r="L182" i="17"/>
  <c r="I182" i="17"/>
  <c r="F182" i="17"/>
  <c r="O181" i="17"/>
  <c r="L181" i="17"/>
  <c r="I181" i="17"/>
  <c r="F181" i="17"/>
  <c r="O180" i="17"/>
  <c r="L180" i="17"/>
  <c r="C180" i="17" s="1"/>
  <c r="I180" i="17"/>
  <c r="F180" i="17"/>
  <c r="N179" i="17"/>
  <c r="M179" i="17"/>
  <c r="K179" i="17"/>
  <c r="J179" i="17"/>
  <c r="H179" i="17"/>
  <c r="G179" i="17"/>
  <c r="G174" i="17" s="1"/>
  <c r="G173" i="17" s="1"/>
  <c r="E179" i="17"/>
  <c r="D179" i="17"/>
  <c r="O178" i="17"/>
  <c r="L178" i="17"/>
  <c r="I178" i="17"/>
  <c r="F178" i="17"/>
  <c r="O177" i="17"/>
  <c r="L177" i="17"/>
  <c r="I177" i="17"/>
  <c r="F177" i="17"/>
  <c r="O176" i="17"/>
  <c r="L176" i="17"/>
  <c r="I176" i="17"/>
  <c r="F176" i="17"/>
  <c r="C176" i="17" s="1"/>
  <c r="N175" i="17"/>
  <c r="M175" i="17"/>
  <c r="K175" i="17"/>
  <c r="K174" i="17" s="1"/>
  <c r="K173" i="17" s="1"/>
  <c r="J175" i="17"/>
  <c r="H175" i="17"/>
  <c r="G175" i="17"/>
  <c r="E175" i="17"/>
  <c r="E174" i="17" s="1"/>
  <c r="E173" i="17" s="1"/>
  <c r="D175" i="17"/>
  <c r="M174" i="17"/>
  <c r="M173" i="17" s="1"/>
  <c r="O172" i="17"/>
  <c r="L172" i="17"/>
  <c r="I172" i="17"/>
  <c r="F172" i="17"/>
  <c r="O171" i="17"/>
  <c r="L171" i="17"/>
  <c r="I171" i="17"/>
  <c r="F171" i="17"/>
  <c r="O170" i="17"/>
  <c r="L170" i="17"/>
  <c r="I170" i="17"/>
  <c r="F170" i="17"/>
  <c r="O169" i="17"/>
  <c r="L169" i="17"/>
  <c r="I169" i="17"/>
  <c r="F169" i="17"/>
  <c r="O168" i="17"/>
  <c r="L168" i="17"/>
  <c r="I168" i="17"/>
  <c r="F168" i="17"/>
  <c r="O167" i="17"/>
  <c r="L167" i="17"/>
  <c r="I167" i="17"/>
  <c r="F167" i="17"/>
  <c r="F166" i="17" s="1"/>
  <c r="F165" i="17" s="1"/>
  <c r="O166" i="17"/>
  <c r="O165" i="17" s="1"/>
  <c r="N166" i="17"/>
  <c r="M166" i="17"/>
  <c r="M165" i="17" s="1"/>
  <c r="K166" i="17"/>
  <c r="K165" i="17" s="1"/>
  <c r="J166" i="17"/>
  <c r="J165" i="17" s="1"/>
  <c r="H166" i="17"/>
  <c r="G166" i="17"/>
  <c r="G165" i="17" s="1"/>
  <c r="E166" i="17"/>
  <c r="E165" i="17" s="1"/>
  <c r="D166" i="17"/>
  <c r="D165" i="17" s="1"/>
  <c r="N165" i="17"/>
  <c r="H165" i="17"/>
  <c r="O164" i="17"/>
  <c r="L164" i="17"/>
  <c r="I164" i="17"/>
  <c r="F164" i="17"/>
  <c r="O163" i="17"/>
  <c r="L163" i="17"/>
  <c r="I163" i="17"/>
  <c r="F163" i="17"/>
  <c r="O162" i="17"/>
  <c r="L162" i="17"/>
  <c r="I162" i="17"/>
  <c r="F162" i="17"/>
  <c r="O161" i="17"/>
  <c r="L161" i="17"/>
  <c r="L160" i="17" s="1"/>
  <c r="I161" i="17"/>
  <c r="I160" i="17" s="1"/>
  <c r="F161" i="17"/>
  <c r="N160" i="17"/>
  <c r="M160" i="17"/>
  <c r="K160" i="17"/>
  <c r="J160" i="17"/>
  <c r="H160" i="17"/>
  <c r="G160" i="17"/>
  <c r="E160" i="17"/>
  <c r="D160" i="17"/>
  <c r="O159" i="17"/>
  <c r="L159" i="17"/>
  <c r="I159" i="17"/>
  <c r="F159" i="17"/>
  <c r="O158" i="17"/>
  <c r="L158" i="17"/>
  <c r="I158" i="17"/>
  <c r="F158" i="17"/>
  <c r="O157" i="17"/>
  <c r="L157" i="17"/>
  <c r="I157" i="17"/>
  <c r="F157" i="17"/>
  <c r="O156" i="17"/>
  <c r="L156" i="17"/>
  <c r="I156" i="17"/>
  <c r="F156" i="17"/>
  <c r="O155" i="17"/>
  <c r="L155" i="17"/>
  <c r="I155" i="17"/>
  <c r="F155" i="17"/>
  <c r="O154" i="17"/>
  <c r="C154" i="17" s="1"/>
  <c r="L154" i="17"/>
  <c r="I154" i="17"/>
  <c r="F154" i="17"/>
  <c r="O153" i="17"/>
  <c r="L153" i="17"/>
  <c r="I153" i="17"/>
  <c r="F153" i="17"/>
  <c r="C153" i="17" s="1"/>
  <c r="O152" i="17"/>
  <c r="L152" i="17"/>
  <c r="I152" i="17"/>
  <c r="F152" i="17"/>
  <c r="F151" i="17" s="1"/>
  <c r="N151" i="17"/>
  <c r="M151" i="17"/>
  <c r="K151" i="17"/>
  <c r="J151" i="17"/>
  <c r="H151" i="17"/>
  <c r="G151" i="17"/>
  <c r="E151" i="17"/>
  <c r="D151" i="17"/>
  <c r="O150" i="17"/>
  <c r="L150" i="17"/>
  <c r="I150" i="17"/>
  <c r="F150" i="17"/>
  <c r="O149" i="17"/>
  <c r="L149" i="17"/>
  <c r="I149" i="17"/>
  <c r="F149" i="17"/>
  <c r="O148" i="17"/>
  <c r="L148" i="17"/>
  <c r="I148" i="17"/>
  <c r="F148" i="17"/>
  <c r="O147" i="17"/>
  <c r="L147" i="17"/>
  <c r="I147" i="17"/>
  <c r="F147" i="17"/>
  <c r="O146" i="17"/>
  <c r="L146" i="17"/>
  <c r="I146" i="17"/>
  <c r="F146" i="17"/>
  <c r="C146" i="17" s="1"/>
  <c r="O145" i="17"/>
  <c r="L145" i="17"/>
  <c r="I145" i="17"/>
  <c r="F145" i="17"/>
  <c r="N144" i="17"/>
  <c r="M144" i="17"/>
  <c r="K144" i="17"/>
  <c r="J144" i="17"/>
  <c r="I144" i="17"/>
  <c r="H144" i="17"/>
  <c r="G144" i="17"/>
  <c r="E144" i="17"/>
  <c r="D144" i="17"/>
  <c r="O143" i="17"/>
  <c r="L143" i="17"/>
  <c r="I143" i="17"/>
  <c r="F143" i="17"/>
  <c r="O142" i="17"/>
  <c r="O141" i="17" s="1"/>
  <c r="L142" i="17"/>
  <c r="I142" i="17"/>
  <c r="I141" i="17" s="1"/>
  <c r="F142" i="17"/>
  <c r="N141" i="17"/>
  <c r="M141" i="17"/>
  <c r="K141" i="17"/>
  <c r="J141" i="17"/>
  <c r="H141" i="17"/>
  <c r="G141" i="17"/>
  <c r="F141" i="17"/>
  <c r="E141" i="17"/>
  <c r="D141" i="17"/>
  <c r="O140" i="17"/>
  <c r="L140" i="17"/>
  <c r="I140" i="17"/>
  <c r="F140" i="17"/>
  <c r="O139" i="17"/>
  <c r="L139" i="17"/>
  <c r="I139" i="17"/>
  <c r="F139" i="17"/>
  <c r="O138" i="17"/>
  <c r="L138" i="17"/>
  <c r="C138" i="17" s="1"/>
  <c r="I138" i="17"/>
  <c r="F138" i="17"/>
  <c r="O137" i="17"/>
  <c r="L137" i="17"/>
  <c r="I137" i="17"/>
  <c r="F137" i="17"/>
  <c r="N136" i="17"/>
  <c r="M136" i="17"/>
  <c r="K136" i="17"/>
  <c r="J136" i="17"/>
  <c r="I136" i="17"/>
  <c r="H136" i="17"/>
  <c r="G136" i="17"/>
  <c r="E136" i="17"/>
  <c r="D136" i="17"/>
  <c r="O135" i="17"/>
  <c r="L135" i="17"/>
  <c r="I135" i="17"/>
  <c r="F135" i="17"/>
  <c r="O134" i="17"/>
  <c r="L134" i="17"/>
  <c r="I134" i="17"/>
  <c r="F134" i="17"/>
  <c r="O133" i="17"/>
  <c r="L133" i="17"/>
  <c r="I133" i="17"/>
  <c r="F133" i="17"/>
  <c r="O132" i="17"/>
  <c r="O131" i="17" s="1"/>
  <c r="L132" i="17"/>
  <c r="I132" i="17"/>
  <c r="F132" i="17"/>
  <c r="N131" i="17"/>
  <c r="N130" i="17" s="1"/>
  <c r="M131" i="17"/>
  <c r="K131" i="17"/>
  <c r="J131" i="17"/>
  <c r="H131" i="17"/>
  <c r="H130" i="17" s="1"/>
  <c r="G131" i="17"/>
  <c r="E131" i="17"/>
  <c r="D131" i="17"/>
  <c r="K130" i="17"/>
  <c r="G130" i="17"/>
  <c r="O129" i="17"/>
  <c r="L129" i="17"/>
  <c r="L128" i="17" s="1"/>
  <c r="I129" i="17"/>
  <c r="I128" i="17" s="1"/>
  <c r="F129" i="17"/>
  <c r="O128" i="17"/>
  <c r="N128" i="17"/>
  <c r="M128" i="17"/>
  <c r="K128" i="17"/>
  <c r="J128" i="17"/>
  <c r="H128" i="17"/>
  <c r="G128" i="17"/>
  <c r="E128" i="17"/>
  <c r="D128" i="17"/>
  <c r="O127" i="17"/>
  <c r="L127" i="17"/>
  <c r="I127" i="17"/>
  <c r="F127" i="17"/>
  <c r="O126" i="17"/>
  <c r="L126" i="17"/>
  <c r="I126" i="17"/>
  <c r="F126" i="17"/>
  <c r="C126" i="17" s="1"/>
  <c r="O125" i="17"/>
  <c r="L125" i="17"/>
  <c r="I125" i="17"/>
  <c r="F125" i="17"/>
  <c r="O124" i="17"/>
  <c r="L124" i="17"/>
  <c r="I124" i="17"/>
  <c r="F124" i="17"/>
  <c r="O123" i="17"/>
  <c r="L123" i="17"/>
  <c r="I123" i="17"/>
  <c r="F123" i="17"/>
  <c r="N122" i="17"/>
  <c r="M122" i="17"/>
  <c r="K122" i="17"/>
  <c r="J122" i="17"/>
  <c r="H122" i="17"/>
  <c r="G122" i="17"/>
  <c r="E122" i="17"/>
  <c r="D122" i="17"/>
  <c r="O121" i="17"/>
  <c r="L121" i="17"/>
  <c r="I121" i="17"/>
  <c r="F121" i="17"/>
  <c r="O120" i="17"/>
  <c r="L120" i="17"/>
  <c r="I120" i="17"/>
  <c r="F120" i="17"/>
  <c r="O119" i="17"/>
  <c r="L119" i="17"/>
  <c r="I119" i="17"/>
  <c r="F119" i="17"/>
  <c r="O118" i="17"/>
  <c r="L118" i="17"/>
  <c r="I118" i="17"/>
  <c r="F118" i="17"/>
  <c r="O117" i="17"/>
  <c r="L117" i="17"/>
  <c r="I117" i="17"/>
  <c r="F117" i="17"/>
  <c r="N116" i="17"/>
  <c r="M116" i="17"/>
  <c r="K116" i="17"/>
  <c r="J116" i="17"/>
  <c r="H116" i="17"/>
  <c r="G116" i="17"/>
  <c r="E116" i="17"/>
  <c r="D116" i="17"/>
  <c r="O115" i="17"/>
  <c r="L115" i="17"/>
  <c r="I115" i="17"/>
  <c r="F115" i="17"/>
  <c r="O114" i="17"/>
  <c r="L114" i="17"/>
  <c r="I114" i="17"/>
  <c r="F114" i="17"/>
  <c r="O113" i="17"/>
  <c r="L113" i="17"/>
  <c r="L112" i="17" s="1"/>
  <c r="I113" i="17"/>
  <c r="F113" i="17"/>
  <c r="N112" i="17"/>
  <c r="M112" i="17"/>
  <c r="K112" i="17"/>
  <c r="J112" i="17"/>
  <c r="I112" i="17"/>
  <c r="H112" i="17"/>
  <c r="G112" i="17"/>
  <c r="E112" i="17"/>
  <c r="D112" i="17"/>
  <c r="O111" i="17"/>
  <c r="L111" i="17"/>
  <c r="I111" i="17"/>
  <c r="F111" i="17"/>
  <c r="O110" i="17"/>
  <c r="L110" i="17"/>
  <c r="I110" i="17"/>
  <c r="F110" i="17"/>
  <c r="C110" i="17" s="1"/>
  <c r="O109" i="17"/>
  <c r="L109" i="17"/>
  <c r="I109" i="17"/>
  <c r="F109" i="17"/>
  <c r="O108" i="17"/>
  <c r="L108" i="17"/>
  <c r="I108" i="17"/>
  <c r="F108" i="17"/>
  <c r="O107" i="17"/>
  <c r="L107" i="17"/>
  <c r="I107" i="17"/>
  <c r="F107" i="17"/>
  <c r="O106" i="17"/>
  <c r="L106" i="17"/>
  <c r="I106" i="17"/>
  <c r="F106" i="17"/>
  <c r="O105" i="17"/>
  <c r="L105" i="17"/>
  <c r="I105" i="17"/>
  <c r="F105" i="17"/>
  <c r="O104" i="17"/>
  <c r="L104" i="17"/>
  <c r="I104" i="17"/>
  <c r="F104" i="17"/>
  <c r="N103" i="17"/>
  <c r="M103" i="17"/>
  <c r="K103" i="17"/>
  <c r="J103" i="17"/>
  <c r="H103" i="17"/>
  <c r="G103" i="17"/>
  <c r="E103" i="17"/>
  <c r="D103" i="17"/>
  <c r="O102" i="17"/>
  <c r="L102" i="17"/>
  <c r="I102" i="17"/>
  <c r="F102" i="17"/>
  <c r="O101" i="17"/>
  <c r="L101" i="17"/>
  <c r="I101" i="17"/>
  <c r="F101" i="17"/>
  <c r="O100" i="17"/>
  <c r="L100" i="17"/>
  <c r="I100" i="17"/>
  <c r="F100" i="17"/>
  <c r="O99" i="17"/>
  <c r="L99" i="17"/>
  <c r="I99" i="17"/>
  <c r="F99" i="17"/>
  <c r="O98" i="17"/>
  <c r="L98" i="17"/>
  <c r="I98" i="17"/>
  <c r="F98" i="17"/>
  <c r="O97" i="17"/>
  <c r="L97" i="17"/>
  <c r="I97" i="17"/>
  <c r="F97" i="17"/>
  <c r="O96" i="17"/>
  <c r="L96" i="17"/>
  <c r="I96" i="17"/>
  <c r="F96" i="17"/>
  <c r="N95" i="17"/>
  <c r="M95" i="17"/>
  <c r="K95" i="17"/>
  <c r="J95" i="17"/>
  <c r="H95" i="17"/>
  <c r="G95" i="17"/>
  <c r="E95" i="17"/>
  <c r="D95" i="17"/>
  <c r="O94" i="17"/>
  <c r="L94" i="17"/>
  <c r="I94" i="17"/>
  <c r="F94" i="17"/>
  <c r="O93" i="17"/>
  <c r="L93" i="17"/>
  <c r="I93" i="17"/>
  <c r="F93" i="17"/>
  <c r="O92" i="17"/>
  <c r="L92" i="17"/>
  <c r="I92" i="17"/>
  <c r="F92" i="17"/>
  <c r="O91" i="17"/>
  <c r="L91" i="17"/>
  <c r="I91" i="17"/>
  <c r="F91" i="17"/>
  <c r="O90" i="17"/>
  <c r="L90" i="17"/>
  <c r="I90" i="17"/>
  <c r="C90" i="17" s="1"/>
  <c r="F90" i="17"/>
  <c r="N89" i="17"/>
  <c r="M89" i="17"/>
  <c r="L89" i="17"/>
  <c r="K89" i="17"/>
  <c r="J89" i="17"/>
  <c r="H89" i="17"/>
  <c r="G89" i="17"/>
  <c r="E89" i="17"/>
  <c r="D89" i="17"/>
  <c r="O88" i="17"/>
  <c r="L88" i="17"/>
  <c r="I88" i="17"/>
  <c r="F88" i="17"/>
  <c r="O87" i="17"/>
  <c r="L87" i="17"/>
  <c r="I87" i="17"/>
  <c r="F87" i="17"/>
  <c r="O86" i="17"/>
  <c r="O84" i="17" s="1"/>
  <c r="L86" i="17"/>
  <c r="I86" i="17"/>
  <c r="F86" i="17"/>
  <c r="O85" i="17"/>
  <c r="L85" i="17"/>
  <c r="I85" i="17"/>
  <c r="I84" i="17" s="1"/>
  <c r="F85" i="17"/>
  <c r="N84" i="17"/>
  <c r="M84" i="17"/>
  <c r="K84" i="17"/>
  <c r="J84" i="17"/>
  <c r="H84" i="17"/>
  <c r="G84" i="17"/>
  <c r="E84" i="17"/>
  <c r="D84" i="17"/>
  <c r="O82" i="17"/>
  <c r="C82" i="17" s="1"/>
  <c r="L82" i="17"/>
  <c r="I82" i="17"/>
  <c r="I80" i="17" s="1"/>
  <c r="F82" i="17"/>
  <c r="O81" i="17"/>
  <c r="L81" i="17"/>
  <c r="L80" i="17" s="1"/>
  <c r="I81" i="17"/>
  <c r="F81" i="17"/>
  <c r="N80" i="17"/>
  <c r="M80" i="17"/>
  <c r="M76" i="17" s="1"/>
  <c r="K80" i="17"/>
  <c r="J80" i="17"/>
  <c r="J76" i="17" s="1"/>
  <c r="H80" i="17"/>
  <c r="G80" i="17"/>
  <c r="E80" i="17"/>
  <c r="E76" i="17" s="1"/>
  <c r="D80" i="17"/>
  <c r="O79" i="17"/>
  <c r="L79" i="17"/>
  <c r="I79" i="17"/>
  <c r="F79" i="17"/>
  <c r="O78" i="17"/>
  <c r="O77" i="17" s="1"/>
  <c r="L78" i="17"/>
  <c r="I78" i="17"/>
  <c r="I77" i="17" s="1"/>
  <c r="I76" i="17" s="1"/>
  <c r="F78" i="17"/>
  <c r="N77" i="17"/>
  <c r="N76" i="17" s="1"/>
  <c r="M77" i="17"/>
  <c r="K77" i="17"/>
  <c r="J77" i="17"/>
  <c r="H77" i="17"/>
  <c r="G77" i="17"/>
  <c r="G76" i="17" s="1"/>
  <c r="E77" i="17"/>
  <c r="D77" i="17"/>
  <c r="D76" i="17" s="1"/>
  <c r="K76" i="17"/>
  <c r="O74" i="17"/>
  <c r="L74" i="17"/>
  <c r="I74" i="17"/>
  <c r="F74" i="17"/>
  <c r="O73" i="17"/>
  <c r="L73" i="17"/>
  <c r="I73" i="17"/>
  <c r="F73" i="17"/>
  <c r="O72" i="17"/>
  <c r="L72" i="17"/>
  <c r="I72" i="17"/>
  <c r="F72" i="17"/>
  <c r="O71" i="17"/>
  <c r="L71" i="17"/>
  <c r="I71" i="17"/>
  <c r="F71" i="17"/>
  <c r="O70" i="17"/>
  <c r="O69" i="17" s="1"/>
  <c r="L70" i="17"/>
  <c r="I70" i="17"/>
  <c r="F70" i="17"/>
  <c r="C70" i="17"/>
  <c r="N69" i="17"/>
  <c r="M69" i="17"/>
  <c r="K69" i="17"/>
  <c r="J69" i="17"/>
  <c r="H69" i="17"/>
  <c r="H67" i="17" s="1"/>
  <c r="G69" i="17"/>
  <c r="G67" i="17" s="1"/>
  <c r="E69" i="17"/>
  <c r="D69" i="17"/>
  <c r="D67" i="17" s="1"/>
  <c r="O68" i="17"/>
  <c r="L68" i="17"/>
  <c r="I68" i="17"/>
  <c r="F68" i="17"/>
  <c r="C68" i="17" s="1"/>
  <c r="N67" i="17"/>
  <c r="M67" i="17"/>
  <c r="K67" i="17"/>
  <c r="J67" i="17"/>
  <c r="E67" i="17"/>
  <c r="O66" i="17"/>
  <c r="L66" i="17"/>
  <c r="I66" i="17"/>
  <c r="F66" i="17"/>
  <c r="O65" i="17"/>
  <c r="L65" i="17"/>
  <c r="I65" i="17"/>
  <c r="F65" i="17"/>
  <c r="O64" i="17"/>
  <c r="L64" i="17"/>
  <c r="I64" i="17"/>
  <c r="F64" i="17"/>
  <c r="O63" i="17"/>
  <c r="L63" i="17"/>
  <c r="I63" i="17"/>
  <c r="F63" i="17"/>
  <c r="O62" i="17"/>
  <c r="L62" i="17"/>
  <c r="I62" i="17"/>
  <c r="F62" i="17"/>
  <c r="O61" i="17"/>
  <c r="L61" i="17"/>
  <c r="I61" i="17"/>
  <c r="F61" i="17"/>
  <c r="O60" i="17"/>
  <c r="L60" i="17"/>
  <c r="I60" i="17"/>
  <c r="F60" i="17"/>
  <c r="O59" i="17"/>
  <c r="L59" i="17"/>
  <c r="I59" i="17"/>
  <c r="F59" i="17"/>
  <c r="N58" i="17"/>
  <c r="M58" i="17"/>
  <c r="M54" i="17" s="1"/>
  <c r="M53" i="17" s="1"/>
  <c r="K58" i="17"/>
  <c r="J58" i="17"/>
  <c r="H58" i="17"/>
  <c r="G58" i="17"/>
  <c r="E58" i="17"/>
  <c r="D58" i="17"/>
  <c r="O57" i="17"/>
  <c r="L57" i="17"/>
  <c r="I57" i="17"/>
  <c r="F57" i="17"/>
  <c r="O56" i="17"/>
  <c r="L56" i="17"/>
  <c r="L55" i="17" s="1"/>
  <c r="I56" i="17"/>
  <c r="I55" i="17" s="1"/>
  <c r="F56" i="17"/>
  <c r="O55" i="17"/>
  <c r="N55" i="17"/>
  <c r="N54" i="17" s="1"/>
  <c r="N53" i="17" s="1"/>
  <c r="M55" i="17"/>
  <c r="K55" i="17"/>
  <c r="J55" i="17"/>
  <c r="J54" i="17" s="1"/>
  <c r="H55" i="17"/>
  <c r="H54" i="17" s="1"/>
  <c r="G55" i="17"/>
  <c r="F55" i="17"/>
  <c r="E55" i="17"/>
  <c r="E54" i="17" s="1"/>
  <c r="E53" i="17" s="1"/>
  <c r="D55" i="17"/>
  <c r="D54" i="17" s="1"/>
  <c r="O47" i="17"/>
  <c r="O45" i="17" s="1"/>
  <c r="O46" i="17"/>
  <c r="C46" i="17" s="1"/>
  <c r="N45" i="17"/>
  <c r="M45" i="17"/>
  <c r="L44" i="17"/>
  <c r="L43" i="17" s="1"/>
  <c r="I44" i="17"/>
  <c r="I43" i="17" s="1"/>
  <c r="F44" i="17"/>
  <c r="C44" i="17" s="1"/>
  <c r="K43" i="17"/>
  <c r="J43" i="17"/>
  <c r="H43" i="17"/>
  <c r="G43" i="17"/>
  <c r="E43" i="17"/>
  <c r="D43" i="17"/>
  <c r="F42" i="17"/>
  <c r="C42" i="17" s="1"/>
  <c r="E41" i="17"/>
  <c r="D41" i="17"/>
  <c r="L40" i="17"/>
  <c r="C40" i="17" s="1"/>
  <c r="L39" i="17"/>
  <c r="C39" i="17" s="1"/>
  <c r="L38" i="17"/>
  <c r="C38" i="17" s="1"/>
  <c r="L37" i="17"/>
  <c r="C37" i="17" s="1"/>
  <c r="K36" i="17"/>
  <c r="J36" i="17"/>
  <c r="L35" i="17"/>
  <c r="C35" i="17" s="1"/>
  <c r="L34" i="17"/>
  <c r="C34" i="17" s="1"/>
  <c r="K33" i="17"/>
  <c r="J33" i="17"/>
  <c r="L32" i="17"/>
  <c r="L31" i="17" s="1"/>
  <c r="K31" i="17"/>
  <c r="K26" i="17" s="1"/>
  <c r="J31" i="17"/>
  <c r="L30" i="17"/>
  <c r="C30" i="17" s="1"/>
  <c r="L29" i="17"/>
  <c r="C29" i="17" s="1"/>
  <c r="L28" i="17"/>
  <c r="C28" i="17" s="1"/>
  <c r="K27" i="17"/>
  <c r="J27" i="17"/>
  <c r="F25" i="17"/>
  <c r="C25" i="17" s="1"/>
  <c r="I24" i="17"/>
  <c r="O23" i="17"/>
  <c r="L23" i="17"/>
  <c r="I23" i="17"/>
  <c r="F23" i="17"/>
  <c r="O22" i="17"/>
  <c r="L22" i="17"/>
  <c r="I22" i="17"/>
  <c r="I21" i="17" s="1"/>
  <c r="F22" i="17"/>
  <c r="O21" i="17"/>
  <c r="O292" i="17" s="1"/>
  <c r="O291" i="17" s="1"/>
  <c r="N21" i="17"/>
  <c r="N292" i="17" s="1"/>
  <c r="N291" i="17" s="1"/>
  <c r="M21" i="17"/>
  <c r="M292" i="17" s="1"/>
  <c r="M291" i="17" s="1"/>
  <c r="K21" i="17"/>
  <c r="K292" i="17" s="1"/>
  <c r="K291" i="17" s="1"/>
  <c r="J21" i="17"/>
  <c r="J292" i="17" s="1"/>
  <c r="H21" i="17"/>
  <c r="H292" i="17" s="1"/>
  <c r="H291" i="17" s="1"/>
  <c r="G21" i="17"/>
  <c r="G292" i="17" s="1"/>
  <c r="G291" i="17" s="1"/>
  <c r="F21" i="17"/>
  <c r="F292" i="17" s="1"/>
  <c r="E21" i="17"/>
  <c r="E292" i="17" s="1"/>
  <c r="D21" i="17"/>
  <c r="D292" i="17" s="1"/>
  <c r="D291" i="17" s="1"/>
  <c r="M20" i="17"/>
  <c r="H20" i="17"/>
  <c r="J195" i="17" l="1"/>
  <c r="C32" i="17"/>
  <c r="L33" i="17"/>
  <c r="C33" i="17" s="1"/>
  <c r="J53" i="17"/>
  <c r="C74" i="17"/>
  <c r="H76" i="17"/>
  <c r="C79" i="17"/>
  <c r="C123" i="17"/>
  <c r="O122" i="17"/>
  <c r="D130" i="17"/>
  <c r="J130" i="17"/>
  <c r="C134" i="17"/>
  <c r="C150" i="17"/>
  <c r="C158" i="17"/>
  <c r="C162" i="17"/>
  <c r="C170" i="17"/>
  <c r="D174" i="17"/>
  <c r="D173" i="17" s="1"/>
  <c r="D187" i="17"/>
  <c r="L196" i="17"/>
  <c r="C207" i="17"/>
  <c r="C219" i="17"/>
  <c r="C223" i="17"/>
  <c r="C226" i="17"/>
  <c r="C243" i="17"/>
  <c r="C247" i="17"/>
  <c r="C255" i="17"/>
  <c r="C258" i="17"/>
  <c r="C267" i="17"/>
  <c r="C271" i="17"/>
  <c r="H230" i="17"/>
  <c r="E291" i="17"/>
  <c r="J291" i="17"/>
  <c r="C66" i="17"/>
  <c r="C86" i="17"/>
  <c r="C88" i="17"/>
  <c r="C94" i="17"/>
  <c r="C118" i="17"/>
  <c r="C120" i="17"/>
  <c r="D195" i="17"/>
  <c r="I216" i="17"/>
  <c r="C239" i="17"/>
  <c r="C278" i="17"/>
  <c r="C294" i="17"/>
  <c r="C295" i="17"/>
  <c r="J26" i="17"/>
  <c r="L36" i="17"/>
  <c r="C36" i="17" s="1"/>
  <c r="C78" i="17"/>
  <c r="C98" i="17"/>
  <c r="C102" i="17"/>
  <c r="C106" i="17"/>
  <c r="C108" i="17"/>
  <c r="C109" i="17"/>
  <c r="C142" i="17"/>
  <c r="C186" i="17"/>
  <c r="H204" i="17"/>
  <c r="J231" i="17"/>
  <c r="J230" i="17" s="1"/>
  <c r="L260" i="17"/>
  <c r="G259" i="17"/>
  <c r="O272" i="17"/>
  <c r="H270" i="17"/>
  <c r="H269" i="17" s="1"/>
  <c r="C22" i="17"/>
  <c r="L27" i="17"/>
  <c r="C27" i="17" s="1"/>
  <c r="F41" i="17"/>
  <c r="C41" i="17" s="1"/>
  <c r="F43" i="17"/>
  <c r="C43" i="17" s="1"/>
  <c r="C47" i="17"/>
  <c r="G54" i="17"/>
  <c r="G53" i="17" s="1"/>
  <c r="H53" i="17"/>
  <c r="L69" i="17"/>
  <c r="L67" i="17" s="1"/>
  <c r="F77" i="17"/>
  <c r="L84" i="17"/>
  <c r="C92" i="17"/>
  <c r="C96" i="17"/>
  <c r="C97" i="17"/>
  <c r="O95" i="17"/>
  <c r="O112" i="17"/>
  <c r="L116" i="17"/>
  <c r="G83" i="17"/>
  <c r="C133" i="17"/>
  <c r="L136" i="17"/>
  <c r="C140" i="17"/>
  <c r="C148" i="17"/>
  <c r="L151" i="17"/>
  <c r="O160" i="17"/>
  <c r="L166" i="17"/>
  <c r="L165" i="17" s="1"/>
  <c r="H174" i="17"/>
  <c r="H173" i="17" s="1"/>
  <c r="N174" i="17"/>
  <c r="N173" i="17" s="1"/>
  <c r="L175" i="17"/>
  <c r="C182" i="17"/>
  <c r="O187" i="17"/>
  <c r="C197" i="17"/>
  <c r="I198" i="17"/>
  <c r="C210" i="17"/>
  <c r="C222" i="17"/>
  <c r="G204" i="17"/>
  <c r="G231" i="17"/>
  <c r="G230" i="17" s="1"/>
  <c r="C242" i="17"/>
  <c r="M259" i="17"/>
  <c r="N270" i="17"/>
  <c r="N269" i="17" s="1"/>
  <c r="C300" i="17"/>
  <c r="N20" i="17"/>
  <c r="O58" i="17"/>
  <c r="O54" i="17" s="1"/>
  <c r="D53" i="17"/>
  <c r="O67" i="17"/>
  <c r="H83" i="17"/>
  <c r="H75" i="17" s="1"/>
  <c r="H52" i="17" s="1"/>
  <c r="I89" i="17"/>
  <c r="C101" i="17"/>
  <c r="C115" i="17"/>
  <c r="O116" i="17"/>
  <c r="L179" i="17"/>
  <c r="I205" i="17"/>
  <c r="I238" i="17"/>
  <c r="I264" i="17"/>
  <c r="I259" i="17" s="1"/>
  <c r="C23" i="17"/>
  <c r="C56" i="17"/>
  <c r="C57" i="17"/>
  <c r="C60" i="17"/>
  <c r="C63" i="17"/>
  <c r="C65" i="17"/>
  <c r="D83" i="17"/>
  <c r="D75" i="17" s="1"/>
  <c r="C91" i="17"/>
  <c r="J83" i="17"/>
  <c r="J75" i="17" s="1"/>
  <c r="C105" i="17"/>
  <c r="O103" i="17"/>
  <c r="C111" i="17"/>
  <c r="C121" i="17"/>
  <c r="O136" i="17"/>
  <c r="O144" i="17"/>
  <c r="C155" i="17"/>
  <c r="C157" i="17"/>
  <c r="C164" i="17"/>
  <c r="C169" i="17"/>
  <c r="F175" i="17"/>
  <c r="G187" i="17"/>
  <c r="H187" i="17"/>
  <c r="C192" i="17"/>
  <c r="C191" i="17"/>
  <c r="M195" i="17"/>
  <c r="C199" i="17"/>
  <c r="O196" i="17"/>
  <c r="N204" i="17"/>
  <c r="N195" i="17" s="1"/>
  <c r="L216" i="17"/>
  <c r="L204" i="17" s="1"/>
  <c r="L195" i="17" s="1"/>
  <c r="C227" i="17"/>
  <c r="M231" i="17"/>
  <c r="M230" i="17" s="1"/>
  <c r="C262" i="17"/>
  <c r="C263" i="17"/>
  <c r="L264" i="17"/>
  <c r="L259" i="17" s="1"/>
  <c r="O276" i="17"/>
  <c r="O270" i="17" s="1"/>
  <c r="O269" i="17" s="1"/>
  <c r="C287" i="17"/>
  <c r="C299" i="17"/>
  <c r="K54" i="17"/>
  <c r="K53" i="17" s="1"/>
  <c r="I58" i="17"/>
  <c r="I54" i="17" s="1"/>
  <c r="C64" i="17"/>
  <c r="N83" i="17"/>
  <c r="N75" i="17" s="1"/>
  <c r="L95" i="17"/>
  <c r="K83" i="17"/>
  <c r="K75" i="17" s="1"/>
  <c r="L131" i="17"/>
  <c r="C139" i="17"/>
  <c r="L141" i="17"/>
  <c r="C147" i="17"/>
  <c r="C149" i="17"/>
  <c r="C156" i="17"/>
  <c r="C159" i="17"/>
  <c r="C172" i="17"/>
  <c r="C178" i="17"/>
  <c r="F179" i="17"/>
  <c r="O184" i="17"/>
  <c r="L187" i="17"/>
  <c r="G195" i="17"/>
  <c r="G194" i="17" s="1"/>
  <c r="C202" i="17"/>
  <c r="C206" i="17"/>
  <c r="C218" i="17"/>
  <c r="K204" i="17"/>
  <c r="K195" i="17" s="1"/>
  <c r="E231" i="17"/>
  <c r="C250" i="17"/>
  <c r="L252" i="17"/>
  <c r="L251" i="17" s="1"/>
  <c r="C266" i="17"/>
  <c r="C297" i="17"/>
  <c r="J20" i="17"/>
  <c r="C45" i="17"/>
  <c r="L26" i="17"/>
  <c r="C31" i="17"/>
  <c r="I20" i="17"/>
  <c r="C81" i="17"/>
  <c r="F80" i="17"/>
  <c r="C93" i="17"/>
  <c r="F89" i="17"/>
  <c r="E83" i="17"/>
  <c r="C85" i="17"/>
  <c r="F84" i="17"/>
  <c r="I116" i="17"/>
  <c r="C125" i="17"/>
  <c r="F122" i="17"/>
  <c r="M130" i="17"/>
  <c r="C198" i="17"/>
  <c r="I196" i="17"/>
  <c r="C277" i="17"/>
  <c r="F276" i="17"/>
  <c r="C62" i="17"/>
  <c r="C72" i="17"/>
  <c r="I69" i="17"/>
  <c r="L103" i="17"/>
  <c r="C107" i="17"/>
  <c r="C114" i="17"/>
  <c r="C129" i="17"/>
  <c r="F128" i="17"/>
  <c r="C128" i="17" s="1"/>
  <c r="I151" i="17"/>
  <c r="C152" i="17"/>
  <c r="L21" i="17"/>
  <c r="C55" i="17"/>
  <c r="C59" i="17"/>
  <c r="L58" i="17"/>
  <c r="L54" i="17" s="1"/>
  <c r="L53" i="17" s="1"/>
  <c r="I67" i="17"/>
  <c r="L77" i="17"/>
  <c r="C87" i="17"/>
  <c r="F103" i="17"/>
  <c r="I103" i="17"/>
  <c r="C104" i="17"/>
  <c r="C117" i="17"/>
  <c r="F116" i="17"/>
  <c r="G75" i="17"/>
  <c r="C124" i="17"/>
  <c r="I122" i="17"/>
  <c r="C127" i="17"/>
  <c r="F131" i="17"/>
  <c r="I131" i="17"/>
  <c r="C132" i="17"/>
  <c r="C135" i="17"/>
  <c r="C141" i="17"/>
  <c r="L144" i="17"/>
  <c r="O151" i="17"/>
  <c r="C161" i="17"/>
  <c r="F160" i="17"/>
  <c r="C160" i="17" s="1"/>
  <c r="J174" i="17"/>
  <c r="J173" i="17" s="1"/>
  <c r="J52" i="17" s="1"/>
  <c r="C61" i="17"/>
  <c r="F58" i="17"/>
  <c r="C113" i="17"/>
  <c r="F112" i="17"/>
  <c r="C112" i="17" s="1"/>
  <c r="C145" i="17"/>
  <c r="F144" i="17"/>
  <c r="C301" i="17"/>
  <c r="G20" i="17"/>
  <c r="K20" i="17"/>
  <c r="O20" i="17"/>
  <c r="C71" i="17"/>
  <c r="C73" i="17"/>
  <c r="F69" i="17"/>
  <c r="O80" i="17"/>
  <c r="O76" i="17" s="1"/>
  <c r="M83" i="17"/>
  <c r="M75" i="17" s="1"/>
  <c r="O89" i="17"/>
  <c r="F95" i="17"/>
  <c r="I95" i="17"/>
  <c r="C99" i="17"/>
  <c r="C100" i="17"/>
  <c r="C119" i="17"/>
  <c r="L122" i="17"/>
  <c r="E130" i="17"/>
  <c r="E75" i="17" s="1"/>
  <c r="C137" i="17"/>
  <c r="F136" i="17"/>
  <c r="C136" i="17" s="1"/>
  <c r="C143" i="17"/>
  <c r="C163" i="17"/>
  <c r="C168" i="17"/>
  <c r="I166" i="17"/>
  <c r="F174" i="17"/>
  <c r="C190" i="17"/>
  <c r="I188" i="17"/>
  <c r="C167" i="17"/>
  <c r="C171" i="17"/>
  <c r="O175" i="17"/>
  <c r="O179" i="17"/>
  <c r="K230" i="17"/>
  <c r="K194" i="17" s="1"/>
  <c r="C248" i="17"/>
  <c r="I246" i="17"/>
  <c r="I231" i="17" s="1"/>
  <c r="C275" i="17"/>
  <c r="L293" i="17"/>
  <c r="C177" i="17"/>
  <c r="C181" i="17"/>
  <c r="F184" i="17"/>
  <c r="C184" i="17" s="1"/>
  <c r="C185" i="17"/>
  <c r="C235" i="17"/>
  <c r="O231" i="17"/>
  <c r="E259" i="17"/>
  <c r="E230" i="17" s="1"/>
  <c r="C273" i="17"/>
  <c r="F272" i="17"/>
  <c r="I175" i="17"/>
  <c r="I179" i="17"/>
  <c r="C179" i="17" s="1"/>
  <c r="C183" i="17"/>
  <c r="E187" i="17"/>
  <c r="C254" i="17"/>
  <c r="F252" i="17"/>
  <c r="L276" i="17"/>
  <c r="L270" i="17" s="1"/>
  <c r="L269" i="17" s="1"/>
  <c r="C279" i="17"/>
  <c r="C189" i="17"/>
  <c r="C193" i="17"/>
  <c r="F196" i="17"/>
  <c r="O205" i="17"/>
  <c r="C212" i="17"/>
  <c r="C213" i="17"/>
  <c r="F216" i="17"/>
  <c r="C217" i="17"/>
  <c r="O216" i="17"/>
  <c r="C224" i="17"/>
  <c r="C225" i="17"/>
  <c r="C228" i="17"/>
  <c r="C229" i="17"/>
  <c r="N230" i="17"/>
  <c r="L231" i="17"/>
  <c r="C234" i="17"/>
  <c r="C236" i="17"/>
  <c r="C237" i="17"/>
  <c r="C240" i="17"/>
  <c r="C241" i="17"/>
  <c r="F238" i="17"/>
  <c r="C238" i="17" s="1"/>
  <c r="C256" i="17"/>
  <c r="C257" i="17"/>
  <c r="F260" i="17"/>
  <c r="C261" i="17"/>
  <c r="F264" i="17"/>
  <c r="C265" i="17"/>
  <c r="O264" i="17"/>
  <c r="O259" i="17" s="1"/>
  <c r="C281" i="17"/>
  <c r="C284" i="17"/>
  <c r="N289" i="17"/>
  <c r="C288" i="17"/>
  <c r="I286" i="17"/>
  <c r="I292" i="17" s="1"/>
  <c r="F293" i="17"/>
  <c r="C293" i="17" s="1"/>
  <c r="F205" i="17"/>
  <c r="C233" i="17"/>
  <c r="I270" i="17"/>
  <c r="I269" i="17" s="1"/>
  <c r="H195" i="17"/>
  <c r="C200" i="17"/>
  <c r="C201" i="17"/>
  <c r="C208" i="17"/>
  <c r="C209" i="17"/>
  <c r="C220" i="17"/>
  <c r="C221" i="17"/>
  <c r="C232" i="17"/>
  <c r="D231" i="17"/>
  <c r="D230" i="17" s="1"/>
  <c r="D194" i="17" s="1"/>
  <c r="C244" i="17"/>
  <c r="C245" i="17"/>
  <c r="C249" i="17"/>
  <c r="F246" i="17"/>
  <c r="C253" i="17"/>
  <c r="O252" i="17"/>
  <c r="O251" i="17" s="1"/>
  <c r="C268" i="17"/>
  <c r="J270" i="17"/>
  <c r="J269" i="17" s="1"/>
  <c r="C280" i="17"/>
  <c r="F283" i="17"/>
  <c r="C283" i="17" s="1"/>
  <c r="C285" i="17"/>
  <c r="G289" i="17"/>
  <c r="L286" i="17"/>
  <c r="C296" i="17"/>
  <c r="C246" i="17" l="1"/>
  <c r="H194" i="17"/>
  <c r="E289" i="17"/>
  <c r="C58" i="17"/>
  <c r="C116" i="17"/>
  <c r="I204" i="17"/>
  <c r="N52" i="17"/>
  <c r="J194" i="17"/>
  <c r="J51" i="17" s="1"/>
  <c r="O130" i="17"/>
  <c r="N194" i="17"/>
  <c r="C175" i="17"/>
  <c r="O53" i="17"/>
  <c r="E52" i="17"/>
  <c r="I83" i="17"/>
  <c r="F291" i="17"/>
  <c r="L130" i="17"/>
  <c r="H289" i="17"/>
  <c r="I230" i="17"/>
  <c r="G52" i="17"/>
  <c r="G51" i="17" s="1"/>
  <c r="G50" i="17" s="1"/>
  <c r="H51" i="17"/>
  <c r="C151" i="17"/>
  <c r="K52" i="17"/>
  <c r="K51" i="17" s="1"/>
  <c r="L230" i="17"/>
  <c r="L194" i="17" s="1"/>
  <c r="K289" i="17"/>
  <c r="O83" i="17"/>
  <c r="O75" i="17" s="1"/>
  <c r="D52" i="17"/>
  <c r="D51" i="17" s="1"/>
  <c r="D50" i="17" s="1"/>
  <c r="D24" i="17" s="1"/>
  <c r="L83" i="17"/>
  <c r="M194" i="17"/>
  <c r="L174" i="17"/>
  <c r="L173" i="17" s="1"/>
  <c r="M52" i="17"/>
  <c r="M51" i="17" s="1"/>
  <c r="M289" i="17"/>
  <c r="I291" i="17"/>
  <c r="G290" i="17"/>
  <c r="H290" i="17"/>
  <c r="H50" i="17"/>
  <c r="C205" i="17"/>
  <c r="F204" i="17"/>
  <c r="F195" i="17" s="1"/>
  <c r="C252" i="17"/>
  <c r="F251" i="17"/>
  <c r="C251" i="17" s="1"/>
  <c r="C260" i="17"/>
  <c r="F259" i="17"/>
  <c r="C259" i="17" s="1"/>
  <c r="O204" i="17"/>
  <c r="O195" i="17" s="1"/>
  <c r="I130" i="17"/>
  <c r="C77" i="17"/>
  <c r="L76" i="17"/>
  <c r="D289" i="17"/>
  <c r="E194" i="17"/>
  <c r="E51" i="17" s="1"/>
  <c r="C80" i="17"/>
  <c r="F76" i="17"/>
  <c r="F54" i="17"/>
  <c r="C26" i="17"/>
  <c r="J289" i="17"/>
  <c r="C216" i="17"/>
  <c r="C196" i="17"/>
  <c r="I174" i="17"/>
  <c r="I173" i="17" s="1"/>
  <c r="I187" i="17"/>
  <c r="C187" i="17" s="1"/>
  <c r="C188" i="17"/>
  <c r="I165" i="17"/>
  <c r="C165" i="17" s="1"/>
  <c r="C166" i="17"/>
  <c r="C95" i="17"/>
  <c r="I53" i="17"/>
  <c r="F130" i="17"/>
  <c r="C131" i="17"/>
  <c r="L292" i="17"/>
  <c r="L291" i="17" s="1"/>
  <c r="C291" i="17" s="1"/>
  <c r="L20" i="17"/>
  <c r="N51" i="17"/>
  <c r="C276" i="17"/>
  <c r="F173" i="17"/>
  <c r="C286" i="17"/>
  <c r="C264" i="17"/>
  <c r="F270" i="17"/>
  <c r="C272" i="17"/>
  <c r="O230" i="17"/>
  <c r="F231" i="17"/>
  <c r="O174" i="17"/>
  <c r="O173" i="17" s="1"/>
  <c r="C69" i="17"/>
  <c r="F67" i="17"/>
  <c r="C67" i="17" s="1"/>
  <c r="C144" i="17"/>
  <c r="C103" i="17"/>
  <c r="I195" i="17"/>
  <c r="I194" i="17" s="1"/>
  <c r="C122" i="17"/>
  <c r="C84" i="17"/>
  <c r="F83" i="17"/>
  <c r="C83" i="17" s="1"/>
  <c r="C89" i="17"/>
  <c r="C21" i="17"/>
  <c r="K50" i="17" l="1"/>
  <c r="K290" i="17"/>
  <c r="J50" i="17"/>
  <c r="J290" i="17"/>
  <c r="C292" i="17"/>
  <c r="L75" i="17"/>
  <c r="L52" i="17" s="1"/>
  <c r="L51" i="17" s="1"/>
  <c r="L50" i="17" s="1"/>
  <c r="O52" i="17"/>
  <c r="C130" i="17"/>
  <c r="E50" i="17"/>
  <c r="E24" i="17" s="1"/>
  <c r="E20" i="17" s="1"/>
  <c r="F269" i="17"/>
  <c r="C270" i="17"/>
  <c r="C195" i="17"/>
  <c r="I75" i="17"/>
  <c r="I289" i="17" s="1"/>
  <c r="F230" i="17"/>
  <c r="C230" i="17" s="1"/>
  <c r="C231" i="17"/>
  <c r="C173" i="17"/>
  <c r="C204" i="17"/>
  <c r="C76" i="17"/>
  <c r="F75" i="17"/>
  <c r="O289" i="17"/>
  <c r="L289" i="17"/>
  <c r="F53" i="17"/>
  <c r="C54" i="17"/>
  <c r="M50" i="17"/>
  <c r="M290" i="17"/>
  <c r="D20" i="17"/>
  <c r="C174" i="17"/>
  <c r="N50" i="17"/>
  <c r="N290" i="17"/>
  <c r="O194" i="17"/>
  <c r="O51" i="17" s="1"/>
  <c r="D290" i="17"/>
  <c r="I52" i="17" l="1"/>
  <c r="I51" i="17" s="1"/>
  <c r="L290" i="17"/>
  <c r="F24" i="17"/>
  <c r="F20" i="17" s="1"/>
  <c r="C20" i="17" s="1"/>
  <c r="F194" i="17"/>
  <c r="E290" i="17"/>
  <c r="O50" i="17"/>
  <c r="O290" i="17"/>
  <c r="C24" i="17"/>
  <c r="C53" i="17"/>
  <c r="F52" i="17"/>
  <c r="C194" i="17"/>
  <c r="I290" i="17"/>
  <c r="I50" i="17"/>
  <c r="C269" i="17"/>
  <c r="F289" i="17"/>
  <c r="C289" i="17" s="1"/>
  <c r="C75" i="17"/>
  <c r="C52" i="17" l="1"/>
  <c r="F51" i="17"/>
  <c r="F290" i="17" l="1"/>
  <c r="C290" i="17" s="1"/>
  <c r="C51" i="17"/>
  <c r="F50" i="17"/>
  <c r="C50" i="17" s="1"/>
  <c r="O301" i="16" l="1"/>
  <c r="L301" i="16"/>
  <c r="I301" i="16"/>
  <c r="F301" i="16"/>
  <c r="O300" i="16"/>
  <c r="L300" i="16"/>
  <c r="I300" i="16"/>
  <c r="F300" i="16"/>
  <c r="C300" i="16" s="1"/>
  <c r="O299" i="16"/>
  <c r="L299" i="16"/>
  <c r="I299" i="16"/>
  <c r="F299" i="16"/>
  <c r="C299" i="16" s="1"/>
  <c r="O298" i="16"/>
  <c r="L298" i="16"/>
  <c r="I298" i="16"/>
  <c r="F298" i="16"/>
  <c r="C298" i="16" s="1"/>
  <c r="O297" i="16"/>
  <c r="L297" i="16"/>
  <c r="I297" i="16"/>
  <c r="F297" i="16"/>
  <c r="O296" i="16"/>
  <c r="L296" i="16"/>
  <c r="I296" i="16"/>
  <c r="F296" i="16"/>
  <c r="O295" i="16"/>
  <c r="L295" i="16"/>
  <c r="I295" i="16"/>
  <c r="F295" i="16"/>
  <c r="O294" i="16"/>
  <c r="L294" i="16"/>
  <c r="L293" i="16" s="1"/>
  <c r="I294" i="16"/>
  <c r="I293" i="16" s="1"/>
  <c r="F294" i="16"/>
  <c r="N293" i="16"/>
  <c r="M293" i="16"/>
  <c r="K293" i="16"/>
  <c r="J293" i="16"/>
  <c r="H293" i="16"/>
  <c r="G293" i="16"/>
  <c r="E293" i="16"/>
  <c r="D293" i="16"/>
  <c r="O288" i="16"/>
  <c r="L288" i="16"/>
  <c r="I288" i="16"/>
  <c r="F288" i="16"/>
  <c r="O287" i="16"/>
  <c r="L287" i="16"/>
  <c r="L286" i="16" s="1"/>
  <c r="I287" i="16"/>
  <c r="F287" i="16"/>
  <c r="O286" i="16"/>
  <c r="N286" i="16"/>
  <c r="M286" i="16"/>
  <c r="K286" i="16"/>
  <c r="J286" i="16"/>
  <c r="H286" i="16"/>
  <c r="G286" i="16"/>
  <c r="F286" i="16"/>
  <c r="E286" i="16"/>
  <c r="D286" i="16"/>
  <c r="O285" i="16"/>
  <c r="L285" i="16"/>
  <c r="L284" i="16" s="1"/>
  <c r="L283" i="16" s="1"/>
  <c r="I285" i="16"/>
  <c r="F285" i="16"/>
  <c r="O284" i="16"/>
  <c r="O283" i="16" s="1"/>
  <c r="N284" i="16"/>
  <c r="N283" i="16" s="1"/>
  <c r="M284" i="16"/>
  <c r="M283" i="16" s="1"/>
  <c r="K284" i="16"/>
  <c r="K283" i="16" s="1"/>
  <c r="J284" i="16"/>
  <c r="I284" i="16"/>
  <c r="I283" i="16" s="1"/>
  <c r="H284" i="16"/>
  <c r="G284" i="16"/>
  <c r="G283" i="16" s="1"/>
  <c r="E284" i="16"/>
  <c r="E283" i="16" s="1"/>
  <c r="D284" i="16"/>
  <c r="D283" i="16" s="1"/>
  <c r="J283" i="16"/>
  <c r="H283" i="16"/>
  <c r="O282" i="16"/>
  <c r="O281" i="16" s="1"/>
  <c r="L282" i="16"/>
  <c r="L281" i="16" s="1"/>
  <c r="I282" i="16"/>
  <c r="I281" i="16" s="1"/>
  <c r="F282" i="16"/>
  <c r="N281" i="16"/>
  <c r="M281" i="16"/>
  <c r="K281" i="16"/>
  <c r="J281" i="16"/>
  <c r="H281" i="16"/>
  <c r="G281" i="16"/>
  <c r="F281" i="16"/>
  <c r="E281" i="16"/>
  <c r="D281" i="16"/>
  <c r="O280" i="16"/>
  <c r="L280" i="16"/>
  <c r="I280" i="16"/>
  <c r="F280" i="16"/>
  <c r="O279" i="16"/>
  <c r="L279" i="16"/>
  <c r="I279" i="16"/>
  <c r="F279" i="16"/>
  <c r="O278" i="16"/>
  <c r="L278" i="16"/>
  <c r="I278" i="16"/>
  <c r="F278" i="16"/>
  <c r="C278" i="16" s="1"/>
  <c r="O277" i="16"/>
  <c r="L277" i="16"/>
  <c r="I277" i="16"/>
  <c r="I276" i="16" s="1"/>
  <c r="F277" i="16"/>
  <c r="N276" i="16"/>
  <c r="M276" i="16"/>
  <c r="K276" i="16"/>
  <c r="J276" i="16"/>
  <c r="H276" i="16"/>
  <c r="G276" i="16"/>
  <c r="E276" i="16"/>
  <c r="D276" i="16"/>
  <c r="O275" i="16"/>
  <c r="L275" i="16"/>
  <c r="I275" i="16"/>
  <c r="F275" i="16"/>
  <c r="O274" i="16"/>
  <c r="L274" i="16"/>
  <c r="I274" i="16"/>
  <c r="F274" i="16"/>
  <c r="O273" i="16"/>
  <c r="O272" i="16" s="1"/>
  <c r="L273" i="16"/>
  <c r="I273" i="16"/>
  <c r="F273" i="16"/>
  <c r="N272" i="16"/>
  <c r="N270" i="16" s="1"/>
  <c r="N269" i="16" s="1"/>
  <c r="M272" i="16"/>
  <c r="K272" i="16"/>
  <c r="J272" i="16"/>
  <c r="I272" i="16"/>
  <c r="H272" i="16"/>
  <c r="G272" i="16"/>
  <c r="G270" i="16" s="1"/>
  <c r="G269" i="16" s="1"/>
  <c r="E272" i="16"/>
  <c r="D272" i="16"/>
  <c r="D270" i="16" s="1"/>
  <c r="O271" i="16"/>
  <c r="L271" i="16"/>
  <c r="I271" i="16"/>
  <c r="F271" i="16"/>
  <c r="J270" i="16"/>
  <c r="J269" i="16" s="1"/>
  <c r="O268" i="16"/>
  <c r="L268" i="16"/>
  <c r="I268" i="16"/>
  <c r="F268" i="16"/>
  <c r="O267" i="16"/>
  <c r="L267" i="16"/>
  <c r="I267" i="16"/>
  <c r="E267" i="16"/>
  <c r="E264" i="16" s="1"/>
  <c r="O266" i="16"/>
  <c r="L266" i="16"/>
  <c r="I266" i="16"/>
  <c r="F266" i="16"/>
  <c r="O265" i="16"/>
  <c r="L265" i="16"/>
  <c r="I265" i="16"/>
  <c r="I264" i="16" s="1"/>
  <c r="F265" i="16"/>
  <c r="N264" i="16"/>
  <c r="M264" i="16"/>
  <c r="K264" i="16"/>
  <c r="J264" i="16"/>
  <c r="H264" i="16"/>
  <c r="G264" i="16"/>
  <c r="D264" i="16"/>
  <c r="O263" i="16"/>
  <c r="L263" i="16"/>
  <c r="I263" i="16"/>
  <c r="F263" i="16"/>
  <c r="O262" i="16"/>
  <c r="L262" i="16"/>
  <c r="I262" i="16"/>
  <c r="F262" i="16"/>
  <c r="O261" i="16"/>
  <c r="O260" i="16" s="1"/>
  <c r="L261" i="16"/>
  <c r="L260" i="16" s="1"/>
  <c r="I261" i="16"/>
  <c r="I260" i="16" s="1"/>
  <c r="F261" i="16"/>
  <c r="F260" i="16" s="1"/>
  <c r="N260" i="16"/>
  <c r="N259" i="16" s="1"/>
  <c r="M260" i="16"/>
  <c r="K260" i="16"/>
  <c r="J260" i="16"/>
  <c r="J259" i="16" s="1"/>
  <c r="H260" i="16"/>
  <c r="H259" i="16" s="1"/>
  <c r="G260" i="16"/>
  <c r="E260" i="16"/>
  <c r="E259" i="16" s="1"/>
  <c r="D260" i="16"/>
  <c r="D259" i="16" s="1"/>
  <c r="G259" i="16"/>
  <c r="O258" i="16"/>
  <c r="L258" i="16"/>
  <c r="I258" i="16"/>
  <c r="F258" i="16"/>
  <c r="O257" i="16"/>
  <c r="L257" i="16"/>
  <c r="I257" i="16"/>
  <c r="F257" i="16"/>
  <c r="O256" i="16"/>
  <c r="L256" i="16"/>
  <c r="I256" i="16"/>
  <c r="F256" i="16"/>
  <c r="O255" i="16"/>
  <c r="L255" i="16"/>
  <c r="I255" i="16"/>
  <c r="F255" i="16"/>
  <c r="O254" i="16"/>
  <c r="L254" i="16"/>
  <c r="I254" i="16"/>
  <c r="F254" i="16"/>
  <c r="O253" i="16"/>
  <c r="L253" i="16"/>
  <c r="I253" i="16"/>
  <c r="F253" i="16"/>
  <c r="N252" i="16"/>
  <c r="N251" i="16" s="1"/>
  <c r="M252" i="16"/>
  <c r="M251" i="16" s="1"/>
  <c r="K252" i="16"/>
  <c r="K251" i="16" s="1"/>
  <c r="J252" i="16"/>
  <c r="J251" i="16" s="1"/>
  <c r="H252" i="16"/>
  <c r="H251" i="16" s="1"/>
  <c r="G252" i="16"/>
  <c r="G251" i="16" s="1"/>
  <c r="E252" i="16"/>
  <c r="D252" i="16"/>
  <c r="E251" i="16"/>
  <c r="D251" i="16"/>
  <c r="O250" i="16"/>
  <c r="L250" i="16"/>
  <c r="I250" i="16"/>
  <c r="F250" i="16"/>
  <c r="O249" i="16"/>
  <c r="L249" i="16"/>
  <c r="I249" i="16"/>
  <c r="F249" i="16"/>
  <c r="O248" i="16"/>
  <c r="L248" i="16"/>
  <c r="I248" i="16"/>
  <c r="F248" i="16"/>
  <c r="O247" i="16"/>
  <c r="O246" i="16" s="1"/>
  <c r="L247" i="16"/>
  <c r="I247" i="16"/>
  <c r="F247" i="16"/>
  <c r="C247" i="16"/>
  <c r="N246" i="16"/>
  <c r="M246" i="16"/>
  <c r="L246" i="16"/>
  <c r="K246" i="16"/>
  <c r="J246" i="16"/>
  <c r="H246" i="16"/>
  <c r="G246" i="16"/>
  <c r="E246" i="16"/>
  <c r="D246" i="16"/>
  <c r="O245" i="16"/>
  <c r="L245" i="16"/>
  <c r="I245" i="16"/>
  <c r="F245" i="16"/>
  <c r="O244" i="16"/>
  <c r="L244" i="16"/>
  <c r="I244" i="16"/>
  <c r="F244" i="16"/>
  <c r="O243" i="16"/>
  <c r="L243" i="16"/>
  <c r="I243" i="16"/>
  <c r="F243" i="16"/>
  <c r="O242" i="16"/>
  <c r="L242" i="16"/>
  <c r="I242" i="16"/>
  <c r="F242" i="16"/>
  <c r="O241" i="16"/>
  <c r="L241" i="16"/>
  <c r="I241" i="16"/>
  <c r="F241" i="16"/>
  <c r="O240" i="16"/>
  <c r="L240" i="16"/>
  <c r="I240" i="16"/>
  <c r="F240" i="16"/>
  <c r="O239" i="16"/>
  <c r="O238" i="16" s="1"/>
  <c r="L239" i="16"/>
  <c r="I239" i="16"/>
  <c r="F239" i="16"/>
  <c r="N238" i="16"/>
  <c r="M238" i="16"/>
  <c r="K238" i="16"/>
  <c r="J238" i="16"/>
  <c r="H238" i="16"/>
  <c r="G238" i="16"/>
  <c r="E238" i="16"/>
  <c r="D238" i="16"/>
  <c r="O237" i="16"/>
  <c r="L237" i="16"/>
  <c r="I237" i="16"/>
  <c r="F237" i="16"/>
  <c r="O236" i="16"/>
  <c r="L236" i="16"/>
  <c r="I236" i="16"/>
  <c r="F236" i="16"/>
  <c r="O235" i="16"/>
  <c r="N235" i="16"/>
  <c r="M235" i="16"/>
  <c r="K235" i="16"/>
  <c r="J235" i="16"/>
  <c r="H235" i="16"/>
  <c r="G235" i="16"/>
  <c r="F235" i="16"/>
  <c r="E235" i="16"/>
  <c r="D235" i="16"/>
  <c r="O234" i="16"/>
  <c r="L234" i="16"/>
  <c r="L233" i="16" s="1"/>
  <c r="I234" i="16"/>
  <c r="I233" i="16" s="1"/>
  <c r="F234" i="16"/>
  <c r="O233" i="16"/>
  <c r="N233" i="16"/>
  <c r="N231" i="16" s="1"/>
  <c r="M233" i="16"/>
  <c r="M231" i="16" s="1"/>
  <c r="K233" i="16"/>
  <c r="J233" i="16"/>
  <c r="H233" i="16"/>
  <c r="G233" i="16"/>
  <c r="E233" i="16"/>
  <c r="D233" i="16"/>
  <c r="O232" i="16"/>
  <c r="L232" i="16"/>
  <c r="I232" i="16"/>
  <c r="F232" i="16"/>
  <c r="O229" i="16"/>
  <c r="L229" i="16"/>
  <c r="I229" i="16"/>
  <c r="F229" i="16"/>
  <c r="O228" i="16"/>
  <c r="L228" i="16"/>
  <c r="L227" i="16" s="1"/>
  <c r="I228" i="16"/>
  <c r="F228" i="16"/>
  <c r="F227" i="16" s="1"/>
  <c r="O227" i="16"/>
  <c r="N227" i="16"/>
  <c r="M227" i="16"/>
  <c r="K227" i="16"/>
  <c r="J227" i="16"/>
  <c r="H227" i="16"/>
  <c r="G227" i="16"/>
  <c r="E227" i="16"/>
  <c r="D227" i="16"/>
  <c r="O226" i="16"/>
  <c r="L226" i="16"/>
  <c r="I226" i="16"/>
  <c r="F226" i="16"/>
  <c r="C226" i="16" s="1"/>
  <c r="O225" i="16"/>
  <c r="L225" i="16"/>
  <c r="I225" i="16"/>
  <c r="F225" i="16"/>
  <c r="C225" i="16" s="1"/>
  <c r="O224" i="16"/>
  <c r="L224" i="16"/>
  <c r="I224" i="16"/>
  <c r="F224" i="16"/>
  <c r="O223" i="16"/>
  <c r="L223" i="16"/>
  <c r="I223" i="16"/>
  <c r="F223" i="16"/>
  <c r="C223" i="16" s="1"/>
  <c r="O222" i="16"/>
  <c r="L222" i="16"/>
  <c r="I222" i="16"/>
  <c r="F222" i="16"/>
  <c r="O221" i="16"/>
  <c r="L221" i="16"/>
  <c r="I221" i="16"/>
  <c r="F221" i="16"/>
  <c r="O220" i="16"/>
  <c r="L220" i="16"/>
  <c r="I220" i="16"/>
  <c r="F220" i="16"/>
  <c r="O219" i="16"/>
  <c r="L219" i="16"/>
  <c r="I219" i="16"/>
  <c r="F219" i="16"/>
  <c r="C219" i="16" s="1"/>
  <c r="O218" i="16"/>
  <c r="L218" i="16"/>
  <c r="I218" i="16"/>
  <c r="F218" i="16"/>
  <c r="O217" i="16"/>
  <c r="L217" i="16"/>
  <c r="I217" i="16"/>
  <c r="F217" i="16"/>
  <c r="N216" i="16"/>
  <c r="M216" i="16"/>
  <c r="K216" i="16"/>
  <c r="J216" i="16"/>
  <c r="H216" i="16"/>
  <c r="G216" i="16"/>
  <c r="E216" i="16"/>
  <c r="D216" i="16"/>
  <c r="O215" i="16"/>
  <c r="L215" i="16"/>
  <c r="I215" i="16"/>
  <c r="F215" i="16"/>
  <c r="C215" i="16"/>
  <c r="O214" i="16"/>
  <c r="L214" i="16"/>
  <c r="I214" i="16"/>
  <c r="F214" i="16"/>
  <c r="C214" i="16" s="1"/>
  <c r="O213" i="16"/>
  <c r="L213" i="16"/>
  <c r="I213" i="16"/>
  <c r="F213" i="16"/>
  <c r="C213" i="16" s="1"/>
  <c r="O212" i="16"/>
  <c r="L212" i="16"/>
  <c r="I212" i="16"/>
  <c r="F212" i="16"/>
  <c r="O211" i="16"/>
  <c r="L211" i="16"/>
  <c r="I211" i="16"/>
  <c r="F211" i="16"/>
  <c r="C211" i="16" s="1"/>
  <c r="O210" i="16"/>
  <c r="L210" i="16"/>
  <c r="I210" i="16"/>
  <c r="F210" i="16"/>
  <c r="O209" i="16"/>
  <c r="L209" i="16"/>
  <c r="I209" i="16"/>
  <c r="F209" i="16"/>
  <c r="O208" i="16"/>
  <c r="L208" i="16"/>
  <c r="I208" i="16"/>
  <c r="F208" i="16"/>
  <c r="O207" i="16"/>
  <c r="L207" i="16"/>
  <c r="I207" i="16"/>
  <c r="F207" i="16"/>
  <c r="C207" i="16" s="1"/>
  <c r="O206" i="16"/>
  <c r="L206" i="16"/>
  <c r="I206" i="16"/>
  <c r="F206" i="16"/>
  <c r="N205" i="16"/>
  <c r="M205" i="16"/>
  <c r="M204" i="16" s="1"/>
  <c r="K205" i="16"/>
  <c r="J205" i="16"/>
  <c r="H205" i="16"/>
  <c r="G205" i="16"/>
  <c r="E205" i="16"/>
  <c r="E204" i="16" s="1"/>
  <c r="D205" i="16"/>
  <c r="N204" i="16"/>
  <c r="J204" i="16"/>
  <c r="H204" i="16"/>
  <c r="D204" i="16"/>
  <c r="O203" i="16"/>
  <c r="L203" i="16"/>
  <c r="I203" i="16"/>
  <c r="F203" i="16"/>
  <c r="O202" i="16"/>
  <c r="L202" i="16"/>
  <c r="I202" i="16"/>
  <c r="F202" i="16"/>
  <c r="O201" i="16"/>
  <c r="L201" i="16"/>
  <c r="I201" i="16"/>
  <c r="F201" i="16"/>
  <c r="O200" i="16"/>
  <c r="L200" i="16"/>
  <c r="I200" i="16"/>
  <c r="F200" i="16"/>
  <c r="O199" i="16"/>
  <c r="O198" i="16" s="1"/>
  <c r="L199" i="16"/>
  <c r="L198" i="16" s="1"/>
  <c r="I199" i="16"/>
  <c r="F199" i="16"/>
  <c r="C199" i="16" s="1"/>
  <c r="N198" i="16"/>
  <c r="M198" i="16"/>
  <c r="K198" i="16"/>
  <c r="K196" i="16" s="1"/>
  <c r="J198" i="16"/>
  <c r="I198" i="16"/>
  <c r="H198" i="16"/>
  <c r="H196" i="16" s="1"/>
  <c r="H195" i="16" s="1"/>
  <c r="G198" i="16"/>
  <c r="F198" i="16"/>
  <c r="E198" i="16"/>
  <c r="D198" i="16"/>
  <c r="D196" i="16" s="1"/>
  <c r="D195" i="16" s="1"/>
  <c r="O197" i="16"/>
  <c r="L197" i="16"/>
  <c r="I197" i="16"/>
  <c r="F197" i="16"/>
  <c r="N196" i="16"/>
  <c r="M196" i="16"/>
  <c r="J196" i="16"/>
  <c r="G196" i="16"/>
  <c r="E196" i="16"/>
  <c r="O193" i="16"/>
  <c r="L193" i="16"/>
  <c r="L192" i="16" s="1"/>
  <c r="L191" i="16" s="1"/>
  <c r="I193" i="16"/>
  <c r="I192" i="16" s="1"/>
  <c r="I191" i="16" s="1"/>
  <c r="F193" i="16"/>
  <c r="O192" i="16"/>
  <c r="N192" i="16"/>
  <c r="N191" i="16" s="1"/>
  <c r="M192" i="16"/>
  <c r="M191" i="16" s="1"/>
  <c r="K192" i="16"/>
  <c r="J192" i="16"/>
  <c r="J191" i="16" s="1"/>
  <c r="H192" i="16"/>
  <c r="G192" i="16"/>
  <c r="G191" i="16" s="1"/>
  <c r="F192" i="16"/>
  <c r="F191" i="16" s="1"/>
  <c r="E192" i="16"/>
  <c r="D192" i="16"/>
  <c r="O191" i="16"/>
  <c r="K191" i="16"/>
  <c r="H191" i="16"/>
  <c r="E191" i="16"/>
  <c r="D191" i="16"/>
  <c r="O190" i="16"/>
  <c r="L190" i="16"/>
  <c r="I190" i="16"/>
  <c r="F190" i="16"/>
  <c r="O189" i="16"/>
  <c r="L189" i="16"/>
  <c r="L188" i="16" s="1"/>
  <c r="I189" i="16"/>
  <c r="I188" i="16" s="1"/>
  <c r="I187" i="16" s="1"/>
  <c r="F189" i="16"/>
  <c r="N188" i="16"/>
  <c r="M188" i="16"/>
  <c r="K188" i="16"/>
  <c r="K187" i="16" s="1"/>
  <c r="J188" i="16"/>
  <c r="J187" i="16" s="1"/>
  <c r="H188" i="16"/>
  <c r="G188" i="16"/>
  <c r="E188" i="16"/>
  <c r="E187" i="16" s="1"/>
  <c r="D188" i="16"/>
  <c r="H187" i="16"/>
  <c r="O186" i="16"/>
  <c r="L186" i="16"/>
  <c r="I186" i="16"/>
  <c r="F186" i="16"/>
  <c r="O185" i="16"/>
  <c r="L185" i="16"/>
  <c r="L184" i="16" s="1"/>
  <c r="I185" i="16"/>
  <c r="I184" i="16" s="1"/>
  <c r="F185" i="16"/>
  <c r="N184" i="16"/>
  <c r="M184" i="16"/>
  <c r="K184" i="16"/>
  <c r="J184" i="16"/>
  <c r="H184" i="16"/>
  <c r="G184" i="16"/>
  <c r="F184" i="16"/>
  <c r="E184" i="16"/>
  <c r="D184" i="16"/>
  <c r="O183" i="16"/>
  <c r="L183" i="16"/>
  <c r="C183" i="16" s="1"/>
  <c r="I183" i="16"/>
  <c r="F183" i="16"/>
  <c r="O182" i="16"/>
  <c r="L182" i="16"/>
  <c r="I182" i="16"/>
  <c r="F182" i="16"/>
  <c r="O181" i="16"/>
  <c r="L181" i="16"/>
  <c r="I181" i="16"/>
  <c r="F181" i="16"/>
  <c r="O180" i="16"/>
  <c r="L180" i="16"/>
  <c r="I180" i="16"/>
  <c r="I179" i="16" s="1"/>
  <c r="F180" i="16"/>
  <c r="O179" i="16"/>
  <c r="N179" i="16"/>
  <c r="M179" i="16"/>
  <c r="K179" i="16"/>
  <c r="J179" i="16"/>
  <c r="H179" i="16"/>
  <c r="G179" i="16"/>
  <c r="E179" i="16"/>
  <c r="D179" i="16"/>
  <c r="O178" i="16"/>
  <c r="L178" i="16"/>
  <c r="I178" i="16"/>
  <c r="F178" i="16"/>
  <c r="O177" i="16"/>
  <c r="L177" i="16"/>
  <c r="I177" i="16"/>
  <c r="F177" i="16"/>
  <c r="O176" i="16"/>
  <c r="L176" i="16"/>
  <c r="L175" i="16" s="1"/>
  <c r="I176" i="16"/>
  <c r="I175" i="16" s="1"/>
  <c r="I174" i="16" s="1"/>
  <c r="F176" i="16"/>
  <c r="O175" i="16"/>
  <c r="N175" i="16"/>
  <c r="N174" i="16" s="1"/>
  <c r="M175" i="16"/>
  <c r="M174" i="16" s="1"/>
  <c r="M173" i="16" s="1"/>
  <c r="K175" i="16"/>
  <c r="K174" i="16" s="1"/>
  <c r="K173" i="16" s="1"/>
  <c r="J175" i="16"/>
  <c r="H175" i="16"/>
  <c r="G175" i="16"/>
  <c r="G174" i="16" s="1"/>
  <c r="G173" i="16" s="1"/>
  <c r="E175" i="16"/>
  <c r="E174" i="16" s="1"/>
  <c r="E173" i="16" s="1"/>
  <c r="D175" i="16"/>
  <c r="D174" i="16" s="1"/>
  <c r="D173" i="16" s="1"/>
  <c r="H174" i="16"/>
  <c r="H173" i="16" s="1"/>
  <c r="O172" i="16"/>
  <c r="L172" i="16"/>
  <c r="I172" i="16"/>
  <c r="F172" i="16"/>
  <c r="O171" i="16"/>
  <c r="L171" i="16"/>
  <c r="I171" i="16"/>
  <c r="F171" i="16"/>
  <c r="C171" i="16" s="1"/>
  <c r="O170" i="16"/>
  <c r="L170" i="16"/>
  <c r="I170" i="16"/>
  <c r="F170" i="16"/>
  <c r="O169" i="16"/>
  <c r="L169" i="16"/>
  <c r="I169" i="16"/>
  <c r="F169" i="16"/>
  <c r="O168" i="16"/>
  <c r="L168" i="16"/>
  <c r="I168" i="16"/>
  <c r="F168" i="16"/>
  <c r="O167" i="16"/>
  <c r="O166" i="16" s="1"/>
  <c r="L167" i="16"/>
  <c r="L166" i="16" s="1"/>
  <c r="L165" i="16" s="1"/>
  <c r="I167" i="16"/>
  <c r="F167" i="16"/>
  <c r="F166" i="16" s="1"/>
  <c r="N166" i="16"/>
  <c r="M166" i="16"/>
  <c r="M165" i="16" s="1"/>
  <c r="K166" i="16"/>
  <c r="K165" i="16" s="1"/>
  <c r="J166" i="16"/>
  <c r="J165" i="16" s="1"/>
  <c r="H166" i="16"/>
  <c r="H165" i="16" s="1"/>
  <c r="G166" i="16"/>
  <c r="G165" i="16" s="1"/>
  <c r="E166" i="16"/>
  <c r="D166" i="16"/>
  <c r="D165" i="16" s="1"/>
  <c r="N165" i="16"/>
  <c r="E165" i="16"/>
  <c r="O164" i="16"/>
  <c r="L164" i="16"/>
  <c r="I164" i="16"/>
  <c r="F164" i="16"/>
  <c r="O163" i="16"/>
  <c r="L163" i="16"/>
  <c r="I163" i="16"/>
  <c r="F163" i="16"/>
  <c r="C163" i="16" s="1"/>
  <c r="O162" i="16"/>
  <c r="L162" i="16"/>
  <c r="I162" i="16"/>
  <c r="F162" i="16"/>
  <c r="O161" i="16"/>
  <c r="L161" i="16"/>
  <c r="L160" i="16" s="1"/>
  <c r="I161" i="16"/>
  <c r="I160" i="16" s="1"/>
  <c r="F161" i="16"/>
  <c r="N160" i="16"/>
  <c r="M160" i="16"/>
  <c r="K160" i="16"/>
  <c r="J160" i="16"/>
  <c r="H160" i="16"/>
  <c r="G160" i="16"/>
  <c r="E160" i="16"/>
  <c r="D160" i="16"/>
  <c r="O159" i="16"/>
  <c r="L159" i="16"/>
  <c r="I159" i="16"/>
  <c r="F159" i="16"/>
  <c r="O158" i="16"/>
  <c r="L158" i="16"/>
  <c r="I158" i="16"/>
  <c r="F158" i="16"/>
  <c r="O157" i="16"/>
  <c r="L157" i="16"/>
  <c r="I157" i="16"/>
  <c r="F157" i="16"/>
  <c r="O156" i="16"/>
  <c r="L156" i="16"/>
  <c r="I156" i="16"/>
  <c r="F156" i="16"/>
  <c r="O155" i="16"/>
  <c r="L155" i="16"/>
  <c r="I155" i="16"/>
  <c r="F155" i="16"/>
  <c r="O154" i="16"/>
  <c r="L154" i="16"/>
  <c r="I154" i="16"/>
  <c r="F154" i="16"/>
  <c r="O153" i="16"/>
  <c r="L153" i="16"/>
  <c r="I153" i="16"/>
  <c r="F153" i="16"/>
  <c r="O152" i="16"/>
  <c r="L152" i="16"/>
  <c r="I152" i="16"/>
  <c r="F152" i="16"/>
  <c r="O151" i="16"/>
  <c r="N151" i="16"/>
  <c r="M151" i="16"/>
  <c r="K151" i="16"/>
  <c r="J151" i="16"/>
  <c r="H151" i="16"/>
  <c r="G151" i="16"/>
  <c r="E151" i="16"/>
  <c r="D151" i="16"/>
  <c r="O150" i="16"/>
  <c r="L150" i="16"/>
  <c r="I150" i="16"/>
  <c r="F150" i="16"/>
  <c r="O149" i="16"/>
  <c r="L149" i="16"/>
  <c r="I149" i="16"/>
  <c r="F149" i="16"/>
  <c r="O148" i="16"/>
  <c r="L148" i="16"/>
  <c r="I148" i="16"/>
  <c r="F148" i="16"/>
  <c r="O147" i="16"/>
  <c r="L147" i="16"/>
  <c r="I147" i="16"/>
  <c r="F147" i="16"/>
  <c r="C147" i="16"/>
  <c r="O146" i="16"/>
  <c r="L146" i="16"/>
  <c r="I146" i="16"/>
  <c r="F146" i="16"/>
  <c r="C146" i="16" s="1"/>
  <c r="O145" i="16"/>
  <c r="L145" i="16"/>
  <c r="I145" i="16"/>
  <c r="F145" i="16"/>
  <c r="C145" i="16" s="1"/>
  <c r="N144" i="16"/>
  <c r="M144" i="16"/>
  <c r="K144" i="16"/>
  <c r="J144" i="16"/>
  <c r="H144" i="16"/>
  <c r="G144" i="16"/>
  <c r="E144" i="16"/>
  <c r="D144" i="16"/>
  <c r="O143" i="16"/>
  <c r="L143" i="16"/>
  <c r="I143" i="16"/>
  <c r="F143" i="16"/>
  <c r="C143" i="16" s="1"/>
  <c r="O142" i="16"/>
  <c r="L142" i="16"/>
  <c r="I142" i="16"/>
  <c r="I141" i="16" s="1"/>
  <c r="F142" i="16"/>
  <c r="N141" i="16"/>
  <c r="M141" i="16"/>
  <c r="L141" i="16"/>
  <c r="K141" i="16"/>
  <c r="J141" i="16"/>
  <c r="H141" i="16"/>
  <c r="G141" i="16"/>
  <c r="E141" i="16"/>
  <c r="D141" i="16"/>
  <c r="O140" i="16"/>
  <c r="L140" i="16"/>
  <c r="I140" i="16"/>
  <c r="F140" i="16"/>
  <c r="O139" i="16"/>
  <c r="L139" i="16"/>
  <c r="I139" i="16"/>
  <c r="F139" i="16"/>
  <c r="C139" i="16" s="1"/>
  <c r="O138" i="16"/>
  <c r="L138" i="16"/>
  <c r="I138" i="16"/>
  <c r="F138" i="16"/>
  <c r="O137" i="16"/>
  <c r="L137" i="16"/>
  <c r="I137" i="16"/>
  <c r="F137" i="16"/>
  <c r="F136" i="16" s="1"/>
  <c r="N136" i="16"/>
  <c r="M136" i="16"/>
  <c r="K136" i="16"/>
  <c r="J136" i="16"/>
  <c r="H136" i="16"/>
  <c r="G136" i="16"/>
  <c r="E136" i="16"/>
  <c r="D136" i="16"/>
  <c r="O135" i="16"/>
  <c r="L135" i="16"/>
  <c r="I135" i="16"/>
  <c r="F135" i="16"/>
  <c r="O134" i="16"/>
  <c r="L134" i="16"/>
  <c r="I134" i="16"/>
  <c r="F134" i="16"/>
  <c r="O133" i="16"/>
  <c r="L133" i="16"/>
  <c r="I133" i="16"/>
  <c r="F133" i="16"/>
  <c r="O132" i="16"/>
  <c r="L132" i="16"/>
  <c r="L131" i="16" s="1"/>
  <c r="I132" i="16"/>
  <c r="F132" i="16"/>
  <c r="O131" i="16"/>
  <c r="N131" i="16"/>
  <c r="M131" i="16"/>
  <c r="K131" i="16"/>
  <c r="J131" i="16"/>
  <c r="H131" i="16"/>
  <c r="G131" i="16"/>
  <c r="G130" i="16" s="1"/>
  <c r="E131" i="16"/>
  <c r="D131" i="16"/>
  <c r="H130" i="16"/>
  <c r="O129" i="16"/>
  <c r="L129" i="16"/>
  <c r="I129" i="16"/>
  <c r="I128" i="16" s="1"/>
  <c r="F129" i="16"/>
  <c r="F128" i="16" s="1"/>
  <c r="O128" i="16"/>
  <c r="N128" i="16"/>
  <c r="M128" i="16"/>
  <c r="L128" i="16"/>
  <c r="K128" i="16"/>
  <c r="J128" i="16"/>
  <c r="H128" i="16"/>
  <c r="G128" i="16"/>
  <c r="E128" i="16"/>
  <c r="D128" i="16"/>
  <c r="O127" i="16"/>
  <c r="L127" i="16"/>
  <c r="I127" i="16"/>
  <c r="F127" i="16"/>
  <c r="O126" i="16"/>
  <c r="L126" i="16"/>
  <c r="I126" i="16"/>
  <c r="F126" i="16"/>
  <c r="O125" i="16"/>
  <c r="L125" i="16"/>
  <c r="I125" i="16"/>
  <c r="F125" i="16"/>
  <c r="O124" i="16"/>
  <c r="L124" i="16"/>
  <c r="I124" i="16"/>
  <c r="F124" i="16"/>
  <c r="O123" i="16"/>
  <c r="L123" i="16"/>
  <c r="I123" i="16"/>
  <c r="F123" i="16"/>
  <c r="N122" i="16"/>
  <c r="M122" i="16"/>
  <c r="K122" i="16"/>
  <c r="J122" i="16"/>
  <c r="H122" i="16"/>
  <c r="G122" i="16"/>
  <c r="E122" i="16"/>
  <c r="D122" i="16"/>
  <c r="O121" i="16"/>
  <c r="L121" i="16"/>
  <c r="I121" i="16"/>
  <c r="F121" i="16"/>
  <c r="O120" i="16"/>
  <c r="L120" i="16"/>
  <c r="I120" i="16"/>
  <c r="F120" i="16"/>
  <c r="O119" i="16"/>
  <c r="L119" i="16"/>
  <c r="I119" i="16"/>
  <c r="F119" i="16"/>
  <c r="O118" i="16"/>
  <c r="L118" i="16"/>
  <c r="I118" i="16"/>
  <c r="F118" i="16"/>
  <c r="O117" i="16"/>
  <c r="L117" i="16"/>
  <c r="I117" i="16"/>
  <c r="I116" i="16" s="1"/>
  <c r="F117" i="16"/>
  <c r="N116" i="16"/>
  <c r="M116" i="16"/>
  <c r="K116" i="16"/>
  <c r="J116" i="16"/>
  <c r="H116" i="16"/>
  <c r="G116" i="16"/>
  <c r="E116" i="16"/>
  <c r="D116" i="16"/>
  <c r="O115" i="16"/>
  <c r="L115" i="16"/>
  <c r="I115" i="16"/>
  <c r="F115" i="16"/>
  <c r="O114" i="16"/>
  <c r="L114" i="16"/>
  <c r="I114" i="16"/>
  <c r="F114" i="16"/>
  <c r="O113" i="16"/>
  <c r="L113" i="16"/>
  <c r="I113" i="16"/>
  <c r="I112" i="16" s="1"/>
  <c r="F113" i="16"/>
  <c r="N112" i="16"/>
  <c r="M112" i="16"/>
  <c r="K112" i="16"/>
  <c r="J112" i="16"/>
  <c r="H112" i="16"/>
  <c r="G112" i="16"/>
  <c r="E112" i="16"/>
  <c r="D112" i="16"/>
  <c r="O111" i="16"/>
  <c r="L111" i="16"/>
  <c r="I111" i="16"/>
  <c r="F111" i="16"/>
  <c r="O110" i="16"/>
  <c r="L110" i="16"/>
  <c r="I110" i="16"/>
  <c r="F110" i="16"/>
  <c r="O109" i="16"/>
  <c r="L109" i="16"/>
  <c r="I109" i="16"/>
  <c r="F109" i="16"/>
  <c r="O108" i="16"/>
  <c r="L108" i="16"/>
  <c r="I108" i="16"/>
  <c r="F108" i="16"/>
  <c r="O107" i="16"/>
  <c r="O103" i="16" s="1"/>
  <c r="L107" i="16"/>
  <c r="I107" i="16"/>
  <c r="F107" i="16"/>
  <c r="C107" i="16"/>
  <c r="O106" i="16"/>
  <c r="L106" i="16"/>
  <c r="I106" i="16"/>
  <c r="F106" i="16"/>
  <c r="O105" i="16"/>
  <c r="L105" i="16"/>
  <c r="I105" i="16"/>
  <c r="F105" i="16"/>
  <c r="O104" i="16"/>
  <c r="L104" i="16"/>
  <c r="I104" i="16"/>
  <c r="F104" i="16"/>
  <c r="N103" i="16"/>
  <c r="M103" i="16"/>
  <c r="K103" i="16"/>
  <c r="J103" i="16"/>
  <c r="H103" i="16"/>
  <c r="G103" i="16"/>
  <c r="E103" i="16"/>
  <c r="D103" i="16"/>
  <c r="O102" i="16"/>
  <c r="L102" i="16"/>
  <c r="I102" i="16"/>
  <c r="F102" i="16"/>
  <c r="C102" i="16" s="1"/>
  <c r="O101" i="16"/>
  <c r="L101" i="16"/>
  <c r="I101" i="16"/>
  <c r="F101" i="16"/>
  <c r="O100" i="16"/>
  <c r="L100" i="16"/>
  <c r="I100" i="16"/>
  <c r="F100" i="16"/>
  <c r="O99" i="16"/>
  <c r="L99" i="16"/>
  <c r="I99" i="16"/>
  <c r="F99" i="16"/>
  <c r="C99" i="16" s="1"/>
  <c r="O98" i="16"/>
  <c r="L98" i="16"/>
  <c r="I98" i="16"/>
  <c r="F98" i="16"/>
  <c r="O97" i="16"/>
  <c r="L97" i="16"/>
  <c r="I97" i="16"/>
  <c r="F97" i="16"/>
  <c r="O96" i="16"/>
  <c r="L96" i="16"/>
  <c r="L95" i="16" s="1"/>
  <c r="I96" i="16"/>
  <c r="F96" i="16"/>
  <c r="O95" i="16"/>
  <c r="N95" i="16"/>
  <c r="M95" i="16"/>
  <c r="K95" i="16"/>
  <c r="J95" i="16"/>
  <c r="H95" i="16"/>
  <c r="G95" i="16"/>
  <c r="E95" i="16"/>
  <c r="D95" i="16"/>
  <c r="O94" i="16"/>
  <c r="L94" i="16"/>
  <c r="I94" i="16"/>
  <c r="F94" i="16"/>
  <c r="O93" i="16"/>
  <c r="L93" i="16"/>
  <c r="I93" i="16"/>
  <c r="F93" i="16"/>
  <c r="O92" i="16"/>
  <c r="L92" i="16"/>
  <c r="I92" i="16"/>
  <c r="F92" i="16"/>
  <c r="O91" i="16"/>
  <c r="L91" i="16"/>
  <c r="I91" i="16"/>
  <c r="F91" i="16"/>
  <c r="O90" i="16"/>
  <c r="L90" i="16"/>
  <c r="L89" i="16" s="1"/>
  <c r="I90" i="16"/>
  <c r="F90" i="16"/>
  <c r="N89" i="16"/>
  <c r="M89" i="16"/>
  <c r="K89" i="16"/>
  <c r="J89" i="16"/>
  <c r="H89" i="16"/>
  <c r="G89" i="16"/>
  <c r="E89" i="16"/>
  <c r="D89" i="16"/>
  <c r="O88" i="16"/>
  <c r="L88" i="16"/>
  <c r="I88" i="16"/>
  <c r="F88" i="16"/>
  <c r="O87" i="16"/>
  <c r="L87" i="16"/>
  <c r="I87" i="16"/>
  <c r="F87" i="16"/>
  <c r="O86" i="16"/>
  <c r="L86" i="16"/>
  <c r="I86" i="16"/>
  <c r="F86" i="16"/>
  <c r="O85" i="16"/>
  <c r="O84" i="16" s="1"/>
  <c r="L85" i="16"/>
  <c r="I85" i="16"/>
  <c r="I84" i="16" s="1"/>
  <c r="F85" i="16"/>
  <c r="N84" i="16"/>
  <c r="M84" i="16"/>
  <c r="K84" i="16"/>
  <c r="K83" i="16" s="1"/>
  <c r="J84" i="16"/>
  <c r="J83" i="16" s="1"/>
  <c r="H84" i="16"/>
  <c r="H83" i="16" s="1"/>
  <c r="G84" i="16"/>
  <c r="E84" i="16"/>
  <c r="E83" i="16" s="1"/>
  <c r="D84" i="16"/>
  <c r="D83" i="16" s="1"/>
  <c r="M83" i="16"/>
  <c r="O82" i="16"/>
  <c r="L82" i="16"/>
  <c r="I82" i="16"/>
  <c r="F82" i="16"/>
  <c r="O81" i="16"/>
  <c r="O80" i="16" s="1"/>
  <c r="L81" i="16"/>
  <c r="I81" i="16"/>
  <c r="I80" i="16" s="1"/>
  <c r="F81" i="16"/>
  <c r="N80" i="16"/>
  <c r="M80" i="16"/>
  <c r="L80" i="16"/>
  <c r="K80" i="16"/>
  <c r="J80" i="16"/>
  <c r="H80" i="16"/>
  <c r="G80" i="16"/>
  <c r="F80" i="16"/>
  <c r="E80" i="16"/>
  <c r="D80" i="16"/>
  <c r="O79" i="16"/>
  <c r="L79" i="16"/>
  <c r="I79" i="16"/>
  <c r="F79" i="16"/>
  <c r="O78" i="16"/>
  <c r="L78" i="16"/>
  <c r="L77" i="16" s="1"/>
  <c r="L76" i="16" s="1"/>
  <c r="I78" i="16"/>
  <c r="F78" i="16"/>
  <c r="F77" i="16" s="1"/>
  <c r="F76" i="16" s="1"/>
  <c r="O77" i="16"/>
  <c r="O76" i="16" s="1"/>
  <c r="N77" i="16"/>
  <c r="M77" i="16"/>
  <c r="M76" i="16" s="1"/>
  <c r="K77" i="16"/>
  <c r="K76" i="16" s="1"/>
  <c r="J77" i="16"/>
  <c r="J76" i="16" s="1"/>
  <c r="H77" i="16"/>
  <c r="G77" i="16"/>
  <c r="G76" i="16" s="1"/>
  <c r="E77" i="16"/>
  <c r="E76" i="16" s="1"/>
  <c r="D77" i="16"/>
  <c r="N76" i="16"/>
  <c r="H76" i="16"/>
  <c r="H75" i="16" s="1"/>
  <c r="O74" i="16"/>
  <c r="L74" i="16"/>
  <c r="I74" i="16"/>
  <c r="F74" i="16"/>
  <c r="C74" i="16" s="1"/>
  <c r="O73" i="16"/>
  <c r="L73" i="16"/>
  <c r="I73" i="16"/>
  <c r="F73" i="16"/>
  <c r="C73" i="16" s="1"/>
  <c r="O72" i="16"/>
  <c r="L72" i="16"/>
  <c r="I72" i="16"/>
  <c r="F72" i="16"/>
  <c r="O71" i="16"/>
  <c r="L71" i="16"/>
  <c r="I71" i="16"/>
  <c r="F71" i="16"/>
  <c r="O70" i="16"/>
  <c r="L70" i="16"/>
  <c r="L69" i="16" s="1"/>
  <c r="I70" i="16"/>
  <c r="F70" i="16"/>
  <c r="O69" i="16"/>
  <c r="N69" i="16"/>
  <c r="N67" i="16" s="1"/>
  <c r="M69" i="16"/>
  <c r="M67" i="16" s="1"/>
  <c r="K69" i="16"/>
  <c r="K67" i="16" s="1"/>
  <c r="J69" i="16"/>
  <c r="J67" i="16" s="1"/>
  <c r="H69" i="16"/>
  <c r="G69" i="16"/>
  <c r="G67" i="16" s="1"/>
  <c r="E69" i="16"/>
  <c r="E67" i="16" s="1"/>
  <c r="D69" i="16"/>
  <c r="O68" i="16"/>
  <c r="L68" i="16"/>
  <c r="I68" i="16"/>
  <c r="F68" i="16"/>
  <c r="H67" i="16"/>
  <c r="D67" i="16"/>
  <c r="O66" i="16"/>
  <c r="L66" i="16"/>
  <c r="I66" i="16"/>
  <c r="F66" i="16"/>
  <c r="O65" i="16"/>
  <c r="L65" i="16"/>
  <c r="I65" i="16"/>
  <c r="F65" i="16"/>
  <c r="C65" i="16" s="1"/>
  <c r="O64" i="16"/>
  <c r="L64" i="16"/>
  <c r="I64" i="16"/>
  <c r="F64" i="16"/>
  <c r="O63" i="16"/>
  <c r="L63" i="16"/>
  <c r="I63" i="16"/>
  <c r="F63" i="16"/>
  <c r="O62" i="16"/>
  <c r="L62" i="16"/>
  <c r="I62" i="16"/>
  <c r="F62" i="16"/>
  <c r="O61" i="16"/>
  <c r="L61" i="16"/>
  <c r="I61" i="16"/>
  <c r="F61" i="16"/>
  <c r="C61" i="16" s="1"/>
  <c r="O60" i="16"/>
  <c r="L60" i="16"/>
  <c r="I60" i="16"/>
  <c r="F60" i="16"/>
  <c r="O59" i="16"/>
  <c r="L59" i="16"/>
  <c r="I59" i="16"/>
  <c r="F59" i="16"/>
  <c r="N58" i="16"/>
  <c r="M58" i="16"/>
  <c r="K58" i="16"/>
  <c r="J58" i="16"/>
  <c r="H58" i="16"/>
  <c r="G58" i="16"/>
  <c r="E58" i="16"/>
  <c r="D58" i="16"/>
  <c r="O57" i="16"/>
  <c r="L57" i="16"/>
  <c r="I57" i="16"/>
  <c r="F57" i="16"/>
  <c r="O56" i="16"/>
  <c r="L56" i="16"/>
  <c r="I56" i="16"/>
  <c r="I55" i="16" s="1"/>
  <c r="F56" i="16"/>
  <c r="N55" i="16"/>
  <c r="M55" i="16"/>
  <c r="M54" i="16" s="1"/>
  <c r="K55" i="16"/>
  <c r="K54" i="16" s="1"/>
  <c r="K53" i="16" s="1"/>
  <c r="J55" i="16"/>
  <c r="J54" i="16" s="1"/>
  <c r="J53" i="16" s="1"/>
  <c r="H55" i="16"/>
  <c r="G55" i="16"/>
  <c r="G54" i="16" s="1"/>
  <c r="G53" i="16" s="1"/>
  <c r="E55" i="16"/>
  <c r="E54" i="16" s="1"/>
  <c r="D55" i="16"/>
  <c r="H54" i="16"/>
  <c r="H53" i="16" s="1"/>
  <c r="H52" i="16" s="1"/>
  <c r="D54" i="16"/>
  <c r="D53" i="16" s="1"/>
  <c r="O47" i="16"/>
  <c r="C47" i="16" s="1"/>
  <c r="O46" i="16"/>
  <c r="C46" i="16" s="1"/>
  <c r="N45" i="16"/>
  <c r="M45" i="16"/>
  <c r="L44" i="16"/>
  <c r="L43" i="16" s="1"/>
  <c r="I44" i="16"/>
  <c r="I43" i="16" s="1"/>
  <c r="F44" i="16"/>
  <c r="K43" i="16"/>
  <c r="J43" i="16"/>
  <c r="H43" i="16"/>
  <c r="G43" i="16"/>
  <c r="E43" i="16"/>
  <c r="D43" i="16"/>
  <c r="F42" i="16"/>
  <c r="C42" i="16" s="1"/>
  <c r="E41" i="16"/>
  <c r="D41" i="16"/>
  <c r="L40" i="16"/>
  <c r="C40" i="16" s="1"/>
  <c r="L39" i="16"/>
  <c r="C39" i="16" s="1"/>
  <c r="L38" i="16"/>
  <c r="C38" i="16" s="1"/>
  <c r="L37" i="16"/>
  <c r="C37" i="16" s="1"/>
  <c r="K36" i="16"/>
  <c r="J36" i="16"/>
  <c r="L35" i="16"/>
  <c r="C35" i="16" s="1"/>
  <c r="L34" i="16"/>
  <c r="C34" i="16" s="1"/>
  <c r="K33" i="16"/>
  <c r="J33" i="16"/>
  <c r="L32" i="16"/>
  <c r="K31" i="16"/>
  <c r="J31" i="16"/>
  <c r="L30" i="16"/>
  <c r="C30" i="16" s="1"/>
  <c r="L29" i="16"/>
  <c r="C29" i="16" s="1"/>
  <c r="L28" i="16"/>
  <c r="C28" i="16" s="1"/>
  <c r="K27" i="16"/>
  <c r="J27" i="16"/>
  <c r="K26" i="16"/>
  <c r="F25" i="16"/>
  <c r="C25" i="16" s="1"/>
  <c r="O23" i="16"/>
  <c r="L23" i="16"/>
  <c r="I23" i="16"/>
  <c r="F23" i="16"/>
  <c r="O22" i="16"/>
  <c r="O21" i="16" s="1"/>
  <c r="O292" i="16" s="1"/>
  <c r="L22" i="16"/>
  <c r="I22" i="16"/>
  <c r="F22" i="16"/>
  <c r="N21" i="16"/>
  <c r="N292" i="16" s="1"/>
  <c r="N291" i="16" s="1"/>
  <c r="M21" i="16"/>
  <c r="M292" i="16" s="1"/>
  <c r="M291" i="16" s="1"/>
  <c r="K21" i="16"/>
  <c r="K292" i="16" s="1"/>
  <c r="K291" i="16" s="1"/>
  <c r="J21" i="16"/>
  <c r="J292" i="16" s="1"/>
  <c r="J291" i="16" s="1"/>
  <c r="I21" i="16"/>
  <c r="H21" i="16"/>
  <c r="G21" i="16"/>
  <c r="G292" i="16" s="1"/>
  <c r="G291" i="16" s="1"/>
  <c r="F21" i="16"/>
  <c r="E21" i="16"/>
  <c r="E292" i="16" s="1"/>
  <c r="E291" i="16" s="1"/>
  <c r="D21" i="16"/>
  <c r="N20" i="16"/>
  <c r="M20" i="16"/>
  <c r="K20" i="16"/>
  <c r="C23" i="16" l="1"/>
  <c r="C123" i="16"/>
  <c r="C127" i="16"/>
  <c r="C135" i="16"/>
  <c r="C138" i="16"/>
  <c r="C155" i="16"/>
  <c r="C159" i="16"/>
  <c r="C161" i="16"/>
  <c r="D187" i="16"/>
  <c r="G187" i="16"/>
  <c r="C203" i="16"/>
  <c r="J231" i="16"/>
  <c r="O231" i="16"/>
  <c r="K259" i="16"/>
  <c r="C57" i="16"/>
  <c r="C60" i="16"/>
  <c r="C85" i="16"/>
  <c r="C111" i="16"/>
  <c r="C119" i="16"/>
  <c r="I136" i="16"/>
  <c r="L144" i="16"/>
  <c r="L196" i="16"/>
  <c r="M195" i="16"/>
  <c r="K204" i="16"/>
  <c r="C229" i="16"/>
  <c r="C243" i="16"/>
  <c r="M259" i="16"/>
  <c r="C280" i="16"/>
  <c r="L116" i="16"/>
  <c r="D130" i="16"/>
  <c r="C255" i="16"/>
  <c r="C263" i="16"/>
  <c r="K270" i="16"/>
  <c r="K269" i="16" s="1"/>
  <c r="C81" i="16"/>
  <c r="C82" i="16"/>
  <c r="C91" i="16"/>
  <c r="C115" i="16"/>
  <c r="L136" i="16"/>
  <c r="C239" i="16"/>
  <c r="L272" i="16"/>
  <c r="C191" i="16"/>
  <c r="C44" i="16"/>
  <c r="O55" i="16"/>
  <c r="N54" i="16"/>
  <c r="N53" i="16" s="1"/>
  <c r="O58" i="16"/>
  <c r="L58" i="16"/>
  <c r="F69" i="16"/>
  <c r="C72" i="16"/>
  <c r="I205" i="16"/>
  <c r="G204" i="16"/>
  <c r="G195" i="16" s="1"/>
  <c r="K195" i="16"/>
  <c r="M230" i="16"/>
  <c r="L238" i="16"/>
  <c r="D76" i="16"/>
  <c r="D75" i="16" s="1"/>
  <c r="D52" i="16" s="1"/>
  <c r="C87" i="16"/>
  <c r="C100" i="16"/>
  <c r="C110" i="16"/>
  <c r="C118" i="16"/>
  <c r="L122" i="16"/>
  <c r="C150" i="16"/>
  <c r="C172" i="16"/>
  <c r="I173" i="16"/>
  <c r="M187" i="16"/>
  <c r="L187" i="16"/>
  <c r="J195" i="16"/>
  <c r="C200" i="16"/>
  <c r="C202" i="16"/>
  <c r="C228" i="16"/>
  <c r="E231" i="16"/>
  <c r="E230" i="16" s="1"/>
  <c r="K231" i="16"/>
  <c r="D231" i="16"/>
  <c r="D230" i="16" s="1"/>
  <c r="C248" i="16"/>
  <c r="C249" i="16"/>
  <c r="L252" i="16"/>
  <c r="L251" i="16" s="1"/>
  <c r="C261" i="16"/>
  <c r="C262" i="16"/>
  <c r="F267" i="16"/>
  <c r="C268" i="16"/>
  <c r="C274" i="16"/>
  <c r="C287" i="16"/>
  <c r="C288" i="16"/>
  <c r="J26" i="16"/>
  <c r="J20" i="16" s="1"/>
  <c r="F41" i="16"/>
  <c r="C41" i="16" s="1"/>
  <c r="F43" i="16"/>
  <c r="L55" i="16"/>
  <c r="C64" i="16"/>
  <c r="N83" i="16"/>
  <c r="L84" i="16"/>
  <c r="C94" i="16"/>
  <c r="G83" i="16"/>
  <c r="G75" i="16" s="1"/>
  <c r="C108" i="16"/>
  <c r="L112" i="16"/>
  <c r="K130" i="16"/>
  <c r="K75" i="16" s="1"/>
  <c r="K52" i="16" s="1"/>
  <c r="C132" i="16"/>
  <c r="C148" i="16"/>
  <c r="C164" i="16"/>
  <c r="C167" i="16"/>
  <c r="O184" i="16"/>
  <c r="C184" i="16" s="1"/>
  <c r="N187" i="16"/>
  <c r="O188" i="16"/>
  <c r="O187" i="16" s="1"/>
  <c r="C201" i="16"/>
  <c r="C212" i="16"/>
  <c r="C218" i="16"/>
  <c r="C224" i="16"/>
  <c r="I227" i="16"/>
  <c r="C227" i="16" s="1"/>
  <c r="G231" i="16"/>
  <c r="G230" i="16" s="1"/>
  <c r="G194" i="16" s="1"/>
  <c r="I235" i="16"/>
  <c r="C241" i="16"/>
  <c r="I246" i="16"/>
  <c r="C253" i="16"/>
  <c r="O264" i="16"/>
  <c r="O259" i="16" s="1"/>
  <c r="H270" i="16"/>
  <c r="H269" i="16" s="1"/>
  <c r="C275" i="16"/>
  <c r="L276" i="16"/>
  <c r="C282" i="16"/>
  <c r="I286" i="16"/>
  <c r="C286" i="16" s="1"/>
  <c r="C294" i="16"/>
  <c r="L36" i="16"/>
  <c r="C36" i="16" s="1"/>
  <c r="C63" i="16"/>
  <c r="C66" i="16"/>
  <c r="O67" i="16"/>
  <c r="C92" i="16"/>
  <c r="C98" i="16"/>
  <c r="C114" i="16"/>
  <c r="C125" i="16"/>
  <c r="C126" i="16"/>
  <c r="C129" i="16"/>
  <c r="I131" i="16"/>
  <c r="O136" i="16"/>
  <c r="I151" i="16"/>
  <c r="C157" i="16"/>
  <c r="C158" i="16"/>
  <c r="O160" i="16"/>
  <c r="C169" i="16"/>
  <c r="C170" i="16"/>
  <c r="J174" i="16"/>
  <c r="J173" i="16" s="1"/>
  <c r="L179" i="16"/>
  <c r="L174" i="16" s="1"/>
  <c r="L173" i="16" s="1"/>
  <c r="C186" i="16"/>
  <c r="C189" i="16"/>
  <c r="C190" i="16"/>
  <c r="C193" i="16"/>
  <c r="E195" i="16"/>
  <c r="C210" i="16"/>
  <c r="F216" i="16"/>
  <c r="C222" i="16"/>
  <c r="I238" i="16"/>
  <c r="I252" i="16"/>
  <c r="I251" i="16" s="1"/>
  <c r="C257" i="16"/>
  <c r="C258" i="16"/>
  <c r="C266" i="16"/>
  <c r="L264" i="16"/>
  <c r="C271" i="16"/>
  <c r="D269" i="16"/>
  <c r="I270" i="16"/>
  <c r="I269" i="16" s="1"/>
  <c r="M270" i="16"/>
  <c r="M269" i="16" s="1"/>
  <c r="C295" i="16"/>
  <c r="D292" i="16"/>
  <c r="D291" i="16" s="1"/>
  <c r="O45" i="16"/>
  <c r="M53" i="16"/>
  <c r="L54" i="16"/>
  <c r="C22" i="16"/>
  <c r="C68" i="16"/>
  <c r="F67" i="16"/>
  <c r="I103" i="16"/>
  <c r="C104" i="16"/>
  <c r="C162" i="16"/>
  <c r="F160" i="16"/>
  <c r="H292" i="16"/>
  <c r="H291" i="16" s="1"/>
  <c r="L21" i="16"/>
  <c r="L27" i="16"/>
  <c r="L33" i="16"/>
  <c r="C33" i="16" s="1"/>
  <c r="C43" i="16"/>
  <c r="I54" i="16"/>
  <c r="F58" i="16"/>
  <c r="C58" i="16" s="1"/>
  <c r="I58" i="16"/>
  <c r="C59" i="16"/>
  <c r="C62" i="16"/>
  <c r="L67" i="16"/>
  <c r="C79" i="16"/>
  <c r="I77" i="16"/>
  <c r="C86" i="16"/>
  <c r="C88" i="16"/>
  <c r="F84" i="16"/>
  <c r="F292" i="16"/>
  <c r="C32" i="16"/>
  <c r="L31" i="16"/>
  <c r="C31" i="16" s="1"/>
  <c r="E53" i="16"/>
  <c r="C56" i="16"/>
  <c r="F55" i="16"/>
  <c r="O54" i="16"/>
  <c r="O53" i="16" s="1"/>
  <c r="C71" i="16"/>
  <c r="I69" i="16"/>
  <c r="C80" i="16"/>
  <c r="C90" i="16"/>
  <c r="F89" i="16"/>
  <c r="C106" i="16"/>
  <c r="F103" i="16"/>
  <c r="C142" i="16"/>
  <c r="F141" i="16"/>
  <c r="F165" i="16"/>
  <c r="D289" i="16"/>
  <c r="C234" i="16"/>
  <c r="F233" i="16"/>
  <c r="C301" i="16"/>
  <c r="C70" i="16"/>
  <c r="C78" i="16"/>
  <c r="I89" i="16"/>
  <c r="C93" i="16"/>
  <c r="F95" i="16"/>
  <c r="C97" i="16"/>
  <c r="L103" i="16"/>
  <c r="L83" i="16" s="1"/>
  <c r="C109" i="16"/>
  <c r="F112" i="16"/>
  <c r="C113" i="16"/>
  <c r="O112" i="16"/>
  <c r="F116" i="16"/>
  <c r="C117" i="16"/>
  <c r="O116" i="16"/>
  <c r="O122" i="16"/>
  <c r="C128" i="16"/>
  <c r="N130" i="16"/>
  <c r="N75" i="16" s="1"/>
  <c r="E130" i="16"/>
  <c r="E75" i="16" s="1"/>
  <c r="C137" i="16"/>
  <c r="O144" i="16"/>
  <c r="C153" i="16"/>
  <c r="C154" i="16"/>
  <c r="F151" i="16"/>
  <c r="C168" i="16"/>
  <c r="N173" i="16"/>
  <c r="C181" i="16"/>
  <c r="C182" i="16"/>
  <c r="F179" i="16"/>
  <c r="C179" i="16" s="1"/>
  <c r="D194" i="16"/>
  <c r="J230" i="16"/>
  <c r="C254" i="16"/>
  <c r="F252" i="16"/>
  <c r="I95" i="16"/>
  <c r="C96" i="16"/>
  <c r="J130" i="16"/>
  <c r="J75" i="16" s="1"/>
  <c r="J52" i="16" s="1"/>
  <c r="C136" i="16"/>
  <c r="O174" i="16"/>
  <c r="O173" i="16" s="1"/>
  <c r="I196" i="16"/>
  <c r="C197" i="16"/>
  <c r="O89" i="16"/>
  <c r="C101" i="16"/>
  <c r="C105" i="16"/>
  <c r="C120" i="16"/>
  <c r="C121" i="16"/>
  <c r="C124" i="16"/>
  <c r="C133" i="16"/>
  <c r="C134" i="16"/>
  <c r="F131" i="16"/>
  <c r="M130" i="16"/>
  <c r="M75" i="16" s="1"/>
  <c r="M289" i="16" s="1"/>
  <c r="C140" i="16"/>
  <c r="O141" i="16"/>
  <c r="O130" i="16" s="1"/>
  <c r="F144" i="16"/>
  <c r="I144" i="16"/>
  <c r="I130" i="16" s="1"/>
  <c r="C149" i="16"/>
  <c r="L151" i="16"/>
  <c r="L130" i="16" s="1"/>
  <c r="C156" i="16"/>
  <c r="O165" i="16"/>
  <c r="C177" i="16"/>
  <c r="C178" i="16"/>
  <c r="F175" i="16"/>
  <c r="C185" i="16"/>
  <c r="F188" i="16"/>
  <c r="K230" i="16"/>
  <c r="K194" i="16" s="1"/>
  <c r="C250" i="16"/>
  <c r="F246" i="16"/>
  <c r="C246" i="16" s="1"/>
  <c r="C277" i="16"/>
  <c r="F276" i="16"/>
  <c r="I122" i="16"/>
  <c r="C152" i="16"/>
  <c r="I166" i="16"/>
  <c r="I165" i="16" s="1"/>
  <c r="C176" i="16"/>
  <c r="C180" i="16"/>
  <c r="C192" i="16"/>
  <c r="F196" i="16"/>
  <c r="C198" i="16"/>
  <c r="L205" i="16"/>
  <c r="C208" i="16"/>
  <c r="L216" i="16"/>
  <c r="C220" i="16"/>
  <c r="C232" i="16"/>
  <c r="I231" i="16"/>
  <c r="I230" i="16" s="1"/>
  <c r="C236" i="16"/>
  <c r="L235" i="16"/>
  <c r="C235" i="16" s="1"/>
  <c r="C240" i="16"/>
  <c r="C242" i="16"/>
  <c r="F238" i="16"/>
  <c r="C238" i="16" s="1"/>
  <c r="C256" i="16"/>
  <c r="C260" i="16"/>
  <c r="E270" i="16"/>
  <c r="E269" i="16" s="1"/>
  <c r="E194" i="16" s="1"/>
  <c r="C279" i="16"/>
  <c r="C281" i="16"/>
  <c r="C285" i="16"/>
  <c r="F284" i="16"/>
  <c r="F122" i="16"/>
  <c r="N195" i="16"/>
  <c r="O196" i="16"/>
  <c r="C206" i="16"/>
  <c r="F205" i="16"/>
  <c r="O205" i="16"/>
  <c r="C217" i="16"/>
  <c r="O216" i="16"/>
  <c r="H231" i="16"/>
  <c r="H230" i="16" s="1"/>
  <c r="H289" i="16" s="1"/>
  <c r="C244" i="16"/>
  <c r="C245" i="16"/>
  <c r="L259" i="16"/>
  <c r="I259" i="16"/>
  <c r="L270" i="16"/>
  <c r="L269" i="16" s="1"/>
  <c r="C273" i="16"/>
  <c r="F272" i="16"/>
  <c r="O293" i="16"/>
  <c r="O291" i="16" s="1"/>
  <c r="J194" i="16"/>
  <c r="C209" i="16"/>
  <c r="I216" i="16"/>
  <c r="C216" i="16" s="1"/>
  <c r="C221" i="16"/>
  <c r="L231" i="16"/>
  <c r="C237" i="16"/>
  <c r="N230" i="16"/>
  <c r="O252" i="16"/>
  <c r="O251" i="16" s="1"/>
  <c r="C265" i="16"/>
  <c r="O276" i="16"/>
  <c r="O270" i="16" s="1"/>
  <c r="O269" i="16" s="1"/>
  <c r="C296" i="16"/>
  <c r="C297" i="16"/>
  <c r="F293" i="16"/>
  <c r="H194" i="16" l="1"/>
  <c r="H51" i="16" s="1"/>
  <c r="E289" i="16"/>
  <c r="M194" i="16"/>
  <c r="I292" i="16"/>
  <c r="I291" i="16" s="1"/>
  <c r="G52" i="16"/>
  <c r="G51" i="16" s="1"/>
  <c r="G289" i="16"/>
  <c r="O230" i="16"/>
  <c r="O83" i="16"/>
  <c r="L75" i="16"/>
  <c r="I83" i="16"/>
  <c r="F291" i="16"/>
  <c r="D51" i="16"/>
  <c r="N52" i="16"/>
  <c r="L230" i="16"/>
  <c r="O204" i="16"/>
  <c r="O195" i="16" s="1"/>
  <c r="O194" i="16" s="1"/>
  <c r="C276" i="16"/>
  <c r="K51" i="16"/>
  <c r="J51" i="16"/>
  <c r="J290" i="16" s="1"/>
  <c r="C160" i="16"/>
  <c r="C267" i="16"/>
  <c r="F264" i="16"/>
  <c r="K50" i="16"/>
  <c r="K290" i="16"/>
  <c r="J50" i="16"/>
  <c r="G50" i="16"/>
  <c r="G24" i="16" s="1"/>
  <c r="J289" i="16"/>
  <c r="O75" i="16"/>
  <c r="O52" i="16" s="1"/>
  <c r="D50" i="16"/>
  <c r="D24" i="16" s="1"/>
  <c r="D290" i="16" s="1"/>
  <c r="N289" i="16"/>
  <c r="H50" i="16"/>
  <c r="H24" i="16" s="1"/>
  <c r="H20" i="16" s="1"/>
  <c r="F187" i="16"/>
  <c r="C187" i="16" s="1"/>
  <c r="C188" i="16"/>
  <c r="F231" i="16"/>
  <c r="C233" i="16"/>
  <c r="C103" i="16"/>
  <c r="L292" i="16"/>
  <c r="L291" i="16" s="1"/>
  <c r="C45" i="16"/>
  <c r="O20" i="16"/>
  <c r="C205" i="16"/>
  <c r="F204" i="16"/>
  <c r="F195" i="16" s="1"/>
  <c r="L204" i="16"/>
  <c r="L195" i="16" s="1"/>
  <c r="L194" i="16" s="1"/>
  <c r="F251" i="16"/>
  <c r="C251" i="16" s="1"/>
  <c r="C252" i="16"/>
  <c r="C112" i="16"/>
  <c r="C95" i="16"/>
  <c r="I204" i="16"/>
  <c r="I195" i="16" s="1"/>
  <c r="C141" i="16"/>
  <c r="C69" i="16"/>
  <c r="I67" i="16"/>
  <c r="I53" i="16" s="1"/>
  <c r="C284" i="16"/>
  <c r="F283" i="16"/>
  <c r="C283" i="16" s="1"/>
  <c r="C196" i="16"/>
  <c r="C166" i="16"/>
  <c r="C55" i="16"/>
  <c r="F54" i="16"/>
  <c r="C84" i="16"/>
  <c r="F83" i="16"/>
  <c r="N194" i="16"/>
  <c r="N51" i="16" s="1"/>
  <c r="C293" i="16"/>
  <c r="F270" i="16"/>
  <c r="C272" i="16"/>
  <c r="C122" i="16"/>
  <c r="F174" i="16"/>
  <c r="C175" i="16"/>
  <c r="C144" i="16"/>
  <c r="F130" i="16"/>
  <c r="C130" i="16" s="1"/>
  <c r="C131" i="16"/>
  <c r="C116" i="16"/>
  <c r="C89" i="16"/>
  <c r="E52" i="16"/>
  <c r="E51" i="16" s="1"/>
  <c r="C21" i="16"/>
  <c r="L53" i="16"/>
  <c r="L52" i="16" s="1"/>
  <c r="L51" i="16" s="1"/>
  <c r="L50" i="16" s="1"/>
  <c r="K289" i="16"/>
  <c r="C151" i="16"/>
  <c r="C165" i="16"/>
  <c r="C292" i="16"/>
  <c r="I76" i="16"/>
  <c r="C77" i="16"/>
  <c r="C27" i="16"/>
  <c r="L26" i="16"/>
  <c r="M52" i="16"/>
  <c r="M51" i="16" s="1"/>
  <c r="C67" i="16" l="1"/>
  <c r="O51" i="16"/>
  <c r="C291" i="16"/>
  <c r="C264" i="16"/>
  <c r="F259" i="16"/>
  <c r="C259" i="16" s="1"/>
  <c r="I194" i="16"/>
  <c r="N50" i="16"/>
  <c r="N290" i="16"/>
  <c r="O50" i="16"/>
  <c r="O290" i="16"/>
  <c r="E50" i="16"/>
  <c r="E24" i="16" s="1"/>
  <c r="E20" i="16" s="1"/>
  <c r="I24" i="16"/>
  <c r="I20" i="16" s="1"/>
  <c r="G20" i="16"/>
  <c r="C83" i="16"/>
  <c r="F75" i="16"/>
  <c r="C204" i="16"/>
  <c r="H290" i="16"/>
  <c r="O289" i="16"/>
  <c r="G290" i="16"/>
  <c r="F269" i="16"/>
  <c r="C270" i="16"/>
  <c r="L289" i="16"/>
  <c r="L290" i="16"/>
  <c r="C26" i="16"/>
  <c r="C195" i="16"/>
  <c r="C231" i="16"/>
  <c r="M50" i="16"/>
  <c r="M290" i="16"/>
  <c r="I75" i="16"/>
  <c r="I52" i="16" s="1"/>
  <c r="I51" i="16" s="1"/>
  <c r="C76" i="16"/>
  <c r="C174" i="16"/>
  <c r="F173" i="16"/>
  <c r="C173" i="16" s="1"/>
  <c r="F53" i="16"/>
  <c r="C54" i="16"/>
  <c r="L20" i="16"/>
  <c r="D20" i="16"/>
  <c r="F230" i="16" l="1"/>
  <c r="C230" i="16" s="1"/>
  <c r="E290" i="16"/>
  <c r="F24" i="16"/>
  <c r="C24" i="16" s="1"/>
  <c r="I289" i="16"/>
  <c r="I290" i="16"/>
  <c r="I50" i="16"/>
  <c r="F194" i="16"/>
  <c r="C194" i="16" s="1"/>
  <c r="C269" i="16"/>
  <c r="F289" i="16"/>
  <c r="F52" i="16"/>
  <c r="C53" i="16"/>
  <c r="C75" i="16"/>
  <c r="C289" i="16" l="1"/>
  <c r="F20" i="16"/>
  <c r="C20" i="16" s="1"/>
  <c r="C52" i="16"/>
  <c r="F51" i="16"/>
  <c r="F290" i="16" l="1"/>
  <c r="C290" i="16" s="1"/>
  <c r="C51" i="16"/>
  <c r="F50" i="16"/>
  <c r="C50" i="16" s="1"/>
  <c r="O301" i="15" l="1"/>
  <c r="L301" i="15"/>
  <c r="I301" i="15"/>
  <c r="F301" i="15"/>
  <c r="C301" i="15" s="1"/>
  <c r="O300" i="15"/>
  <c r="L300" i="15"/>
  <c r="I300" i="15"/>
  <c r="F300" i="15"/>
  <c r="O299" i="15"/>
  <c r="L299" i="15"/>
  <c r="I299" i="15"/>
  <c r="F299" i="15"/>
  <c r="C299" i="15" s="1"/>
  <c r="O298" i="15"/>
  <c r="L298" i="15"/>
  <c r="I298" i="15"/>
  <c r="F298" i="15"/>
  <c r="C298" i="15" s="1"/>
  <c r="O297" i="15"/>
  <c r="L297" i="15"/>
  <c r="I297" i="15"/>
  <c r="F297" i="15"/>
  <c r="O296" i="15"/>
  <c r="L296" i="15"/>
  <c r="I296" i="15"/>
  <c r="F296" i="15"/>
  <c r="O295" i="15"/>
  <c r="L295" i="15"/>
  <c r="I295" i="15"/>
  <c r="F295" i="15"/>
  <c r="O294" i="15"/>
  <c r="L294" i="15"/>
  <c r="I294" i="15"/>
  <c r="I293" i="15" s="1"/>
  <c r="F294" i="15"/>
  <c r="N293" i="15"/>
  <c r="M293" i="15"/>
  <c r="K293" i="15"/>
  <c r="J293" i="15"/>
  <c r="H293" i="15"/>
  <c r="G293" i="15"/>
  <c r="E293" i="15"/>
  <c r="D293" i="15"/>
  <c r="O288" i="15"/>
  <c r="L288" i="15"/>
  <c r="I288" i="15"/>
  <c r="F288" i="15"/>
  <c r="O287" i="15"/>
  <c r="L287" i="15"/>
  <c r="L286" i="15" s="1"/>
  <c r="I287" i="15"/>
  <c r="F287" i="15"/>
  <c r="F286" i="15" s="1"/>
  <c r="O286" i="15"/>
  <c r="N286" i="15"/>
  <c r="M286" i="15"/>
  <c r="K286" i="15"/>
  <c r="J286" i="15"/>
  <c r="H286" i="15"/>
  <c r="G286" i="15"/>
  <c r="E286" i="15"/>
  <c r="D286" i="15"/>
  <c r="O285" i="15"/>
  <c r="L285" i="15"/>
  <c r="L284" i="15" s="1"/>
  <c r="L283" i="15" s="1"/>
  <c r="I285" i="15"/>
  <c r="I284" i="15" s="1"/>
  <c r="I283" i="15" s="1"/>
  <c r="F285" i="15"/>
  <c r="O284" i="15"/>
  <c r="O283" i="15" s="1"/>
  <c r="N284" i="15"/>
  <c r="M284" i="15"/>
  <c r="M283" i="15" s="1"/>
  <c r="K284" i="15"/>
  <c r="K283" i="15" s="1"/>
  <c r="J284" i="15"/>
  <c r="J283" i="15" s="1"/>
  <c r="H284" i="15"/>
  <c r="H283" i="15" s="1"/>
  <c r="G284" i="15"/>
  <c r="G283" i="15" s="1"/>
  <c r="E284" i="15"/>
  <c r="E283" i="15" s="1"/>
  <c r="D284" i="15"/>
  <c r="N283" i="15"/>
  <c r="D283" i="15"/>
  <c r="O282" i="15"/>
  <c r="O281" i="15" s="1"/>
  <c r="L282" i="15"/>
  <c r="I282" i="15"/>
  <c r="I281" i="15" s="1"/>
  <c r="F282" i="15"/>
  <c r="C282" i="15" s="1"/>
  <c r="N281" i="15"/>
  <c r="M281" i="15"/>
  <c r="L281" i="15"/>
  <c r="K281" i="15"/>
  <c r="J281" i="15"/>
  <c r="H281" i="15"/>
  <c r="G281" i="15"/>
  <c r="F281" i="15"/>
  <c r="E281" i="15"/>
  <c r="D281" i="15"/>
  <c r="O280" i="15"/>
  <c r="L280" i="15"/>
  <c r="I280" i="15"/>
  <c r="F280" i="15"/>
  <c r="O279" i="15"/>
  <c r="L279" i="15"/>
  <c r="I279" i="15"/>
  <c r="F279" i="15"/>
  <c r="O278" i="15"/>
  <c r="L278" i="15"/>
  <c r="I278" i="15"/>
  <c r="F278" i="15"/>
  <c r="O277" i="15"/>
  <c r="L277" i="15"/>
  <c r="I277" i="15"/>
  <c r="F277" i="15"/>
  <c r="N276" i="15"/>
  <c r="M276" i="15"/>
  <c r="K276" i="15"/>
  <c r="J276" i="15"/>
  <c r="I276" i="15"/>
  <c r="H276" i="15"/>
  <c r="G276" i="15"/>
  <c r="E276" i="15"/>
  <c r="D276" i="15"/>
  <c r="O275" i="15"/>
  <c r="L275" i="15"/>
  <c r="I275" i="15"/>
  <c r="F275" i="15"/>
  <c r="O274" i="15"/>
  <c r="L274" i="15"/>
  <c r="I274" i="15"/>
  <c r="F274" i="15"/>
  <c r="C274" i="15" s="1"/>
  <c r="O273" i="15"/>
  <c r="L273" i="15"/>
  <c r="I273" i="15"/>
  <c r="I272" i="15" s="1"/>
  <c r="F273" i="15"/>
  <c r="N272" i="15"/>
  <c r="M272" i="15"/>
  <c r="M270" i="15" s="1"/>
  <c r="K272" i="15"/>
  <c r="K270" i="15" s="1"/>
  <c r="K269" i="15" s="1"/>
  <c r="J272" i="15"/>
  <c r="H272" i="15"/>
  <c r="G272" i="15"/>
  <c r="E272" i="15"/>
  <c r="D272" i="15"/>
  <c r="D270" i="15" s="1"/>
  <c r="D269" i="15" s="1"/>
  <c r="O271" i="15"/>
  <c r="L271" i="15"/>
  <c r="I271" i="15"/>
  <c r="F271" i="15"/>
  <c r="N270" i="15"/>
  <c r="N269" i="15" s="1"/>
  <c r="J270" i="15"/>
  <c r="J269" i="15" s="1"/>
  <c r="H270" i="15"/>
  <c r="H269" i="15" s="1"/>
  <c r="G270" i="15"/>
  <c r="G269" i="15" s="1"/>
  <c r="O268" i="15"/>
  <c r="L268" i="15"/>
  <c r="I268" i="15"/>
  <c r="F268" i="15"/>
  <c r="O267" i="15"/>
  <c r="L267" i="15"/>
  <c r="I267" i="15"/>
  <c r="C267" i="15" s="1"/>
  <c r="F267" i="15"/>
  <c r="O266" i="15"/>
  <c r="L266" i="15"/>
  <c r="I266" i="15"/>
  <c r="C266" i="15" s="1"/>
  <c r="F266" i="15"/>
  <c r="O265" i="15"/>
  <c r="L265" i="15"/>
  <c r="I265" i="15"/>
  <c r="F265" i="15"/>
  <c r="N264" i="15"/>
  <c r="M264" i="15"/>
  <c r="K264" i="15"/>
  <c r="J264" i="15"/>
  <c r="H264" i="15"/>
  <c r="G264" i="15"/>
  <c r="E264" i="15"/>
  <c r="D264" i="15"/>
  <c r="O263" i="15"/>
  <c r="L263" i="15"/>
  <c r="I263" i="15"/>
  <c r="F263" i="15"/>
  <c r="O262" i="15"/>
  <c r="L262" i="15"/>
  <c r="I262" i="15"/>
  <c r="F262" i="15"/>
  <c r="O261" i="15"/>
  <c r="L261" i="15"/>
  <c r="I261" i="15"/>
  <c r="F261" i="15"/>
  <c r="N260" i="15"/>
  <c r="N259" i="15" s="1"/>
  <c r="M260" i="15"/>
  <c r="K260" i="15"/>
  <c r="K259" i="15" s="1"/>
  <c r="J260" i="15"/>
  <c r="I260" i="15"/>
  <c r="H260" i="15"/>
  <c r="G260" i="15"/>
  <c r="G259" i="15" s="1"/>
  <c r="E260" i="15"/>
  <c r="E259" i="15" s="1"/>
  <c r="D260" i="15"/>
  <c r="D259" i="15" s="1"/>
  <c r="H259" i="15"/>
  <c r="O258" i="15"/>
  <c r="L258" i="15"/>
  <c r="I258" i="15"/>
  <c r="F258" i="15"/>
  <c r="C258" i="15" s="1"/>
  <c r="O257" i="15"/>
  <c r="L257" i="15"/>
  <c r="I257" i="15"/>
  <c r="F257" i="15"/>
  <c r="O256" i="15"/>
  <c r="L256" i="15"/>
  <c r="I256" i="15"/>
  <c r="F256" i="15"/>
  <c r="O255" i="15"/>
  <c r="L255" i="15"/>
  <c r="I255" i="15"/>
  <c r="F255" i="15"/>
  <c r="O254" i="15"/>
  <c r="L254" i="15"/>
  <c r="I254" i="15"/>
  <c r="F254" i="15"/>
  <c r="C254" i="15"/>
  <c r="O253" i="15"/>
  <c r="L253" i="15"/>
  <c r="I253" i="15"/>
  <c r="F253" i="15"/>
  <c r="N252" i="15"/>
  <c r="M252" i="15"/>
  <c r="M251" i="15" s="1"/>
  <c r="K252" i="15"/>
  <c r="J252" i="15"/>
  <c r="J251" i="15" s="1"/>
  <c r="H252" i="15"/>
  <c r="G252" i="15"/>
  <c r="G251" i="15" s="1"/>
  <c r="E252" i="15"/>
  <c r="E251" i="15" s="1"/>
  <c r="D252" i="15"/>
  <c r="D251" i="15" s="1"/>
  <c r="N251" i="15"/>
  <c r="K251" i="15"/>
  <c r="H251" i="15"/>
  <c r="O250" i="15"/>
  <c r="L250" i="15"/>
  <c r="I250" i="15"/>
  <c r="F250" i="15"/>
  <c r="O249" i="15"/>
  <c r="L249" i="15"/>
  <c r="I249" i="15"/>
  <c r="F249" i="15"/>
  <c r="O248" i="15"/>
  <c r="L248" i="15"/>
  <c r="I248" i="15"/>
  <c r="F248" i="15"/>
  <c r="O247" i="15"/>
  <c r="L247" i="15"/>
  <c r="I247" i="15"/>
  <c r="I246" i="15" s="1"/>
  <c r="F247" i="15"/>
  <c r="O246" i="15"/>
  <c r="N246" i="15"/>
  <c r="M246" i="15"/>
  <c r="K246" i="15"/>
  <c r="J246" i="15"/>
  <c r="H246" i="15"/>
  <c r="G246" i="15"/>
  <c r="E246" i="15"/>
  <c r="D246" i="15"/>
  <c r="O245" i="15"/>
  <c r="L245" i="15"/>
  <c r="I245" i="15"/>
  <c r="F245" i="15"/>
  <c r="C245" i="15" s="1"/>
  <c r="O244" i="15"/>
  <c r="L244" i="15"/>
  <c r="I244" i="15"/>
  <c r="F244" i="15"/>
  <c r="O243" i="15"/>
  <c r="L243" i="15"/>
  <c r="I243" i="15"/>
  <c r="F243" i="15"/>
  <c r="O242" i="15"/>
  <c r="L242" i="15"/>
  <c r="I242" i="15"/>
  <c r="F242" i="15"/>
  <c r="C242" i="15" s="1"/>
  <c r="O241" i="15"/>
  <c r="L241" i="15"/>
  <c r="I241" i="15"/>
  <c r="F241" i="15"/>
  <c r="O240" i="15"/>
  <c r="L240" i="15"/>
  <c r="I240" i="15"/>
  <c r="F240" i="15"/>
  <c r="O239" i="15"/>
  <c r="L239" i="15"/>
  <c r="I239" i="15"/>
  <c r="I238" i="15" s="1"/>
  <c r="F239" i="15"/>
  <c r="N238" i="15"/>
  <c r="M238" i="15"/>
  <c r="K238" i="15"/>
  <c r="J238" i="15"/>
  <c r="H238" i="15"/>
  <c r="G238" i="15"/>
  <c r="E238" i="15"/>
  <c r="D238" i="15"/>
  <c r="O237" i="15"/>
  <c r="L237" i="15"/>
  <c r="I237" i="15"/>
  <c r="F237" i="15"/>
  <c r="O236" i="15"/>
  <c r="L236" i="15"/>
  <c r="L235" i="15" s="1"/>
  <c r="I236" i="15"/>
  <c r="I235" i="15" s="1"/>
  <c r="F236" i="15"/>
  <c r="O235" i="15"/>
  <c r="N235" i="15"/>
  <c r="M235" i="15"/>
  <c r="K235" i="15"/>
  <c r="J235" i="15"/>
  <c r="H235" i="15"/>
  <c r="G235" i="15"/>
  <c r="F235" i="15"/>
  <c r="E235" i="15"/>
  <c r="D235" i="15"/>
  <c r="O234" i="15"/>
  <c r="O233" i="15" s="1"/>
  <c r="L234" i="15"/>
  <c r="L233" i="15" s="1"/>
  <c r="I234" i="15"/>
  <c r="F234" i="15"/>
  <c r="F233" i="15" s="1"/>
  <c r="N233" i="15"/>
  <c r="M233" i="15"/>
  <c r="K233" i="15"/>
  <c r="J233" i="15"/>
  <c r="I233" i="15"/>
  <c r="H233" i="15"/>
  <c r="H231" i="15" s="1"/>
  <c r="G233" i="15"/>
  <c r="E233" i="15"/>
  <c r="D233" i="15"/>
  <c r="O232" i="15"/>
  <c r="L232" i="15"/>
  <c r="I232" i="15"/>
  <c r="F232" i="15"/>
  <c r="N231" i="15"/>
  <c r="M231" i="15"/>
  <c r="O229" i="15"/>
  <c r="L229" i="15"/>
  <c r="I229" i="15"/>
  <c r="F229" i="15"/>
  <c r="C229" i="15" s="1"/>
  <c r="O228" i="15"/>
  <c r="L228" i="15"/>
  <c r="L227" i="15" s="1"/>
  <c r="I228" i="15"/>
  <c r="I227" i="15" s="1"/>
  <c r="F228" i="15"/>
  <c r="O227" i="15"/>
  <c r="N227" i="15"/>
  <c r="M227" i="15"/>
  <c r="K227" i="15"/>
  <c r="J227" i="15"/>
  <c r="H227" i="15"/>
  <c r="G227" i="15"/>
  <c r="F227" i="15"/>
  <c r="E227" i="15"/>
  <c r="D227" i="15"/>
  <c r="O226" i="15"/>
  <c r="L226" i="15"/>
  <c r="I226" i="15"/>
  <c r="F226" i="15"/>
  <c r="O225" i="15"/>
  <c r="L225" i="15"/>
  <c r="I225" i="15"/>
  <c r="F225" i="15"/>
  <c r="O224" i="15"/>
  <c r="L224" i="15"/>
  <c r="I224" i="15"/>
  <c r="F224" i="15"/>
  <c r="O223" i="15"/>
  <c r="L223" i="15"/>
  <c r="I223" i="15"/>
  <c r="F223" i="15"/>
  <c r="O222" i="15"/>
  <c r="L222" i="15"/>
  <c r="I222" i="15"/>
  <c r="F222" i="15"/>
  <c r="C222" i="15" s="1"/>
  <c r="O221" i="15"/>
  <c r="L221" i="15"/>
  <c r="I221" i="15"/>
  <c r="F221" i="15"/>
  <c r="C221" i="15" s="1"/>
  <c r="O220" i="15"/>
  <c r="L220" i="15"/>
  <c r="I220" i="15"/>
  <c r="F220" i="15"/>
  <c r="O219" i="15"/>
  <c r="L219" i="15"/>
  <c r="I219" i="15"/>
  <c r="F219" i="15"/>
  <c r="O218" i="15"/>
  <c r="L218" i="15"/>
  <c r="I218" i="15"/>
  <c r="F218" i="15"/>
  <c r="C218" i="15" s="1"/>
  <c r="O217" i="15"/>
  <c r="L217" i="15"/>
  <c r="I217" i="15"/>
  <c r="F217" i="15"/>
  <c r="N216" i="15"/>
  <c r="M216" i="15"/>
  <c r="K216" i="15"/>
  <c r="J216" i="15"/>
  <c r="H216" i="15"/>
  <c r="G216" i="15"/>
  <c r="E216" i="15"/>
  <c r="D216" i="15"/>
  <c r="O215" i="15"/>
  <c r="L215" i="15"/>
  <c r="I215" i="15"/>
  <c r="F215" i="15"/>
  <c r="O214" i="15"/>
  <c r="L214" i="15"/>
  <c r="I214" i="15"/>
  <c r="C214" i="15" s="1"/>
  <c r="F214" i="15"/>
  <c r="O213" i="15"/>
  <c r="L213" i="15"/>
  <c r="I213" i="15"/>
  <c r="F213" i="15"/>
  <c r="O212" i="15"/>
  <c r="L212" i="15"/>
  <c r="I212" i="15"/>
  <c r="F212" i="15"/>
  <c r="O211" i="15"/>
  <c r="L211" i="15"/>
  <c r="I211" i="15"/>
  <c r="F211" i="15"/>
  <c r="O210" i="15"/>
  <c r="L210" i="15"/>
  <c r="I210" i="15"/>
  <c r="F210" i="15"/>
  <c r="O209" i="15"/>
  <c r="L209" i="15"/>
  <c r="I209" i="15"/>
  <c r="F209" i="15"/>
  <c r="O208" i="15"/>
  <c r="L208" i="15"/>
  <c r="I208" i="15"/>
  <c r="F208" i="15"/>
  <c r="O207" i="15"/>
  <c r="L207" i="15"/>
  <c r="I207" i="15"/>
  <c r="F207" i="15"/>
  <c r="O206" i="15"/>
  <c r="L206" i="15"/>
  <c r="I206" i="15"/>
  <c r="F206" i="15"/>
  <c r="C206" i="15" s="1"/>
  <c r="N205" i="15"/>
  <c r="M205" i="15"/>
  <c r="K205" i="15"/>
  <c r="J205" i="15"/>
  <c r="H205" i="15"/>
  <c r="H204" i="15" s="1"/>
  <c r="G205" i="15"/>
  <c r="E205" i="15"/>
  <c r="D205" i="15"/>
  <c r="D204" i="15" s="1"/>
  <c r="G204" i="15"/>
  <c r="O203" i="15"/>
  <c r="L203" i="15"/>
  <c r="I203" i="15"/>
  <c r="F203" i="15"/>
  <c r="O202" i="15"/>
  <c r="L202" i="15"/>
  <c r="I202" i="15"/>
  <c r="F202" i="15"/>
  <c r="C202" i="15" s="1"/>
  <c r="O201" i="15"/>
  <c r="L201" i="15"/>
  <c r="I201" i="15"/>
  <c r="F201" i="15"/>
  <c r="O200" i="15"/>
  <c r="L200" i="15"/>
  <c r="I200" i="15"/>
  <c r="F200" i="15"/>
  <c r="O199" i="15"/>
  <c r="L199" i="15"/>
  <c r="L198" i="15" s="1"/>
  <c r="I199" i="15"/>
  <c r="F199" i="15"/>
  <c r="O198" i="15"/>
  <c r="N198" i="15"/>
  <c r="M198" i="15"/>
  <c r="K198" i="15"/>
  <c r="K196" i="15" s="1"/>
  <c r="J198" i="15"/>
  <c r="H198" i="15"/>
  <c r="G198" i="15"/>
  <c r="G196" i="15" s="1"/>
  <c r="G195" i="15" s="1"/>
  <c r="F198" i="15"/>
  <c r="E198" i="15"/>
  <c r="D198" i="15"/>
  <c r="O197" i="15"/>
  <c r="L197" i="15"/>
  <c r="I197" i="15"/>
  <c r="F197" i="15"/>
  <c r="N196" i="15"/>
  <c r="M196" i="15"/>
  <c r="J196" i="15"/>
  <c r="H196" i="15"/>
  <c r="E196" i="15"/>
  <c r="D196" i="15"/>
  <c r="O193" i="15"/>
  <c r="L193" i="15"/>
  <c r="I193" i="15"/>
  <c r="F193" i="15"/>
  <c r="O192" i="15"/>
  <c r="O191" i="15" s="1"/>
  <c r="N192" i="15"/>
  <c r="M192" i="15"/>
  <c r="M191" i="15" s="1"/>
  <c r="L192" i="15"/>
  <c r="L191" i="15" s="1"/>
  <c r="K192" i="15"/>
  <c r="K191" i="15" s="1"/>
  <c r="J192" i="15"/>
  <c r="I192" i="15"/>
  <c r="I191" i="15" s="1"/>
  <c r="H192" i="15"/>
  <c r="H191" i="15" s="1"/>
  <c r="G192" i="15"/>
  <c r="G191" i="15" s="1"/>
  <c r="E192" i="15"/>
  <c r="E191" i="15" s="1"/>
  <c r="D192" i="15"/>
  <c r="N191" i="15"/>
  <c r="J191" i="15"/>
  <c r="D191" i="15"/>
  <c r="O190" i="15"/>
  <c r="L190" i="15"/>
  <c r="I190" i="15"/>
  <c r="F190" i="15"/>
  <c r="O189" i="15"/>
  <c r="L189" i="15"/>
  <c r="L188" i="15" s="1"/>
  <c r="L187" i="15" s="1"/>
  <c r="I189" i="15"/>
  <c r="I188" i="15" s="1"/>
  <c r="I187" i="15" s="1"/>
  <c r="F189" i="15"/>
  <c r="O188" i="15"/>
  <c r="N188" i="15"/>
  <c r="M188" i="15"/>
  <c r="M187" i="15" s="1"/>
  <c r="K188" i="15"/>
  <c r="J188" i="15"/>
  <c r="J187" i="15" s="1"/>
  <c r="H188" i="15"/>
  <c r="G188" i="15"/>
  <c r="F188" i="15"/>
  <c r="E188" i="15"/>
  <c r="E187" i="15" s="1"/>
  <c r="D188" i="15"/>
  <c r="O186" i="15"/>
  <c r="L186" i="15"/>
  <c r="I186" i="15"/>
  <c r="F186" i="15"/>
  <c r="O185" i="15"/>
  <c r="L185" i="15"/>
  <c r="L184" i="15" s="1"/>
  <c r="I185" i="15"/>
  <c r="I184" i="15" s="1"/>
  <c r="F185" i="15"/>
  <c r="O184" i="15"/>
  <c r="N184" i="15"/>
  <c r="M184" i="15"/>
  <c r="K184" i="15"/>
  <c r="J184" i="15"/>
  <c r="H184" i="15"/>
  <c r="G184" i="15"/>
  <c r="F184" i="15"/>
  <c r="E184" i="15"/>
  <c r="D184" i="15"/>
  <c r="O183" i="15"/>
  <c r="L183" i="15"/>
  <c r="I183" i="15"/>
  <c r="F183" i="15"/>
  <c r="O182" i="15"/>
  <c r="L182" i="15"/>
  <c r="I182" i="15"/>
  <c r="F182" i="15"/>
  <c r="O181" i="15"/>
  <c r="L181" i="15"/>
  <c r="I181" i="15"/>
  <c r="F181" i="15"/>
  <c r="O180" i="15"/>
  <c r="O179" i="15" s="1"/>
  <c r="L180" i="15"/>
  <c r="L179" i="15" s="1"/>
  <c r="I180" i="15"/>
  <c r="I179" i="15" s="1"/>
  <c r="F180" i="15"/>
  <c r="C180" i="15" s="1"/>
  <c r="N179" i="15"/>
  <c r="M179" i="15"/>
  <c r="K179" i="15"/>
  <c r="J179" i="15"/>
  <c r="H179" i="15"/>
  <c r="G179" i="15"/>
  <c r="E179" i="15"/>
  <c r="D179" i="15"/>
  <c r="O178" i="15"/>
  <c r="L178" i="15"/>
  <c r="I178" i="15"/>
  <c r="F178" i="15"/>
  <c r="O177" i="15"/>
  <c r="L177" i="15"/>
  <c r="I177" i="15"/>
  <c r="F177" i="15"/>
  <c r="O176" i="15"/>
  <c r="O175" i="15" s="1"/>
  <c r="O174" i="15" s="1"/>
  <c r="O173" i="15" s="1"/>
  <c r="L176" i="15"/>
  <c r="I176" i="15"/>
  <c r="I175" i="15" s="1"/>
  <c r="F176" i="15"/>
  <c r="C176" i="15" s="1"/>
  <c r="N175" i="15"/>
  <c r="M175" i="15"/>
  <c r="L175" i="15"/>
  <c r="K175" i="15"/>
  <c r="K174" i="15" s="1"/>
  <c r="J175" i="15"/>
  <c r="H175" i="15"/>
  <c r="G175" i="15"/>
  <c r="G174" i="15" s="1"/>
  <c r="G173" i="15" s="1"/>
  <c r="E175" i="15"/>
  <c r="E174" i="15" s="1"/>
  <c r="E173" i="15" s="1"/>
  <c r="D175" i="15"/>
  <c r="M174" i="15"/>
  <c r="M173" i="15" s="1"/>
  <c r="I174" i="15"/>
  <c r="I173" i="15" s="1"/>
  <c r="H174" i="15"/>
  <c r="H173" i="15" s="1"/>
  <c r="D174" i="15"/>
  <c r="D173" i="15" s="1"/>
  <c r="O172" i="15"/>
  <c r="L172" i="15"/>
  <c r="I172" i="15"/>
  <c r="F172" i="15"/>
  <c r="O171" i="15"/>
  <c r="L171" i="15"/>
  <c r="I171" i="15"/>
  <c r="F171" i="15"/>
  <c r="O170" i="15"/>
  <c r="L170" i="15"/>
  <c r="I170" i="15"/>
  <c r="F170" i="15"/>
  <c r="O169" i="15"/>
  <c r="L169" i="15"/>
  <c r="I169" i="15"/>
  <c r="F169" i="15"/>
  <c r="O168" i="15"/>
  <c r="L168" i="15"/>
  <c r="I168" i="15"/>
  <c r="F168" i="15"/>
  <c r="O167" i="15"/>
  <c r="L167" i="15"/>
  <c r="I167" i="15"/>
  <c r="I166" i="15" s="1"/>
  <c r="F167" i="15"/>
  <c r="N166" i="15"/>
  <c r="N165" i="15" s="1"/>
  <c r="M166" i="15"/>
  <c r="M165" i="15" s="1"/>
  <c r="K166" i="15"/>
  <c r="K165" i="15" s="1"/>
  <c r="J166" i="15"/>
  <c r="J165" i="15" s="1"/>
  <c r="H166" i="15"/>
  <c r="H165" i="15" s="1"/>
  <c r="G166" i="15"/>
  <c r="G165" i="15" s="1"/>
  <c r="E166" i="15"/>
  <c r="E165" i="15" s="1"/>
  <c r="D166" i="15"/>
  <c r="D165" i="15" s="1"/>
  <c r="O164" i="15"/>
  <c r="L164" i="15"/>
  <c r="I164" i="15"/>
  <c r="F164" i="15"/>
  <c r="O163" i="15"/>
  <c r="C163" i="15" s="1"/>
  <c r="L163" i="15"/>
  <c r="I163" i="15"/>
  <c r="F163" i="15"/>
  <c r="O162" i="15"/>
  <c r="L162" i="15"/>
  <c r="I162" i="15"/>
  <c r="F162" i="15"/>
  <c r="O161" i="15"/>
  <c r="L161" i="15"/>
  <c r="L160" i="15" s="1"/>
  <c r="I161" i="15"/>
  <c r="I160" i="15" s="1"/>
  <c r="F161" i="15"/>
  <c r="O160" i="15"/>
  <c r="N160" i="15"/>
  <c r="M160" i="15"/>
  <c r="K160" i="15"/>
  <c r="J160" i="15"/>
  <c r="H160" i="15"/>
  <c r="G160" i="15"/>
  <c r="F160" i="15"/>
  <c r="E160" i="15"/>
  <c r="D160" i="15"/>
  <c r="O159" i="15"/>
  <c r="L159" i="15"/>
  <c r="I159" i="15"/>
  <c r="F159" i="15"/>
  <c r="O158" i="15"/>
  <c r="L158" i="15"/>
  <c r="I158" i="15"/>
  <c r="F158" i="15"/>
  <c r="O157" i="15"/>
  <c r="L157" i="15"/>
  <c r="I157" i="15"/>
  <c r="F157" i="15"/>
  <c r="O156" i="15"/>
  <c r="L156" i="15"/>
  <c r="I156" i="15"/>
  <c r="F156" i="15"/>
  <c r="C156" i="15" s="1"/>
  <c r="O155" i="15"/>
  <c r="L155" i="15"/>
  <c r="I155" i="15"/>
  <c r="F155" i="15"/>
  <c r="O154" i="15"/>
  <c r="L154" i="15"/>
  <c r="I154" i="15"/>
  <c r="F154" i="15"/>
  <c r="O153" i="15"/>
  <c r="L153" i="15"/>
  <c r="I153" i="15"/>
  <c r="F153" i="15"/>
  <c r="O152" i="15"/>
  <c r="L152" i="15"/>
  <c r="I152" i="15"/>
  <c r="F152" i="15"/>
  <c r="N151" i="15"/>
  <c r="M151" i="15"/>
  <c r="K151" i="15"/>
  <c r="J151" i="15"/>
  <c r="H151" i="15"/>
  <c r="G151" i="15"/>
  <c r="E151" i="15"/>
  <c r="D151" i="15"/>
  <c r="O150" i="15"/>
  <c r="L150" i="15"/>
  <c r="I150" i="15"/>
  <c r="F150" i="15"/>
  <c r="O149" i="15"/>
  <c r="L149" i="15"/>
  <c r="I149" i="15"/>
  <c r="F149" i="15"/>
  <c r="O148" i="15"/>
  <c r="L148" i="15"/>
  <c r="I148" i="15"/>
  <c r="F148" i="15"/>
  <c r="O147" i="15"/>
  <c r="L147" i="15"/>
  <c r="I147" i="15"/>
  <c r="F147" i="15"/>
  <c r="O146" i="15"/>
  <c r="L146" i="15"/>
  <c r="I146" i="15"/>
  <c r="F146" i="15"/>
  <c r="O145" i="15"/>
  <c r="L145" i="15"/>
  <c r="I145" i="15"/>
  <c r="F145" i="15"/>
  <c r="O144" i="15"/>
  <c r="N144" i="15"/>
  <c r="M144" i="15"/>
  <c r="K144" i="15"/>
  <c r="J144" i="15"/>
  <c r="H144" i="15"/>
  <c r="G144" i="15"/>
  <c r="E144" i="15"/>
  <c r="D144" i="15"/>
  <c r="O143" i="15"/>
  <c r="L143" i="15"/>
  <c r="I143" i="15"/>
  <c r="F143" i="15"/>
  <c r="O142" i="15"/>
  <c r="O141" i="15" s="1"/>
  <c r="L142" i="15"/>
  <c r="L141" i="15" s="1"/>
  <c r="I142" i="15"/>
  <c r="I141" i="15" s="1"/>
  <c r="F142" i="15"/>
  <c r="N141" i="15"/>
  <c r="M141" i="15"/>
  <c r="K141" i="15"/>
  <c r="J141" i="15"/>
  <c r="H141" i="15"/>
  <c r="G141" i="15"/>
  <c r="E141" i="15"/>
  <c r="D141" i="15"/>
  <c r="O140" i="15"/>
  <c r="L140" i="15"/>
  <c r="I140" i="15"/>
  <c r="F140" i="15"/>
  <c r="C140" i="15" s="1"/>
  <c r="O139" i="15"/>
  <c r="L139" i="15"/>
  <c r="I139" i="15"/>
  <c r="F139" i="15"/>
  <c r="O138" i="15"/>
  <c r="L138" i="15"/>
  <c r="I138" i="15"/>
  <c r="F138" i="15"/>
  <c r="O137" i="15"/>
  <c r="L137" i="15"/>
  <c r="L136" i="15" s="1"/>
  <c r="I137" i="15"/>
  <c r="I136" i="15" s="1"/>
  <c r="F137" i="15"/>
  <c r="F136" i="15" s="1"/>
  <c r="N136" i="15"/>
  <c r="M136" i="15"/>
  <c r="K136" i="15"/>
  <c r="J136" i="15"/>
  <c r="H136" i="15"/>
  <c r="G136" i="15"/>
  <c r="E136" i="15"/>
  <c r="D136" i="15"/>
  <c r="O135" i="15"/>
  <c r="L135" i="15"/>
  <c r="I135" i="15"/>
  <c r="F135" i="15"/>
  <c r="O134" i="15"/>
  <c r="L134" i="15"/>
  <c r="I134" i="15"/>
  <c r="F134" i="15"/>
  <c r="O133" i="15"/>
  <c r="L133" i="15"/>
  <c r="I133" i="15"/>
  <c r="F133" i="15"/>
  <c r="O132" i="15"/>
  <c r="L132" i="15"/>
  <c r="I132" i="15"/>
  <c r="F132" i="15"/>
  <c r="N131" i="15"/>
  <c r="N130" i="15" s="1"/>
  <c r="M131" i="15"/>
  <c r="K131" i="15"/>
  <c r="J131" i="15"/>
  <c r="H131" i="15"/>
  <c r="H130" i="15" s="1"/>
  <c r="G131" i="15"/>
  <c r="E131" i="15"/>
  <c r="D131" i="15"/>
  <c r="M130" i="15"/>
  <c r="O129" i="15"/>
  <c r="L129" i="15"/>
  <c r="L128" i="15" s="1"/>
  <c r="I129" i="15"/>
  <c r="I128" i="15" s="1"/>
  <c r="F129" i="15"/>
  <c r="O128" i="15"/>
  <c r="N128" i="15"/>
  <c r="M128" i="15"/>
  <c r="K128" i="15"/>
  <c r="J128" i="15"/>
  <c r="H128" i="15"/>
  <c r="G128" i="15"/>
  <c r="F128" i="15"/>
  <c r="E128" i="15"/>
  <c r="D128" i="15"/>
  <c r="O127" i="15"/>
  <c r="L127" i="15"/>
  <c r="I127" i="15"/>
  <c r="F127" i="15"/>
  <c r="O126" i="15"/>
  <c r="L126" i="15"/>
  <c r="I126" i="15"/>
  <c r="F126" i="15"/>
  <c r="O125" i="15"/>
  <c r="L125" i="15"/>
  <c r="I125" i="15"/>
  <c r="F125" i="15"/>
  <c r="O124" i="15"/>
  <c r="L124" i="15"/>
  <c r="I124" i="15"/>
  <c r="F124" i="15"/>
  <c r="O123" i="15"/>
  <c r="L123" i="15"/>
  <c r="I123" i="15"/>
  <c r="I122" i="15" s="1"/>
  <c r="F123" i="15"/>
  <c r="N122" i="15"/>
  <c r="M122" i="15"/>
  <c r="K122" i="15"/>
  <c r="J122" i="15"/>
  <c r="H122" i="15"/>
  <c r="G122" i="15"/>
  <c r="E122" i="15"/>
  <c r="D122" i="15"/>
  <c r="O121" i="15"/>
  <c r="L121" i="15"/>
  <c r="I121" i="15"/>
  <c r="F121" i="15"/>
  <c r="O120" i="15"/>
  <c r="L120" i="15"/>
  <c r="I120" i="15"/>
  <c r="F120" i="15"/>
  <c r="O119" i="15"/>
  <c r="L119" i="15"/>
  <c r="I119" i="15"/>
  <c r="F119" i="15"/>
  <c r="O118" i="15"/>
  <c r="L118" i="15"/>
  <c r="I118" i="15"/>
  <c r="F118" i="15"/>
  <c r="O117" i="15"/>
  <c r="L117" i="15"/>
  <c r="L116" i="15" s="1"/>
  <c r="I117" i="15"/>
  <c r="F117" i="15"/>
  <c r="F116" i="15" s="1"/>
  <c r="N116" i="15"/>
  <c r="M116" i="15"/>
  <c r="K116" i="15"/>
  <c r="J116" i="15"/>
  <c r="H116" i="15"/>
  <c r="G116" i="15"/>
  <c r="E116" i="15"/>
  <c r="D116" i="15"/>
  <c r="O115" i="15"/>
  <c r="L115" i="15"/>
  <c r="I115" i="15"/>
  <c r="F115" i="15"/>
  <c r="O114" i="15"/>
  <c r="L114" i="15"/>
  <c r="I114" i="15"/>
  <c r="F114" i="15"/>
  <c r="O113" i="15"/>
  <c r="L113" i="15"/>
  <c r="L112" i="15" s="1"/>
  <c r="I113" i="15"/>
  <c r="I112" i="15" s="1"/>
  <c r="F113" i="15"/>
  <c r="N112" i="15"/>
  <c r="M112" i="15"/>
  <c r="K112" i="15"/>
  <c r="J112" i="15"/>
  <c r="H112" i="15"/>
  <c r="G112" i="15"/>
  <c r="F112" i="15"/>
  <c r="E112" i="15"/>
  <c r="D112" i="15"/>
  <c r="O111" i="15"/>
  <c r="L111" i="15"/>
  <c r="I111" i="15"/>
  <c r="F111" i="15"/>
  <c r="C111" i="15" s="1"/>
  <c r="O110" i="15"/>
  <c r="L110" i="15"/>
  <c r="I110" i="15"/>
  <c r="F110" i="15"/>
  <c r="O109" i="15"/>
  <c r="L109" i="15"/>
  <c r="I109" i="15"/>
  <c r="F109" i="15"/>
  <c r="O108" i="15"/>
  <c r="L108" i="15"/>
  <c r="I108" i="15"/>
  <c r="F108" i="15"/>
  <c r="O107" i="15"/>
  <c r="L107" i="15"/>
  <c r="I107" i="15"/>
  <c r="F107" i="15"/>
  <c r="O106" i="15"/>
  <c r="L106" i="15"/>
  <c r="I106" i="15"/>
  <c r="F106" i="15"/>
  <c r="O105" i="15"/>
  <c r="L105" i="15"/>
  <c r="I105" i="15"/>
  <c r="F105" i="15"/>
  <c r="O104" i="15"/>
  <c r="L104" i="15"/>
  <c r="I104" i="15"/>
  <c r="F104" i="15"/>
  <c r="N103" i="15"/>
  <c r="M103" i="15"/>
  <c r="K103" i="15"/>
  <c r="J103" i="15"/>
  <c r="H103" i="15"/>
  <c r="G103" i="15"/>
  <c r="E103" i="15"/>
  <c r="D103" i="15"/>
  <c r="O102" i="15"/>
  <c r="L102" i="15"/>
  <c r="I102" i="15"/>
  <c r="F102" i="15"/>
  <c r="O101" i="15"/>
  <c r="L101" i="15"/>
  <c r="I101" i="15"/>
  <c r="F101" i="15"/>
  <c r="O100" i="15"/>
  <c r="L100" i="15"/>
  <c r="I100" i="15"/>
  <c r="F100" i="15"/>
  <c r="O99" i="15"/>
  <c r="L99" i="15"/>
  <c r="I99" i="15"/>
  <c r="F99" i="15"/>
  <c r="C99" i="15" s="1"/>
  <c r="O98" i="15"/>
  <c r="L98" i="15"/>
  <c r="I98" i="15"/>
  <c r="F98" i="15"/>
  <c r="O97" i="15"/>
  <c r="L97" i="15"/>
  <c r="I97" i="15"/>
  <c r="F97" i="15"/>
  <c r="O96" i="15"/>
  <c r="L96" i="15"/>
  <c r="I96" i="15"/>
  <c r="F96" i="15"/>
  <c r="O95" i="15"/>
  <c r="N95" i="15"/>
  <c r="M95" i="15"/>
  <c r="K95" i="15"/>
  <c r="J95" i="15"/>
  <c r="H95" i="15"/>
  <c r="G95" i="15"/>
  <c r="E95" i="15"/>
  <c r="D95" i="15"/>
  <c r="O94" i="15"/>
  <c r="L94" i="15"/>
  <c r="I94" i="15"/>
  <c r="F94" i="15"/>
  <c r="O93" i="15"/>
  <c r="L93" i="15"/>
  <c r="I93" i="15"/>
  <c r="F93" i="15"/>
  <c r="O92" i="15"/>
  <c r="L92" i="15"/>
  <c r="I92" i="15"/>
  <c r="F92" i="15"/>
  <c r="O91" i="15"/>
  <c r="L91" i="15"/>
  <c r="I91" i="15"/>
  <c r="F91" i="15"/>
  <c r="O90" i="15"/>
  <c r="L90" i="15"/>
  <c r="I90" i="15"/>
  <c r="E90" i="15"/>
  <c r="F90" i="15" s="1"/>
  <c r="C90" i="15" s="1"/>
  <c r="N89" i="15"/>
  <c r="M89" i="15"/>
  <c r="K89" i="15"/>
  <c r="J89" i="15"/>
  <c r="H89" i="15"/>
  <c r="G89" i="15"/>
  <c r="D89" i="15"/>
  <c r="O88" i="15"/>
  <c r="L88" i="15"/>
  <c r="I88" i="15"/>
  <c r="F88" i="15"/>
  <c r="O87" i="15"/>
  <c r="L87" i="15"/>
  <c r="I87" i="15"/>
  <c r="F87" i="15"/>
  <c r="O86" i="15"/>
  <c r="L86" i="15"/>
  <c r="I86" i="15"/>
  <c r="F86" i="15"/>
  <c r="O85" i="15"/>
  <c r="O84" i="15" s="1"/>
  <c r="L85" i="15"/>
  <c r="L84" i="15" s="1"/>
  <c r="I85" i="15"/>
  <c r="F85" i="15"/>
  <c r="F84" i="15" s="1"/>
  <c r="N84" i="15"/>
  <c r="M84" i="15"/>
  <c r="M83" i="15" s="1"/>
  <c r="K84" i="15"/>
  <c r="J84" i="15"/>
  <c r="I84" i="15"/>
  <c r="H84" i="15"/>
  <c r="G84" i="15"/>
  <c r="E84" i="15"/>
  <c r="D84" i="15"/>
  <c r="D83" i="15" s="1"/>
  <c r="O82" i="15"/>
  <c r="L82" i="15"/>
  <c r="I82" i="15"/>
  <c r="F82" i="15"/>
  <c r="O81" i="15"/>
  <c r="O80" i="15" s="1"/>
  <c r="L81" i="15"/>
  <c r="L80" i="15" s="1"/>
  <c r="I81" i="15"/>
  <c r="I80" i="15" s="1"/>
  <c r="F81" i="15"/>
  <c r="F80" i="15" s="1"/>
  <c r="N80" i="15"/>
  <c r="M80" i="15"/>
  <c r="K80" i="15"/>
  <c r="J80" i="15"/>
  <c r="H80" i="15"/>
  <c r="G80" i="15"/>
  <c r="E80" i="15"/>
  <c r="D80" i="15"/>
  <c r="O79" i="15"/>
  <c r="L79" i="15"/>
  <c r="I79" i="15"/>
  <c r="F79" i="15"/>
  <c r="O78" i="15"/>
  <c r="O77" i="15" s="1"/>
  <c r="L78" i="15"/>
  <c r="L77" i="15" s="1"/>
  <c r="L76" i="15" s="1"/>
  <c r="I78" i="15"/>
  <c r="I77" i="15" s="1"/>
  <c r="F78" i="15"/>
  <c r="N77" i="15"/>
  <c r="N76" i="15" s="1"/>
  <c r="M77" i="15"/>
  <c r="K77" i="15"/>
  <c r="J77" i="15"/>
  <c r="H77" i="15"/>
  <c r="H76" i="15" s="1"/>
  <c r="G77" i="15"/>
  <c r="E77" i="15"/>
  <c r="E76" i="15" s="1"/>
  <c r="D77" i="15"/>
  <c r="K76" i="15"/>
  <c r="O74" i="15"/>
  <c r="L74" i="15"/>
  <c r="I74" i="15"/>
  <c r="F74" i="15"/>
  <c r="O73" i="15"/>
  <c r="L73" i="15"/>
  <c r="I73" i="15"/>
  <c r="F73" i="15"/>
  <c r="O72" i="15"/>
  <c r="L72" i="15"/>
  <c r="I72" i="15"/>
  <c r="F72" i="15"/>
  <c r="O71" i="15"/>
  <c r="L71" i="15"/>
  <c r="I71" i="15"/>
  <c r="F71" i="15"/>
  <c r="O70" i="15"/>
  <c r="O69" i="15" s="1"/>
  <c r="L70" i="15"/>
  <c r="I70" i="15"/>
  <c r="F70" i="15"/>
  <c r="N69" i="15"/>
  <c r="N67" i="15" s="1"/>
  <c r="M69" i="15"/>
  <c r="K69" i="15"/>
  <c r="K67" i="15" s="1"/>
  <c r="J69" i="15"/>
  <c r="H69" i="15"/>
  <c r="H67" i="15" s="1"/>
  <c r="G69" i="15"/>
  <c r="G67" i="15" s="1"/>
  <c r="E69" i="15"/>
  <c r="D69" i="15"/>
  <c r="D67" i="15" s="1"/>
  <c r="O68" i="15"/>
  <c r="L68" i="15"/>
  <c r="I68" i="15"/>
  <c r="F68" i="15"/>
  <c r="M67" i="15"/>
  <c r="J67" i="15"/>
  <c r="E67" i="15"/>
  <c r="O66" i="15"/>
  <c r="L66" i="15"/>
  <c r="C66" i="15" s="1"/>
  <c r="I66" i="15"/>
  <c r="F66" i="15"/>
  <c r="O65" i="15"/>
  <c r="L65" i="15"/>
  <c r="I65" i="15"/>
  <c r="F65" i="15"/>
  <c r="O64" i="15"/>
  <c r="L64" i="15"/>
  <c r="I64" i="15"/>
  <c r="F64" i="15"/>
  <c r="O63" i="15"/>
  <c r="L63" i="15"/>
  <c r="I63" i="15"/>
  <c r="F63" i="15"/>
  <c r="O62" i="15"/>
  <c r="L62" i="15"/>
  <c r="I62" i="15"/>
  <c r="F62" i="15"/>
  <c r="O61" i="15"/>
  <c r="L61" i="15"/>
  <c r="I61" i="15"/>
  <c r="F61" i="15"/>
  <c r="O60" i="15"/>
  <c r="O58" i="15" s="1"/>
  <c r="L60" i="15"/>
  <c r="I60" i="15"/>
  <c r="F60" i="15"/>
  <c r="C60" i="15"/>
  <c r="O59" i="15"/>
  <c r="L59" i="15"/>
  <c r="I59" i="15"/>
  <c r="F59" i="15"/>
  <c r="C59" i="15" s="1"/>
  <c r="N58" i="15"/>
  <c r="M58" i="15"/>
  <c r="K58" i="15"/>
  <c r="J58" i="15"/>
  <c r="H58" i="15"/>
  <c r="G58" i="15"/>
  <c r="E58" i="15"/>
  <c r="D58" i="15"/>
  <c r="O57" i="15"/>
  <c r="L57" i="15"/>
  <c r="I57" i="15"/>
  <c r="F57" i="15"/>
  <c r="C57" i="15" s="1"/>
  <c r="O56" i="15"/>
  <c r="L56" i="15"/>
  <c r="I56" i="15"/>
  <c r="F56" i="15"/>
  <c r="C56" i="15" s="1"/>
  <c r="N55" i="15"/>
  <c r="M55" i="15"/>
  <c r="L55" i="15"/>
  <c r="K55" i="15"/>
  <c r="J55" i="15"/>
  <c r="I55" i="15"/>
  <c r="H55" i="15"/>
  <c r="H54" i="15" s="1"/>
  <c r="G55" i="15"/>
  <c r="G54" i="15" s="1"/>
  <c r="G53" i="15" s="1"/>
  <c r="E55" i="15"/>
  <c r="E54" i="15" s="1"/>
  <c r="E53" i="15" s="1"/>
  <c r="D55" i="15"/>
  <c r="N54" i="15"/>
  <c r="M54" i="15"/>
  <c r="M53" i="15" s="1"/>
  <c r="O47" i="15"/>
  <c r="C47" i="15" s="1"/>
  <c r="O46" i="15"/>
  <c r="C46" i="15" s="1"/>
  <c r="N45" i="15"/>
  <c r="M45" i="15"/>
  <c r="L44" i="15"/>
  <c r="L43" i="15" s="1"/>
  <c r="I44" i="15"/>
  <c r="I43" i="15" s="1"/>
  <c r="F44" i="15"/>
  <c r="F43" i="15" s="1"/>
  <c r="K43" i="15"/>
  <c r="J43" i="15"/>
  <c r="H43" i="15"/>
  <c r="G43" i="15"/>
  <c r="E43" i="15"/>
  <c r="D43" i="15"/>
  <c r="F42" i="15"/>
  <c r="C42" i="15" s="1"/>
  <c r="E41" i="15"/>
  <c r="D41" i="15"/>
  <c r="L40" i="15"/>
  <c r="C40" i="15" s="1"/>
  <c r="L39" i="15"/>
  <c r="C39" i="15" s="1"/>
  <c r="L38" i="15"/>
  <c r="C38" i="15"/>
  <c r="L37" i="15"/>
  <c r="C37" i="15" s="1"/>
  <c r="K36" i="15"/>
  <c r="J36" i="15"/>
  <c r="L35" i="15"/>
  <c r="C35" i="15" s="1"/>
  <c r="L34" i="15"/>
  <c r="C34" i="15" s="1"/>
  <c r="K33" i="15"/>
  <c r="J33" i="15"/>
  <c r="L32" i="15"/>
  <c r="L31" i="15" s="1"/>
  <c r="C31" i="15" s="1"/>
  <c r="K31" i="15"/>
  <c r="J31" i="15"/>
  <c r="L30" i="15"/>
  <c r="C30" i="15" s="1"/>
  <c r="L29" i="15"/>
  <c r="C29" i="15" s="1"/>
  <c r="L28" i="15"/>
  <c r="C28" i="15" s="1"/>
  <c r="K27" i="15"/>
  <c r="J27" i="15"/>
  <c r="K26" i="15"/>
  <c r="F25" i="15"/>
  <c r="C25" i="15" s="1"/>
  <c r="I24" i="15"/>
  <c r="O23" i="15"/>
  <c r="L23" i="15"/>
  <c r="I23" i="15"/>
  <c r="F23" i="15"/>
  <c r="O22" i="15"/>
  <c r="L22" i="15"/>
  <c r="I22" i="15"/>
  <c r="I21" i="15" s="1"/>
  <c r="F22" i="15"/>
  <c r="N21" i="15"/>
  <c r="N292" i="15" s="1"/>
  <c r="N291" i="15" s="1"/>
  <c r="M21" i="15"/>
  <c r="M292" i="15" s="1"/>
  <c r="M291" i="15" s="1"/>
  <c r="K21" i="15"/>
  <c r="K292" i="15" s="1"/>
  <c r="K291" i="15" s="1"/>
  <c r="J21" i="15"/>
  <c r="J292" i="15" s="1"/>
  <c r="J291" i="15" s="1"/>
  <c r="H21" i="15"/>
  <c r="H292" i="15" s="1"/>
  <c r="G21" i="15"/>
  <c r="G292" i="15" s="1"/>
  <c r="G291" i="15" s="1"/>
  <c r="F21" i="15"/>
  <c r="F292" i="15" s="1"/>
  <c r="E21" i="15"/>
  <c r="E292" i="15" s="1"/>
  <c r="E291" i="15" s="1"/>
  <c r="D21" i="15"/>
  <c r="D292" i="15" s="1"/>
  <c r="D291" i="15" s="1"/>
  <c r="M20" i="15"/>
  <c r="H20" i="15" l="1"/>
  <c r="J76" i="15"/>
  <c r="C79" i="15"/>
  <c r="C100" i="15"/>
  <c r="C104" i="15"/>
  <c r="C120" i="15"/>
  <c r="C127" i="15"/>
  <c r="C159" i="15"/>
  <c r="C160" i="15"/>
  <c r="C161" i="15"/>
  <c r="C162" i="15"/>
  <c r="D195" i="15"/>
  <c r="C234" i="15"/>
  <c r="E231" i="15"/>
  <c r="C250" i="15"/>
  <c r="F41" i="15"/>
  <c r="C41" i="15" s="1"/>
  <c r="L69" i="15"/>
  <c r="L67" i="15" s="1"/>
  <c r="C91" i="15"/>
  <c r="L122" i="15"/>
  <c r="C148" i="15"/>
  <c r="C155" i="15"/>
  <c r="O151" i="15"/>
  <c r="C168" i="15"/>
  <c r="C171" i="15"/>
  <c r="L174" i="15"/>
  <c r="L173" i="15" s="1"/>
  <c r="H187" i="15"/>
  <c r="G187" i="15"/>
  <c r="O187" i="15"/>
  <c r="I270" i="15"/>
  <c r="I269" i="15" s="1"/>
  <c r="C278" i="15"/>
  <c r="C296" i="15"/>
  <c r="O21" i="15"/>
  <c r="O292" i="15" s="1"/>
  <c r="G76" i="15"/>
  <c r="C81" i="15"/>
  <c r="H83" i="15"/>
  <c r="D130" i="15"/>
  <c r="E130" i="15"/>
  <c r="C201" i="15"/>
  <c r="E204" i="15"/>
  <c r="K204" i="15"/>
  <c r="C226" i="15"/>
  <c r="L293" i="15"/>
  <c r="C65" i="15"/>
  <c r="C68" i="15"/>
  <c r="C72" i="15"/>
  <c r="M76" i="15"/>
  <c r="C107" i="15"/>
  <c r="C124" i="15"/>
  <c r="L166" i="15"/>
  <c r="L165" i="15" s="1"/>
  <c r="C210" i="15"/>
  <c r="C211" i="15"/>
  <c r="J231" i="15"/>
  <c r="J230" i="15" s="1"/>
  <c r="C262" i="15"/>
  <c r="J259" i="15"/>
  <c r="O112" i="15"/>
  <c r="K195" i="15"/>
  <c r="K231" i="15"/>
  <c r="K230" i="15" s="1"/>
  <c r="L260" i="15"/>
  <c r="I264" i="15"/>
  <c r="I259" i="15" s="1"/>
  <c r="C23" i="15"/>
  <c r="L27" i="15"/>
  <c r="C32" i="15"/>
  <c r="L33" i="15"/>
  <c r="C33" i="15" s="1"/>
  <c r="N53" i="15"/>
  <c r="K54" i="15"/>
  <c r="K53" i="15" s="1"/>
  <c r="I58" i="15"/>
  <c r="C64" i="15"/>
  <c r="C71" i="15"/>
  <c r="I76" i="15"/>
  <c r="C82" i="15"/>
  <c r="C86" i="15"/>
  <c r="C88" i="15"/>
  <c r="N83" i="15"/>
  <c r="N75" i="15" s="1"/>
  <c r="C93" i="15"/>
  <c r="C108" i="15"/>
  <c r="C115" i="15"/>
  <c r="C123" i="15"/>
  <c r="C135" i="15"/>
  <c r="C143" i="15"/>
  <c r="C157" i="15"/>
  <c r="C158" i="15"/>
  <c r="C167" i="15"/>
  <c r="C172" i="15"/>
  <c r="C203" i="15"/>
  <c r="C215" i="15"/>
  <c r="M204" i="15"/>
  <c r="I216" i="15"/>
  <c r="C224" i="15"/>
  <c r="C225" i="15"/>
  <c r="H230" i="15"/>
  <c r="G231" i="15"/>
  <c r="G230" i="15" s="1"/>
  <c r="C243" i="15"/>
  <c r="C256" i="15"/>
  <c r="C257" i="15"/>
  <c r="L264" i="15"/>
  <c r="M269" i="15"/>
  <c r="L272" i="15"/>
  <c r="O276" i="15"/>
  <c r="C44" i="15"/>
  <c r="D54" i="15"/>
  <c r="D53" i="15" s="1"/>
  <c r="C62" i="15"/>
  <c r="C73" i="15"/>
  <c r="H75" i="15"/>
  <c r="C80" i="15"/>
  <c r="C87" i="15"/>
  <c r="J83" i="15"/>
  <c r="C92" i="15"/>
  <c r="C102" i="15"/>
  <c r="C112" i="15"/>
  <c r="C119" i="15"/>
  <c r="C125" i="15"/>
  <c r="C126" i="15"/>
  <c r="O136" i="15"/>
  <c r="C136" i="15" s="1"/>
  <c r="C147" i="15"/>
  <c r="C152" i="15"/>
  <c r="C169" i="15"/>
  <c r="C170" i="15"/>
  <c r="J174" i="15"/>
  <c r="N174" i="15"/>
  <c r="N173" i="15" s="1"/>
  <c r="C183" i="15"/>
  <c r="C184" i="15"/>
  <c r="K187" i="15"/>
  <c r="C189" i="15"/>
  <c r="C190" i="15"/>
  <c r="D187" i="15"/>
  <c r="L196" i="15"/>
  <c r="I205" i="15"/>
  <c r="I204" i="15" s="1"/>
  <c r="C212" i="15"/>
  <c r="C213" i="15"/>
  <c r="O216" i="15"/>
  <c r="N204" i="15"/>
  <c r="N195" i="15" s="1"/>
  <c r="D231" i="15"/>
  <c r="D230" i="15" s="1"/>
  <c r="D194" i="15" s="1"/>
  <c r="I252" i="15"/>
  <c r="I251" i="15" s="1"/>
  <c r="C271" i="15"/>
  <c r="C279" i="15"/>
  <c r="C294" i="15"/>
  <c r="O131" i="15"/>
  <c r="O130" i="15" s="1"/>
  <c r="C22" i="15"/>
  <c r="J26" i="15"/>
  <c r="L36" i="15"/>
  <c r="C36" i="15" s="1"/>
  <c r="C43" i="15"/>
  <c r="O45" i="15"/>
  <c r="C45" i="15" s="1"/>
  <c r="J54" i="15"/>
  <c r="J53" i="15" s="1"/>
  <c r="C61" i="15"/>
  <c r="H53" i="15"/>
  <c r="C74" i="15"/>
  <c r="D76" i="15"/>
  <c r="O76" i="15"/>
  <c r="E89" i="15"/>
  <c r="E83" i="15" s="1"/>
  <c r="E75" i="15" s="1"/>
  <c r="E52" i="15" s="1"/>
  <c r="O89" i="15"/>
  <c r="C109" i="15"/>
  <c r="C110" i="15"/>
  <c r="O103" i="15"/>
  <c r="I116" i="15"/>
  <c r="C121" i="15"/>
  <c r="C139" i="15"/>
  <c r="I144" i="15"/>
  <c r="C164" i="15"/>
  <c r="I165" i="15"/>
  <c r="K173" i="15"/>
  <c r="J173" i="15"/>
  <c r="H195" i="15"/>
  <c r="C223" i="15"/>
  <c r="J204" i="15"/>
  <c r="J195" i="15" s="1"/>
  <c r="I231" i="15"/>
  <c r="C236" i="15"/>
  <c r="C237" i="15"/>
  <c r="O238" i="15"/>
  <c r="L246" i="15"/>
  <c r="O272" i="15"/>
  <c r="O270" i="15" s="1"/>
  <c r="O269" i="15" s="1"/>
  <c r="C280" i="15"/>
  <c r="C295" i="15"/>
  <c r="C27" i="15"/>
  <c r="L26" i="15"/>
  <c r="I20" i="15"/>
  <c r="I54" i="15"/>
  <c r="M75" i="15"/>
  <c r="M52" i="15" s="1"/>
  <c r="C84" i="15"/>
  <c r="D75" i="15"/>
  <c r="I131" i="15"/>
  <c r="L21" i="15"/>
  <c r="C21" i="15" s="1"/>
  <c r="F89" i="15"/>
  <c r="J20" i="15"/>
  <c r="N20" i="15"/>
  <c r="O55" i="15"/>
  <c r="O54" i="15" s="1"/>
  <c r="L58" i="15"/>
  <c r="L54" i="15" s="1"/>
  <c r="I69" i="15"/>
  <c r="I67" i="15" s="1"/>
  <c r="F77" i="15"/>
  <c r="G83" i="15"/>
  <c r="K83" i="15"/>
  <c r="L89" i="15"/>
  <c r="C97" i="15"/>
  <c r="I95" i="15"/>
  <c r="L103" i="15"/>
  <c r="C117" i="15"/>
  <c r="C118" i="15"/>
  <c r="O116" i="15"/>
  <c r="C116" i="15" s="1"/>
  <c r="O122" i="15"/>
  <c r="C137" i="15"/>
  <c r="C138" i="15"/>
  <c r="F141" i="15"/>
  <c r="C141" i="15" s="1"/>
  <c r="C142" i="15"/>
  <c r="F144" i="15"/>
  <c r="C145" i="15"/>
  <c r="C146" i="15"/>
  <c r="L151" i="15"/>
  <c r="C188" i="15"/>
  <c r="O260" i="15"/>
  <c r="C70" i="15"/>
  <c r="C235" i="15"/>
  <c r="H291" i="15"/>
  <c r="F55" i="15"/>
  <c r="I89" i="15"/>
  <c r="C98" i="15"/>
  <c r="F95" i="15"/>
  <c r="C132" i="15"/>
  <c r="L131" i="15"/>
  <c r="G20" i="15"/>
  <c r="K20" i="15"/>
  <c r="F58" i="15"/>
  <c r="C63" i="15"/>
  <c r="O67" i="15"/>
  <c r="F69" i="15"/>
  <c r="C78" i="15"/>
  <c r="C85" i="15"/>
  <c r="C94" i="15"/>
  <c r="C96" i="15"/>
  <c r="L95" i="15"/>
  <c r="C101" i="15"/>
  <c r="C105" i="15"/>
  <c r="C106" i="15"/>
  <c r="F103" i="15"/>
  <c r="C113" i="15"/>
  <c r="C114" i="15"/>
  <c r="F122" i="15"/>
  <c r="C128" i="15"/>
  <c r="C129" i="15"/>
  <c r="K130" i="15"/>
  <c r="C133" i="15"/>
  <c r="C134" i="15"/>
  <c r="F131" i="15"/>
  <c r="C261" i="15"/>
  <c r="F260" i="15"/>
  <c r="I103" i="15"/>
  <c r="G130" i="15"/>
  <c r="J130" i="15"/>
  <c r="J75" i="15" s="1"/>
  <c r="L144" i="15"/>
  <c r="C149" i="15"/>
  <c r="C150" i="15"/>
  <c r="C153" i="15"/>
  <c r="C154" i="15"/>
  <c r="F151" i="15"/>
  <c r="O166" i="15"/>
  <c r="O165" i="15" s="1"/>
  <c r="C177" i="15"/>
  <c r="C178" i="15"/>
  <c r="F175" i="15"/>
  <c r="C181" i="15"/>
  <c r="C182" i="15"/>
  <c r="F179" i="15"/>
  <c r="C179" i="15" s="1"/>
  <c r="C185" i="15"/>
  <c r="C186" i="15"/>
  <c r="N187" i="15"/>
  <c r="H194" i="15"/>
  <c r="C207" i="15"/>
  <c r="L205" i="15"/>
  <c r="L216" i="15"/>
  <c r="C219" i="15"/>
  <c r="C244" i="15"/>
  <c r="C277" i="15"/>
  <c r="F276" i="15"/>
  <c r="I151" i="15"/>
  <c r="F166" i="15"/>
  <c r="C197" i="15"/>
  <c r="F196" i="15"/>
  <c r="G194" i="15"/>
  <c r="C200" i="15"/>
  <c r="I198" i="15"/>
  <c r="C232" i="15"/>
  <c r="C239" i="15"/>
  <c r="L238" i="15"/>
  <c r="C268" i="15"/>
  <c r="C297" i="15"/>
  <c r="F293" i="15"/>
  <c r="F291" i="15" s="1"/>
  <c r="C193" i="15"/>
  <c r="F192" i="15"/>
  <c r="E195" i="15"/>
  <c r="M195" i="15"/>
  <c r="O196" i="15"/>
  <c r="O205" i="15"/>
  <c r="O204" i="15" s="1"/>
  <c r="C217" i="15"/>
  <c r="F216" i="15"/>
  <c r="L231" i="15"/>
  <c r="O231" i="15"/>
  <c r="C248" i="15"/>
  <c r="C249" i="15"/>
  <c r="F246" i="15"/>
  <c r="C246" i="15" s="1"/>
  <c r="O252" i="15"/>
  <c r="O251" i="15" s="1"/>
  <c r="L252" i="15"/>
  <c r="L251" i="15" s="1"/>
  <c r="C255" i="15"/>
  <c r="O264" i="15"/>
  <c r="E270" i="15"/>
  <c r="E269" i="15" s="1"/>
  <c r="C273" i="15"/>
  <c r="F272" i="15"/>
  <c r="L276" i="15"/>
  <c r="C288" i="15"/>
  <c r="I286" i="15"/>
  <c r="I292" i="15" s="1"/>
  <c r="C300" i="15"/>
  <c r="J194" i="15"/>
  <c r="C199" i="15"/>
  <c r="C208" i="15"/>
  <c r="C209" i="15"/>
  <c r="F205" i="15"/>
  <c r="C220" i="15"/>
  <c r="C227" i="15"/>
  <c r="C228" i="15"/>
  <c r="E230" i="15"/>
  <c r="N230" i="15"/>
  <c r="C233" i="15"/>
  <c r="C240" i="15"/>
  <c r="C241" i="15"/>
  <c r="F238" i="15"/>
  <c r="C253" i="15"/>
  <c r="F252" i="15"/>
  <c r="M259" i="15"/>
  <c r="M230" i="15" s="1"/>
  <c r="M289" i="15" s="1"/>
  <c r="C263" i="15"/>
  <c r="C265" i="15"/>
  <c r="F264" i="15"/>
  <c r="L270" i="15"/>
  <c r="L269" i="15" s="1"/>
  <c r="C275" i="15"/>
  <c r="C281" i="15"/>
  <c r="C285" i="15"/>
  <c r="F284" i="15"/>
  <c r="O293" i="15"/>
  <c r="O291" i="15" s="1"/>
  <c r="C247" i="15"/>
  <c r="C287" i="15"/>
  <c r="I230" i="15" l="1"/>
  <c r="N194" i="15"/>
  <c r="N52" i="15"/>
  <c r="L53" i="15"/>
  <c r="H52" i="15"/>
  <c r="H51" i="15" s="1"/>
  <c r="L259" i="15"/>
  <c r="D52" i="15"/>
  <c r="D51" i="15" s="1"/>
  <c r="F231" i="15"/>
  <c r="C231" i="15" s="1"/>
  <c r="N289" i="15"/>
  <c r="C286" i="15"/>
  <c r="I83" i="15"/>
  <c r="K75" i="15"/>
  <c r="K289" i="15" s="1"/>
  <c r="E289" i="15"/>
  <c r="L230" i="15"/>
  <c r="C276" i="15"/>
  <c r="N51" i="15"/>
  <c r="N50" i="15" s="1"/>
  <c r="O20" i="15"/>
  <c r="H289" i="15"/>
  <c r="G75" i="15"/>
  <c r="G289" i="15" s="1"/>
  <c r="K194" i="15"/>
  <c r="J289" i="15"/>
  <c r="J52" i="15"/>
  <c r="J51" i="15" s="1"/>
  <c r="G52" i="15"/>
  <c r="G51" i="15" s="1"/>
  <c r="I291" i="15"/>
  <c r="D50" i="15"/>
  <c r="D24" i="15" s="1"/>
  <c r="F270" i="15"/>
  <c r="C272" i="15"/>
  <c r="F130" i="15"/>
  <c r="C131" i="15"/>
  <c r="C89" i="15"/>
  <c r="F83" i="15"/>
  <c r="C26" i="15"/>
  <c r="C252" i="15"/>
  <c r="F251" i="15"/>
  <c r="C251" i="15" s="1"/>
  <c r="C103" i="15"/>
  <c r="L130" i="15"/>
  <c r="O53" i="15"/>
  <c r="L292" i="15"/>
  <c r="L291" i="15" s="1"/>
  <c r="L20" i="15"/>
  <c r="C216" i="15"/>
  <c r="M194" i="15"/>
  <c r="M51" i="15" s="1"/>
  <c r="C293" i="15"/>
  <c r="C166" i="15"/>
  <c r="F165" i="15"/>
  <c r="C165" i="15" s="1"/>
  <c r="L204" i="15"/>
  <c r="L195" i="15" s="1"/>
  <c r="L194" i="15" s="1"/>
  <c r="C122" i="15"/>
  <c r="C58" i="15"/>
  <c r="C55" i="15"/>
  <c r="F54" i="15"/>
  <c r="O259" i="15"/>
  <c r="F76" i="15"/>
  <c r="C77" i="15"/>
  <c r="D289" i="15"/>
  <c r="I53" i="15"/>
  <c r="O83" i="15"/>
  <c r="O75" i="15" s="1"/>
  <c r="C284" i="15"/>
  <c r="F283" i="15"/>
  <c r="C283" i="15" s="1"/>
  <c r="C205" i="15"/>
  <c r="F204" i="15"/>
  <c r="C204" i="15" s="1"/>
  <c r="C192" i="15"/>
  <c r="F191" i="15"/>
  <c r="C198" i="15"/>
  <c r="I196" i="15"/>
  <c r="I195" i="15" s="1"/>
  <c r="I194" i="15" s="1"/>
  <c r="C291" i="15"/>
  <c r="C264" i="15"/>
  <c r="O195" i="15"/>
  <c r="C260" i="15"/>
  <c r="F259" i="15"/>
  <c r="C238" i="15"/>
  <c r="O230" i="15"/>
  <c r="E194" i="15"/>
  <c r="E51" i="15" s="1"/>
  <c r="F174" i="15"/>
  <c r="C175" i="15"/>
  <c r="C151" i="15"/>
  <c r="C69" i="15"/>
  <c r="F67" i="15"/>
  <c r="C67" i="15" s="1"/>
  <c r="C95" i="15"/>
  <c r="C144" i="15"/>
  <c r="L83" i="15"/>
  <c r="I130" i="15"/>
  <c r="I75" i="15" s="1"/>
  <c r="C259" i="15" l="1"/>
  <c r="N290" i="15"/>
  <c r="H290" i="15"/>
  <c r="H50" i="15"/>
  <c r="K52" i="15"/>
  <c r="K51" i="15" s="1"/>
  <c r="O289" i="15"/>
  <c r="M50" i="15"/>
  <c r="M290" i="15"/>
  <c r="C174" i="15"/>
  <c r="F173" i="15"/>
  <c r="C173" i="15" s="1"/>
  <c r="F75" i="15"/>
  <c r="C76" i="15"/>
  <c r="C130" i="15"/>
  <c r="L75" i="15"/>
  <c r="L52" i="15" s="1"/>
  <c r="L51" i="15" s="1"/>
  <c r="F195" i="15"/>
  <c r="I289" i="15"/>
  <c r="O194" i="15"/>
  <c r="I52" i="15"/>
  <c r="I51" i="15" s="1"/>
  <c r="C83" i="15"/>
  <c r="C292" i="15"/>
  <c r="K50" i="15"/>
  <c r="K290" i="15"/>
  <c r="E50" i="15"/>
  <c r="E24" i="15" s="1"/>
  <c r="E20" i="15" s="1"/>
  <c r="D20" i="15"/>
  <c r="D290" i="15"/>
  <c r="G290" i="15"/>
  <c r="G50" i="15"/>
  <c r="C196" i="15"/>
  <c r="C191" i="15"/>
  <c r="F187" i="15"/>
  <c r="C187" i="15" s="1"/>
  <c r="C54" i="15"/>
  <c r="F53" i="15"/>
  <c r="O52" i="15"/>
  <c r="F269" i="15"/>
  <c r="C270" i="15"/>
  <c r="F230" i="15"/>
  <c r="C230" i="15" s="1"/>
  <c r="J50" i="15"/>
  <c r="J290" i="15"/>
  <c r="E290" i="15" l="1"/>
  <c r="F24" i="15"/>
  <c r="F20" i="15" s="1"/>
  <c r="C20" i="15" s="1"/>
  <c r="L289" i="15"/>
  <c r="C269" i="15"/>
  <c r="F289" i="15"/>
  <c r="C53" i="15"/>
  <c r="F52" i="15"/>
  <c r="I290" i="15"/>
  <c r="I50" i="15"/>
  <c r="L50" i="15"/>
  <c r="L290" i="15"/>
  <c r="O51" i="15"/>
  <c r="F194" i="15"/>
  <c r="C194" i="15" s="1"/>
  <c r="C195" i="15"/>
  <c r="C75" i="15"/>
  <c r="C289" i="15" l="1"/>
  <c r="C24" i="15"/>
  <c r="O50" i="15"/>
  <c r="O290" i="15"/>
  <c r="C52" i="15"/>
  <c r="F51" i="15"/>
  <c r="F290" i="15" l="1"/>
  <c r="C290" i="15" s="1"/>
  <c r="C51" i="15"/>
  <c r="F50" i="15"/>
  <c r="C50" i="15" s="1"/>
  <c r="O301" i="14" l="1"/>
  <c r="L301" i="14"/>
  <c r="I301" i="14"/>
  <c r="F301" i="14"/>
  <c r="O300" i="14"/>
  <c r="L300" i="14"/>
  <c r="I300" i="14"/>
  <c r="F300" i="14"/>
  <c r="C300" i="14" s="1"/>
  <c r="O299" i="14"/>
  <c r="L299" i="14"/>
  <c r="I299" i="14"/>
  <c r="F299" i="14"/>
  <c r="C299" i="14" s="1"/>
  <c r="O298" i="14"/>
  <c r="L298" i="14"/>
  <c r="I298" i="14"/>
  <c r="F298" i="14"/>
  <c r="O297" i="14"/>
  <c r="L297" i="14"/>
  <c r="I297" i="14"/>
  <c r="F297" i="14"/>
  <c r="O296" i="14"/>
  <c r="L296" i="14"/>
  <c r="I296" i="14"/>
  <c r="F296" i="14"/>
  <c r="O295" i="14"/>
  <c r="L295" i="14"/>
  <c r="I295" i="14"/>
  <c r="F295" i="14"/>
  <c r="O294" i="14"/>
  <c r="O293" i="14" s="1"/>
  <c r="L294" i="14"/>
  <c r="I294" i="14"/>
  <c r="F294" i="14"/>
  <c r="N293" i="14"/>
  <c r="M293" i="14"/>
  <c r="K293" i="14"/>
  <c r="J293" i="14"/>
  <c r="H293" i="14"/>
  <c r="G293" i="14"/>
  <c r="E293" i="14"/>
  <c r="D293" i="14"/>
  <c r="O288" i="14"/>
  <c r="L288" i="14"/>
  <c r="I288" i="14"/>
  <c r="F288" i="14"/>
  <c r="O287" i="14"/>
  <c r="O286" i="14" s="1"/>
  <c r="L287" i="14"/>
  <c r="L286" i="14" s="1"/>
  <c r="I287" i="14"/>
  <c r="F287" i="14"/>
  <c r="C287" i="14" s="1"/>
  <c r="N286" i="14"/>
  <c r="M286" i="14"/>
  <c r="K286" i="14"/>
  <c r="J286" i="14"/>
  <c r="H286" i="14"/>
  <c r="G286" i="14"/>
  <c r="E286" i="14"/>
  <c r="D286" i="14"/>
  <c r="O285" i="14"/>
  <c r="L285" i="14"/>
  <c r="I285" i="14"/>
  <c r="F285" i="14"/>
  <c r="F284" i="14" s="1"/>
  <c r="O284" i="14"/>
  <c r="N284" i="14"/>
  <c r="M284" i="14"/>
  <c r="M283" i="14" s="1"/>
  <c r="L284" i="14"/>
  <c r="L283" i="14" s="1"/>
  <c r="K284" i="14"/>
  <c r="K283" i="14" s="1"/>
  <c r="J284" i="14"/>
  <c r="J283" i="14" s="1"/>
  <c r="I284" i="14"/>
  <c r="I283" i="14" s="1"/>
  <c r="H284" i="14"/>
  <c r="G284" i="14"/>
  <c r="G283" i="14" s="1"/>
  <c r="E284" i="14"/>
  <c r="E283" i="14" s="1"/>
  <c r="D284" i="14"/>
  <c r="D283" i="14" s="1"/>
  <c r="O283" i="14"/>
  <c r="N283" i="14"/>
  <c r="H283" i="14"/>
  <c r="O282" i="14"/>
  <c r="O281" i="14" s="1"/>
  <c r="L282" i="14"/>
  <c r="L281" i="14" s="1"/>
  <c r="I282" i="14"/>
  <c r="I281" i="14" s="1"/>
  <c r="F282" i="14"/>
  <c r="F281" i="14" s="1"/>
  <c r="N281" i="14"/>
  <c r="M281" i="14"/>
  <c r="K281" i="14"/>
  <c r="J281" i="14"/>
  <c r="H281" i="14"/>
  <c r="G281" i="14"/>
  <c r="E281" i="14"/>
  <c r="D281" i="14"/>
  <c r="O280" i="14"/>
  <c r="L280" i="14"/>
  <c r="I280" i="14"/>
  <c r="F280" i="14"/>
  <c r="O279" i="14"/>
  <c r="L279" i="14"/>
  <c r="I279" i="14"/>
  <c r="F279" i="14"/>
  <c r="O278" i="14"/>
  <c r="L278" i="14"/>
  <c r="I278" i="14"/>
  <c r="F278" i="14"/>
  <c r="O277" i="14"/>
  <c r="L277" i="14"/>
  <c r="I277" i="14"/>
  <c r="I276" i="14" s="1"/>
  <c r="F277" i="14"/>
  <c r="N276" i="14"/>
  <c r="M276" i="14"/>
  <c r="K276" i="14"/>
  <c r="J276" i="14"/>
  <c r="H276" i="14"/>
  <c r="H270" i="14" s="1"/>
  <c r="H269" i="14" s="1"/>
  <c r="G276" i="14"/>
  <c r="F276" i="14"/>
  <c r="E276" i="14"/>
  <c r="D276" i="14"/>
  <c r="O275" i="14"/>
  <c r="L275" i="14"/>
  <c r="I275" i="14"/>
  <c r="F275" i="14"/>
  <c r="C275" i="14" s="1"/>
  <c r="O274" i="14"/>
  <c r="L274" i="14"/>
  <c r="I274" i="14"/>
  <c r="F274" i="14"/>
  <c r="O273" i="14"/>
  <c r="L273" i="14"/>
  <c r="I273" i="14"/>
  <c r="I272" i="14" s="1"/>
  <c r="F273" i="14"/>
  <c r="N272" i="14"/>
  <c r="M272" i="14"/>
  <c r="L272" i="14"/>
  <c r="K272" i="14"/>
  <c r="K270" i="14" s="1"/>
  <c r="K269" i="14" s="1"/>
  <c r="J272" i="14"/>
  <c r="H272" i="14"/>
  <c r="G272" i="14"/>
  <c r="E272" i="14"/>
  <c r="D272" i="14"/>
  <c r="D270" i="14" s="1"/>
  <c r="D269" i="14" s="1"/>
  <c r="O271" i="14"/>
  <c r="L271" i="14"/>
  <c r="I271" i="14"/>
  <c r="F271" i="14"/>
  <c r="O268" i="14"/>
  <c r="L268" i="14"/>
  <c r="I268" i="14"/>
  <c r="F268" i="14"/>
  <c r="O267" i="14"/>
  <c r="L267" i="14"/>
  <c r="I267" i="14"/>
  <c r="F267" i="14"/>
  <c r="O266" i="14"/>
  <c r="L266" i="14"/>
  <c r="I266" i="14"/>
  <c r="F266" i="14"/>
  <c r="O265" i="14"/>
  <c r="L265" i="14"/>
  <c r="I265" i="14"/>
  <c r="F265" i="14"/>
  <c r="N264" i="14"/>
  <c r="M264" i="14"/>
  <c r="K264" i="14"/>
  <c r="J264" i="14"/>
  <c r="H264" i="14"/>
  <c r="G264" i="14"/>
  <c r="E264" i="14"/>
  <c r="D264" i="14"/>
  <c r="O263" i="14"/>
  <c r="L263" i="14"/>
  <c r="I263" i="14"/>
  <c r="F263" i="14"/>
  <c r="O262" i="14"/>
  <c r="L262" i="14"/>
  <c r="I262" i="14"/>
  <c r="F262" i="14"/>
  <c r="O261" i="14"/>
  <c r="L261" i="14"/>
  <c r="I261" i="14"/>
  <c r="F261" i="14"/>
  <c r="N260" i="14"/>
  <c r="N259" i="14" s="1"/>
  <c r="M260" i="14"/>
  <c r="K260" i="14"/>
  <c r="K259" i="14" s="1"/>
  <c r="J260" i="14"/>
  <c r="I260" i="14"/>
  <c r="H260" i="14"/>
  <c r="H259" i="14" s="1"/>
  <c r="G260" i="14"/>
  <c r="F260" i="14"/>
  <c r="E260" i="14"/>
  <c r="E259" i="14" s="1"/>
  <c r="D260" i="14"/>
  <c r="D259" i="14" s="1"/>
  <c r="O258" i="14"/>
  <c r="L258" i="14"/>
  <c r="I258" i="14"/>
  <c r="F258" i="14"/>
  <c r="O257" i="14"/>
  <c r="L257" i="14"/>
  <c r="I257" i="14"/>
  <c r="F257" i="14"/>
  <c r="O256" i="14"/>
  <c r="L256" i="14"/>
  <c r="I256" i="14"/>
  <c r="F256" i="14"/>
  <c r="O255" i="14"/>
  <c r="L255" i="14"/>
  <c r="I255" i="14"/>
  <c r="F255" i="14"/>
  <c r="C255" i="14"/>
  <c r="O254" i="14"/>
  <c r="L254" i="14"/>
  <c r="I254" i="14"/>
  <c r="F254" i="14"/>
  <c r="O253" i="14"/>
  <c r="L253" i="14"/>
  <c r="I253" i="14"/>
  <c r="F253" i="14"/>
  <c r="N252" i="14"/>
  <c r="M252" i="14"/>
  <c r="M251" i="14" s="1"/>
  <c r="K252" i="14"/>
  <c r="J252" i="14"/>
  <c r="J251" i="14" s="1"/>
  <c r="H252" i="14"/>
  <c r="H251" i="14" s="1"/>
  <c r="G252" i="14"/>
  <c r="G251" i="14" s="1"/>
  <c r="E252" i="14"/>
  <c r="E251" i="14" s="1"/>
  <c r="D252" i="14"/>
  <c r="D251" i="14" s="1"/>
  <c r="N251" i="14"/>
  <c r="K251" i="14"/>
  <c r="O250" i="14"/>
  <c r="L250" i="14"/>
  <c r="I250" i="14"/>
  <c r="F250" i="14"/>
  <c r="O249" i="14"/>
  <c r="L249" i="14"/>
  <c r="I249" i="14"/>
  <c r="F249" i="14"/>
  <c r="O248" i="14"/>
  <c r="L248" i="14"/>
  <c r="I248" i="14"/>
  <c r="F248" i="14"/>
  <c r="O247" i="14"/>
  <c r="L247" i="14"/>
  <c r="I247" i="14"/>
  <c r="F247" i="14"/>
  <c r="O246" i="14"/>
  <c r="N246" i="14"/>
  <c r="M246" i="14"/>
  <c r="K246" i="14"/>
  <c r="J246" i="14"/>
  <c r="H246" i="14"/>
  <c r="G246" i="14"/>
  <c r="E246" i="14"/>
  <c r="D246" i="14"/>
  <c r="O245" i="14"/>
  <c r="L245" i="14"/>
  <c r="I245" i="14"/>
  <c r="F245" i="14"/>
  <c r="O244" i="14"/>
  <c r="L244" i="14"/>
  <c r="I244" i="14"/>
  <c r="F244" i="14"/>
  <c r="O243" i="14"/>
  <c r="L243" i="14"/>
  <c r="I243" i="14"/>
  <c r="F243" i="14"/>
  <c r="O242" i="14"/>
  <c r="L242" i="14"/>
  <c r="I242" i="14"/>
  <c r="F242" i="14"/>
  <c r="C242" i="14" s="1"/>
  <c r="O241" i="14"/>
  <c r="L241" i="14"/>
  <c r="I241" i="14"/>
  <c r="F241" i="14"/>
  <c r="O240" i="14"/>
  <c r="L240" i="14"/>
  <c r="I240" i="14"/>
  <c r="F240" i="14"/>
  <c r="O239" i="14"/>
  <c r="L239" i="14"/>
  <c r="I239" i="14"/>
  <c r="F239" i="14"/>
  <c r="N238" i="14"/>
  <c r="M238" i="14"/>
  <c r="L238" i="14"/>
  <c r="K238" i="14"/>
  <c r="J238" i="14"/>
  <c r="H238" i="14"/>
  <c r="G238" i="14"/>
  <c r="E238" i="14"/>
  <c r="D238" i="14"/>
  <c r="O237" i="14"/>
  <c r="L237" i="14"/>
  <c r="I237" i="14"/>
  <c r="F237" i="14"/>
  <c r="O236" i="14"/>
  <c r="L236" i="14"/>
  <c r="L235" i="14" s="1"/>
  <c r="I236" i="14"/>
  <c r="I235" i="14" s="1"/>
  <c r="F236" i="14"/>
  <c r="O235" i="14"/>
  <c r="N235" i="14"/>
  <c r="M235" i="14"/>
  <c r="K235" i="14"/>
  <c r="J235" i="14"/>
  <c r="H235" i="14"/>
  <c r="G235" i="14"/>
  <c r="F235" i="14"/>
  <c r="E235" i="14"/>
  <c r="D235" i="14"/>
  <c r="O234" i="14"/>
  <c r="O233" i="14" s="1"/>
  <c r="L234" i="14"/>
  <c r="I234" i="14"/>
  <c r="F234" i="14"/>
  <c r="F233" i="14" s="1"/>
  <c r="N233" i="14"/>
  <c r="N231" i="14" s="1"/>
  <c r="M233" i="14"/>
  <c r="L233" i="14"/>
  <c r="K233" i="14"/>
  <c r="J233" i="14"/>
  <c r="I233" i="14"/>
  <c r="H233" i="14"/>
  <c r="G233" i="14"/>
  <c r="E233" i="14"/>
  <c r="E231" i="14" s="1"/>
  <c r="D233" i="14"/>
  <c r="O232" i="14"/>
  <c r="L232" i="14"/>
  <c r="I232" i="14"/>
  <c r="F232" i="14"/>
  <c r="O229" i="14"/>
  <c r="L229" i="14"/>
  <c r="I229" i="14"/>
  <c r="F229" i="14"/>
  <c r="O228" i="14"/>
  <c r="L228" i="14"/>
  <c r="L227" i="14" s="1"/>
  <c r="I228" i="14"/>
  <c r="I227" i="14" s="1"/>
  <c r="F228" i="14"/>
  <c r="O227" i="14"/>
  <c r="N227" i="14"/>
  <c r="M227" i="14"/>
  <c r="K227" i="14"/>
  <c r="J227" i="14"/>
  <c r="H227" i="14"/>
  <c r="G227" i="14"/>
  <c r="E227" i="14"/>
  <c r="D227" i="14"/>
  <c r="O226" i="14"/>
  <c r="L226" i="14"/>
  <c r="I226" i="14"/>
  <c r="F226" i="14"/>
  <c r="O225" i="14"/>
  <c r="L225" i="14"/>
  <c r="I225" i="14"/>
  <c r="F225" i="14"/>
  <c r="O224" i="14"/>
  <c r="L224" i="14"/>
  <c r="I224" i="14"/>
  <c r="F224" i="14"/>
  <c r="O223" i="14"/>
  <c r="L223" i="14"/>
  <c r="I223" i="14"/>
  <c r="F223" i="14"/>
  <c r="O222" i="14"/>
  <c r="L222" i="14"/>
  <c r="I222" i="14"/>
  <c r="F222" i="14"/>
  <c r="C222" i="14" s="1"/>
  <c r="O221" i="14"/>
  <c r="L221" i="14"/>
  <c r="I221" i="14"/>
  <c r="F221" i="14"/>
  <c r="O220" i="14"/>
  <c r="L220" i="14"/>
  <c r="I220" i="14"/>
  <c r="F220" i="14"/>
  <c r="O219" i="14"/>
  <c r="L219" i="14"/>
  <c r="I219" i="14"/>
  <c r="F219" i="14"/>
  <c r="O218" i="14"/>
  <c r="L218" i="14"/>
  <c r="I218" i="14"/>
  <c r="F218" i="14"/>
  <c r="O217" i="14"/>
  <c r="L217" i="14"/>
  <c r="I217" i="14"/>
  <c r="I216" i="14" s="1"/>
  <c r="F217" i="14"/>
  <c r="C217" i="14" s="1"/>
  <c r="N216" i="14"/>
  <c r="M216" i="14"/>
  <c r="K216" i="14"/>
  <c r="J216" i="14"/>
  <c r="J204" i="14" s="1"/>
  <c r="H216" i="14"/>
  <c r="G216" i="14"/>
  <c r="E216" i="14"/>
  <c r="D216" i="14"/>
  <c r="O215" i="14"/>
  <c r="L215" i="14"/>
  <c r="I215" i="14"/>
  <c r="F215" i="14"/>
  <c r="O214" i="14"/>
  <c r="L214" i="14"/>
  <c r="I214" i="14"/>
  <c r="F214" i="14"/>
  <c r="O213" i="14"/>
  <c r="L213" i="14"/>
  <c r="I213" i="14"/>
  <c r="F213" i="14"/>
  <c r="O212" i="14"/>
  <c r="L212" i="14"/>
  <c r="I212" i="14"/>
  <c r="F212" i="14"/>
  <c r="O211" i="14"/>
  <c r="L211" i="14"/>
  <c r="I211" i="14"/>
  <c r="F211" i="14"/>
  <c r="C211" i="14" s="1"/>
  <c r="O210" i="14"/>
  <c r="L210" i="14"/>
  <c r="I210" i="14"/>
  <c r="F210" i="14"/>
  <c r="O209" i="14"/>
  <c r="L209" i="14"/>
  <c r="I209" i="14"/>
  <c r="F209" i="14"/>
  <c r="O208" i="14"/>
  <c r="L208" i="14"/>
  <c r="I208" i="14"/>
  <c r="F208" i="14"/>
  <c r="O207" i="14"/>
  <c r="L207" i="14"/>
  <c r="I207" i="14"/>
  <c r="F207" i="14"/>
  <c r="O206" i="14"/>
  <c r="L206" i="14"/>
  <c r="I206" i="14"/>
  <c r="F206" i="14"/>
  <c r="N205" i="14"/>
  <c r="M205" i="14"/>
  <c r="M204" i="14" s="1"/>
  <c r="K205" i="14"/>
  <c r="J205" i="14"/>
  <c r="H205" i="14"/>
  <c r="H204" i="14" s="1"/>
  <c r="G205" i="14"/>
  <c r="E205" i="14"/>
  <c r="E204" i="14" s="1"/>
  <c r="D205" i="14"/>
  <c r="D204" i="14" s="1"/>
  <c r="O203" i="14"/>
  <c r="L203" i="14"/>
  <c r="I203" i="14"/>
  <c r="F203" i="14"/>
  <c r="O202" i="14"/>
  <c r="L202" i="14"/>
  <c r="I202" i="14"/>
  <c r="F202" i="14"/>
  <c r="O201" i="14"/>
  <c r="L201" i="14"/>
  <c r="I201" i="14"/>
  <c r="F201" i="14"/>
  <c r="O200" i="14"/>
  <c r="L200" i="14"/>
  <c r="I200" i="14"/>
  <c r="F200" i="14"/>
  <c r="O199" i="14"/>
  <c r="O198" i="14" s="1"/>
  <c r="L199" i="14"/>
  <c r="I199" i="14"/>
  <c r="F199" i="14"/>
  <c r="N198" i="14"/>
  <c r="M198" i="14"/>
  <c r="M196" i="14" s="1"/>
  <c r="M195" i="14" s="1"/>
  <c r="K198" i="14"/>
  <c r="K196" i="14" s="1"/>
  <c r="J198" i="14"/>
  <c r="H198" i="14"/>
  <c r="H196" i="14" s="1"/>
  <c r="H195" i="14" s="1"/>
  <c r="G198" i="14"/>
  <c r="G196" i="14" s="1"/>
  <c r="F198" i="14"/>
  <c r="E198" i="14"/>
  <c r="E196" i="14" s="1"/>
  <c r="D198" i="14"/>
  <c r="D196" i="14" s="1"/>
  <c r="D195" i="14" s="1"/>
  <c r="O197" i="14"/>
  <c r="L197" i="14"/>
  <c r="I197" i="14"/>
  <c r="F197" i="14"/>
  <c r="N196" i="14"/>
  <c r="J196" i="14"/>
  <c r="F196" i="14"/>
  <c r="O193" i="14"/>
  <c r="O192" i="14" s="1"/>
  <c r="L193" i="14"/>
  <c r="I193" i="14"/>
  <c r="I192" i="14" s="1"/>
  <c r="F193" i="14"/>
  <c r="C193" i="14" s="1"/>
  <c r="N192" i="14"/>
  <c r="N191" i="14" s="1"/>
  <c r="M192" i="14"/>
  <c r="L192" i="14"/>
  <c r="L191" i="14" s="1"/>
  <c r="K192" i="14"/>
  <c r="K191" i="14" s="1"/>
  <c r="J192" i="14"/>
  <c r="J191" i="14" s="1"/>
  <c r="H192" i="14"/>
  <c r="G192" i="14"/>
  <c r="G191" i="14" s="1"/>
  <c r="E192" i="14"/>
  <c r="E191" i="14" s="1"/>
  <c r="D192" i="14"/>
  <c r="D191" i="14" s="1"/>
  <c r="M191" i="14"/>
  <c r="M187" i="14" s="1"/>
  <c r="I191" i="14"/>
  <c r="H191" i="14"/>
  <c r="O190" i="14"/>
  <c r="L190" i="14"/>
  <c r="I190" i="14"/>
  <c r="F190" i="14"/>
  <c r="O189" i="14"/>
  <c r="L189" i="14"/>
  <c r="I189" i="14"/>
  <c r="I188" i="14" s="1"/>
  <c r="F189" i="14"/>
  <c r="O188" i="14"/>
  <c r="N188" i="14"/>
  <c r="N187" i="14" s="1"/>
  <c r="M188" i="14"/>
  <c r="K188" i="14"/>
  <c r="J188" i="14"/>
  <c r="J187" i="14" s="1"/>
  <c r="H188" i="14"/>
  <c r="G188" i="14"/>
  <c r="F188" i="14"/>
  <c r="E188" i="14"/>
  <c r="D188" i="14"/>
  <c r="O186" i="14"/>
  <c r="L186" i="14"/>
  <c r="I186" i="14"/>
  <c r="F186" i="14"/>
  <c r="O185" i="14"/>
  <c r="L185" i="14"/>
  <c r="C185" i="14" s="1"/>
  <c r="I185" i="14"/>
  <c r="I184" i="14" s="1"/>
  <c r="F185" i="14"/>
  <c r="O184" i="14"/>
  <c r="N184" i="14"/>
  <c r="M184" i="14"/>
  <c r="K184" i="14"/>
  <c r="J184" i="14"/>
  <c r="H184" i="14"/>
  <c r="G184" i="14"/>
  <c r="F184" i="14"/>
  <c r="E184" i="14"/>
  <c r="D184" i="14"/>
  <c r="O183" i="14"/>
  <c r="L183" i="14"/>
  <c r="I183" i="14"/>
  <c r="F183" i="14"/>
  <c r="O182" i="14"/>
  <c r="L182" i="14"/>
  <c r="I182" i="14"/>
  <c r="F182" i="14"/>
  <c r="O181" i="14"/>
  <c r="L181" i="14"/>
  <c r="I181" i="14"/>
  <c r="F181" i="14"/>
  <c r="O180" i="14"/>
  <c r="O179" i="14" s="1"/>
  <c r="L180" i="14"/>
  <c r="I180" i="14"/>
  <c r="F180" i="14"/>
  <c r="F179" i="14" s="1"/>
  <c r="N179" i="14"/>
  <c r="M179" i="14"/>
  <c r="K179" i="14"/>
  <c r="J179" i="14"/>
  <c r="H179" i="14"/>
  <c r="G179" i="14"/>
  <c r="E179" i="14"/>
  <c r="D179" i="14"/>
  <c r="O178" i="14"/>
  <c r="L178" i="14"/>
  <c r="I178" i="14"/>
  <c r="F178" i="14"/>
  <c r="O177" i="14"/>
  <c r="L177" i="14"/>
  <c r="I177" i="14"/>
  <c r="F177" i="14"/>
  <c r="O176" i="14"/>
  <c r="O175" i="14" s="1"/>
  <c r="O174" i="14" s="1"/>
  <c r="O173" i="14" s="1"/>
  <c r="L176" i="14"/>
  <c r="I176" i="14"/>
  <c r="F176" i="14"/>
  <c r="F175" i="14" s="1"/>
  <c r="N175" i="14"/>
  <c r="M175" i="14"/>
  <c r="K175" i="14"/>
  <c r="K174" i="14" s="1"/>
  <c r="K173" i="14" s="1"/>
  <c r="J175" i="14"/>
  <c r="J174" i="14" s="1"/>
  <c r="J173" i="14" s="1"/>
  <c r="H175" i="14"/>
  <c r="G175" i="14"/>
  <c r="G174" i="14" s="1"/>
  <c r="G173" i="14" s="1"/>
  <c r="E175" i="14"/>
  <c r="E174" i="14" s="1"/>
  <c r="E173" i="14" s="1"/>
  <c r="D175" i="14"/>
  <c r="D174" i="14" s="1"/>
  <c r="N174" i="14"/>
  <c r="M174" i="14"/>
  <c r="M173" i="14" s="1"/>
  <c r="H174" i="14"/>
  <c r="O172" i="14"/>
  <c r="L172" i="14"/>
  <c r="I172" i="14"/>
  <c r="F172" i="14"/>
  <c r="O171" i="14"/>
  <c r="L171" i="14"/>
  <c r="I171" i="14"/>
  <c r="F171" i="14"/>
  <c r="O170" i="14"/>
  <c r="L170" i="14"/>
  <c r="I170" i="14"/>
  <c r="F170" i="14"/>
  <c r="O169" i="14"/>
  <c r="L169" i="14"/>
  <c r="I169" i="14"/>
  <c r="F169" i="14"/>
  <c r="O168" i="14"/>
  <c r="L168" i="14"/>
  <c r="I168" i="14"/>
  <c r="F168" i="14"/>
  <c r="C168" i="14" s="1"/>
  <c r="O167" i="14"/>
  <c r="L167" i="14"/>
  <c r="L166" i="14" s="1"/>
  <c r="L165" i="14" s="1"/>
  <c r="I167" i="14"/>
  <c r="F167" i="14"/>
  <c r="N166" i="14"/>
  <c r="M166" i="14"/>
  <c r="K166" i="14"/>
  <c r="K165" i="14" s="1"/>
  <c r="J166" i="14"/>
  <c r="H166" i="14"/>
  <c r="H165" i="14" s="1"/>
  <c r="G166" i="14"/>
  <c r="G165" i="14" s="1"/>
  <c r="E166" i="14"/>
  <c r="E165" i="14" s="1"/>
  <c r="D166" i="14"/>
  <c r="D165" i="14" s="1"/>
  <c r="N165" i="14"/>
  <c r="M165" i="14"/>
  <c r="J165" i="14"/>
  <c r="O164" i="14"/>
  <c r="L164" i="14"/>
  <c r="I164" i="14"/>
  <c r="F164" i="14"/>
  <c r="O163" i="14"/>
  <c r="L163" i="14"/>
  <c r="I163" i="14"/>
  <c r="F163" i="14"/>
  <c r="C163" i="14" s="1"/>
  <c r="O162" i="14"/>
  <c r="L162" i="14"/>
  <c r="I162" i="14"/>
  <c r="F162" i="14"/>
  <c r="O161" i="14"/>
  <c r="O160" i="14" s="1"/>
  <c r="L161" i="14"/>
  <c r="L160" i="14" s="1"/>
  <c r="I161" i="14"/>
  <c r="I160" i="14" s="1"/>
  <c r="F161" i="14"/>
  <c r="N160" i="14"/>
  <c r="M160" i="14"/>
  <c r="K160" i="14"/>
  <c r="J160" i="14"/>
  <c r="H160" i="14"/>
  <c r="G160" i="14"/>
  <c r="E160" i="14"/>
  <c r="D160" i="14"/>
  <c r="O159" i="14"/>
  <c r="L159" i="14"/>
  <c r="I159" i="14"/>
  <c r="F159" i="14"/>
  <c r="O158" i="14"/>
  <c r="L158" i="14"/>
  <c r="I158" i="14"/>
  <c r="F158" i="14"/>
  <c r="O157" i="14"/>
  <c r="L157" i="14"/>
  <c r="I157" i="14"/>
  <c r="F157" i="14"/>
  <c r="O156" i="14"/>
  <c r="L156" i="14"/>
  <c r="I156" i="14"/>
  <c r="F156" i="14"/>
  <c r="C156" i="14" s="1"/>
  <c r="O155" i="14"/>
  <c r="L155" i="14"/>
  <c r="I155" i="14"/>
  <c r="F155" i="14"/>
  <c r="O154" i="14"/>
  <c r="L154" i="14"/>
  <c r="I154" i="14"/>
  <c r="F154" i="14"/>
  <c r="O153" i="14"/>
  <c r="L153" i="14"/>
  <c r="I153" i="14"/>
  <c r="F153" i="14"/>
  <c r="O152" i="14"/>
  <c r="L152" i="14"/>
  <c r="I152" i="14"/>
  <c r="F152" i="14"/>
  <c r="O151" i="14"/>
  <c r="N151" i="14"/>
  <c r="M151" i="14"/>
  <c r="K151" i="14"/>
  <c r="J151" i="14"/>
  <c r="H151" i="14"/>
  <c r="G151" i="14"/>
  <c r="E151" i="14"/>
  <c r="D151" i="14"/>
  <c r="O150" i="14"/>
  <c r="L150" i="14"/>
  <c r="I150" i="14"/>
  <c r="F150" i="14"/>
  <c r="O149" i="14"/>
  <c r="L149" i="14"/>
  <c r="I149" i="14"/>
  <c r="F149" i="14"/>
  <c r="O148" i="14"/>
  <c r="L148" i="14"/>
  <c r="I148" i="14"/>
  <c r="F148" i="14"/>
  <c r="O147" i="14"/>
  <c r="L147" i="14"/>
  <c r="I147" i="14"/>
  <c r="F147" i="14"/>
  <c r="O146" i="14"/>
  <c r="L146" i="14"/>
  <c r="I146" i="14"/>
  <c r="F146" i="14"/>
  <c r="C146" i="14" s="1"/>
  <c r="O145" i="14"/>
  <c r="L145" i="14"/>
  <c r="I145" i="14"/>
  <c r="I144" i="14" s="1"/>
  <c r="F145" i="14"/>
  <c r="N144" i="14"/>
  <c r="M144" i="14"/>
  <c r="K144" i="14"/>
  <c r="J144" i="14"/>
  <c r="H144" i="14"/>
  <c r="G144" i="14"/>
  <c r="E144" i="14"/>
  <c r="D144" i="14"/>
  <c r="O143" i="14"/>
  <c r="L143" i="14"/>
  <c r="I143" i="14"/>
  <c r="F143" i="14"/>
  <c r="O142" i="14"/>
  <c r="O141" i="14" s="1"/>
  <c r="L142" i="14"/>
  <c r="L141" i="14" s="1"/>
  <c r="I142" i="14"/>
  <c r="I141" i="14" s="1"/>
  <c r="F142" i="14"/>
  <c r="F141" i="14" s="1"/>
  <c r="N141" i="14"/>
  <c r="M141" i="14"/>
  <c r="K141" i="14"/>
  <c r="J141" i="14"/>
  <c r="H141" i="14"/>
  <c r="G141" i="14"/>
  <c r="E141" i="14"/>
  <c r="D141" i="14"/>
  <c r="O140" i="14"/>
  <c r="L140" i="14"/>
  <c r="I140" i="14"/>
  <c r="F140" i="14"/>
  <c r="C140" i="14" s="1"/>
  <c r="O139" i="14"/>
  <c r="L139" i="14"/>
  <c r="I139" i="14"/>
  <c r="F139" i="14"/>
  <c r="O138" i="14"/>
  <c r="L138" i="14"/>
  <c r="I138" i="14"/>
  <c r="F138" i="14"/>
  <c r="C138" i="14" s="1"/>
  <c r="O137" i="14"/>
  <c r="L137" i="14"/>
  <c r="I137" i="14"/>
  <c r="I136" i="14" s="1"/>
  <c r="F137" i="14"/>
  <c r="N136" i="14"/>
  <c r="M136" i="14"/>
  <c r="K136" i="14"/>
  <c r="J136" i="14"/>
  <c r="H136" i="14"/>
  <c r="G136" i="14"/>
  <c r="E136" i="14"/>
  <c r="D136" i="14"/>
  <c r="O135" i="14"/>
  <c r="L135" i="14"/>
  <c r="I135" i="14"/>
  <c r="F135" i="14"/>
  <c r="O134" i="14"/>
  <c r="L134" i="14"/>
  <c r="I134" i="14"/>
  <c r="F134" i="14"/>
  <c r="O133" i="14"/>
  <c r="L133" i="14"/>
  <c r="I133" i="14"/>
  <c r="F133" i="14"/>
  <c r="O132" i="14"/>
  <c r="L132" i="14"/>
  <c r="I132" i="14"/>
  <c r="F132" i="14"/>
  <c r="N131" i="14"/>
  <c r="N130" i="14" s="1"/>
  <c r="M131" i="14"/>
  <c r="K131" i="14"/>
  <c r="J131" i="14"/>
  <c r="H131" i="14"/>
  <c r="G131" i="14"/>
  <c r="G130" i="14" s="1"/>
  <c r="E131" i="14"/>
  <c r="D131" i="14"/>
  <c r="O129" i="14"/>
  <c r="L129" i="14"/>
  <c r="L128" i="14" s="1"/>
  <c r="I129" i="14"/>
  <c r="F129" i="14"/>
  <c r="O128" i="14"/>
  <c r="N128" i="14"/>
  <c r="M128" i="14"/>
  <c r="K128" i="14"/>
  <c r="J128" i="14"/>
  <c r="I128" i="14"/>
  <c r="H128" i="14"/>
  <c r="G128" i="14"/>
  <c r="E128" i="14"/>
  <c r="D128" i="14"/>
  <c r="O127" i="14"/>
  <c r="L127" i="14"/>
  <c r="I127" i="14"/>
  <c r="F127" i="14"/>
  <c r="O126" i="14"/>
  <c r="L126" i="14"/>
  <c r="I126" i="14"/>
  <c r="F126" i="14"/>
  <c r="C126" i="14" s="1"/>
  <c r="O125" i="14"/>
  <c r="L125" i="14"/>
  <c r="I125" i="14"/>
  <c r="F125" i="14"/>
  <c r="O124" i="14"/>
  <c r="L124" i="14"/>
  <c r="I124" i="14"/>
  <c r="F124" i="14"/>
  <c r="O123" i="14"/>
  <c r="L123" i="14"/>
  <c r="I123" i="14"/>
  <c r="F123" i="14"/>
  <c r="O122" i="14"/>
  <c r="N122" i="14"/>
  <c r="M122" i="14"/>
  <c r="K122" i="14"/>
  <c r="J122" i="14"/>
  <c r="H122" i="14"/>
  <c r="G122" i="14"/>
  <c r="E122" i="14"/>
  <c r="D122" i="14"/>
  <c r="O121" i="14"/>
  <c r="L121" i="14"/>
  <c r="I121" i="14"/>
  <c r="F121" i="14"/>
  <c r="O120" i="14"/>
  <c r="L120" i="14"/>
  <c r="I120" i="14"/>
  <c r="F120" i="14"/>
  <c r="O119" i="14"/>
  <c r="L119" i="14"/>
  <c r="I119" i="14"/>
  <c r="F119" i="14"/>
  <c r="O118" i="14"/>
  <c r="L118" i="14"/>
  <c r="I118" i="14"/>
  <c r="F118" i="14"/>
  <c r="O117" i="14"/>
  <c r="L117" i="14"/>
  <c r="I117" i="14"/>
  <c r="I116" i="14" s="1"/>
  <c r="F117" i="14"/>
  <c r="N116" i="14"/>
  <c r="M116" i="14"/>
  <c r="K116" i="14"/>
  <c r="J116" i="14"/>
  <c r="H116" i="14"/>
  <c r="G116" i="14"/>
  <c r="E116" i="14"/>
  <c r="D116" i="14"/>
  <c r="O115" i="14"/>
  <c r="L115" i="14"/>
  <c r="I115" i="14"/>
  <c r="F115" i="14"/>
  <c r="O114" i="14"/>
  <c r="L114" i="14"/>
  <c r="I114" i="14"/>
  <c r="F114" i="14"/>
  <c r="O113" i="14"/>
  <c r="L113" i="14"/>
  <c r="I113" i="14"/>
  <c r="F113" i="14"/>
  <c r="N112" i="14"/>
  <c r="M112" i="14"/>
  <c r="K112" i="14"/>
  <c r="J112" i="14"/>
  <c r="I112" i="14"/>
  <c r="H112" i="14"/>
  <c r="G112" i="14"/>
  <c r="E112" i="14"/>
  <c r="D112" i="14"/>
  <c r="O111" i="14"/>
  <c r="L111" i="14"/>
  <c r="I111" i="14"/>
  <c r="F111" i="14"/>
  <c r="O110" i="14"/>
  <c r="L110" i="14"/>
  <c r="I110" i="14"/>
  <c r="F110" i="14"/>
  <c r="O109" i="14"/>
  <c r="L109" i="14"/>
  <c r="I109" i="14"/>
  <c r="F109" i="14"/>
  <c r="O108" i="14"/>
  <c r="L108" i="14"/>
  <c r="I108" i="14"/>
  <c r="F108" i="14"/>
  <c r="O107" i="14"/>
  <c r="L107" i="14"/>
  <c r="C107" i="14" s="1"/>
  <c r="I107" i="14"/>
  <c r="F107" i="14"/>
  <c r="O106" i="14"/>
  <c r="L106" i="14"/>
  <c r="I106" i="14"/>
  <c r="F106" i="14"/>
  <c r="O105" i="14"/>
  <c r="L105" i="14"/>
  <c r="I105" i="14"/>
  <c r="F105" i="14"/>
  <c r="O104" i="14"/>
  <c r="L104" i="14"/>
  <c r="L103" i="14" s="1"/>
  <c r="I104" i="14"/>
  <c r="F104" i="14"/>
  <c r="N103" i="14"/>
  <c r="M103" i="14"/>
  <c r="K103" i="14"/>
  <c r="J103" i="14"/>
  <c r="H103" i="14"/>
  <c r="G103" i="14"/>
  <c r="F103" i="14"/>
  <c r="E103" i="14"/>
  <c r="D103" i="14"/>
  <c r="O102" i="14"/>
  <c r="L102" i="14"/>
  <c r="I102" i="14"/>
  <c r="F102" i="14"/>
  <c r="O101" i="14"/>
  <c r="L101" i="14"/>
  <c r="I101" i="14"/>
  <c r="F101" i="14"/>
  <c r="C101" i="14" s="1"/>
  <c r="O100" i="14"/>
  <c r="L100" i="14"/>
  <c r="I100" i="14"/>
  <c r="F100" i="14"/>
  <c r="C100" i="14" s="1"/>
  <c r="O99" i="14"/>
  <c r="L99" i="14"/>
  <c r="I99" i="14"/>
  <c r="F99" i="14"/>
  <c r="O98" i="14"/>
  <c r="L98" i="14"/>
  <c r="I98" i="14"/>
  <c r="F98" i="14"/>
  <c r="O97" i="14"/>
  <c r="L97" i="14"/>
  <c r="I97" i="14"/>
  <c r="F97" i="14"/>
  <c r="C97" i="14" s="1"/>
  <c r="O96" i="14"/>
  <c r="L96" i="14"/>
  <c r="I96" i="14"/>
  <c r="I95" i="14" s="1"/>
  <c r="F96" i="14"/>
  <c r="C96" i="14" s="1"/>
  <c r="N95" i="14"/>
  <c r="M95" i="14"/>
  <c r="K95" i="14"/>
  <c r="J95" i="14"/>
  <c r="H95" i="14"/>
  <c r="G95" i="14"/>
  <c r="E95" i="14"/>
  <c r="D95" i="14"/>
  <c r="O94" i="14"/>
  <c r="L94" i="14"/>
  <c r="I94" i="14"/>
  <c r="F94" i="14"/>
  <c r="O93" i="14"/>
  <c r="L93" i="14"/>
  <c r="I93" i="14"/>
  <c r="F93" i="14"/>
  <c r="O92" i="14"/>
  <c r="L92" i="14"/>
  <c r="I92" i="14"/>
  <c r="F92" i="14"/>
  <c r="O91" i="14"/>
  <c r="L91" i="14"/>
  <c r="I91" i="14"/>
  <c r="F91" i="14"/>
  <c r="O90" i="14"/>
  <c r="O89" i="14" s="1"/>
  <c r="L90" i="14"/>
  <c r="I90" i="14"/>
  <c r="F90" i="14"/>
  <c r="F89" i="14" s="1"/>
  <c r="N89" i="14"/>
  <c r="M89" i="14"/>
  <c r="L89" i="14"/>
  <c r="K89" i="14"/>
  <c r="J89" i="14"/>
  <c r="H89" i="14"/>
  <c r="G89" i="14"/>
  <c r="E89" i="14"/>
  <c r="D89" i="14"/>
  <c r="O88" i="14"/>
  <c r="L88" i="14"/>
  <c r="I88" i="14"/>
  <c r="F88" i="14"/>
  <c r="O87" i="14"/>
  <c r="L87" i="14"/>
  <c r="I87" i="14"/>
  <c r="F87" i="14"/>
  <c r="O86" i="14"/>
  <c r="O84" i="14" s="1"/>
  <c r="L86" i="14"/>
  <c r="I86" i="14"/>
  <c r="F86" i="14"/>
  <c r="C86" i="14"/>
  <c r="O85" i="14"/>
  <c r="L85" i="14"/>
  <c r="I85" i="14"/>
  <c r="I84" i="14" s="1"/>
  <c r="F85" i="14"/>
  <c r="C85" i="14" s="1"/>
  <c r="N84" i="14"/>
  <c r="N83" i="14" s="1"/>
  <c r="M84" i="14"/>
  <c r="K84" i="14"/>
  <c r="J84" i="14"/>
  <c r="J83" i="14" s="1"/>
  <c r="H84" i="14"/>
  <c r="G84" i="14"/>
  <c r="E84" i="14"/>
  <c r="E83" i="14" s="1"/>
  <c r="D84" i="14"/>
  <c r="O82" i="14"/>
  <c r="L82" i="14"/>
  <c r="I82" i="14"/>
  <c r="F82" i="14"/>
  <c r="C82" i="14" s="1"/>
  <c r="O81" i="14"/>
  <c r="L81" i="14"/>
  <c r="I81" i="14"/>
  <c r="I80" i="14" s="1"/>
  <c r="F81" i="14"/>
  <c r="N80" i="14"/>
  <c r="M80" i="14"/>
  <c r="L80" i="14"/>
  <c r="K80" i="14"/>
  <c r="J80" i="14"/>
  <c r="H80" i="14"/>
  <c r="G80" i="14"/>
  <c r="G76" i="14" s="1"/>
  <c r="E80" i="14"/>
  <c r="D80" i="14"/>
  <c r="O79" i="14"/>
  <c r="L79" i="14"/>
  <c r="C79" i="14" s="1"/>
  <c r="I79" i="14"/>
  <c r="F79" i="14"/>
  <c r="O78" i="14"/>
  <c r="O77" i="14" s="1"/>
  <c r="L78" i="14"/>
  <c r="L77" i="14" s="1"/>
  <c r="L76" i="14" s="1"/>
  <c r="I78" i="14"/>
  <c r="F78" i="14"/>
  <c r="F77" i="14" s="1"/>
  <c r="N77" i="14"/>
  <c r="N76" i="14" s="1"/>
  <c r="M77" i="14"/>
  <c r="K77" i="14"/>
  <c r="J77" i="14"/>
  <c r="J76" i="14" s="1"/>
  <c r="I77" i="14"/>
  <c r="H77" i="14"/>
  <c r="G77" i="14"/>
  <c r="E77" i="14"/>
  <c r="D77" i="14"/>
  <c r="D76" i="14" s="1"/>
  <c r="M76" i="14"/>
  <c r="K76" i="14"/>
  <c r="E76" i="14"/>
  <c r="O74" i="14"/>
  <c r="L74" i="14"/>
  <c r="I74" i="14"/>
  <c r="F74" i="14"/>
  <c r="O73" i="14"/>
  <c r="L73" i="14"/>
  <c r="I73" i="14"/>
  <c r="F73" i="14"/>
  <c r="O72" i="14"/>
  <c r="L72" i="14"/>
  <c r="I72" i="14"/>
  <c r="F72" i="14"/>
  <c r="O71" i="14"/>
  <c r="L71" i="14"/>
  <c r="I71" i="14"/>
  <c r="F71" i="14"/>
  <c r="O70" i="14"/>
  <c r="L70" i="14"/>
  <c r="L69" i="14" s="1"/>
  <c r="I70" i="14"/>
  <c r="F70" i="14"/>
  <c r="N69" i="14"/>
  <c r="M69" i="14"/>
  <c r="M67" i="14" s="1"/>
  <c r="K69" i="14"/>
  <c r="J69" i="14"/>
  <c r="J67" i="14" s="1"/>
  <c r="H69" i="14"/>
  <c r="H67" i="14" s="1"/>
  <c r="G69" i="14"/>
  <c r="G67" i="14" s="1"/>
  <c r="E69" i="14"/>
  <c r="E67" i="14" s="1"/>
  <c r="D69" i="14"/>
  <c r="D67" i="14" s="1"/>
  <c r="O68" i="14"/>
  <c r="L68" i="14"/>
  <c r="I68" i="14"/>
  <c r="F68" i="14"/>
  <c r="N67" i="14"/>
  <c r="K67" i="14"/>
  <c r="O66" i="14"/>
  <c r="L66" i="14"/>
  <c r="I66" i="14"/>
  <c r="C66" i="14" s="1"/>
  <c r="F66" i="14"/>
  <c r="O65" i="14"/>
  <c r="L65" i="14"/>
  <c r="I65" i="14"/>
  <c r="F65" i="14"/>
  <c r="O64" i="14"/>
  <c r="L64" i="14"/>
  <c r="I64" i="14"/>
  <c r="F64" i="14"/>
  <c r="O63" i="14"/>
  <c r="L63" i="14"/>
  <c r="I63" i="14"/>
  <c r="F63" i="14"/>
  <c r="O62" i="14"/>
  <c r="L62" i="14"/>
  <c r="I62" i="14"/>
  <c r="F62" i="14"/>
  <c r="C62" i="14" s="1"/>
  <c r="O61" i="14"/>
  <c r="L61" i="14"/>
  <c r="I61" i="14"/>
  <c r="F61" i="14"/>
  <c r="O60" i="14"/>
  <c r="L60" i="14"/>
  <c r="I60" i="14"/>
  <c r="F60" i="14"/>
  <c r="O59" i="14"/>
  <c r="L59" i="14"/>
  <c r="I59" i="14"/>
  <c r="F59" i="14"/>
  <c r="N58" i="14"/>
  <c r="M58" i="14"/>
  <c r="K58" i="14"/>
  <c r="J58" i="14"/>
  <c r="H58" i="14"/>
  <c r="G58" i="14"/>
  <c r="E58" i="14"/>
  <c r="D58" i="14"/>
  <c r="O57" i="14"/>
  <c r="L57" i="14"/>
  <c r="I57" i="14"/>
  <c r="F57" i="14"/>
  <c r="O56" i="14"/>
  <c r="L56" i="14"/>
  <c r="L55" i="14" s="1"/>
  <c r="I56" i="14"/>
  <c r="I55" i="14" s="1"/>
  <c r="F56" i="14"/>
  <c r="O55" i="14"/>
  <c r="N55" i="14"/>
  <c r="N54" i="14" s="1"/>
  <c r="M55" i="14"/>
  <c r="K55" i="14"/>
  <c r="J55" i="14"/>
  <c r="J54" i="14" s="1"/>
  <c r="H55" i="14"/>
  <c r="H54" i="14" s="1"/>
  <c r="G55" i="14"/>
  <c r="F55" i="14"/>
  <c r="E55" i="14"/>
  <c r="D55" i="14"/>
  <c r="D54" i="14" s="1"/>
  <c r="D53" i="14" s="1"/>
  <c r="M54" i="14"/>
  <c r="O47" i="14"/>
  <c r="C47" i="14" s="1"/>
  <c r="O46" i="14"/>
  <c r="O45" i="14" s="1"/>
  <c r="N45" i="14"/>
  <c r="M45" i="14"/>
  <c r="C45" i="14"/>
  <c r="L44" i="14"/>
  <c r="I44" i="14"/>
  <c r="F44" i="14"/>
  <c r="F43" i="14" s="1"/>
  <c r="C44" i="14"/>
  <c r="L43" i="14"/>
  <c r="K43" i="14"/>
  <c r="J43" i="14"/>
  <c r="I43" i="14"/>
  <c r="H43" i="14"/>
  <c r="G43" i="14"/>
  <c r="E43" i="14"/>
  <c r="D43" i="14"/>
  <c r="F42" i="14"/>
  <c r="F41" i="14" s="1"/>
  <c r="C41" i="14" s="1"/>
  <c r="E41" i="14"/>
  <c r="D41" i="14"/>
  <c r="L40" i="14"/>
  <c r="C40" i="14" s="1"/>
  <c r="L39" i="14"/>
  <c r="C39" i="14" s="1"/>
  <c r="L38" i="14"/>
  <c r="C38" i="14" s="1"/>
  <c r="L37" i="14"/>
  <c r="C37" i="14" s="1"/>
  <c r="K36" i="14"/>
  <c r="J36" i="14"/>
  <c r="L35" i="14"/>
  <c r="C35" i="14" s="1"/>
  <c r="L34" i="14"/>
  <c r="K33" i="14"/>
  <c r="J33" i="14"/>
  <c r="L32" i="14"/>
  <c r="C32" i="14" s="1"/>
  <c r="K31" i="14"/>
  <c r="J31" i="14"/>
  <c r="L30" i="14"/>
  <c r="C30" i="14" s="1"/>
  <c r="L29" i="14"/>
  <c r="C29" i="14" s="1"/>
  <c r="L28" i="14"/>
  <c r="C28" i="14" s="1"/>
  <c r="K27" i="14"/>
  <c r="J27" i="14"/>
  <c r="J26" i="14" s="1"/>
  <c r="J20" i="14" s="1"/>
  <c r="F25" i="14"/>
  <c r="C25" i="14" s="1"/>
  <c r="I24" i="14"/>
  <c r="O23" i="14"/>
  <c r="L23" i="14"/>
  <c r="I23" i="14"/>
  <c r="C23" i="14" s="1"/>
  <c r="F23" i="14"/>
  <c r="O22" i="14"/>
  <c r="O21" i="14" s="1"/>
  <c r="L22" i="14"/>
  <c r="L21" i="14" s="1"/>
  <c r="L292" i="14" s="1"/>
  <c r="I22" i="14"/>
  <c r="F22" i="14"/>
  <c r="N21" i="14"/>
  <c r="N292" i="14" s="1"/>
  <c r="N291" i="14" s="1"/>
  <c r="M21" i="14"/>
  <c r="K21" i="14"/>
  <c r="K292" i="14" s="1"/>
  <c r="K291" i="14" s="1"/>
  <c r="J21" i="14"/>
  <c r="J292" i="14" s="1"/>
  <c r="J291" i="14" s="1"/>
  <c r="I21" i="14"/>
  <c r="H21" i="14"/>
  <c r="H292" i="14" s="1"/>
  <c r="H291" i="14" s="1"/>
  <c r="G21" i="14"/>
  <c r="G292" i="14" s="1"/>
  <c r="G291" i="14" s="1"/>
  <c r="E21" i="14"/>
  <c r="D21" i="14"/>
  <c r="D292" i="14" s="1"/>
  <c r="D291" i="14" s="1"/>
  <c r="N20" i="14"/>
  <c r="H20" i="14"/>
  <c r="G20" i="14"/>
  <c r="L33" i="14" l="1"/>
  <c r="C33" i="14" s="1"/>
  <c r="E54" i="14"/>
  <c r="K54" i="14"/>
  <c r="K53" i="14" s="1"/>
  <c r="I58" i="14"/>
  <c r="I69" i="14"/>
  <c r="C81" i="14"/>
  <c r="O80" i="14"/>
  <c r="C110" i="14"/>
  <c r="I166" i="14"/>
  <c r="I165" i="14" s="1"/>
  <c r="C189" i="14"/>
  <c r="F192" i="14"/>
  <c r="F191" i="14" s="1"/>
  <c r="C223" i="14"/>
  <c r="C239" i="14"/>
  <c r="C271" i="14"/>
  <c r="L276" i="14"/>
  <c r="H83" i="14"/>
  <c r="C113" i="14"/>
  <c r="C123" i="14"/>
  <c r="F174" i="14"/>
  <c r="N173" i="14"/>
  <c r="E187" i="14"/>
  <c r="G231" i="14"/>
  <c r="O264" i="14"/>
  <c r="C294" i="14"/>
  <c r="C102" i="14"/>
  <c r="C134" i="14"/>
  <c r="K130" i="14"/>
  <c r="C162" i="14"/>
  <c r="C203" i="14"/>
  <c r="C214" i="14"/>
  <c r="C215" i="14"/>
  <c r="F216" i="14"/>
  <c r="C228" i="14"/>
  <c r="C229" i="14"/>
  <c r="C258" i="14"/>
  <c r="L270" i="14"/>
  <c r="G270" i="14"/>
  <c r="G269" i="14" s="1"/>
  <c r="I270" i="14"/>
  <c r="I269" i="14" s="1"/>
  <c r="C279" i="14"/>
  <c r="C64" i="14"/>
  <c r="C65" i="14"/>
  <c r="C70" i="14"/>
  <c r="C74" i="14"/>
  <c r="C135" i="14"/>
  <c r="C145" i="14"/>
  <c r="C150" i="14"/>
  <c r="C152" i="14"/>
  <c r="C167" i="14"/>
  <c r="C206" i="14"/>
  <c r="C210" i="14"/>
  <c r="C226" i="14"/>
  <c r="M231" i="14"/>
  <c r="G259" i="14"/>
  <c r="C266" i="14"/>
  <c r="M270" i="14"/>
  <c r="M269" i="14" s="1"/>
  <c r="I76" i="14"/>
  <c r="G230" i="14"/>
  <c r="O260" i="14"/>
  <c r="O259" i="14" s="1"/>
  <c r="I264" i="14"/>
  <c r="L269" i="14"/>
  <c r="O276" i="14"/>
  <c r="C276" i="14" s="1"/>
  <c r="I293" i="14"/>
  <c r="H53" i="14"/>
  <c r="I175" i="14"/>
  <c r="J195" i="14"/>
  <c r="F227" i="14"/>
  <c r="L27" i="14"/>
  <c r="N53" i="14"/>
  <c r="G54" i="14"/>
  <c r="G53" i="14" s="1"/>
  <c r="C68" i="14"/>
  <c r="C71" i="14"/>
  <c r="C78" i="14"/>
  <c r="C88" i="14"/>
  <c r="D83" i="14"/>
  <c r="C91" i="14"/>
  <c r="F95" i="14"/>
  <c r="O103" i="14"/>
  <c r="C111" i="14"/>
  <c r="C117" i="14"/>
  <c r="C120" i="14"/>
  <c r="C121" i="14"/>
  <c r="C127" i="14"/>
  <c r="J130" i="14"/>
  <c r="J75" i="14" s="1"/>
  <c r="C132" i="14"/>
  <c r="C133" i="14"/>
  <c r="O131" i="14"/>
  <c r="M130" i="14"/>
  <c r="C143" i="14"/>
  <c r="C148" i="14"/>
  <c r="C149" i="14"/>
  <c r="C157" i="14"/>
  <c r="C171" i="14"/>
  <c r="C172" i="14"/>
  <c r="C177" i="14"/>
  <c r="I179" i="14"/>
  <c r="C202" i="14"/>
  <c r="C212" i="14"/>
  <c r="C213" i="14"/>
  <c r="C224" i="14"/>
  <c r="C225" i="14"/>
  <c r="G204" i="14"/>
  <c r="G195" i="14" s="1"/>
  <c r="J231" i="14"/>
  <c r="I252" i="14"/>
  <c r="I251" i="14" s="1"/>
  <c r="C256" i="14"/>
  <c r="C257" i="14"/>
  <c r="J259" i="14"/>
  <c r="C261" i="14"/>
  <c r="C278" i="14"/>
  <c r="F286" i="14"/>
  <c r="C295" i="14"/>
  <c r="L293" i="14"/>
  <c r="M53" i="14"/>
  <c r="O116" i="14"/>
  <c r="N75" i="14"/>
  <c r="N52" i="14" s="1"/>
  <c r="D130" i="14"/>
  <c r="K204" i="14"/>
  <c r="K195" i="14" s="1"/>
  <c r="K26" i="14"/>
  <c r="L36" i="14"/>
  <c r="C36" i="14" s="1"/>
  <c r="C42" i="14"/>
  <c r="J53" i="14"/>
  <c r="J52" i="14" s="1"/>
  <c r="C63" i="14"/>
  <c r="E53" i="14"/>
  <c r="O69" i="14"/>
  <c r="O67" i="14" s="1"/>
  <c r="H76" i="14"/>
  <c r="M83" i="14"/>
  <c r="M75" i="14" s="1"/>
  <c r="C90" i="14"/>
  <c r="C94" i="14"/>
  <c r="L95" i="14"/>
  <c r="C99" i="14"/>
  <c r="C104" i="14"/>
  <c r="C105" i="14"/>
  <c r="C109" i="14"/>
  <c r="L112" i="14"/>
  <c r="K83" i="14"/>
  <c r="K75" i="14" s="1"/>
  <c r="K52" i="14" s="1"/>
  <c r="C125" i="14"/>
  <c r="C129" i="14"/>
  <c r="F131" i="14"/>
  <c r="I131" i="14"/>
  <c r="O136" i="14"/>
  <c r="L136" i="14"/>
  <c r="C142" i="14"/>
  <c r="C155" i="14"/>
  <c r="C181" i="14"/>
  <c r="F187" i="14"/>
  <c r="K187" i="14"/>
  <c r="D187" i="14"/>
  <c r="E230" i="14"/>
  <c r="K231" i="14"/>
  <c r="K230" i="14" s="1"/>
  <c r="C236" i="14"/>
  <c r="C237" i="14"/>
  <c r="C250" i="14"/>
  <c r="C265" i="14"/>
  <c r="N270" i="14"/>
  <c r="N269" i="14" s="1"/>
  <c r="O272" i="14"/>
  <c r="C288" i="14"/>
  <c r="I89" i="14"/>
  <c r="L31" i="14"/>
  <c r="C31" i="14" s="1"/>
  <c r="C34" i="14"/>
  <c r="C46" i="14"/>
  <c r="C56" i="14"/>
  <c r="C57" i="14"/>
  <c r="O58" i="14"/>
  <c r="O54" i="14" s="1"/>
  <c r="O53" i="14" s="1"/>
  <c r="L67" i="14"/>
  <c r="F69" i="14"/>
  <c r="C72" i="14"/>
  <c r="C73" i="14"/>
  <c r="L84" i="14"/>
  <c r="C92" i="14"/>
  <c r="C93" i="14"/>
  <c r="O95" i="14"/>
  <c r="I103" i="14"/>
  <c r="C103" i="14" s="1"/>
  <c r="C108" i="14"/>
  <c r="O112" i="14"/>
  <c r="L116" i="14"/>
  <c r="G83" i="14"/>
  <c r="G75" i="14" s="1"/>
  <c r="C124" i="14"/>
  <c r="L131" i="14"/>
  <c r="E130" i="14"/>
  <c r="E75" i="14" s="1"/>
  <c r="E52" i="14" s="1"/>
  <c r="C137" i="14"/>
  <c r="H130" i="14"/>
  <c r="C141" i="14"/>
  <c r="O144" i="14"/>
  <c r="L144" i="14"/>
  <c r="C153" i="14"/>
  <c r="C159" i="14"/>
  <c r="C164" i="14"/>
  <c r="C169" i="14"/>
  <c r="H173" i="14"/>
  <c r="C180" i="14"/>
  <c r="I187" i="14"/>
  <c r="H187" i="14"/>
  <c r="N204" i="14"/>
  <c r="N195" i="14" s="1"/>
  <c r="C218" i="14"/>
  <c r="C234" i="14"/>
  <c r="C243" i="14"/>
  <c r="I246" i="14"/>
  <c r="L252" i="14"/>
  <c r="L251" i="14" s="1"/>
  <c r="M259" i="14"/>
  <c r="F264" i="14"/>
  <c r="F259" i="14" s="1"/>
  <c r="C274" i="14"/>
  <c r="I286" i="14"/>
  <c r="I292" i="14" s="1"/>
  <c r="I291" i="14" s="1"/>
  <c r="F293" i="14"/>
  <c r="C298" i="14"/>
  <c r="I20" i="14"/>
  <c r="C43" i="14"/>
  <c r="C55" i="14"/>
  <c r="C59" i="14"/>
  <c r="L58" i="14"/>
  <c r="L54" i="14" s="1"/>
  <c r="O76" i="14"/>
  <c r="M20" i="14"/>
  <c r="M292" i="14"/>
  <c r="M291" i="14" s="1"/>
  <c r="C27" i="14"/>
  <c r="O191" i="14"/>
  <c r="C192" i="14"/>
  <c r="E292" i="14"/>
  <c r="E291" i="14" s="1"/>
  <c r="O292" i="14"/>
  <c r="O291" i="14" s="1"/>
  <c r="O20" i="14"/>
  <c r="K20" i="14"/>
  <c r="C22" i="14"/>
  <c r="F21" i="14"/>
  <c r="I54" i="14"/>
  <c r="I67" i="14"/>
  <c r="H75" i="14"/>
  <c r="C77" i="14"/>
  <c r="C60" i="14"/>
  <c r="C61" i="14"/>
  <c r="F58" i="14"/>
  <c r="C58" i="14" s="1"/>
  <c r="C69" i="14"/>
  <c r="F67" i="14"/>
  <c r="D75" i="14"/>
  <c r="C89" i="14"/>
  <c r="C114" i="14"/>
  <c r="E195" i="14"/>
  <c r="C241" i="14"/>
  <c r="F238" i="14"/>
  <c r="C87" i="14"/>
  <c r="F112" i="14"/>
  <c r="C112" i="14" s="1"/>
  <c r="C115" i="14"/>
  <c r="F116" i="14"/>
  <c r="C116" i="14" s="1"/>
  <c r="C119" i="14"/>
  <c r="L122" i="14"/>
  <c r="F128" i="14"/>
  <c r="C128" i="14" s="1"/>
  <c r="C131" i="14"/>
  <c r="F136" i="14"/>
  <c r="C136" i="14" s="1"/>
  <c r="C139" i="14"/>
  <c r="F144" i="14"/>
  <c r="C147" i="14"/>
  <c r="L151" i="14"/>
  <c r="L175" i="14"/>
  <c r="C175" i="14"/>
  <c r="L179" i="14"/>
  <c r="C179" i="14" s="1"/>
  <c r="G187" i="14"/>
  <c r="G52" i="14" s="1"/>
  <c r="L188" i="14"/>
  <c r="C199" i="14"/>
  <c r="L198" i="14"/>
  <c r="L196" i="14" s="1"/>
  <c r="C208" i="14"/>
  <c r="I205" i="14"/>
  <c r="I204" i="14" s="1"/>
  <c r="C227" i="14"/>
  <c r="C235" i="14"/>
  <c r="O270" i="14"/>
  <c r="O269" i="14" s="1"/>
  <c r="C284" i="14"/>
  <c r="F283" i="14"/>
  <c r="C283" i="14" s="1"/>
  <c r="C98" i="14"/>
  <c r="C118" i="14"/>
  <c r="C176" i="14"/>
  <c r="C200" i="14"/>
  <c r="I198" i="14"/>
  <c r="C198" i="14" s="1"/>
  <c r="C301" i="14"/>
  <c r="F80" i="14"/>
  <c r="C80" i="14" s="1"/>
  <c r="I122" i="14"/>
  <c r="I83" i="14" s="1"/>
  <c r="I151" i="14"/>
  <c r="I130" i="14" s="1"/>
  <c r="F151" i="14"/>
  <c r="C158" i="14"/>
  <c r="F160" i="14"/>
  <c r="C160" i="14" s="1"/>
  <c r="F166" i="14"/>
  <c r="C170" i="14"/>
  <c r="F173" i="14"/>
  <c r="D173" i="14"/>
  <c r="C178" i="14"/>
  <c r="C182" i="14"/>
  <c r="C183" i="14"/>
  <c r="L184" i="14"/>
  <c r="C184" i="14" s="1"/>
  <c r="C190" i="14"/>
  <c r="O196" i="14"/>
  <c r="C207" i="14"/>
  <c r="L205" i="14"/>
  <c r="C254" i="14"/>
  <c r="F252" i="14"/>
  <c r="L264" i="14"/>
  <c r="C267" i="14"/>
  <c r="C277" i="14"/>
  <c r="C282" i="14"/>
  <c r="C293" i="14"/>
  <c r="C106" i="14"/>
  <c r="O187" i="14"/>
  <c r="C247" i="14"/>
  <c r="L246" i="14"/>
  <c r="L231" i="14" s="1"/>
  <c r="C262" i="14"/>
  <c r="F84" i="14"/>
  <c r="F122" i="14"/>
  <c r="C154" i="14"/>
  <c r="C161" i="14"/>
  <c r="O166" i="14"/>
  <c r="O165" i="14" s="1"/>
  <c r="C186" i="14"/>
  <c r="C191" i="14"/>
  <c r="O205" i="14"/>
  <c r="O216" i="14"/>
  <c r="L216" i="14"/>
  <c r="C219" i="14"/>
  <c r="N230" i="14"/>
  <c r="O238" i="14"/>
  <c r="O231" i="14" s="1"/>
  <c r="I259" i="14"/>
  <c r="L260" i="14"/>
  <c r="C260" i="14" s="1"/>
  <c r="C263" i="14"/>
  <c r="C273" i="14"/>
  <c r="F272" i="14"/>
  <c r="C281" i="14"/>
  <c r="C286" i="14"/>
  <c r="C197" i="14"/>
  <c r="F205" i="14"/>
  <c r="H231" i="14"/>
  <c r="H230" i="14" s="1"/>
  <c r="H194" i="14" s="1"/>
  <c r="C233" i="14"/>
  <c r="C240" i="14"/>
  <c r="I238" i="14"/>
  <c r="I231" i="14" s="1"/>
  <c r="I230" i="14" s="1"/>
  <c r="E270" i="14"/>
  <c r="E269" i="14" s="1"/>
  <c r="K289" i="14"/>
  <c r="C296" i="14"/>
  <c r="C297" i="14"/>
  <c r="L291" i="14"/>
  <c r="C201" i="14"/>
  <c r="C209" i="14"/>
  <c r="C220" i="14"/>
  <c r="C221" i="14"/>
  <c r="C232" i="14"/>
  <c r="D231" i="14"/>
  <c r="D230" i="14" s="1"/>
  <c r="D194" i="14" s="1"/>
  <c r="M230" i="14"/>
  <c r="C244" i="14"/>
  <c r="C245" i="14"/>
  <c r="C248" i="14"/>
  <c r="C249" i="14"/>
  <c r="F246" i="14"/>
  <c r="C246" i="14" s="1"/>
  <c r="C253" i="14"/>
  <c r="O252" i="14"/>
  <c r="O251" i="14" s="1"/>
  <c r="C268" i="14"/>
  <c r="J270" i="14"/>
  <c r="J269" i="14" s="1"/>
  <c r="C280" i="14"/>
  <c r="C285" i="14"/>
  <c r="L130" i="14" l="1"/>
  <c r="C95" i="14"/>
  <c r="I75" i="14"/>
  <c r="O83" i="14"/>
  <c r="E289" i="14"/>
  <c r="N51" i="14"/>
  <c r="N50" i="14" s="1"/>
  <c r="C216" i="14"/>
  <c r="G51" i="14"/>
  <c r="N194" i="14"/>
  <c r="G194" i="14"/>
  <c r="G289" i="14"/>
  <c r="O230" i="14"/>
  <c r="C264" i="14"/>
  <c r="L83" i="14"/>
  <c r="L75" i="14" s="1"/>
  <c r="M52" i="14"/>
  <c r="N289" i="14"/>
  <c r="D52" i="14"/>
  <c r="D51" i="14" s="1"/>
  <c r="I174" i="14"/>
  <c r="I173" i="14" s="1"/>
  <c r="M289" i="14"/>
  <c r="C122" i="14"/>
  <c r="I196" i="14"/>
  <c r="I195" i="14" s="1"/>
  <c r="C151" i="14"/>
  <c r="C144" i="14"/>
  <c r="H52" i="14"/>
  <c r="H51" i="14" s="1"/>
  <c r="L53" i="14"/>
  <c r="K194" i="14"/>
  <c r="K51" i="14" s="1"/>
  <c r="J230" i="14"/>
  <c r="J289" i="14" s="1"/>
  <c r="O130" i="14"/>
  <c r="O75" i="14" s="1"/>
  <c r="O52" i="14" s="1"/>
  <c r="L26" i="14"/>
  <c r="G290" i="14"/>
  <c r="G50" i="14"/>
  <c r="D50" i="14"/>
  <c r="D24" i="14" s="1"/>
  <c r="H290" i="14"/>
  <c r="H50" i="14"/>
  <c r="C238" i="14"/>
  <c r="F231" i="14"/>
  <c r="C205" i="14"/>
  <c r="F204" i="14"/>
  <c r="H289" i="14"/>
  <c r="C252" i="14"/>
  <c r="F251" i="14"/>
  <c r="C251" i="14" s="1"/>
  <c r="L204" i="14"/>
  <c r="C166" i="14"/>
  <c r="F165" i="14"/>
  <c r="C165" i="14" s="1"/>
  <c r="L195" i="14"/>
  <c r="L187" i="14"/>
  <c r="C187" i="14" s="1"/>
  <c r="C188" i="14"/>
  <c r="I53" i="14"/>
  <c r="I52" i="14" s="1"/>
  <c r="C196" i="14"/>
  <c r="O204" i="14"/>
  <c r="F83" i="14"/>
  <c r="C83" i="14" s="1"/>
  <c r="C84" i="14"/>
  <c r="L174" i="14"/>
  <c r="D289" i="14"/>
  <c r="C67" i="14"/>
  <c r="F130" i="14"/>
  <c r="C130" i="14" s="1"/>
  <c r="C21" i="14"/>
  <c r="F292" i="14"/>
  <c r="I194" i="14"/>
  <c r="F54" i="14"/>
  <c r="F270" i="14"/>
  <c r="C272" i="14"/>
  <c r="L259" i="14"/>
  <c r="L230" i="14" s="1"/>
  <c r="M194" i="14"/>
  <c r="M51" i="14" s="1"/>
  <c r="O195" i="14"/>
  <c r="N290" i="14"/>
  <c r="E194" i="14"/>
  <c r="E51" i="14" s="1"/>
  <c r="F76" i="14"/>
  <c r="J194" i="14" l="1"/>
  <c r="J51" i="14" s="1"/>
  <c r="J50" i="14" s="1"/>
  <c r="I51" i="14"/>
  <c r="K50" i="14"/>
  <c r="K290" i="14"/>
  <c r="O194" i="14"/>
  <c r="O51" i="14" s="1"/>
  <c r="O290" i="14" s="1"/>
  <c r="J290" i="14"/>
  <c r="C26" i="14"/>
  <c r="L20" i="14"/>
  <c r="I290" i="14"/>
  <c r="I50" i="14"/>
  <c r="F230" i="14"/>
  <c r="C230" i="14" s="1"/>
  <c r="C231" i="14"/>
  <c r="C259" i="14"/>
  <c r="C76" i="14"/>
  <c r="F75" i="14"/>
  <c r="C75" i="14" s="1"/>
  <c r="F269" i="14"/>
  <c r="C270" i="14"/>
  <c r="C292" i="14"/>
  <c r="F291" i="14"/>
  <c r="C291" i="14" s="1"/>
  <c r="C204" i="14"/>
  <c r="F195" i="14"/>
  <c r="D20" i="14"/>
  <c r="F24" i="14"/>
  <c r="I289" i="14"/>
  <c r="E50" i="14"/>
  <c r="E24" i="14" s="1"/>
  <c r="E20" i="14" s="1"/>
  <c r="M50" i="14"/>
  <c r="M290" i="14"/>
  <c r="F53" i="14"/>
  <c r="C54" i="14"/>
  <c r="L173" i="14"/>
  <c r="C174" i="14"/>
  <c r="L194" i="14"/>
  <c r="O289" i="14"/>
  <c r="D290" i="14"/>
  <c r="O50" i="14" l="1"/>
  <c r="E290" i="14"/>
  <c r="C269" i="14"/>
  <c r="F289" i="14"/>
  <c r="C289" i="14" s="1"/>
  <c r="C53" i="14"/>
  <c r="F52" i="14"/>
  <c r="F194" i="14"/>
  <c r="C194" i="14" s="1"/>
  <c r="C195" i="14"/>
  <c r="L52" i="14"/>
  <c r="L51" i="14" s="1"/>
  <c r="C173" i="14"/>
  <c r="C24" i="14"/>
  <c r="F20" i="14"/>
  <c r="C20" i="14" s="1"/>
  <c r="L289" i="14"/>
  <c r="C52" i="14" l="1"/>
  <c r="F51" i="14"/>
  <c r="L50" i="14"/>
  <c r="L290" i="14"/>
  <c r="F290" i="14" l="1"/>
  <c r="C290" i="14" s="1"/>
  <c r="F50" i="14"/>
  <c r="C50" i="14" s="1"/>
  <c r="C51" i="14"/>
  <c r="O301" i="13" l="1"/>
  <c r="L301" i="13"/>
  <c r="I301" i="13"/>
  <c r="F301" i="13"/>
  <c r="O300" i="13"/>
  <c r="L300" i="13"/>
  <c r="I300" i="13"/>
  <c r="F300" i="13"/>
  <c r="C300" i="13" s="1"/>
  <c r="O299" i="13"/>
  <c r="L299" i="13"/>
  <c r="I299" i="13"/>
  <c r="F299" i="13"/>
  <c r="C299" i="13" s="1"/>
  <c r="O298" i="13"/>
  <c r="L298" i="13"/>
  <c r="I298" i="13"/>
  <c r="F298" i="13"/>
  <c r="C298" i="13" s="1"/>
  <c r="O297" i="13"/>
  <c r="L297" i="13"/>
  <c r="I297" i="13"/>
  <c r="F297" i="13"/>
  <c r="O296" i="13"/>
  <c r="L296" i="13"/>
  <c r="I296" i="13"/>
  <c r="F296" i="13"/>
  <c r="O295" i="13"/>
  <c r="L295" i="13"/>
  <c r="I295" i="13"/>
  <c r="F295" i="13"/>
  <c r="O294" i="13"/>
  <c r="O293" i="13" s="1"/>
  <c r="L294" i="13"/>
  <c r="I294" i="13"/>
  <c r="F294" i="13"/>
  <c r="N293" i="13"/>
  <c r="M293" i="13"/>
  <c r="K293" i="13"/>
  <c r="J293" i="13"/>
  <c r="H293" i="13"/>
  <c r="G293" i="13"/>
  <c r="E293" i="13"/>
  <c r="D293" i="13"/>
  <c r="O288" i="13"/>
  <c r="L288" i="13"/>
  <c r="I288" i="13"/>
  <c r="F288" i="13"/>
  <c r="O287" i="13"/>
  <c r="L287" i="13"/>
  <c r="L286" i="13" s="1"/>
  <c r="I287" i="13"/>
  <c r="I286" i="13" s="1"/>
  <c r="F287" i="13"/>
  <c r="O286" i="13"/>
  <c r="N286" i="13"/>
  <c r="M286" i="13"/>
  <c r="K286" i="13"/>
  <c r="J286" i="13"/>
  <c r="H286" i="13"/>
  <c r="G286" i="13"/>
  <c r="F286" i="13"/>
  <c r="E286" i="13"/>
  <c r="D286" i="13"/>
  <c r="O285" i="13"/>
  <c r="O284" i="13" s="1"/>
  <c r="O283" i="13" s="1"/>
  <c r="L285" i="13"/>
  <c r="L284" i="13" s="1"/>
  <c r="L283" i="13" s="1"/>
  <c r="I285" i="13"/>
  <c r="I284" i="13" s="1"/>
  <c r="I283" i="13" s="1"/>
  <c r="F285" i="13"/>
  <c r="N284" i="13"/>
  <c r="M284" i="13"/>
  <c r="M283" i="13" s="1"/>
  <c r="K284" i="13"/>
  <c r="J284" i="13"/>
  <c r="H284" i="13"/>
  <c r="H283" i="13" s="1"/>
  <c r="G284" i="13"/>
  <c r="G283" i="13" s="1"/>
  <c r="E284" i="13"/>
  <c r="E283" i="13" s="1"/>
  <c r="D284" i="13"/>
  <c r="D283" i="13" s="1"/>
  <c r="N283" i="13"/>
  <c r="K283" i="13"/>
  <c r="J283" i="13"/>
  <c r="O282" i="13"/>
  <c r="O281" i="13" s="1"/>
  <c r="L282" i="13"/>
  <c r="L281" i="13" s="1"/>
  <c r="I282" i="13"/>
  <c r="I281" i="13" s="1"/>
  <c r="F282" i="13"/>
  <c r="N281" i="13"/>
  <c r="M281" i="13"/>
  <c r="K281" i="13"/>
  <c r="J281" i="13"/>
  <c r="H281" i="13"/>
  <c r="G281" i="13"/>
  <c r="F281" i="13"/>
  <c r="E281" i="13"/>
  <c r="D281" i="13"/>
  <c r="O280" i="13"/>
  <c r="L280" i="13"/>
  <c r="I280" i="13"/>
  <c r="F280" i="13"/>
  <c r="O279" i="13"/>
  <c r="L279" i="13"/>
  <c r="I279" i="13"/>
  <c r="F279" i="13"/>
  <c r="O278" i="13"/>
  <c r="L278" i="13"/>
  <c r="I278" i="13"/>
  <c r="F278" i="13"/>
  <c r="C278" i="13" s="1"/>
  <c r="O277" i="13"/>
  <c r="O276" i="13" s="1"/>
  <c r="L277" i="13"/>
  <c r="I277" i="13"/>
  <c r="F277" i="13"/>
  <c r="N276" i="13"/>
  <c r="M276" i="13"/>
  <c r="K276" i="13"/>
  <c r="J276" i="13"/>
  <c r="I276" i="13"/>
  <c r="H276" i="13"/>
  <c r="G276" i="13"/>
  <c r="E276" i="13"/>
  <c r="D276" i="13"/>
  <c r="O275" i="13"/>
  <c r="L275" i="13"/>
  <c r="I275" i="13"/>
  <c r="F275" i="13"/>
  <c r="C275" i="13" s="1"/>
  <c r="O274" i="13"/>
  <c r="L274" i="13"/>
  <c r="I274" i="13"/>
  <c r="F274" i="13"/>
  <c r="C274" i="13" s="1"/>
  <c r="O273" i="13"/>
  <c r="O272" i="13" s="1"/>
  <c r="L273" i="13"/>
  <c r="I273" i="13"/>
  <c r="I272" i="13" s="1"/>
  <c r="F273" i="13"/>
  <c r="N272" i="13"/>
  <c r="N270" i="13" s="1"/>
  <c r="N269" i="13" s="1"/>
  <c r="M272" i="13"/>
  <c r="L272" i="13"/>
  <c r="K272" i="13"/>
  <c r="K270" i="13" s="1"/>
  <c r="K269" i="13" s="1"/>
  <c r="J272" i="13"/>
  <c r="J270" i="13" s="1"/>
  <c r="J269" i="13" s="1"/>
  <c r="H272" i="13"/>
  <c r="G272" i="13"/>
  <c r="E272" i="13"/>
  <c r="E270" i="13" s="1"/>
  <c r="E269" i="13" s="1"/>
  <c r="D272" i="13"/>
  <c r="O271" i="13"/>
  <c r="L271" i="13"/>
  <c r="I271" i="13"/>
  <c r="F271" i="13"/>
  <c r="O270" i="13"/>
  <c r="O269" i="13" s="1"/>
  <c r="H270" i="13"/>
  <c r="O268" i="13"/>
  <c r="L268" i="13"/>
  <c r="I268" i="13"/>
  <c r="F268" i="13"/>
  <c r="O267" i="13"/>
  <c r="L267" i="13"/>
  <c r="I267" i="13"/>
  <c r="F267" i="13"/>
  <c r="O266" i="13"/>
  <c r="L266" i="13"/>
  <c r="I266" i="13"/>
  <c r="F266" i="13"/>
  <c r="O265" i="13"/>
  <c r="L265" i="13"/>
  <c r="I265" i="13"/>
  <c r="F265" i="13"/>
  <c r="N264" i="13"/>
  <c r="M264" i="13"/>
  <c r="K264" i="13"/>
  <c r="J264" i="13"/>
  <c r="H264" i="13"/>
  <c r="G264" i="13"/>
  <c r="E264" i="13"/>
  <c r="D264" i="13"/>
  <c r="O263" i="13"/>
  <c r="L263" i="13"/>
  <c r="I263" i="13"/>
  <c r="F263" i="13"/>
  <c r="O262" i="13"/>
  <c r="O260" i="13" s="1"/>
  <c r="L262" i="13"/>
  <c r="I262" i="13"/>
  <c r="F262" i="13"/>
  <c r="C262" i="13" s="1"/>
  <c r="O261" i="13"/>
  <c r="L261" i="13"/>
  <c r="I261" i="13"/>
  <c r="F261" i="13"/>
  <c r="N260" i="13"/>
  <c r="M260" i="13"/>
  <c r="K260" i="13"/>
  <c r="K259" i="13" s="1"/>
  <c r="J260" i="13"/>
  <c r="H260" i="13"/>
  <c r="H259" i="13" s="1"/>
  <c r="G260" i="13"/>
  <c r="E260" i="13"/>
  <c r="D260" i="13"/>
  <c r="D259" i="13" s="1"/>
  <c r="N259" i="13"/>
  <c r="J259" i="13"/>
  <c r="G259" i="13"/>
  <c r="O258" i="13"/>
  <c r="L258" i="13"/>
  <c r="I258" i="13"/>
  <c r="C258" i="13" s="1"/>
  <c r="F258" i="13"/>
  <c r="O257" i="13"/>
  <c r="L257" i="13"/>
  <c r="I257" i="13"/>
  <c r="F257" i="13"/>
  <c r="O256" i="13"/>
  <c r="L256" i="13"/>
  <c r="I256" i="13"/>
  <c r="F256" i="13"/>
  <c r="O255" i="13"/>
  <c r="L255" i="13"/>
  <c r="I255" i="13"/>
  <c r="F255" i="13"/>
  <c r="O254" i="13"/>
  <c r="L254" i="13"/>
  <c r="I254" i="13"/>
  <c r="F254" i="13"/>
  <c r="O253" i="13"/>
  <c r="L253" i="13"/>
  <c r="I253" i="13"/>
  <c r="I252" i="13" s="1"/>
  <c r="I251" i="13" s="1"/>
  <c r="F253" i="13"/>
  <c r="N252" i="13"/>
  <c r="N251" i="13" s="1"/>
  <c r="M252" i="13"/>
  <c r="M251" i="13" s="1"/>
  <c r="K252" i="13"/>
  <c r="J252" i="13"/>
  <c r="H252" i="13"/>
  <c r="H251" i="13" s="1"/>
  <c r="G252" i="13"/>
  <c r="G251" i="13" s="1"/>
  <c r="E252" i="13"/>
  <c r="E251" i="13" s="1"/>
  <c r="D252" i="13"/>
  <c r="K251" i="13"/>
  <c r="J251" i="13"/>
  <c r="D251" i="13"/>
  <c r="O250" i="13"/>
  <c r="L250" i="13"/>
  <c r="I250" i="13"/>
  <c r="F250" i="13"/>
  <c r="O249" i="13"/>
  <c r="L249" i="13"/>
  <c r="I249" i="13"/>
  <c r="F249" i="13"/>
  <c r="O248" i="13"/>
  <c r="L248" i="13"/>
  <c r="I248" i="13"/>
  <c r="F248" i="13"/>
  <c r="O247" i="13"/>
  <c r="L247" i="13"/>
  <c r="I247" i="13"/>
  <c r="F247" i="13"/>
  <c r="N246" i="13"/>
  <c r="M246" i="13"/>
  <c r="K246" i="13"/>
  <c r="J246" i="13"/>
  <c r="H246" i="13"/>
  <c r="G246" i="13"/>
  <c r="E246" i="13"/>
  <c r="D246" i="13"/>
  <c r="O245" i="13"/>
  <c r="L245" i="13"/>
  <c r="I245" i="13"/>
  <c r="F245" i="13"/>
  <c r="O244" i="13"/>
  <c r="L244" i="13"/>
  <c r="I244" i="13"/>
  <c r="F244" i="13"/>
  <c r="O243" i="13"/>
  <c r="L243" i="13"/>
  <c r="I243" i="13"/>
  <c r="F243" i="13"/>
  <c r="O242" i="13"/>
  <c r="L242" i="13"/>
  <c r="I242" i="13"/>
  <c r="F242" i="13"/>
  <c r="O241" i="13"/>
  <c r="L241" i="13"/>
  <c r="I241" i="13"/>
  <c r="F241" i="13"/>
  <c r="O240" i="13"/>
  <c r="L240" i="13"/>
  <c r="I240" i="13"/>
  <c r="F240" i="13"/>
  <c r="O239" i="13"/>
  <c r="L239" i="13"/>
  <c r="I239" i="13"/>
  <c r="F239" i="13"/>
  <c r="N238" i="13"/>
  <c r="M238" i="13"/>
  <c r="K238" i="13"/>
  <c r="J238" i="13"/>
  <c r="H238" i="13"/>
  <c r="G238" i="13"/>
  <c r="E238" i="13"/>
  <c r="D238" i="13"/>
  <c r="O237" i="13"/>
  <c r="L237" i="13"/>
  <c r="I237" i="13"/>
  <c r="F237" i="13"/>
  <c r="O236" i="13"/>
  <c r="L236" i="13"/>
  <c r="L235" i="13" s="1"/>
  <c r="I236" i="13"/>
  <c r="I235" i="13" s="1"/>
  <c r="F236" i="13"/>
  <c r="O235" i="13"/>
  <c r="N235" i="13"/>
  <c r="M235" i="13"/>
  <c r="K235" i="13"/>
  <c r="J235" i="13"/>
  <c r="J231" i="13" s="1"/>
  <c r="J230" i="13" s="1"/>
  <c r="H235" i="13"/>
  <c r="G235" i="13"/>
  <c r="F235" i="13"/>
  <c r="E235" i="13"/>
  <c r="E231" i="13" s="1"/>
  <c r="D235" i="13"/>
  <c r="O234" i="13"/>
  <c r="O233" i="13" s="1"/>
  <c r="L234" i="13"/>
  <c r="I234" i="13"/>
  <c r="C234" i="13" s="1"/>
  <c r="F234" i="13"/>
  <c r="F233" i="13" s="1"/>
  <c r="N233" i="13"/>
  <c r="M233" i="13"/>
  <c r="M231" i="13" s="1"/>
  <c r="L233" i="13"/>
  <c r="K233" i="13"/>
  <c r="J233" i="13"/>
  <c r="H233" i="13"/>
  <c r="G233" i="13"/>
  <c r="E233" i="13"/>
  <c r="D233" i="13"/>
  <c r="D231" i="13" s="1"/>
  <c r="O232" i="13"/>
  <c r="L232" i="13"/>
  <c r="I232" i="13"/>
  <c r="F232" i="13"/>
  <c r="O229" i="13"/>
  <c r="L229" i="13"/>
  <c r="I229" i="13"/>
  <c r="F229" i="13"/>
  <c r="O228" i="13"/>
  <c r="L228" i="13"/>
  <c r="L227" i="13" s="1"/>
  <c r="I228" i="13"/>
  <c r="I227" i="13" s="1"/>
  <c r="F228" i="13"/>
  <c r="O227" i="13"/>
  <c r="N227" i="13"/>
  <c r="M227" i="13"/>
  <c r="K227" i="13"/>
  <c r="J227" i="13"/>
  <c r="H227" i="13"/>
  <c r="G227" i="13"/>
  <c r="F227" i="13"/>
  <c r="E227" i="13"/>
  <c r="D227" i="13"/>
  <c r="O226" i="13"/>
  <c r="L226" i="13"/>
  <c r="I226" i="13"/>
  <c r="F226" i="13"/>
  <c r="O225" i="13"/>
  <c r="L225" i="13"/>
  <c r="I225" i="13"/>
  <c r="F225" i="13"/>
  <c r="O224" i="13"/>
  <c r="L224" i="13"/>
  <c r="I224" i="13"/>
  <c r="F224" i="13"/>
  <c r="O223" i="13"/>
  <c r="L223" i="13"/>
  <c r="I223" i="13"/>
  <c r="F223" i="13"/>
  <c r="O222" i="13"/>
  <c r="L222" i="13"/>
  <c r="I222" i="13"/>
  <c r="F222" i="13"/>
  <c r="C222" i="13" s="1"/>
  <c r="O221" i="13"/>
  <c r="L221" i="13"/>
  <c r="I221" i="13"/>
  <c r="F221" i="13"/>
  <c r="O220" i="13"/>
  <c r="L220" i="13"/>
  <c r="I220" i="13"/>
  <c r="F220" i="13"/>
  <c r="O219" i="13"/>
  <c r="L219" i="13"/>
  <c r="I219" i="13"/>
  <c r="F219" i="13"/>
  <c r="O218" i="13"/>
  <c r="L218" i="13"/>
  <c r="I218" i="13"/>
  <c r="F218" i="13"/>
  <c r="O217" i="13"/>
  <c r="L217" i="13"/>
  <c r="I217" i="13"/>
  <c r="F217" i="13"/>
  <c r="N216" i="13"/>
  <c r="M216" i="13"/>
  <c r="K216" i="13"/>
  <c r="J216" i="13"/>
  <c r="H216" i="13"/>
  <c r="G216" i="13"/>
  <c r="E216" i="13"/>
  <c r="D216" i="13"/>
  <c r="O215" i="13"/>
  <c r="L215" i="13"/>
  <c r="I215" i="13"/>
  <c r="F215" i="13"/>
  <c r="O214" i="13"/>
  <c r="L214" i="13"/>
  <c r="I214" i="13"/>
  <c r="F214" i="13"/>
  <c r="O213" i="13"/>
  <c r="L213" i="13"/>
  <c r="I213" i="13"/>
  <c r="F213" i="13"/>
  <c r="O212" i="13"/>
  <c r="L212" i="13"/>
  <c r="I212" i="13"/>
  <c r="F212" i="13"/>
  <c r="O211" i="13"/>
  <c r="L211" i="13"/>
  <c r="I211" i="13"/>
  <c r="F211" i="13"/>
  <c r="O210" i="13"/>
  <c r="L210" i="13"/>
  <c r="I210" i="13"/>
  <c r="F210" i="13"/>
  <c r="O209" i="13"/>
  <c r="L209" i="13"/>
  <c r="I209" i="13"/>
  <c r="F209" i="13"/>
  <c r="O208" i="13"/>
  <c r="L208" i="13"/>
  <c r="I208" i="13"/>
  <c r="F208" i="13"/>
  <c r="O207" i="13"/>
  <c r="L207" i="13"/>
  <c r="I207" i="13"/>
  <c r="F207" i="13"/>
  <c r="O206" i="13"/>
  <c r="L206" i="13"/>
  <c r="I206" i="13"/>
  <c r="C206" i="13" s="1"/>
  <c r="F206" i="13"/>
  <c r="N205" i="13"/>
  <c r="M205" i="13"/>
  <c r="M204" i="13" s="1"/>
  <c r="K205" i="13"/>
  <c r="J205" i="13"/>
  <c r="H205" i="13"/>
  <c r="G205" i="13"/>
  <c r="G204" i="13" s="1"/>
  <c r="E205" i="13"/>
  <c r="D205" i="13"/>
  <c r="D204" i="13" s="1"/>
  <c r="O203" i="13"/>
  <c r="L203" i="13"/>
  <c r="C203" i="13" s="1"/>
  <c r="I203" i="13"/>
  <c r="F203" i="13"/>
  <c r="O202" i="13"/>
  <c r="L202" i="13"/>
  <c r="I202" i="13"/>
  <c r="F202" i="13"/>
  <c r="O201" i="13"/>
  <c r="L201" i="13"/>
  <c r="I201" i="13"/>
  <c r="F201" i="13"/>
  <c r="O200" i="13"/>
  <c r="L200" i="13"/>
  <c r="I200" i="13"/>
  <c r="F200" i="13"/>
  <c r="O199" i="13"/>
  <c r="O198" i="13" s="1"/>
  <c r="L199" i="13"/>
  <c r="L198" i="13" s="1"/>
  <c r="I199" i="13"/>
  <c r="I198" i="13" s="1"/>
  <c r="F199" i="13"/>
  <c r="N198" i="13"/>
  <c r="N196" i="13" s="1"/>
  <c r="M198" i="13"/>
  <c r="M196" i="13" s="1"/>
  <c r="K198" i="13"/>
  <c r="K196" i="13" s="1"/>
  <c r="J198" i="13"/>
  <c r="J196" i="13" s="1"/>
  <c r="H198" i="13"/>
  <c r="H196" i="13" s="1"/>
  <c r="G198" i="13"/>
  <c r="G196" i="13" s="1"/>
  <c r="F198" i="13"/>
  <c r="E198" i="13"/>
  <c r="D198" i="13"/>
  <c r="D196" i="13" s="1"/>
  <c r="D195" i="13" s="1"/>
  <c r="O197" i="13"/>
  <c r="L197" i="13"/>
  <c r="I197" i="13"/>
  <c r="I196" i="13" s="1"/>
  <c r="F197" i="13"/>
  <c r="E196" i="13"/>
  <c r="O193" i="13"/>
  <c r="O192" i="13" s="1"/>
  <c r="O191" i="13" s="1"/>
  <c r="L193" i="13"/>
  <c r="L192" i="13" s="1"/>
  <c r="L191" i="13" s="1"/>
  <c r="I193" i="13"/>
  <c r="F193" i="13"/>
  <c r="F192" i="13" s="1"/>
  <c r="N192" i="13"/>
  <c r="N191" i="13" s="1"/>
  <c r="M192" i="13"/>
  <c r="K192" i="13"/>
  <c r="K191" i="13" s="1"/>
  <c r="J192" i="13"/>
  <c r="J191" i="13" s="1"/>
  <c r="I192" i="13"/>
  <c r="I191" i="13" s="1"/>
  <c r="H192" i="13"/>
  <c r="H191" i="13" s="1"/>
  <c r="G192" i="13"/>
  <c r="G191" i="13" s="1"/>
  <c r="E192" i="13"/>
  <c r="D192" i="13"/>
  <c r="D191" i="13" s="1"/>
  <c r="M191" i="13"/>
  <c r="E191" i="13"/>
  <c r="O190" i="13"/>
  <c r="L190" i="13"/>
  <c r="I190" i="13"/>
  <c r="F190" i="13"/>
  <c r="O189" i="13"/>
  <c r="O188" i="13" s="1"/>
  <c r="L189" i="13"/>
  <c r="I189" i="13"/>
  <c r="I188" i="13" s="1"/>
  <c r="F189" i="13"/>
  <c r="C189" i="13" s="1"/>
  <c r="N188" i="13"/>
  <c r="M188" i="13"/>
  <c r="K188" i="13"/>
  <c r="J188" i="13"/>
  <c r="J187" i="13" s="1"/>
  <c r="H188" i="13"/>
  <c r="H187" i="13" s="1"/>
  <c r="G188" i="13"/>
  <c r="E188" i="13"/>
  <c r="D188" i="13"/>
  <c r="O186" i="13"/>
  <c r="L186" i="13"/>
  <c r="I186" i="13"/>
  <c r="F186" i="13"/>
  <c r="O185" i="13"/>
  <c r="O184" i="13" s="1"/>
  <c r="L185" i="13"/>
  <c r="I185" i="13"/>
  <c r="I184" i="13" s="1"/>
  <c r="F185" i="13"/>
  <c r="N184" i="13"/>
  <c r="M184" i="13"/>
  <c r="K184" i="13"/>
  <c r="J184" i="13"/>
  <c r="H184" i="13"/>
  <c r="G184" i="13"/>
  <c r="F184" i="13"/>
  <c r="E184" i="13"/>
  <c r="D184" i="13"/>
  <c r="O183" i="13"/>
  <c r="L183" i="13"/>
  <c r="I183" i="13"/>
  <c r="F183" i="13"/>
  <c r="O182" i="13"/>
  <c r="L182" i="13"/>
  <c r="I182" i="13"/>
  <c r="F182" i="13"/>
  <c r="O181" i="13"/>
  <c r="L181" i="13"/>
  <c r="I181" i="13"/>
  <c r="F181" i="13"/>
  <c r="O180" i="13"/>
  <c r="L180" i="13"/>
  <c r="I180" i="13"/>
  <c r="F180" i="13"/>
  <c r="N179" i="13"/>
  <c r="M179" i="13"/>
  <c r="K179" i="13"/>
  <c r="J179" i="13"/>
  <c r="H179" i="13"/>
  <c r="G179" i="13"/>
  <c r="E179" i="13"/>
  <c r="D179" i="13"/>
  <c r="O178" i="13"/>
  <c r="L178" i="13"/>
  <c r="I178" i="13"/>
  <c r="F178" i="13"/>
  <c r="O177" i="13"/>
  <c r="L177" i="13"/>
  <c r="I177" i="13"/>
  <c r="F177" i="13"/>
  <c r="O176" i="13"/>
  <c r="L176" i="13"/>
  <c r="I176" i="13"/>
  <c r="F176" i="13"/>
  <c r="N175" i="13"/>
  <c r="M175" i="13"/>
  <c r="K175" i="13"/>
  <c r="J175" i="13"/>
  <c r="J174" i="13" s="1"/>
  <c r="J173" i="13" s="1"/>
  <c r="H175" i="13"/>
  <c r="H174" i="13" s="1"/>
  <c r="H173" i="13" s="1"/>
  <c r="G175" i="13"/>
  <c r="G174" i="13" s="1"/>
  <c r="G173" i="13" s="1"/>
  <c r="E175" i="13"/>
  <c r="D175" i="13"/>
  <c r="N174" i="13"/>
  <c r="N173" i="13" s="1"/>
  <c r="D174" i="13"/>
  <c r="O172" i="13"/>
  <c r="L172" i="13"/>
  <c r="I172" i="13"/>
  <c r="F172" i="13"/>
  <c r="O171" i="13"/>
  <c r="L171" i="13"/>
  <c r="I171" i="13"/>
  <c r="C171" i="13" s="1"/>
  <c r="F171" i="13"/>
  <c r="O170" i="13"/>
  <c r="L170" i="13"/>
  <c r="I170" i="13"/>
  <c r="F170" i="13"/>
  <c r="O169" i="13"/>
  <c r="L169" i="13"/>
  <c r="I169" i="13"/>
  <c r="C169" i="13" s="1"/>
  <c r="F169" i="13"/>
  <c r="O168" i="13"/>
  <c r="L168" i="13"/>
  <c r="I168" i="13"/>
  <c r="F168" i="13"/>
  <c r="O167" i="13"/>
  <c r="L167" i="13"/>
  <c r="I167" i="13"/>
  <c r="F167" i="13"/>
  <c r="F166" i="13" s="1"/>
  <c r="N166" i="13"/>
  <c r="N165" i="13" s="1"/>
  <c r="M166" i="13"/>
  <c r="K166" i="13"/>
  <c r="K165" i="13" s="1"/>
  <c r="J166" i="13"/>
  <c r="J165" i="13" s="1"/>
  <c r="H166" i="13"/>
  <c r="H165" i="13" s="1"/>
  <c r="G166" i="13"/>
  <c r="G165" i="13" s="1"/>
  <c r="E166" i="13"/>
  <c r="E165" i="13" s="1"/>
  <c r="D166" i="13"/>
  <c r="D165" i="13" s="1"/>
  <c r="M165" i="13"/>
  <c r="O164" i="13"/>
  <c r="L164" i="13"/>
  <c r="I164" i="13"/>
  <c r="F164" i="13"/>
  <c r="O163" i="13"/>
  <c r="L163" i="13"/>
  <c r="I163" i="13"/>
  <c r="F163" i="13"/>
  <c r="O162" i="13"/>
  <c r="L162" i="13"/>
  <c r="I162" i="13"/>
  <c r="F162" i="13"/>
  <c r="O161" i="13"/>
  <c r="O160" i="13" s="1"/>
  <c r="L161" i="13"/>
  <c r="I161" i="13"/>
  <c r="I160" i="13" s="1"/>
  <c r="F161" i="13"/>
  <c r="N160" i="13"/>
  <c r="M160" i="13"/>
  <c r="K160" i="13"/>
  <c r="J160" i="13"/>
  <c r="H160" i="13"/>
  <c r="G160" i="13"/>
  <c r="F160" i="13"/>
  <c r="E160" i="13"/>
  <c r="D160" i="13"/>
  <c r="O159" i="13"/>
  <c r="L159" i="13"/>
  <c r="I159" i="13"/>
  <c r="F159" i="13"/>
  <c r="O158" i="13"/>
  <c r="L158" i="13"/>
  <c r="I158" i="13"/>
  <c r="F158" i="13"/>
  <c r="O157" i="13"/>
  <c r="L157" i="13"/>
  <c r="I157" i="13"/>
  <c r="F157" i="13"/>
  <c r="O156" i="13"/>
  <c r="L156" i="13"/>
  <c r="I156" i="13"/>
  <c r="F156" i="13"/>
  <c r="O155" i="13"/>
  <c r="L155" i="13"/>
  <c r="I155" i="13"/>
  <c r="F155" i="13"/>
  <c r="O154" i="13"/>
  <c r="L154" i="13"/>
  <c r="I154" i="13"/>
  <c r="F154" i="13"/>
  <c r="O153" i="13"/>
  <c r="L153" i="13"/>
  <c r="I153" i="13"/>
  <c r="F153" i="13"/>
  <c r="O152" i="13"/>
  <c r="L152" i="13"/>
  <c r="I152" i="13"/>
  <c r="F152" i="13"/>
  <c r="N151" i="13"/>
  <c r="M151" i="13"/>
  <c r="K151" i="13"/>
  <c r="J151" i="13"/>
  <c r="H151" i="13"/>
  <c r="G151" i="13"/>
  <c r="E151" i="13"/>
  <c r="D151" i="13"/>
  <c r="O150" i="13"/>
  <c r="L150" i="13"/>
  <c r="I150" i="13"/>
  <c r="F150" i="13"/>
  <c r="O149" i="13"/>
  <c r="L149" i="13"/>
  <c r="I149" i="13"/>
  <c r="F149" i="13"/>
  <c r="C149" i="13" s="1"/>
  <c r="O148" i="13"/>
  <c r="L148" i="13"/>
  <c r="I148" i="13"/>
  <c r="F148" i="13"/>
  <c r="O147" i="13"/>
  <c r="L147" i="13"/>
  <c r="I147" i="13"/>
  <c r="F147" i="13"/>
  <c r="O146" i="13"/>
  <c r="L146" i="13"/>
  <c r="I146" i="13"/>
  <c r="F146" i="13"/>
  <c r="O145" i="13"/>
  <c r="L145" i="13"/>
  <c r="I145" i="13"/>
  <c r="F145" i="13"/>
  <c r="F144" i="13" s="1"/>
  <c r="N144" i="13"/>
  <c r="M144" i="13"/>
  <c r="K144" i="13"/>
  <c r="J144" i="13"/>
  <c r="H144" i="13"/>
  <c r="G144" i="13"/>
  <c r="E144" i="13"/>
  <c r="D144" i="13"/>
  <c r="O143" i="13"/>
  <c r="L143" i="13"/>
  <c r="I143" i="13"/>
  <c r="F143" i="13"/>
  <c r="O142" i="13"/>
  <c r="L142" i="13"/>
  <c r="L141" i="13" s="1"/>
  <c r="I142" i="13"/>
  <c r="I141" i="13" s="1"/>
  <c r="F142" i="13"/>
  <c r="N141" i="13"/>
  <c r="M141" i="13"/>
  <c r="K141" i="13"/>
  <c r="J141" i="13"/>
  <c r="H141" i="13"/>
  <c r="G141" i="13"/>
  <c r="E141" i="13"/>
  <c r="D141" i="13"/>
  <c r="O140" i="13"/>
  <c r="L140" i="13"/>
  <c r="I140" i="13"/>
  <c r="F140" i="13"/>
  <c r="O139" i="13"/>
  <c r="L139" i="13"/>
  <c r="I139" i="13"/>
  <c r="F139" i="13"/>
  <c r="O138" i="13"/>
  <c r="L138" i="13"/>
  <c r="I138" i="13"/>
  <c r="F138" i="13"/>
  <c r="O137" i="13"/>
  <c r="L137" i="13"/>
  <c r="L136" i="13" s="1"/>
  <c r="I137" i="13"/>
  <c r="F137" i="13"/>
  <c r="O136" i="13"/>
  <c r="N136" i="13"/>
  <c r="M136" i="13"/>
  <c r="K136" i="13"/>
  <c r="J136" i="13"/>
  <c r="H136" i="13"/>
  <c r="G136" i="13"/>
  <c r="F136" i="13"/>
  <c r="E136" i="13"/>
  <c r="D136" i="13"/>
  <c r="O135" i="13"/>
  <c r="L135" i="13"/>
  <c r="I135" i="13"/>
  <c r="F135" i="13"/>
  <c r="C135" i="13" s="1"/>
  <c r="O134" i="13"/>
  <c r="L134" i="13"/>
  <c r="I134" i="13"/>
  <c r="F134" i="13"/>
  <c r="O133" i="13"/>
  <c r="L133" i="13"/>
  <c r="I133" i="13"/>
  <c r="F133" i="13"/>
  <c r="O132" i="13"/>
  <c r="O131" i="13" s="1"/>
  <c r="L132" i="13"/>
  <c r="L131" i="13" s="1"/>
  <c r="I132" i="13"/>
  <c r="F132" i="13"/>
  <c r="N131" i="13"/>
  <c r="M131" i="13"/>
  <c r="M130" i="13" s="1"/>
  <c r="K131" i="13"/>
  <c r="J131" i="13"/>
  <c r="I131" i="13"/>
  <c r="H131" i="13"/>
  <c r="G131" i="13"/>
  <c r="E131" i="13"/>
  <c r="D131" i="13"/>
  <c r="D130" i="13" s="1"/>
  <c r="O129" i="13"/>
  <c r="O128" i="13" s="1"/>
  <c r="L129" i="13"/>
  <c r="L128" i="13" s="1"/>
  <c r="I129" i="13"/>
  <c r="I128" i="13" s="1"/>
  <c r="F129" i="13"/>
  <c r="N128" i="13"/>
  <c r="M128" i="13"/>
  <c r="K128" i="13"/>
  <c r="J128" i="13"/>
  <c r="H128" i="13"/>
  <c r="G128" i="13"/>
  <c r="F128" i="13"/>
  <c r="E128" i="13"/>
  <c r="D128" i="13"/>
  <c r="O127" i="13"/>
  <c r="L127" i="13"/>
  <c r="I127" i="13"/>
  <c r="F127" i="13"/>
  <c r="O126" i="13"/>
  <c r="L126" i="13"/>
  <c r="I126" i="13"/>
  <c r="F126" i="13"/>
  <c r="O125" i="13"/>
  <c r="L125" i="13"/>
  <c r="I125" i="13"/>
  <c r="F125" i="13"/>
  <c r="O124" i="13"/>
  <c r="L124" i="13"/>
  <c r="I124" i="13"/>
  <c r="F124" i="13"/>
  <c r="O123" i="13"/>
  <c r="O122" i="13" s="1"/>
  <c r="L123" i="13"/>
  <c r="I123" i="13"/>
  <c r="I122" i="13" s="1"/>
  <c r="F123" i="13"/>
  <c r="N122" i="13"/>
  <c r="M122" i="13"/>
  <c r="K122" i="13"/>
  <c r="J122" i="13"/>
  <c r="H122" i="13"/>
  <c r="G122" i="13"/>
  <c r="E122" i="13"/>
  <c r="D122" i="13"/>
  <c r="O121" i="13"/>
  <c r="L121" i="13"/>
  <c r="I121" i="13"/>
  <c r="F121" i="13"/>
  <c r="O120" i="13"/>
  <c r="L120" i="13"/>
  <c r="I120" i="13"/>
  <c r="F120" i="13"/>
  <c r="O119" i="13"/>
  <c r="L119" i="13"/>
  <c r="I119" i="13"/>
  <c r="F119" i="13"/>
  <c r="O118" i="13"/>
  <c r="L118" i="13"/>
  <c r="I118" i="13"/>
  <c r="F118" i="13"/>
  <c r="O117" i="13"/>
  <c r="L117" i="13"/>
  <c r="I117" i="13"/>
  <c r="F117" i="13"/>
  <c r="N116" i="13"/>
  <c r="M116" i="13"/>
  <c r="K116" i="13"/>
  <c r="J116" i="13"/>
  <c r="H116" i="13"/>
  <c r="G116" i="13"/>
  <c r="E116" i="13"/>
  <c r="D116" i="13"/>
  <c r="O115" i="13"/>
  <c r="L115" i="13"/>
  <c r="I115" i="13"/>
  <c r="F115" i="13"/>
  <c r="O114" i="13"/>
  <c r="L114" i="13"/>
  <c r="I114" i="13"/>
  <c r="F114" i="13"/>
  <c r="O113" i="13"/>
  <c r="L113" i="13"/>
  <c r="I113" i="13"/>
  <c r="I112" i="13" s="1"/>
  <c r="F113" i="13"/>
  <c r="N112" i="13"/>
  <c r="M112" i="13"/>
  <c r="K112" i="13"/>
  <c r="J112" i="13"/>
  <c r="H112" i="13"/>
  <c r="G112" i="13"/>
  <c r="E112" i="13"/>
  <c r="D112" i="13"/>
  <c r="O111" i="13"/>
  <c r="L111" i="13"/>
  <c r="I111" i="13"/>
  <c r="F111" i="13"/>
  <c r="O110" i="13"/>
  <c r="L110" i="13"/>
  <c r="I110" i="13"/>
  <c r="F110" i="13"/>
  <c r="O109" i="13"/>
  <c r="L109" i="13"/>
  <c r="I109" i="13"/>
  <c r="F109" i="13"/>
  <c r="O108" i="13"/>
  <c r="L108" i="13"/>
  <c r="I108" i="13"/>
  <c r="F108" i="13"/>
  <c r="O107" i="13"/>
  <c r="L107" i="13"/>
  <c r="I107" i="13"/>
  <c r="F107" i="13"/>
  <c r="O106" i="13"/>
  <c r="L106" i="13"/>
  <c r="I106" i="13"/>
  <c r="F106" i="13"/>
  <c r="O105" i="13"/>
  <c r="L105" i="13"/>
  <c r="I105" i="13"/>
  <c r="F105" i="13"/>
  <c r="O104" i="13"/>
  <c r="L104" i="13"/>
  <c r="I104" i="13"/>
  <c r="F104" i="13"/>
  <c r="O103" i="13"/>
  <c r="N103" i="13"/>
  <c r="M103" i="13"/>
  <c r="K103" i="13"/>
  <c r="J103" i="13"/>
  <c r="H103" i="13"/>
  <c r="G103" i="13"/>
  <c r="E103" i="13"/>
  <c r="D103" i="13"/>
  <c r="O102" i="13"/>
  <c r="L102" i="13"/>
  <c r="I102" i="13"/>
  <c r="F102" i="13"/>
  <c r="O101" i="13"/>
  <c r="L101" i="13"/>
  <c r="I101" i="13"/>
  <c r="F101" i="13"/>
  <c r="O100" i="13"/>
  <c r="L100" i="13"/>
  <c r="I100" i="13"/>
  <c r="F100" i="13"/>
  <c r="O99" i="13"/>
  <c r="L99" i="13"/>
  <c r="I99" i="13"/>
  <c r="F99" i="13"/>
  <c r="O98" i="13"/>
  <c r="L98" i="13"/>
  <c r="I98" i="13"/>
  <c r="F98" i="13"/>
  <c r="O97" i="13"/>
  <c r="L97" i="13"/>
  <c r="I97" i="13"/>
  <c r="F97" i="13"/>
  <c r="O96" i="13"/>
  <c r="L96" i="13"/>
  <c r="L95" i="13" s="1"/>
  <c r="I96" i="13"/>
  <c r="F96" i="13"/>
  <c r="N95" i="13"/>
  <c r="M95" i="13"/>
  <c r="K95" i="13"/>
  <c r="J95" i="13"/>
  <c r="H95" i="13"/>
  <c r="G95" i="13"/>
  <c r="E95" i="13"/>
  <c r="D95" i="13"/>
  <c r="O94" i="13"/>
  <c r="L94" i="13"/>
  <c r="I94" i="13"/>
  <c r="F94" i="13"/>
  <c r="O93" i="13"/>
  <c r="L93" i="13"/>
  <c r="I93" i="13"/>
  <c r="F93" i="13"/>
  <c r="C93" i="13" s="1"/>
  <c r="O92" i="13"/>
  <c r="L92" i="13"/>
  <c r="I92" i="13"/>
  <c r="F92" i="13"/>
  <c r="C92" i="13" s="1"/>
  <c r="O91" i="13"/>
  <c r="L91" i="13"/>
  <c r="I91" i="13"/>
  <c r="F91" i="13"/>
  <c r="C91" i="13" s="1"/>
  <c r="O90" i="13"/>
  <c r="O89" i="13" s="1"/>
  <c r="L90" i="13"/>
  <c r="I90" i="13"/>
  <c r="I89" i="13" s="1"/>
  <c r="F90" i="13"/>
  <c r="N89" i="13"/>
  <c r="M89" i="13"/>
  <c r="K89" i="13"/>
  <c r="J89" i="13"/>
  <c r="H89" i="13"/>
  <c r="G89" i="13"/>
  <c r="E89" i="13"/>
  <c r="D89" i="13"/>
  <c r="O88" i="13"/>
  <c r="L88" i="13"/>
  <c r="I88" i="13"/>
  <c r="F88" i="13"/>
  <c r="O87" i="13"/>
  <c r="L87" i="13"/>
  <c r="I87" i="13"/>
  <c r="F87" i="13"/>
  <c r="C87" i="13" s="1"/>
  <c r="O86" i="13"/>
  <c r="L86" i="13"/>
  <c r="I86" i="13"/>
  <c r="F86" i="13"/>
  <c r="O85" i="13"/>
  <c r="O84" i="13" s="1"/>
  <c r="L85" i="13"/>
  <c r="I85" i="13"/>
  <c r="I84" i="13" s="1"/>
  <c r="F85" i="13"/>
  <c r="N84" i="13"/>
  <c r="N83" i="13" s="1"/>
  <c r="M84" i="13"/>
  <c r="K84" i="13"/>
  <c r="K83" i="13" s="1"/>
  <c r="J84" i="13"/>
  <c r="H84" i="13"/>
  <c r="G84" i="13"/>
  <c r="F84" i="13"/>
  <c r="E84" i="13"/>
  <c r="D84" i="13"/>
  <c r="O82" i="13"/>
  <c r="L82" i="13"/>
  <c r="I82" i="13"/>
  <c r="F82" i="13"/>
  <c r="O81" i="13"/>
  <c r="O80" i="13" s="1"/>
  <c r="L81" i="13"/>
  <c r="I81" i="13"/>
  <c r="I80" i="13" s="1"/>
  <c r="F81" i="13"/>
  <c r="N80" i="13"/>
  <c r="M80" i="13"/>
  <c r="L80" i="13"/>
  <c r="K80" i="13"/>
  <c r="J80" i="13"/>
  <c r="H80" i="13"/>
  <c r="G80" i="13"/>
  <c r="F80" i="13"/>
  <c r="E80" i="13"/>
  <c r="D80" i="13"/>
  <c r="O79" i="13"/>
  <c r="L79" i="13"/>
  <c r="I79" i="13"/>
  <c r="F79" i="13"/>
  <c r="C79" i="13"/>
  <c r="O78" i="13"/>
  <c r="L78" i="13"/>
  <c r="L77" i="13" s="1"/>
  <c r="L76" i="13" s="1"/>
  <c r="I78" i="13"/>
  <c r="F78" i="13"/>
  <c r="N77" i="13"/>
  <c r="M77" i="13"/>
  <c r="M76" i="13" s="1"/>
  <c r="K77" i="13"/>
  <c r="J77" i="13"/>
  <c r="I77" i="13"/>
  <c r="H77" i="13"/>
  <c r="H76" i="13" s="1"/>
  <c r="G77" i="13"/>
  <c r="G76" i="13" s="1"/>
  <c r="E77" i="13"/>
  <c r="E76" i="13" s="1"/>
  <c r="D77" i="13"/>
  <c r="D76" i="13" s="1"/>
  <c r="N76" i="13"/>
  <c r="K76" i="13"/>
  <c r="J76" i="13"/>
  <c r="O74" i="13"/>
  <c r="L74" i="13"/>
  <c r="I74" i="13"/>
  <c r="F74" i="13"/>
  <c r="O73" i="13"/>
  <c r="L73" i="13"/>
  <c r="I73" i="13"/>
  <c r="F73" i="13"/>
  <c r="O72" i="13"/>
  <c r="L72" i="13"/>
  <c r="I72" i="13"/>
  <c r="F72" i="13"/>
  <c r="O71" i="13"/>
  <c r="L71" i="13"/>
  <c r="I71" i="13"/>
  <c r="F71" i="13"/>
  <c r="O70" i="13"/>
  <c r="O69" i="13" s="1"/>
  <c r="L70" i="13"/>
  <c r="I70" i="13"/>
  <c r="F70" i="13"/>
  <c r="N69" i="13"/>
  <c r="N67" i="13" s="1"/>
  <c r="M69" i="13"/>
  <c r="M67" i="13" s="1"/>
  <c r="K69" i="13"/>
  <c r="J69" i="13"/>
  <c r="I69" i="13"/>
  <c r="H69" i="13"/>
  <c r="H67" i="13" s="1"/>
  <c r="G69" i="13"/>
  <c r="E69" i="13"/>
  <c r="E67" i="13" s="1"/>
  <c r="D69" i="13"/>
  <c r="D67" i="13" s="1"/>
  <c r="O68" i="13"/>
  <c r="L68" i="13"/>
  <c r="I68" i="13"/>
  <c r="F68" i="13"/>
  <c r="K67" i="13"/>
  <c r="J67" i="13"/>
  <c r="G67" i="13"/>
  <c r="O66" i="13"/>
  <c r="L66" i="13"/>
  <c r="I66" i="13"/>
  <c r="F66" i="13"/>
  <c r="O65" i="13"/>
  <c r="L65" i="13"/>
  <c r="I65" i="13"/>
  <c r="F65" i="13"/>
  <c r="O64" i="13"/>
  <c r="L64" i="13"/>
  <c r="I64" i="13"/>
  <c r="F64" i="13"/>
  <c r="O63" i="13"/>
  <c r="L63" i="13"/>
  <c r="I63" i="13"/>
  <c r="F63" i="13"/>
  <c r="O62" i="13"/>
  <c r="L62" i="13"/>
  <c r="I62" i="13"/>
  <c r="F62" i="13"/>
  <c r="O61" i="13"/>
  <c r="L61" i="13"/>
  <c r="I61" i="13"/>
  <c r="F61" i="13"/>
  <c r="O60" i="13"/>
  <c r="L60" i="13"/>
  <c r="I60" i="13"/>
  <c r="F60" i="13"/>
  <c r="O59" i="13"/>
  <c r="O58" i="13" s="1"/>
  <c r="L59" i="13"/>
  <c r="I59" i="13"/>
  <c r="F59" i="13"/>
  <c r="N58" i="13"/>
  <c r="M58" i="13"/>
  <c r="K58" i="13"/>
  <c r="J58" i="13"/>
  <c r="H58" i="13"/>
  <c r="G58" i="13"/>
  <c r="E58" i="13"/>
  <c r="D58" i="13"/>
  <c r="O57" i="13"/>
  <c r="L57" i="13"/>
  <c r="I57" i="13"/>
  <c r="F57" i="13"/>
  <c r="O56" i="13"/>
  <c r="L56" i="13"/>
  <c r="L55" i="13" s="1"/>
  <c r="I56" i="13"/>
  <c r="I55" i="13" s="1"/>
  <c r="F56" i="13"/>
  <c r="O55" i="13"/>
  <c r="O54" i="13" s="1"/>
  <c r="N55" i="13"/>
  <c r="N54" i="13" s="1"/>
  <c r="M55" i="13"/>
  <c r="K55" i="13"/>
  <c r="K54" i="13" s="1"/>
  <c r="K53" i="13" s="1"/>
  <c r="J55" i="13"/>
  <c r="J54" i="13" s="1"/>
  <c r="J53" i="13" s="1"/>
  <c r="H55" i="13"/>
  <c r="G55" i="13"/>
  <c r="F55" i="13"/>
  <c r="E55" i="13"/>
  <c r="E54" i="13" s="1"/>
  <c r="E53" i="13" s="1"/>
  <c r="D55" i="13"/>
  <c r="D54" i="13" s="1"/>
  <c r="D53" i="13" s="1"/>
  <c r="O47" i="13"/>
  <c r="C47" i="13" s="1"/>
  <c r="O46" i="13"/>
  <c r="N45" i="13"/>
  <c r="M45" i="13"/>
  <c r="L44" i="13"/>
  <c r="L43" i="13" s="1"/>
  <c r="I44" i="13"/>
  <c r="I43" i="13" s="1"/>
  <c r="F44" i="13"/>
  <c r="K43" i="13"/>
  <c r="J43" i="13"/>
  <c r="H43" i="13"/>
  <c r="G43" i="13"/>
  <c r="E43" i="13"/>
  <c r="D43" i="13"/>
  <c r="F42" i="13"/>
  <c r="E41" i="13"/>
  <c r="D41" i="13"/>
  <c r="L40" i="13"/>
  <c r="C40" i="13"/>
  <c r="L39" i="13"/>
  <c r="C39" i="13" s="1"/>
  <c r="L38" i="13"/>
  <c r="C38" i="13" s="1"/>
  <c r="L37" i="13"/>
  <c r="K36" i="13"/>
  <c r="J36" i="13"/>
  <c r="L35" i="13"/>
  <c r="C35" i="13"/>
  <c r="L34" i="13"/>
  <c r="K33" i="13"/>
  <c r="J33" i="13"/>
  <c r="L32" i="13"/>
  <c r="C32" i="13" s="1"/>
  <c r="K31" i="13"/>
  <c r="K26" i="13" s="1"/>
  <c r="J31" i="13"/>
  <c r="L30" i="13"/>
  <c r="C30" i="13" s="1"/>
  <c r="L29" i="13"/>
  <c r="C29" i="13"/>
  <c r="L28" i="13"/>
  <c r="L27" i="13" s="1"/>
  <c r="C27" i="13" s="1"/>
  <c r="K27" i="13"/>
  <c r="J27" i="13"/>
  <c r="F25" i="13"/>
  <c r="C25" i="13" s="1"/>
  <c r="I24" i="13"/>
  <c r="O23" i="13"/>
  <c r="L23" i="13"/>
  <c r="I23" i="13"/>
  <c r="F23" i="13"/>
  <c r="O22" i="13"/>
  <c r="L22" i="13"/>
  <c r="L21" i="13" s="1"/>
  <c r="I22" i="13"/>
  <c r="F22" i="13"/>
  <c r="N21" i="13"/>
  <c r="N292" i="13" s="1"/>
  <c r="N291" i="13" s="1"/>
  <c r="M21" i="13"/>
  <c r="K21" i="13"/>
  <c r="K292" i="13" s="1"/>
  <c r="K291" i="13" s="1"/>
  <c r="J21" i="13"/>
  <c r="J292" i="13" s="1"/>
  <c r="J291" i="13" s="1"/>
  <c r="H21" i="13"/>
  <c r="H292" i="13" s="1"/>
  <c r="H291" i="13" s="1"/>
  <c r="G21" i="13"/>
  <c r="G292" i="13" s="1"/>
  <c r="G291" i="13" s="1"/>
  <c r="F21" i="13"/>
  <c r="E21" i="13"/>
  <c r="D21" i="13"/>
  <c r="D292" i="13" s="1"/>
  <c r="D291" i="13" s="1"/>
  <c r="N20" i="13"/>
  <c r="H20" i="13" l="1"/>
  <c r="C63" i="13"/>
  <c r="C65" i="13"/>
  <c r="C66" i="13"/>
  <c r="C71" i="13"/>
  <c r="C94" i="13"/>
  <c r="C97" i="13"/>
  <c r="C115" i="13"/>
  <c r="C133" i="13"/>
  <c r="C181" i="13"/>
  <c r="C182" i="13"/>
  <c r="G187" i="13"/>
  <c r="F196" i="13"/>
  <c r="C202" i="13"/>
  <c r="C229" i="13"/>
  <c r="C232" i="13"/>
  <c r="D230" i="13"/>
  <c r="I233" i="13"/>
  <c r="C250" i="13"/>
  <c r="C254" i="13"/>
  <c r="C257" i="13"/>
  <c r="I260" i="13"/>
  <c r="C266" i="13"/>
  <c r="C281" i="13"/>
  <c r="C44" i="13"/>
  <c r="C59" i="13"/>
  <c r="C60" i="13"/>
  <c r="C107" i="13"/>
  <c r="C111" i="13"/>
  <c r="C113" i="13"/>
  <c r="C114" i="13"/>
  <c r="C123" i="13"/>
  <c r="C143" i="13"/>
  <c r="O151" i="13"/>
  <c r="C177" i="13"/>
  <c r="C185" i="13"/>
  <c r="D187" i="13"/>
  <c r="N187" i="13"/>
  <c r="C210" i="13"/>
  <c r="C218" i="13"/>
  <c r="C221" i="13"/>
  <c r="C242" i="13"/>
  <c r="G270" i="13"/>
  <c r="G269" i="13" s="1"/>
  <c r="C294" i="13"/>
  <c r="C23" i="13"/>
  <c r="M54" i="13"/>
  <c r="M53" i="13" s="1"/>
  <c r="L69" i="13"/>
  <c r="L84" i="13"/>
  <c r="E187" i="13"/>
  <c r="I187" i="13"/>
  <c r="L196" i="13"/>
  <c r="C214" i="13"/>
  <c r="C215" i="13"/>
  <c r="E204" i="13"/>
  <c r="C226" i="13"/>
  <c r="O264" i="13"/>
  <c r="C282" i="13"/>
  <c r="O67" i="13"/>
  <c r="O95" i="13"/>
  <c r="L116" i="13"/>
  <c r="H130" i="13"/>
  <c r="N130" i="13"/>
  <c r="C153" i="13"/>
  <c r="I151" i="13"/>
  <c r="C157" i="13"/>
  <c r="C159" i="13"/>
  <c r="O175" i="13"/>
  <c r="F188" i="13"/>
  <c r="M187" i="13"/>
  <c r="L205" i="13"/>
  <c r="N231" i="13"/>
  <c r="N230" i="13" s="1"/>
  <c r="O238" i="13"/>
  <c r="D270" i="13"/>
  <c r="D269" i="13" s="1"/>
  <c r="M195" i="13"/>
  <c r="K187" i="13"/>
  <c r="L276" i="13"/>
  <c r="I293" i="13"/>
  <c r="H54" i="13"/>
  <c r="H53" i="13" s="1"/>
  <c r="L58" i="13"/>
  <c r="L54" i="13" s="1"/>
  <c r="N75" i="13"/>
  <c r="C86" i="13"/>
  <c r="C100" i="13"/>
  <c r="C102" i="13"/>
  <c r="C117" i="13"/>
  <c r="C118" i="13"/>
  <c r="C119" i="13"/>
  <c r="L122" i="13"/>
  <c r="C129" i="13"/>
  <c r="C128" i="13"/>
  <c r="E130" i="13"/>
  <c r="J130" i="13"/>
  <c r="C147" i="13"/>
  <c r="C148" i="13"/>
  <c r="O144" i="13"/>
  <c r="C164" i="13"/>
  <c r="O166" i="13"/>
  <c r="O165" i="13" s="1"/>
  <c r="L166" i="13"/>
  <c r="L165" i="13" s="1"/>
  <c r="I175" i="13"/>
  <c r="L179" i="13"/>
  <c r="C197" i="13"/>
  <c r="C198" i="13"/>
  <c r="G195" i="13"/>
  <c r="C201" i="13"/>
  <c r="K204" i="13"/>
  <c r="K195" i="13" s="1"/>
  <c r="C209" i="13"/>
  <c r="C219" i="13"/>
  <c r="I216" i="13"/>
  <c r="C224" i="13"/>
  <c r="C225" i="13"/>
  <c r="C237" i="13"/>
  <c r="L246" i="13"/>
  <c r="C256" i="13"/>
  <c r="I264" i="13"/>
  <c r="I259" i="13" s="1"/>
  <c r="N53" i="13"/>
  <c r="N52" i="13" s="1"/>
  <c r="C99" i="13"/>
  <c r="C161" i="13"/>
  <c r="L184" i="13"/>
  <c r="C184" i="13" s="1"/>
  <c r="C199" i="13"/>
  <c r="G20" i="13"/>
  <c r="C22" i="13"/>
  <c r="O21" i="13"/>
  <c r="O292" i="13" s="1"/>
  <c r="O291" i="13" s="1"/>
  <c r="J26" i="13"/>
  <c r="L31" i="13"/>
  <c r="C31" i="13" s="1"/>
  <c r="C73" i="13"/>
  <c r="C74" i="13"/>
  <c r="I76" i="13"/>
  <c r="C88" i="13"/>
  <c r="D83" i="13"/>
  <c r="D75" i="13" s="1"/>
  <c r="L89" i="13"/>
  <c r="G83" i="13"/>
  <c r="C120" i="13"/>
  <c r="C132" i="13"/>
  <c r="C140" i="13"/>
  <c r="C163" i="13"/>
  <c r="C168" i="13"/>
  <c r="E174" i="13"/>
  <c r="E173" i="13" s="1"/>
  <c r="L188" i="13"/>
  <c r="L187" i="13" s="1"/>
  <c r="C193" i="13"/>
  <c r="E195" i="13"/>
  <c r="I205" i="13"/>
  <c r="I204" i="13" s="1"/>
  <c r="I195" i="13" s="1"/>
  <c r="C212" i="13"/>
  <c r="C213" i="13"/>
  <c r="N204" i="13"/>
  <c r="N195" i="13" s="1"/>
  <c r="M259" i="13"/>
  <c r="C280" i="13"/>
  <c r="H269" i="13"/>
  <c r="C288" i="13"/>
  <c r="L293" i="13"/>
  <c r="I21" i="13"/>
  <c r="I292" i="13" s="1"/>
  <c r="I291" i="13" s="1"/>
  <c r="C55" i="13"/>
  <c r="G54" i="13"/>
  <c r="G53" i="13" s="1"/>
  <c r="F58" i="13"/>
  <c r="F54" i="13" s="1"/>
  <c r="C62" i="13"/>
  <c r="O77" i="13"/>
  <c r="O76" i="13" s="1"/>
  <c r="C80" i="13"/>
  <c r="C81" i="13"/>
  <c r="C82" i="13"/>
  <c r="M83" i="13"/>
  <c r="M75" i="13" s="1"/>
  <c r="I103" i="13"/>
  <c r="C109" i="13"/>
  <c r="C110" i="13"/>
  <c r="L112" i="13"/>
  <c r="C127" i="13"/>
  <c r="C134" i="13"/>
  <c r="C137" i="13"/>
  <c r="O141" i="13"/>
  <c r="L144" i="13"/>
  <c r="C158" i="13"/>
  <c r="L160" i="13"/>
  <c r="C160" i="13" s="1"/>
  <c r="C172" i="13"/>
  <c r="K174" i="13"/>
  <c r="K173" i="13" s="1"/>
  <c r="O179" i="13"/>
  <c r="O174" i="13" s="1"/>
  <c r="O173" i="13" s="1"/>
  <c r="O187" i="13"/>
  <c r="H204" i="13"/>
  <c r="C207" i="13"/>
  <c r="J204" i="13"/>
  <c r="J195" i="13" s="1"/>
  <c r="J194" i="13" s="1"/>
  <c r="H231" i="13"/>
  <c r="H230" i="13" s="1"/>
  <c r="G231" i="13"/>
  <c r="G230" i="13" s="1"/>
  <c r="I238" i="13"/>
  <c r="C244" i="13"/>
  <c r="C245" i="13"/>
  <c r="O246" i="13"/>
  <c r="O252" i="13"/>
  <c r="L260" i="13"/>
  <c r="C268" i="13"/>
  <c r="C295" i="13"/>
  <c r="C297" i="13"/>
  <c r="J20" i="13"/>
  <c r="M20" i="13"/>
  <c r="M292" i="13"/>
  <c r="M291" i="13" s="1"/>
  <c r="L292" i="13"/>
  <c r="L291" i="13" s="1"/>
  <c r="C37" i="13"/>
  <c r="L36" i="13"/>
  <c r="C36" i="13" s="1"/>
  <c r="C42" i="13"/>
  <c r="F41" i="13"/>
  <c r="C41" i="13" s="1"/>
  <c r="O130" i="13"/>
  <c r="K20" i="13"/>
  <c r="E292" i="13"/>
  <c r="E291" i="13" s="1"/>
  <c r="C28" i="13"/>
  <c r="C61" i="13"/>
  <c r="I67" i="13"/>
  <c r="C70" i="13"/>
  <c r="F69" i="13"/>
  <c r="C78" i="13"/>
  <c r="F77" i="13"/>
  <c r="E83" i="13"/>
  <c r="E75" i="13" s="1"/>
  <c r="E52" i="13" s="1"/>
  <c r="J83" i="13"/>
  <c r="J75" i="13" s="1"/>
  <c r="C85" i="13"/>
  <c r="H83" i="13"/>
  <c r="H75" i="13" s="1"/>
  <c r="H52" i="13" s="1"/>
  <c r="C104" i="13"/>
  <c r="C105" i="13"/>
  <c r="C106" i="13"/>
  <c r="F103" i="13"/>
  <c r="F112" i="13"/>
  <c r="O116" i="13"/>
  <c r="C124" i="13"/>
  <c r="C125" i="13"/>
  <c r="C139" i="13"/>
  <c r="O53" i="13"/>
  <c r="L67" i="13"/>
  <c r="L53" i="13" s="1"/>
  <c r="C84" i="13"/>
  <c r="C96" i="13"/>
  <c r="C98" i="13"/>
  <c r="F95" i="13"/>
  <c r="C108" i="13"/>
  <c r="C183" i="13"/>
  <c r="I179" i="13"/>
  <c r="I174" i="13" s="1"/>
  <c r="I173" i="13" s="1"/>
  <c r="F292" i="13"/>
  <c r="O20" i="13"/>
  <c r="C34" i="13"/>
  <c r="L33" i="13"/>
  <c r="C33" i="13" s="1"/>
  <c r="F43" i="13"/>
  <c r="C43" i="13" s="1"/>
  <c r="C46" i="13"/>
  <c r="O45" i="13"/>
  <c r="C57" i="13"/>
  <c r="C64" i="13"/>
  <c r="C72" i="13"/>
  <c r="C90" i="13"/>
  <c r="F89" i="13"/>
  <c r="C89" i="13" s="1"/>
  <c r="I95" i="13"/>
  <c r="C101" i="13"/>
  <c r="L103" i="13"/>
  <c r="L83" i="13" s="1"/>
  <c r="O112" i="13"/>
  <c r="O83" i="13" s="1"/>
  <c r="O75" i="13" s="1"/>
  <c r="F116" i="13"/>
  <c r="I116" i="13"/>
  <c r="C121" i="13"/>
  <c r="C142" i="13"/>
  <c r="F141" i="13"/>
  <c r="C141" i="13" s="1"/>
  <c r="C145" i="13"/>
  <c r="C152" i="13"/>
  <c r="F151" i="13"/>
  <c r="C176" i="13"/>
  <c r="F175" i="13"/>
  <c r="C56" i="13"/>
  <c r="I58" i="13"/>
  <c r="I54" i="13" s="1"/>
  <c r="C68" i="13"/>
  <c r="G130" i="13"/>
  <c r="K130" i="13"/>
  <c r="K75" i="13" s="1"/>
  <c r="K52" i="13" s="1"/>
  <c r="C150" i="13"/>
  <c r="C154" i="13"/>
  <c r="C155" i="13"/>
  <c r="C178" i="13"/>
  <c r="C188" i="13"/>
  <c r="C301" i="13"/>
  <c r="F122" i="13"/>
  <c r="C122" i="13" s="1"/>
  <c r="C138" i="13"/>
  <c r="C146" i="13"/>
  <c r="L151" i="13"/>
  <c r="L130" i="13" s="1"/>
  <c r="C156" i="13"/>
  <c r="C162" i="13"/>
  <c r="F165" i="13"/>
  <c r="I166" i="13"/>
  <c r="I165" i="13" s="1"/>
  <c r="C167" i="13"/>
  <c r="C170" i="13"/>
  <c r="D173" i="13"/>
  <c r="D289" i="13" s="1"/>
  <c r="M174" i="13"/>
  <c r="M173" i="13" s="1"/>
  <c r="L175" i="13"/>
  <c r="L174" i="13" s="1"/>
  <c r="C180" i="13"/>
  <c r="F179" i="13"/>
  <c r="C186" i="13"/>
  <c r="C190" i="13"/>
  <c r="D194" i="13"/>
  <c r="C126" i="13"/>
  <c r="F131" i="13"/>
  <c r="I136" i="13"/>
  <c r="I144" i="13"/>
  <c r="C144" i="13" s="1"/>
  <c r="C192" i="13"/>
  <c r="F191" i="13"/>
  <c r="C191" i="13" s="1"/>
  <c r="H195" i="13"/>
  <c r="H194" i="13" s="1"/>
  <c r="C200" i="13"/>
  <c r="C211" i="13"/>
  <c r="O216" i="13"/>
  <c r="L216" i="13"/>
  <c r="L204" i="13" s="1"/>
  <c r="L195" i="13" s="1"/>
  <c r="C223" i="13"/>
  <c r="C235" i="13"/>
  <c r="C236" i="13"/>
  <c r="L238" i="13"/>
  <c r="L231" i="13" s="1"/>
  <c r="C243" i="13"/>
  <c r="M230" i="13"/>
  <c r="E259" i="13"/>
  <c r="E230" i="13" s="1"/>
  <c r="C261" i="13"/>
  <c r="F260" i="13"/>
  <c r="O259" i="13"/>
  <c r="C271" i="13"/>
  <c r="I270" i="13"/>
  <c r="I269" i="13" s="1"/>
  <c r="M270" i="13"/>
  <c r="M269" i="13" s="1"/>
  <c r="C277" i="13"/>
  <c r="F276" i="13"/>
  <c r="C276" i="13" s="1"/>
  <c r="C285" i="13"/>
  <c r="F284" i="13"/>
  <c r="C286" i="13"/>
  <c r="O205" i="13"/>
  <c r="C217" i="13"/>
  <c r="F216" i="13"/>
  <c r="O231" i="13"/>
  <c r="C247" i="13"/>
  <c r="C249" i="13"/>
  <c r="F246" i="13"/>
  <c r="L252" i="13"/>
  <c r="L251" i="13" s="1"/>
  <c r="C255" i="13"/>
  <c r="C263" i="13"/>
  <c r="L264" i="13"/>
  <c r="L259" i="13" s="1"/>
  <c r="C267" i="13"/>
  <c r="C279" i="13"/>
  <c r="O196" i="13"/>
  <c r="C196" i="13" s="1"/>
  <c r="F205" i="13"/>
  <c r="C208" i="13"/>
  <c r="C220" i="13"/>
  <c r="C227" i="13"/>
  <c r="C228" i="13"/>
  <c r="C233" i="13"/>
  <c r="K231" i="13"/>
  <c r="K230" i="13" s="1"/>
  <c r="C240" i="13"/>
  <c r="C241" i="13"/>
  <c r="F238" i="13"/>
  <c r="C248" i="13"/>
  <c r="I246" i="13"/>
  <c r="I231" i="13" s="1"/>
  <c r="I230" i="13" s="1"/>
  <c r="I194" i="13" s="1"/>
  <c r="C253" i="13"/>
  <c r="F252" i="13"/>
  <c r="O251" i="13"/>
  <c r="C265" i="13"/>
  <c r="F264" i="13"/>
  <c r="L270" i="13"/>
  <c r="L269" i="13" s="1"/>
  <c r="C273" i="13"/>
  <c r="F272" i="13"/>
  <c r="C296" i="13"/>
  <c r="C239" i="13"/>
  <c r="C287" i="13"/>
  <c r="F293" i="13"/>
  <c r="H51" i="13" l="1"/>
  <c r="G75" i="13"/>
  <c r="G52" i="13" s="1"/>
  <c r="M194" i="13"/>
  <c r="I83" i="13"/>
  <c r="D52" i="13"/>
  <c r="D51" i="13" s="1"/>
  <c r="N194" i="13"/>
  <c r="N289" i="13"/>
  <c r="G289" i="13"/>
  <c r="M289" i="13"/>
  <c r="I130" i="13"/>
  <c r="L173" i="13"/>
  <c r="C21" i="13"/>
  <c r="I20" i="13"/>
  <c r="C293" i="13"/>
  <c r="C246" i="13"/>
  <c r="M52" i="13"/>
  <c r="L75" i="13"/>
  <c r="C58" i="13"/>
  <c r="K194" i="13"/>
  <c r="K51" i="13" s="1"/>
  <c r="C216" i="13"/>
  <c r="C179" i="13"/>
  <c r="N51" i="13"/>
  <c r="G194" i="13"/>
  <c r="I53" i="13"/>
  <c r="C54" i="13"/>
  <c r="I75" i="13"/>
  <c r="I289" i="13" s="1"/>
  <c r="J52" i="13"/>
  <c r="J51" i="13" s="1"/>
  <c r="J289" i="13"/>
  <c r="E194" i="13"/>
  <c r="E289" i="13"/>
  <c r="E51" i="13"/>
  <c r="H290" i="13"/>
  <c r="H50" i="13"/>
  <c r="C252" i="13"/>
  <c r="F251" i="13"/>
  <c r="C251" i="13" s="1"/>
  <c r="C260" i="13"/>
  <c r="F259" i="13"/>
  <c r="C259" i="13" s="1"/>
  <c r="D50" i="13"/>
  <c r="D24" i="13" s="1"/>
  <c r="D290" i="13" s="1"/>
  <c r="C264" i="13"/>
  <c r="F130" i="13"/>
  <c r="C130" i="13" s="1"/>
  <c r="C131" i="13"/>
  <c r="H289" i="13"/>
  <c r="C166" i="13"/>
  <c r="F291" i="13"/>
  <c r="C291" i="13" s="1"/>
  <c r="C151" i="13"/>
  <c r="C45" i="13"/>
  <c r="C292" i="13"/>
  <c r="C95" i="13"/>
  <c r="C136" i="13"/>
  <c r="C112" i="13"/>
  <c r="C238" i="13"/>
  <c r="F231" i="13"/>
  <c r="C284" i="13"/>
  <c r="F283" i="13"/>
  <c r="C283" i="13" s="1"/>
  <c r="F67" i="13"/>
  <c r="C69" i="13"/>
  <c r="F270" i="13"/>
  <c r="C272" i="13"/>
  <c r="C205" i="13"/>
  <c r="F204" i="13"/>
  <c r="O230" i="13"/>
  <c r="O204" i="13"/>
  <c r="O195" i="13" s="1"/>
  <c r="O194" i="13" s="1"/>
  <c r="C165" i="13"/>
  <c r="C116" i="13"/>
  <c r="F83" i="13"/>
  <c r="C83" i="13" s="1"/>
  <c r="O52" i="13"/>
  <c r="C103" i="13"/>
  <c r="C77" i="13"/>
  <c r="F76" i="13"/>
  <c r="L230" i="13"/>
  <c r="L194" i="13" s="1"/>
  <c r="F187" i="13"/>
  <c r="C187" i="13" s="1"/>
  <c r="K289" i="13"/>
  <c r="C175" i="13"/>
  <c r="F174" i="13"/>
  <c r="L26" i="13"/>
  <c r="L52" i="13"/>
  <c r="L289" i="13" l="1"/>
  <c r="M51" i="13"/>
  <c r="K50" i="13"/>
  <c r="K290" i="13"/>
  <c r="N50" i="13"/>
  <c r="N290" i="13"/>
  <c r="G51" i="13"/>
  <c r="C26" i="13"/>
  <c r="L20" i="13"/>
  <c r="C204" i="13"/>
  <c r="F195" i="13"/>
  <c r="F230" i="13"/>
  <c r="C230" i="13" s="1"/>
  <c r="C231" i="13"/>
  <c r="E50" i="13"/>
  <c r="E24" i="13" s="1"/>
  <c r="E20" i="13" s="1"/>
  <c r="L51" i="13"/>
  <c r="L50" i="13" s="1"/>
  <c r="F173" i="13"/>
  <c r="C173" i="13" s="1"/>
  <c r="C174" i="13"/>
  <c r="C67" i="13"/>
  <c r="F53" i="13"/>
  <c r="O51" i="13"/>
  <c r="I52" i="13"/>
  <c r="I51" i="13" s="1"/>
  <c r="F75" i="13"/>
  <c r="C75" i="13" s="1"/>
  <c r="C76" i="13"/>
  <c r="O289" i="13"/>
  <c r="F269" i="13"/>
  <c r="C270" i="13"/>
  <c r="D20" i="13"/>
  <c r="J50" i="13"/>
  <c r="J290" i="13"/>
  <c r="M50" i="13"/>
  <c r="M290" i="13"/>
  <c r="E290" i="13" l="1"/>
  <c r="G290" i="13"/>
  <c r="G50" i="13"/>
  <c r="C269" i="13"/>
  <c r="F289" i="13"/>
  <c r="C289" i="13" s="1"/>
  <c r="I290" i="13"/>
  <c r="I50" i="13"/>
  <c r="F24" i="13"/>
  <c r="O50" i="13"/>
  <c r="O290" i="13"/>
  <c r="C53" i="13"/>
  <c r="F52" i="13"/>
  <c r="C195" i="13"/>
  <c r="F194" i="13"/>
  <c r="C194" i="13" s="1"/>
  <c r="L290" i="13"/>
  <c r="F51" i="13" l="1"/>
  <c r="C52" i="13"/>
  <c r="C24" i="13"/>
  <c r="F20" i="13"/>
  <c r="C20" i="13" s="1"/>
  <c r="F290" i="13" l="1"/>
  <c r="C290" i="13" s="1"/>
  <c r="F50" i="13"/>
  <c r="C50" i="13" s="1"/>
  <c r="C51" i="13"/>
  <c r="O301" i="12" l="1"/>
  <c r="L301" i="12"/>
  <c r="I301" i="12"/>
  <c r="F301" i="12"/>
  <c r="O300" i="12"/>
  <c r="L300" i="12"/>
  <c r="I300" i="12"/>
  <c r="F300" i="12"/>
  <c r="O299" i="12"/>
  <c r="L299" i="12"/>
  <c r="I299" i="12"/>
  <c r="F299" i="12"/>
  <c r="C299" i="12" s="1"/>
  <c r="O298" i="12"/>
  <c r="L298" i="12"/>
  <c r="I298" i="12"/>
  <c r="F298" i="12"/>
  <c r="C298" i="12" s="1"/>
  <c r="O297" i="12"/>
  <c r="L297" i="12"/>
  <c r="I297" i="12"/>
  <c r="F297" i="12"/>
  <c r="O296" i="12"/>
  <c r="L296" i="12"/>
  <c r="I296" i="12"/>
  <c r="F296" i="12"/>
  <c r="O295" i="12"/>
  <c r="L295" i="12"/>
  <c r="I295" i="12"/>
  <c r="F295" i="12"/>
  <c r="O294" i="12"/>
  <c r="O293" i="12" s="1"/>
  <c r="L294" i="12"/>
  <c r="I294" i="12"/>
  <c r="I293" i="12" s="1"/>
  <c r="F294" i="12"/>
  <c r="N293" i="12"/>
  <c r="M293" i="12"/>
  <c r="K293" i="12"/>
  <c r="J293" i="12"/>
  <c r="H293" i="12"/>
  <c r="G293" i="12"/>
  <c r="E293" i="12"/>
  <c r="D293" i="12"/>
  <c r="O288" i="12"/>
  <c r="L288" i="12"/>
  <c r="I288" i="12"/>
  <c r="F288" i="12"/>
  <c r="O287" i="12"/>
  <c r="L287" i="12"/>
  <c r="L286" i="12" s="1"/>
  <c r="I287" i="12"/>
  <c r="F287" i="12"/>
  <c r="F286" i="12" s="1"/>
  <c r="O286" i="12"/>
  <c r="N286" i="12"/>
  <c r="M286" i="12"/>
  <c r="K286" i="12"/>
  <c r="J286" i="12"/>
  <c r="H286" i="12"/>
  <c r="G286" i="12"/>
  <c r="E286" i="12"/>
  <c r="D286" i="12"/>
  <c r="O285" i="12"/>
  <c r="O284" i="12" s="1"/>
  <c r="O283" i="12" s="1"/>
  <c r="L285" i="12"/>
  <c r="L284" i="12" s="1"/>
  <c r="L283" i="12" s="1"/>
  <c r="I285" i="12"/>
  <c r="F285" i="12"/>
  <c r="N284" i="12"/>
  <c r="M284" i="12"/>
  <c r="M283" i="12" s="1"/>
  <c r="K284" i="12"/>
  <c r="K283" i="12" s="1"/>
  <c r="J284" i="12"/>
  <c r="J283" i="12" s="1"/>
  <c r="I284" i="12"/>
  <c r="I283" i="12" s="1"/>
  <c r="H284" i="12"/>
  <c r="G284" i="12"/>
  <c r="G283" i="12" s="1"/>
  <c r="E284" i="12"/>
  <c r="E283" i="12" s="1"/>
  <c r="D284" i="12"/>
  <c r="D283" i="12" s="1"/>
  <c r="N283" i="12"/>
  <c r="H283" i="12"/>
  <c r="O282" i="12"/>
  <c r="O281" i="12" s="1"/>
  <c r="L282" i="12"/>
  <c r="L281" i="12" s="1"/>
  <c r="I282" i="12"/>
  <c r="I281" i="12" s="1"/>
  <c r="F282" i="12"/>
  <c r="N281" i="12"/>
  <c r="M281" i="12"/>
  <c r="K281" i="12"/>
  <c r="J281" i="12"/>
  <c r="H281" i="12"/>
  <c r="G281" i="12"/>
  <c r="F281" i="12"/>
  <c r="E281" i="12"/>
  <c r="D281" i="12"/>
  <c r="O280" i="12"/>
  <c r="L280" i="12"/>
  <c r="I280" i="12"/>
  <c r="F280" i="12"/>
  <c r="O279" i="12"/>
  <c r="L279" i="12"/>
  <c r="I279" i="12"/>
  <c r="F279" i="12"/>
  <c r="C279" i="12" s="1"/>
  <c r="O278" i="12"/>
  <c r="L278" i="12"/>
  <c r="I278" i="12"/>
  <c r="F278" i="12"/>
  <c r="C278" i="12" s="1"/>
  <c r="O277" i="12"/>
  <c r="L277" i="12"/>
  <c r="L276" i="12" s="1"/>
  <c r="I277" i="12"/>
  <c r="I276" i="12" s="1"/>
  <c r="F277" i="12"/>
  <c r="N276" i="12"/>
  <c r="M276" i="12"/>
  <c r="K276" i="12"/>
  <c r="J276" i="12"/>
  <c r="H276" i="12"/>
  <c r="G276" i="12"/>
  <c r="E276" i="12"/>
  <c r="D276" i="12"/>
  <c r="O275" i="12"/>
  <c r="L275" i="12"/>
  <c r="I275" i="12"/>
  <c r="F275" i="12"/>
  <c r="O274" i="12"/>
  <c r="L274" i="12"/>
  <c r="I274" i="12"/>
  <c r="F274" i="12"/>
  <c r="O273" i="12"/>
  <c r="L273" i="12"/>
  <c r="I273" i="12"/>
  <c r="F273" i="12"/>
  <c r="N272" i="12"/>
  <c r="N270" i="12" s="1"/>
  <c r="N269" i="12" s="1"/>
  <c r="M272" i="12"/>
  <c r="K272" i="12"/>
  <c r="J272" i="12"/>
  <c r="I272" i="12"/>
  <c r="H272" i="12"/>
  <c r="G272" i="12"/>
  <c r="G270" i="12" s="1"/>
  <c r="G269" i="12" s="1"/>
  <c r="E272" i="12"/>
  <c r="E270" i="12" s="1"/>
  <c r="E269" i="12" s="1"/>
  <c r="D272" i="12"/>
  <c r="D270" i="12" s="1"/>
  <c r="O271" i="12"/>
  <c r="L271" i="12"/>
  <c r="I271" i="12"/>
  <c r="F271" i="12"/>
  <c r="J270" i="12"/>
  <c r="J269" i="12" s="1"/>
  <c r="O268" i="12"/>
  <c r="L268" i="12"/>
  <c r="I268" i="12"/>
  <c r="F268" i="12"/>
  <c r="O267" i="12"/>
  <c r="L267" i="12"/>
  <c r="I267" i="12"/>
  <c r="F267" i="12"/>
  <c r="O266" i="12"/>
  <c r="L266" i="12"/>
  <c r="I266" i="12"/>
  <c r="F266" i="12"/>
  <c r="O265" i="12"/>
  <c r="L265" i="12"/>
  <c r="I265" i="12"/>
  <c r="I264" i="12" s="1"/>
  <c r="F265" i="12"/>
  <c r="N264" i="12"/>
  <c r="M264" i="12"/>
  <c r="L264" i="12"/>
  <c r="K264" i="12"/>
  <c r="J264" i="12"/>
  <c r="H264" i="12"/>
  <c r="G264" i="12"/>
  <c r="E264" i="12"/>
  <c r="D264" i="12"/>
  <c r="O263" i="12"/>
  <c r="L263" i="12"/>
  <c r="I263" i="12"/>
  <c r="F263" i="12"/>
  <c r="O262" i="12"/>
  <c r="L262" i="12"/>
  <c r="I262" i="12"/>
  <c r="F262" i="12"/>
  <c r="O261" i="12"/>
  <c r="L261" i="12"/>
  <c r="I261" i="12"/>
  <c r="F261" i="12"/>
  <c r="N260" i="12"/>
  <c r="N259" i="12" s="1"/>
  <c r="M260" i="12"/>
  <c r="M259" i="12" s="1"/>
  <c r="K260" i="12"/>
  <c r="J260" i="12"/>
  <c r="J259" i="12" s="1"/>
  <c r="I260" i="12"/>
  <c r="H260" i="12"/>
  <c r="G260" i="12"/>
  <c r="E260" i="12"/>
  <c r="E259" i="12" s="1"/>
  <c r="D260" i="12"/>
  <c r="D259" i="12" s="1"/>
  <c r="O258" i="12"/>
  <c r="L258" i="12"/>
  <c r="I258" i="12"/>
  <c r="F258" i="12"/>
  <c r="O257" i="12"/>
  <c r="L257" i="12"/>
  <c r="I257" i="12"/>
  <c r="F257" i="12"/>
  <c r="C257" i="12" s="1"/>
  <c r="O256" i="12"/>
  <c r="L256" i="12"/>
  <c r="I256" i="12"/>
  <c r="F256" i="12"/>
  <c r="O255" i="12"/>
  <c r="L255" i="12"/>
  <c r="I255" i="12"/>
  <c r="F255" i="12"/>
  <c r="O254" i="12"/>
  <c r="L254" i="12"/>
  <c r="I254" i="12"/>
  <c r="F254" i="12"/>
  <c r="O253" i="12"/>
  <c r="L253" i="12"/>
  <c r="I253" i="12"/>
  <c r="F253" i="12"/>
  <c r="N252" i="12"/>
  <c r="N251" i="12" s="1"/>
  <c r="M252" i="12"/>
  <c r="M251" i="12" s="1"/>
  <c r="K252" i="12"/>
  <c r="K251" i="12" s="1"/>
  <c r="J252" i="12"/>
  <c r="J251" i="12" s="1"/>
  <c r="I252" i="12"/>
  <c r="I251" i="12" s="1"/>
  <c r="H252" i="12"/>
  <c r="H251" i="12" s="1"/>
  <c r="G252" i="12"/>
  <c r="G251" i="12" s="1"/>
  <c r="E252" i="12"/>
  <c r="E251" i="12" s="1"/>
  <c r="D252" i="12"/>
  <c r="D251" i="12" s="1"/>
  <c r="O250" i="12"/>
  <c r="L250" i="12"/>
  <c r="I250" i="12"/>
  <c r="F250" i="12"/>
  <c r="O249" i="12"/>
  <c r="L249" i="12"/>
  <c r="I249" i="12"/>
  <c r="F249" i="12"/>
  <c r="O248" i="12"/>
  <c r="L248" i="12"/>
  <c r="I248" i="12"/>
  <c r="F248" i="12"/>
  <c r="O247" i="12"/>
  <c r="L247" i="12"/>
  <c r="I247" i="12"/>
  <c r="F247" i="12"/>
  <c r="O246" i="12"/>
  <c r="N246" i="12"/>
  <c r="M246" i="12"/>
  <c r="K246" i="12"/>
  <c r="J246" i="12"/>
  <c r="H246" i="12"/>
  <c r="G246" i="12"/>
  <c r="F246" i="12"/>
  <c r="E246" i="12"/>
  <c r="D246" i="12"/>
  <c r="O245" i="12"/>
  <c r="L245" i="12"/>
  <c r="I245" i="12"/>
  <c r="F245" i="12"/>
  <c r="C245" i="12" s="1"/>
  <c r="O244" i="12"/>
  <c r="L244" i="12"/>
  <c r="I244" i="12"/>
  <c r="F244" i="12"/>
  <c r="O243" i="12"/>
  <c r="L243" i="12"/>
  <c r="I243" i="12"/>
  <c r="F243" i="12"/>
  <c r="O242" i="12"/>
  <c r="L242" i="12"/>
  <c r="I242" i="12"/>
  <c r="F242" i="12"/>
  <c r="C242" i="12" s="1"/>
  <c r="O241" i="12"/>
  <c r="L241" i="12"/>
  <c r="I241" i="12"/>
  <c r="F241" i="12"/>
  <c r="O240" i="12"/>
  <c r="L240" i="12"/>
  <c r="I240" i="12"/>
  <c r="F240" i="12"/>
  <c r="O239" i="12"/>
  <c r="L239" i="12"/>
  <c r="L238" i="12" s="1"/>
  <c r="I239" i="12"/>
  <c r="F239" i="12"/>
  <c r="N238" i="12"/>
  <c r="M238" i="12"/>
  <c r="K238" i="12"/>
  <c r="J238" i="12"/>
  <c r="H238" i="12"/>
  <c r="G238" i="12"/>
  <c r="E238" i="12"/>
  <c r="D238" i="12"/>
  <c r="O237" i="12"/>
  <c r="L237" i="12"/>
  <c r="I237" i="12"/>
  <c r="F237" i="12"/>
  <c r="O236" i="12"/>
  <c r="L236" i="12"/>
  <c r="L235" i="12" s="1"/>
  <c r="I236" i="12"/>
  <c r="I235" i="12" s="1"/>
  <c r="F236" i="12"/>
  <c r="F235" i="12" s="1"/>
  <c r="N235" i="12"/>
  <c r="M235" i="12"/>
  <c r="K235" i="12"/>
  <c r="J235" i="12"/>
  <c r="H235" i="12"/>
  <c r="G235" i="12"/>
  <c r="E235" i="12"/>
  <c r="D235" i="12"/>
  <c r="O234" i="12"/>
  <c r="O233" i="12" s="1"/>
  <c r="L234" i="12"/>
  <c r="I234" i="12"/>
  <c r="I233" i="12" s="1"/>
  <c r="F234" i="12"/>
  <c r="C234" i="12" s="1"/>
  <c r="N233" i="12"/>
  <c r="M233" i="12"/>
  <c r="L233" i="12"/>
  <c r="K233" i="12"/>
  <c r="J233" i="12"/>
  <c r="H233" i="12"/>
  <c r="G233" i="12"/>
  <c r="E233" i="12"/>
  <c r="D233" i="12"/>
  <c r="O232" i="12"/>
  <c r="L232" i="12"/>
  <c r="I232" i="12"/>
  <c r="F232" i="12"/>
  <c r="J231" i="12"/>
  <c r="O229" i="12"/>
  <c r="L229" i="12"/>
  <c r="I229" i="12"/>
  <c r="F229" i="12"/>
  <c r="C229" i="12" s="1"/>
  <c r="O228" i="12"/>
  <c r="O227" i="12" s="1"/>
  <c r="L228" i="12"/>
  <c r="L227" i="12" s="1"/>
  <c r="I228" i="12"/>
  <c r="F228" i="12"/>
  <c r="N227" i="12"/>
  <c r="M227" i="12"/>
  <c r="K227" i="12"/>
  <c r="J227" i="12"/>
  <c r="I227" i="12"/>
  <c r="H227" i="12"/>
  <c r="G227" i="12"/>
  <c r="F227" i="12"/>
  <c r="E227" i="12"/>
  <c r="D227" i="12"/>
  <c r="O226" i="12"/>
  <c r="L226" i="12"/>
  <c r="I226" i="12"/>
  <c r="F226" i="12"/>
  <c r="O225" i="12"/>
  <c r="L225" i="12"/>
  <c r="I225" i="12"/>
  <c r="F225" i="12"/>
  <c r="O224" i="12"/>
  <c r="L224" i="12"/>
  <c r="I224" i="12"/>
  <c r="F224" i="12"/>
  <c r="O223" i="12"/>
  <c r="L223" i="12"/>
  <c r="I223" i="12"/>
  <c r="F223" i="12"/>
  <c r="O222" i="12"/>
  <c r="L222" i="12"/>
  <c r="C222" i="12" s="1"/>
  <c r="I222" i="12"/>
  <c r="F222" i="12"/>
  <c r="O221" i="12"/>
  <c r="L221" i="12"/>
  <c r="I221" i="12"/>
  <c r="F221" i="12"/>
  <c r="O220" i="12"/>
  <c r="L220" i="12"/>
  <c r="I220" i="12"/>
  <c r="F220" i="12"/>
  <c r="O219" i="12"/>
  <c r="L219" i="12"/>
  <c r="I219" i="12"/>
  <c r="F219" i="12"/>
  <c r="O218" i="12"/>
  <c r="L218" i="12"/>
  <c r="I218" i="12"/>
  <c r="F218" i="12"/>
  <c r="O217" i="12"/>
  <c r="O216" i="12" s="1"/>
  <c r="L217" i="12"/>
  <c r="I217" i="12"/>
  <c r="F217" i="12"/>
  <c r="N216" i="12"/>
  <c r="M216" i="12"/>
  <c r="K216" i="12"/>
  <c r="J216" i="12"/>
  <c r="H216" i="12"/>
  <c r="G216" i="12"/>
  <c r="E216" i="12"/>
  <c r="D216" i="12"/>
  <c r="O215" i="12"/>
  <c r="L215" i="12"/>
  <c r="I215" i="12"/>
  <c r="F215" i="12"/>
  <c r="O214" i="12"/>
  <c r="L214" i="12"/>
  <c r="I214" i="12"/>
  <c r="F214" i="12"/>
  <c r="O213" i="12"/>
  <c r="L213" i="12"/>
  <c r="I213" i="12"/>
  <c r="F213" i="12"/>
  <c r="O212" i="12"/>
  <c r="L212" i="12"/>
  <c r="I212" i="12"/>
  <c r="F212" i="12"/>
  <c r="O211" i="12"/>
  <c r="L211" i="12"/>
  <c r="I211" i="12"/>
  <c r="F211" i="12"/>
  <c r="O210" i="12"/>
  <c r="L210" i="12"/>
  <c r="I210" i="12"/>
  <c r="F210" i="12"/>
  <c r="O209" i="12"/>
  <c r="L209" i="12"/>
  <c r="I209" i="12"/>
  <c r="F209" i="12"/>
  <c r="O208" i="12"/>
  <c r="L208" i="12"/>
  <c r="I208" i="12"/>
  <c r="F208" i="12"/>
  <c r="O207" i="12"/>
  <c r="L207" i="12"/>
  <c r="I207" i="12"/>
  <c r="F207" i="12"/>
  <c r="O206" i="12"/>
  <c r="L206" i="12"/>
  <c r="I206" i="12"/>
  <c r="F206" i="12"/>
  <c r="N205" i="12"/>
  <c r="M205" i="12"/>
  <c r="M204" i="12" s="1"/>
  <c r="K205" i="12"/>
  <c r="K204" i="12" s="1"/>
  <c r="J205" i="12"/>
  <c r="H205" i="12"/>
  <c r="G205" i="12"/>
  <c r="G204" i="12" s="1"/>
  <c r="E205" i="12"/>
  <c r="E204" i="12" s="1"/>
  <c r="D205" i="12"/>
  <c r="D204" i="12"/>
  <c r="O203" i="12"/>
  <c r="L203" i="12"/>
  <c r="I203" i="12"/>
  <c r="F203" i="12"/>
  <c r="O202" i="12"/>
  <c r="L202" i="12"/>
  <c r="I202" i="12"/>
  <c r="F202" i="12"/>
  <c r="O201" i="12"/>
  <c r="L201" i="12"/>
  <c r="I201" i="12"/>
  <c r="F201" i="12"/>
  <c r="O200" i="12"/>
  <c r="L200" i="12"/>
  <c r="I200" i="12"/>
  <c r="F200" i="12"/>
  <c r="O199" i="12"/>
  <c r="L199" i="12"/>
  <c r="L198" i="12" s="1"/>
  <c r="I199" i="12"/>
  <c r="F199" i="12"/>
  <c r="O198" i="12"/>
  <c r="N198" i="12"/>
  <c r="N196" i="12" s="1"/>
  <c r="M198" i="12"/>
  <c r="K198" i="12"/>
  <c r="K196" i="12" s="1"/>
  <c r="J198" i="12"/>
  <c r="J196" i="12" s="1"/>
  <c r="H198" i="12"/>
  <c r="H196" i="12" s="1"/>
  <c r="G198" i="12"/>
  <c r="G196" i="12" s="1"/>
  <c r="F198" i="12"/>
  <c r="E198" i="12"/>
  <c r="E196" i="12" s="1"/>
  <c r="D198" i="12"/>
  <c r="O197" i="12"/>
  <c r="L197" i="12"/>
  <c r="I197" i="12"/>
  <c r="F197" i="12"/>
  <c r="M196" i="12"/>
  <c r="D196" i="12"/>
  <c r="O193" i="12"/>
  <c r="L193" i="12"/>
  <c r="L192" i="12" s="1"/>
  <c r="L191" i="12" s="1"/>
  <c r="I193" i="12"/>
  <c r="I192" i="12" s="1"/>
  <c r="I191" i="12" s="1"/>
  <c r="F193" i="12"/>
  <c r="O192" i="12"/>
  <c r="O191" i="12" s="1"/>
  <c r="N192" i="12"/>
  <c r="N191" i="12" s="1"/>
  <c r="M192" i="12"/>
  <c r="M191" i="12" s="1"/>
  <c r="K192" i="12"/>
  <c r="K191" i="12" s="1"/>
  <c r="K187" i="12" s="1"/>
  <c r="J192" i="12"/>
  <c r="J191" i="12" s="1"/>
  <c r="H192" i="12"/>
  <c r="G192" i="12"/>
  <c r="F192" i="12"/>
  <c r="E192" i="12"/>
  <c r="E191" i="12" s="1"/>
  <c r="D192" i="12"/>
  <c r="H191" i="12"/>
  <c r="G191" i="12"/>
  <c r="D191" i="12"/>
  <c r="O190" i="12"/>
  <c r="L190" i="12"/>
  <c r="I190" i="12"/>
  <c r="F190" i="12"/>
  <c r="O189" i="12"/>
  <c r="L189" i="12"/>
  <c r="L188" i="12" s="1"/>
  <c r="L187" i="12" s="1"/>
  <c r="I189" i="12"/>
  <c r="I188" i="12" s="1"/>
  <c r="I187" i="12" s="1"/>
  <c r="F189" i="12"/>
  <c r="O188" i="12"/>
  <c r="N188" i="12"/>
  <c r="N187" i="12" s="1"/>
  <c r="M188" i="12"/>
  <c r="M187" i="12" s="1"/>
  <c r="K188" i="12"/>
  <c r="J188" i="12"/>
  <c r="H188" i="12"/>
  <c r="H187" i="12" s="1"/>
  <c r="G188" i="12"/>
  <c r="F188" i="12"/>
  <c r="E188" i="12"/>
  <c r="D188" i="12"/>
  <c r="D187" i="12" s="1"/>
  <c r="G187" i="12"/>
  <c r="O186" i="12"/>
  <c r="L186" i="12"/>
  <c r="I186" i="12"/>
  <c r="F186" i="12"/>
  <c r="O185" i="12"/>
  <c r="L185" i="12"/>
  <c r="L184" i="12" s="1"/>
  <c r="I185" i="12"/>
  <c r="I184" i="12" s="1"/>
  <c r="F185" i="12"/>
  <c r="O184" i="12"/>
  <c r="N184" i="12"/>
  <c r="M184" i="12"/>
  <c r="K184" i="12"/>
  <c r="J184" i="12"/>
  <c r="H184" i="12"/>
  <c r="G184" i="12"/>
  <c r="F184" i="12"/>
  <c r="E184" i="12"/>
  <c r="D184" i="12"/>
  <c r="O183" i="12"/>
  <c r="L183" i="12"/>
  <c r="I183" i="12"/>
  <c r="F183" i="12"/>
  <c r="O182" i="12"/>
  <c r="L182" i="12"/>
  <c r="I182" i="12"/>
  <c r="F182" i="12"/>
  <c r="O181" i="12"/>
  <c r="L181" i="12"/>
  <c r="I181" i="12"/>
  <c r="F181" i="12"/>
  <c r="O180" i="12"/>
  <c r="L180" i="12"/>
  <c r="I180" i="12"/>
  <c r="I179" i="12" s="1"/>
  <c r="F180" i="12"/>
  <c r="N179" i="12"/>
  <c r="M179" i="12"/>
  <c r="K179" i="12"/>
  <c r="J179" i="12"/>
  <c r="H179" i="12"/>
  <c r="G179" i="12"/>
  <c r="E179" i="12"/>
  <c r="D179" i="12"/>
  <c r="O178" i="12"/>
  <c r="L178" i="12"/>
  <c r="I178" i="12"/>
  <c r="F178" i="12"/>
  <c r="O177" i="12"/>
  <c r="L177" i="12"/>
  <c r="I177" i="12"/>
  <c r="F177" i="12"/>
  <c r="O176" i="12"/>
  <c r="L176" i="12"/>
  <c r="I176" i="12"/>
  <c r="I175" i="12" s="1"/>
  <c r="F176" i="12"/>
  <c r="O175" i="12"/>
  <c r="N175" i="12"/>
  <c r="N174" i="12" s="1"/>
  <c r="M175" i="12"/>
  <c r="K175" i="12"/>
  <c r="K174" i="12" s="1"/>
  <c r="K173" i="12" s="1"/>
  <c r="J175" i="12"/>
  <c r="H175" i="12"/>
  <c r="G175" i="12"/>
  <c r="E175" i="12"/>
  <c r="E174" i="12" s="1"/>
  <c r="E173" i="12" s="1"/>
  <c r="D175" i="12"/>
  <c r="H174" i="12"/>
  <c r="H173" i="12" s="1"/>
  <c r="O172" i="12"/>
  <c r="L172" i="12"/>
  <c r="I172" i="12"/>
  <c r="F172" i="12"/>
  <c r="O171" i="12"/>
  <c r="L171" i="12"/>
  <c r="I171" i="12"/>
  <c r="C171" i="12" s="1"/>
  <c r="F171" i="12"/>
  <c r="O170" i="12"/>
  <c r="L170" i="12"/>
  <c r="I170" i="12"/>
  <c r="F170" i="12"/>
  <c r="O169" i="12"/>
  <c r="L169" i="12"/>
  <c r="I169" i="12"/>
  <c r="F169" i="12"/>
  <c r="O168" i="12"/>
  <c r="L168" i="12"/>
  <c r="I168" i="12"/>
  <c r="F168" i="12"/>
  <c r="O167" i="12"/>
  <c r="O166" i="12" s="1"/>
  <c r="L167" i="12"/>
  <c r="I167" i="12"/>
  <c r="F167" i="12"/>
  <c r="F166" i="12" s="1"/>
  <c r="N166" i="12"/>
  <c r="M166" i="12"/>
  <c r="K166" i="12"/>
  <c r="K165" i="12" s="1"/>
  <c r="J166" i="12"/>
  <c r="H166" i="12"/>
  <c r="H165" i="12" s="1"/>
  <c r="G166" i="12"/>
  <c r="G165" i="12" s="1"/>
  <c r="E166" i="12"/>
  <c r="E165" i="12" s="1"/>
  <c r="D166" i="12"/>
  <c r="D165" i="12" s="1"/>
  <c r="N165" i="12"/>
  <c r="M165" i="12"/>
  <c r="J165" i="12"/>
  <c r="O164" i="12"/>
  <c r="L164" i="12"/>
  <c r="I164" i="12"/>
  <c r="F164" i="12"/>
  <c r="O163" i="12"/>
  <c r="L163" i="12"/>
  <c r="I163" i="12"/>
  <c r="F163" i="12"/>
  <c r="O162" i="12"/>
  <c r="L162" i="12"/>
  <c r="I162" i="12"/>
  <c r="F162" i="12"/>
  <c r="O161" i="12"/>
  <c r="L161" i="12"/>
  <c r="L160" i="12" s="1"/>
  <c r="I161" i="12"/>
  <c r="I160" i="12" s="1"/>
  <c r="F161" i="12"/>
  <c r="O160" i="12"/>
  <c r="N160" i="12"/>
  <c r="M160" i="12"/>
  <c r="K160" i="12"/>
  <c r="J160" i="12"/>
  <c r="H160" i="12"/>
  <c r="G160" i="12"/>
  <c r="F160" i="12"/>
  <c r="E160" i="12"/>
  <c r="D160" i="12"/>
  <c r="O159" i="12"/>
  <c r="L159" i="12"/>
  <c r="I159" i="12"/>
  <c r="F159" i="12"/>
  <c r="C159" i="12" s="1"/>
  <c r="O158" i="12"/>
  <c r="L158" i="12"/>
  <c r="I158" i="12"/>
  <c r="F158" i="12"/>
  <c r="O157" i="12"/>
  <c r="L157" i="12"/>
  <c r="I157" i="12"/>
  <c r="F157" i="12"/>
  <c r="O156" i="12"/>
  <c r="L156" i="12"/>
  <c r="I156" i="12"/>
  <c r="F156" i="12"/>
  <c r="O155" i="12"/>
  <c r="L155" i="12"/>
  <c r="I155" i="12"/>
  <c r="F155" i="12"/>
  <c r="C155" i="12" s="1"/>
  <c r="O154" i="12"/>
  <c r="L154" i="12"/>
  <c r="I154" i="12"/>
  <c r="F154" i="12"/>
  <c r="O153" i="12"/>
  <c r="L153" i="12"/>
  <c r="I153" i="12"/>
  <c r="F153" i="12"/>
  <c r="O152" i="12"/>
  <c r="L152" i="12"/>
  <c r="I152" i="12"/>
  <c r="F152" i="12"/>
  <c r="O151" i="12"/>
  <c r="N151" i="12"/>
  <c r="M151" i="12"/>
  <c r="K151" i="12"/>
  <c r="J151" i="12"/>
  <c r="H151" i="12"/>
  <c r="G151" i="12"/>
  <c r="E151" i="12"/>
  <c r="D151" i="12"/>
  <c r="O150" i="12"/>
  <c r="L150" i="12"/>
  <c r="I150" i="12"/>
  <c r="F150" i="12"/>
  <c r="O149" i="12"/>
  <c r="L149" i="12"/>
  <c r="I149" i="12"/>
  <c r="F149" i="12"/>
  <c r="O148" i="12"/>
  <c r="L148" i="12"/>
  <c r="I148" i="12"/>
  <c r="F148" i="12"/>
  <c r="O147" i="12"/>
  <c r="L147" i="12"/>
  <c r="I147" i="12"/>
  <c r="F147" i="12"/>
  <c r="O146" i="12"/>
  <c r="L146" i="12"/>
  <c r="I146" i="12"/>
  <c r="F146" i="12"/>
  <c r="O145" i="12"/>
  <c r="L145" i="12"/>
  <c r="L144" i="12" s="1"/>
  <c r="I145" i="12"/>
  <c r="F145" i="12"/>
  <c r="N144" i="12"/>
  <c r="M144" i="12"/>
  <c r="K144" i="12"/>
  <c r="J144" i="12"/>
  <c r="H144" i="12"/>
  <c r="G144" i="12"/>
  <c r="E144" i="12"/>
  <c r="D144" i="12"/>
  <c r="O143" i="12"/>
  <c r="L143" i="12"/>
  <c r="I143" i="12"/>
  <c r="F143" i="12"/>
  <c r="O142" i="12"/>
  <c r="O141" i="12" s="1"/>
  <c r="L142" i="12"/>
  <c r="I142" i="12"/>
  <c r="I141" i="12" s="1"/>
  <c r="F142" i="12"/>
  <c r="N141" i="12"/>
  <c r="M141" i="12"/>
  <c r="L141" i="12"/>
  <c r="K141" i="12"/>
  <c r="J141" i="12"/>
  <c r="H141" i="12"/>
  <c r="G141" i="12"/>
  <c r="F141" i="12"/>
  <c r="E141" i="12"/>
  <c r="D141" i="12"/>
  <c r="O140" i="12"/>
  <c r="L140" i="12"/>
  <c r="I140" i="12"/>
  <c r="F140" i="12"/>
  <c r="O139" i="12"/>
  <c r="O136" i="12" s="1"/>
  <c r="L139" i="12"/>
  <c r="I139" i="12"/>
  <c r="F139" i="12"/>
  <c r="C139" i="12"/>
  <c r="O138" i="12"/>
  <c r="L138" i="12"/>
  <c r="I138" i="12"/>
  <c r="F138" i="12"/>
  <c r="C138" i="12" s="1"/>
  <c r="O137" i="12"/>
  <c r="L137" i="12"/>
  <c r="L136" i="12" s="1"/>
  <c r="I137" i="12"/>
  <c r="I136" i="12" s="1"/>
  <c r="F137" i="12"/>
  <c r="C137" i="12" s="1"/>
  <c r="N136" i="12"/>
  <c r="M136" i="12"/>
  <c r="K136" i="12"/>
  <c r="J136" i="12"/>
  <c r="H136" i="12"/>
  <c r="G136" i="12"/>
  <c r="E136" i="12"/>
  <c r="D136" i="12"/>
  <c r="O135" i="12"/>
  <c r="L135" i="12"/>
  <c r="I135" i="12"/>
  <c r="F135" i="12"/>
  <c r="C135" i="12" s="1"/>
  <c r="O134" i="12"/>
  <c r="L134" i="12"/>
  <c r="I134" i="12"/>
  <c r="F134" i="12"/>
  <c r="O133" i="12"/>
  <c r="L133" i="12"/>
  <c r="I133" i="12"/>
  <c r="F133" i="12"/>
  <c r="O132" i="12"/>
  <c r="O131" i="12" s="1"/>
  <c r="L132" i="12"/>
  <c r="I132" i="12"/>
  <c r="F132" i="12"/>
  <c r="N131" i="12"/>
  <c r="M131" i="12"/>
  <c r="L131" i="12"/>
  <c r="K131" i="12"/>
  <c r="J131" i="12"/>
  <c r="H131" i="12"/>
  <c r="H130" i="12" s="1"/>
  <c r="G131" i="12"/>
  <c r="G130" i="12" s="1"/>
  <c r="E131" i="12"/>
  <c r="D131" i="12"/>
  <c r="M130" i="12"/>
  <c r="O129" i="12"/>
  <c r="O128" i="12" s="1"/>
  <c r="L129" i="12"/>
  <c r="L128" i="12" s="1"/>
  <c r="I129" i="12"/>
  <c r="I128" i="12" s="1"/>
  <c r="F129" i="12"/>
  <c r="N128" i="12"/>
  <c r="M128" i="12"/>
  <c r="K128" i="12"/>
  <c r="J128" i="12"/>
  <c r="H128" i="12"/>
  <c r="G128" i="12"/>
  <c r="F128" i="12"/>
  <c r="E128" i="12"/>
  <c r="D128" i="12"/>
  <c r="O127" i="12"/>
  <c r="L127" i="12"/>
  <c r="I127" i="12"/>
  <c r="F127" i="12"/>
  <c r="O126" i="12"/>
  <c r="L126" i="12"/>
  <c r="I126" i="12"/>
  <c r="F126" i="12"/>
  <c r="O125" i="12"/>
  <c r="L125" i="12"/>
  <c r="I125" i="12"/>
  <c r="F125" i="12"/>
  <c r="O124" i="12"/>
  <c r="L124" i="12"/>
  <c r="I124" i="12"/>
  <c r="F124" i="12"/>
  <c r="O123" i="12"/>
  <c r="L123" i="12"/>
  <c r="I123" i="12"/>
  <c r="F123" i="12"/>
  <c r="N122" i="12"/>
  <c r="M122" i="12"/>
  <c r="K122" i="12"/>
  <c r="J122" i="12"/>
  <c r="H122" i="12"/>
  <c r="G122" i="12"/>
  <c r="E122" i="12"/>
  <c r="D122" i="12"/>
  <c r="O121" i="12"/>
  <c r="L121" i="12"/>
  <c r="I121" i="12"/>
  <c r="F121" i="12"/>
  <c r="O120" i="12"/>
  <c r="L120" i="12"/>
  <c r="I120" i="12"/>
  <c r="F120" i="12"/>
  <c r="O119" i="12"/>
  <c r="L119" i="12"/>
  <c r="I119" i="12"/>
  <c r="F119" i="12"/>
  <c r="O118" i="12"/>
  <c r="L118" i="12"/>
  <c r="I118" i="12"/>
  <c r="F118" i="12"/>
  <c r="O117" i="12"/>
  <c r="O116" i="12" s="1"/>
  <c r="L117" i="12"/>
  <c r="I117" i="12"/>
  <c r="F117" i="12"/>
  <c r="N116" i="12"/>
  <c r="M116" i="12"/>
  <c r="K116" i="12"/>
  <c r="J116" i="12"/>
  <c r="H116" i="12"/>
  <c r="G116" i="12"/>
  <c r="E116" i="12"/>
  <c r="D116" i="12"/>
  <c r="O115" i="12"/>
  <c r="L115" i="12"/>
  <c r="I115" i="12"/>
  <c r="F115" i="12"/>
  <c r="O114" i="12"/>
  <c r="L114" i="12"/>
  <c r="I114" i="12"/>
  <c r="F114" i="12"/>
  <c r="O113" i="12"/>
  <c r="O112" i="12" s="1"/>
  <c r="L113" i="12"/>
  <c r="I113" i="12"/>
  <c r="I112" i="12" s="1"/>
  <c r="F113" i="12"/>
  <c r="C113" i="12"/>
  <c r="N112" i="12"/>
  <c r="M112" i="12"/>
  <c r="L112" i="12"/>
  <c r="K112" i="12"/>
  <c r="J112" i="12"/>
  <c r="H112" i="12"/>
  <c r="G112" i="12"/>
  <c r="F112" i="12"/>
  <c r="E112" i="12"/>
  <c r="D112" i="12"/>
  <c r="O111" i="12"/>
  <c r="L111" i="12"/>
  <c r="I111" i="12"/>
  <c r="F111" i="12"/>
  <c r="O110" i="12"/>
  <c r="L110" i="12"/>
  <c r="I110" i="12"/>
  <c r="F110" i="12"/>
  <c r="O109" i="12"/>
  <c r="L109" i="12"/>
  <c r="C109" i="12" s="1"/>
  <c r="I109" i="12"/>
  <c r="F109" i="12"/>
  <c r="O108" i="12"/>
  <c r="L108" i="12"/>
  <c r="I108" i="12"/>
  <c r="F108" i="12"/>
  <c r="O107" i="12"/>
  <c r="L107" i="12"/>
  <c r="I107" i="12"/>
  <c r="F107" i="12"/>
  <c r="O106" i="12"/>
  <c r="L106" i="12"/>
  <c r="I106" i="12"/>
  <c r="F106" i="12"/>
  <c r="O105" i="12"/>
  <c r="L105" i="12"/>
  <c r="C105" i="12" s="1"/>
  <c r="I105" i="12"/>
  <c r="F105" i="12"/>
  <c r="O104" i="12"/>
  <c r="L104" i="12"/>
  <c r="I104" i="12"/>
  <c r="F104" i="12"/>
  <c r="N103" i="12"/>
  <c r="M103" i="12"/>
  <c r="K103" i="12"/>
  <c r="J103" i="12"/>
  <c r="H103" i="12"/>
  <c r="G103" i="12"/>
  <c r="E103" i="12"/>
  <c r="D103" i="12"/>
  <c r="O102" i="12"/>
  <c r="L102" i="12"/>
  <c r="I102" i="12"/>
  <c r="F102" i="12"/>
  <c r="O101" i="12"/>
  <c r="L101" i="12"/>
  <c r="I101" i="12"/>
  <c r="F101" i="12"/>
  <c r="O100" i="12"/>
  <c r="L100" i="12"/>
  <c r="I100" i="12"/>
  <c r="F100" i="12"/>
  <c r="O99" i="12"/>
  <c r="L99" i="12"/>
  <c r="I99" i="12"/>
  <c r="F99" i="12"/>
  <c r="O98" i="12"/>
  <c r="L98" i="12"/>
  <c r="I98" i="12"/>
  <c r="F98" i="12"/>
  <c r="O97" i="12"/>
  <c r="L97" i="12"/>
  <c r="I97" i="12"/>
  <c r="F97" i="12"/>
  <c r="O96" i="12"/>
  <c r="L96" i="12"/>
  <c r="I96" i="12"/>
  <c r="F96" i="12"/>
  <c r="N95" i="12"/>
  <c r="M95" i="12"/>
  <c r="K95" i="12"/>
  <c r="J95" i="12"/>
  <c r="H95" i="12"/>
  <c r="G95" i="12"/>
  <c r="E95" i="12"/>
  <c r="D95" i="12"/>
  <c r="O94" i="12"/>
  <c r="L94" i="12"/>
  <c r="I94" i="12"/>
  <c r="F94" i="12"/>
  <c r="O93" i="12"/>
  <c r="O89" i="12" s="1"/>
  <c r="L93" i="12"/>
  <c r="I93" i="12"/>
  <c r="F93" i="12"/>
  <c r="C93" i="12"/>
  <c r="O92" i="12"/>
  <c r="L92" i="12"/>
  <c r="I92" i="12"/>
  <c r="F92" i="12"/>
  <c r="C92" i="12" s="1"/>
  <c r="O91" i="12"/>
  <c r="L91" i="12"/>
  <c r="I91" i="12"/>
  <c r="F91" i="12"/>
  <c r="O90" i="12"/>
  <c r="L90" i="12"/>
  <c r="L89" i="12" s="1"/>
  <c r="I90" i="12"/>
  <c r="F90" i="12"/>
  <c r="F89" i="12" s="1"/>
  <c r="N89" i="12"/>
  <c r="M89" i="12"/>
  <c r="K89" i="12"/>
  <c r="J89" i="12"/>
  <c r="H89" i="12"/>
  <c r="G89" i="12"/>
  <c r="E89" i="12"/>
  <c r="D89" i="12"/>
  <c r="O88" i="12"/>
  <c r="L88" i="12"/>
  <c r="I88" i="12"/>
  <c r="F88" i="12"/>
  <c r="O87" i="12"/>
  <c r="L87" i="12"/>
  <c r="I87" i="12"/>
  <c r="F87" i="12"/>
  <c r="O86" i="12"/>
  <c r="L86" i="12"/>
  <c r="I86" i="12"/>
  <c r="F86" i="12"/>
  <c r="O85" i="12"/>
  <c r="O84" i="12" s="1"/>
  <c r="L85" i="12"/>
  <c r="L84" i="12" s="1"/>
  <c r="I85" i="12"/>
  <c r="F85" i="12"/>
  <c r="N84" i="12"/>
  <c r="M84" i="12"/>
  <c r="K84" i="12"/>
  <c r="J84" i="12"/>
  <c r="H84" i="12"/>
  <c r="H83" i="12" s="1"/>
  <c r="G84" i="12"/>
  <c r="E84" i="12"/>
  <c r="D84" i="12"/>
  <c r="M83" i="12"/>
  <c r="O82" i="12"/>
  <c r="L82" i="12"/>
  <c r="I82" i="12"/>
  <c r="F82" i="12"/>
  <c r="O81" i="12"/>
  <c r="O80" i="12" s="1"/>
  <c r="L81" i="12"/>
  <c r="I81" i="12"/>
  <c r="I80" i="12" s="1"/>
  <c r="F81" i="12"/>
  <c r="N80" i="12"/>
  <c r="M80" i="12"/>
  <c r="K80" i="12"/>
  <c r="J80" i="12"/>
  <c r="H80" i="12"/>
  <c r="G80" i="12"/>
  <c r="F80" i="12"/>
  <c r="E80" i="12"/>
  <c r="D80" i="12"/>
  <c r="O79" i="12"/>
  <c r="L79" i="12"/>
  <c r="I79" i="12"/>
  <c r="F79" i="12"/>
  <c r="O78" i="12"/>
  <c r="L78" i="12"/>
  <c r="L77" i="12" s="1"/>
  <c r="I78" i="12"/>
  <c r="F78" i="12"/>
  <c r="F77" i="12" s="1"/>
  <c r="O77" i="12"/>
  <c r="N77" i="12"/>
  <c r="M77" i="12"/>
  <c r="K77" i="12"/>
  <c r="J77" i="12"/>
  <c r="J76" i="12" s="1"/>
  <c r="H77" i="12"/>
  <c r="G77" i="12"/>
  <c r="E77" i="12"/>
  <c r="E76" i="12" s="1"/>
  <c r="D77" i="12"/>
  <c r="N76" i="12"/>
  <c r="O74" i="12"/>
  <c r="L74" i="12"/>
  <c r="I74" i="12"/>
  <c r="F74" i="12"/>
  <c r="O73" i="12"/>
  <c r="L73" i="12"/>
  <c r="I73" i="12"/>
  <c r="F73" i="12"/>
  <c r="C73" i="12" s="1"/>
  <c r="O72" i="12"/>
  <c r="L72" i="12"/>
  <c r="I72" i="12"/>
  <c r="F72" i="12"/>
  <c r="O71" i="12"/>
  <c r="L71" i="12"/>
  <c r="I71" i="12"/>
  <c r="F71" i="12"/>
  <c r="O70" i="12"/>
  <c r="L70" i="12"/>
  <c r="I70" i="12"/>
  <c r="F70" i="12"/>
  <c r="O69" i="12"/>
  <c r="O67" i="12" s="1"/>
  <c r="N69" i="12"/>
  <c r="N67" i="12" s="1"/>
  <c r="M69" i="12"/>
  <c r="M67" i="12" s="1"/>
  <c r="K69" i="12"/>
  <c r="K67" i="12" s="1"/>
  <c r="J69" i="12"/>
  <c r="J67" i="12" s="1"/>
  <c r="H69" i="12"/>
  <c r="G69" i="12"/>
  <c r="G67" i="12" s="1"/>
  <c r="E69" i="12"/>
  <c r="E67" i="12" s="1"/>
  <c r="D69" i="12"/>
  <c r="O68" i="12"/>
  <c r="L68" i="12"/>
  <c r="I68" i="12"/>
  <c r="F68" i="12"/>
  <c r="H67" i="12"/>
  <c r="D67" i="12"/>
  <c r="O66" i="12"/>
  <c r="L66" i="12"/>
  <c r="I66" i="12"/>
  <c r="F66" i="12"/>
  <c r="O65" i="12"/>
  <c r="L65" i="12"/>
  <c r="I65" i="12"/>
  <c r="F65" i="12"/>
  <c r="O64" i="12"/>
  <c r="L64" i="12"/>
  <c r="I64" i="12"/>
  <c r="F64" i="12"/>
  <c r="C64" i="12" s="1"/>
  <c r="O63" i="12"/>
  <c r="L63" i="12"/>
  <c r="I63" i="12"/>
  <c r="F63" i="12"/>
  <c r="O62" i="12"/>
  <c r="L62" i="12"/>
  <c r="I62" i="12"/>
  <c r="F62" i="12"/>
  <c r="C62" i="12" s="1"/>
  <c r="O61" i="12"/>
  <c r="L61" i="12"/>
  <c r="I61" i="12"/>
  <c r="F61" i="12"/>
  <c r="C61" i="12" s="1"/>
  <c r="O60" i="12"/>
  <c r="L60" i="12"/>
  <c r="I60" i="12"/>
  <c r="F60" i="12"/>
  <c r="O59" i="12"/>
  <c r="L59" i="12"/>
  <c r="I59" i="12"/>
  <c r="F59" i="12"/>
  <c r="N58" i="12"/>
  <c r="M58" i="12"/>
  <c r="K58" i="12"/>
  <c r="J58" i="12"/>
  <c r="H58" i="12"/>
  <c r="G58" i="12"/>
  <c r="E58" i="12"/>
  <c r="D58" i="12"/>
  <c r="O57" i="12"/>
  <c r="L57" i="12"/>
  <c r="I57" i="12"/>
  <c r="F57" i="12"/>
  <c r="O56" i="12"/>
  <c r="L56" i="12"/>
  <c r="L55" i="12" s="1"/>
  <c r="I56" i="12"/>
  <c r="F56" i="12"/>
  <c r="N55" i="12"/>
  <c r="M55" i="12"/>
  <c r="M54" i="12" s="1"/>
  <c r="K55" i="12"/>
  <c r="J55" i="12"/>
  <c r="H55" i="12"/>
  <c r="H54" i="12" s="1"/>
  <c r="H53" i="12" s="1"/>
  <c r="G55" i="12"/>
  <c r="G54" i="12" s="1"/>
  <c r="G53" i="12" s="1"/>
  <c r="E55" i="12"/>
  <c r="D55" i="12"/>
  <c r="D54" i="12" s="1"/>
  <c r="N54" i="12"/>
  <c r="N53" i="12" s="1"/>
  <c r="O47" i="12"/>
  <c r="C47" i="12" s="1"/>
  <c r="O46" i="12"/>
  <c r="C46" i="12" s="1"/>
  <c r="N45" i="12"/>
  <c r="M45" i="12"/>
  <c r="L44" i="12"/>
  <c r="L43" i="12" s="1"/>
  <c r="I44" i="12"/>
  <c r="I43" i="12" s="1"/>
  <c r="F44" i="12"/>
  <c r="F43" i="12" s="1"/>
  <c r="K43" i="12"/>
  <c r="J43" i="12"/>
  <c r="H43" i="12"/>
  <c r="G43" i="12"/>
  <c r="E43" i="12"/>
  <c r="D43" i="12"/>
  <c r="F42" i="12"/>
  <c r="C42" i="12" s="1"/>
  <c r="E41" i="12"/>
  <c r="D41" i="12"/>
  <c r="L40" i="12"/>
  <c r="C40" i="12" s="1"/>
  <c r="L39" i="12"/>
  <c r="C39" i="12" s="1"/>
  <c r="L38" i="12"/>
  <c r="C38" i="12" s="1"/>
  <c r="L37" i="12"/>
  <c r="C37" i="12" s="1"/>
  <c r="K36" i="12"/>
  <c r="J36" i="12"/>
  <c r="L35" i="12"/>
  <c r="C35" i="12" s="1"/>
  <c r="L34" i="12"/>
  <c r="C34" i="12" s="1"/>
  <c r="K33" i="12"/>
  <c r="J33" i="12"/>
  <c r="L32" i="12"/>
  <c r="C32" i="12" s="1"/>
  <c r="K31" i="12"/>
  <c r="J31" i="12"/>
  <c r="L30" i="12"/>
  <c r="C30" i="12" s="1"/>
  <c r="L29" i="12"/>
  <c r="C29" i="12" s="1"/>
  <c r="L28" i="12"/>
  <c r="C28" i="12" s="1"/>
  <c r="K27" i="12"/>
  <c r="K26" i="12" s="1"/>
  <c r="J27" i="12"/>
  <c r="F25" i="12"/>
  <c r="C25" i="12" s="1"/>
  <c r="I24" i="12"/>
  <c r="O23" i="12"/>
  <c r="L23" i="12"/>
  <c r="I23" i="12"/>
  <c r="F23" i="12"/>
  <c r="O22" i="12"/>
  <c r="L22" i="12"/>
  <c r="L21" i="12" s="1"/>
  <c r="I22" i="12"/>
  <c r="I21" i="12" s="1"/>
  <c r="F22" i="12"/>
  <c r="O21" i="12"/>
  <c r="O292" i="12" s="1"/>
  <c r="N21" i="12"/>
  <c r="M21" i="12"/>
  <c r="M292" i="12" s="1"/>
  <c r="K21" i="12"/>
  <c r="K292" i="12" s="1"/>
  <c r="K291" i="12" s="1"/>
  <c r="J21" i="12"/>
  <c r="H21" i="12"/>
  <c r="G21" i="12"/>
  <c r="G292" i="12" s="1"/>
  <c r="F21" i="12"/>
  <c r="E21" i="12"/>
  <c r="E292" i="12" s="1"/>
  <c r="E291" i="12" s="1"/>
  <c r="D21" i="12"/>
  <c r="D292" i="12" s="1"/>
  <c r="D291" i="12" s="1"/>
  <c r="M20" i="12"/>
  <c r="H20" i="12"/>
  <c r="G83" i="12" l="1"/>
  <c r="I95" i="12"/>
  <c r="C99" i="12"/>
  <c r="C129" i="12"/>
  <c r="O144" i="12"/>
  <c r="N130" i="12"/>
  <c r="C163" i="12"/>
  <c r="M174" i="12"/>
  <c r="M173" i="12" s="1"/>
  <c r="C210" i="12"/>
  <c r="C212" i="12"/>
  <c r="C225" i="12"/>
  <c r="M231" i="12"/>
  <c r="C249" i="12"/>
  <c r="L252" i="12"/>
  <c r="L251" i="12" s="1"/>
  <c r="L272" i="12"/>
  <c r="C81" i="12"/>
  <c r="C117" i="12"/>
  <c r="L116" i="12"/>
  <c r="C147" i="12"/>
  <c r="L196" i="12"/>
  <c r="N204" i="12"/>
  <c r="F233" i="12"/>
  <c r="L260" i="12"/>
  <c r="L259" i="12" s="1"/>
  <c r="I259" i="12"/>
  <c r="O276" i="12"/>
  <c r="C296" i="12"/>
  <c r="O179" i="12"/>
  <c r="D269" i="12"/>
  <c r="C57" i="12"/>
  <c r="C85" i="12"/>
  <c r="C87" i="12"/>
  <c r="K83" i="12"/>
  <c r="C97" i="12"/>
  <c r="C101" i="12"/>
  <c r="C121" i="12"/>
  <c r="C125" i="12"/>
  <c r="C126" i="12"/>
  <c r="C170" i="12"/>
  <c r="C177" i="12"/>
  <c r="D174" i="12"/>
  <c r="D173" i="12" s="1"/>
  <c r="C181" i="12"/>
  <c r="C202" i="12"/>
  <c r="E231" i="12"/>
  <c r="E230" i="12" s="1"/>
  <c r="C266" i="12"/>
  <c r="K270" i="12"/>
  <c r="K269" i="12" s="1"/>
  <c r="O187" i="12"/>
  <c r="J230" i="12"/>
  <c r="F41" i="12"/>
  <c r="C41" i="12" s="1"/>
  <c r="I55" i="12"/>
  <c r="C63" i="12"/>
  <c r="F69" i="12"/>
  <c r="C72" i="12"/>
  <c r="N83" i="12"/>
  <c r="C106" i="12"/>
  <c r="C108" i="12"/>
  <c r="C114" i="12"/>
  <c r="C127" i="12"/>
  <c r="K130" i="12"/>
  <c r="D130" i="12"/>
  <c r="C156" i="12"/>
  <c r="C164" i="12"/>
  <c r="I166" i="12"/>
  <c r="I165" i="12" s="1"/>
  <c r="E187" i="12"/>
  <c r="D195" i="12"/>
  <c r="F196" i="12"/>
  <c r="C203" i="12"/>
  <c r="C211" i="12"/>
  <c r="C221" i="12"/>
  <c r="C226" i="12"/>
  <c r="C227" i="12"/>
  <c r="J204" i="12"/>
  <c r="J195" i="12" s="1"/>
  <c r="J194" i="12" s="1"/>
  <c r="N231" i="12"/>
  <c r="C250" i="12"/>
  <c r="C254" i="12"/>
  <c r="C258" i="12"/>
  <c r="G259" i="12"/>
  <c r="K259" i="12"/>
  <c r="C262" i="12"/>
  <c r="C267" i="12"/>
  <c r="C268" i="12"/>
  <c r="C274" i="12"/>
  <c r="O272" i="12"/>
  <c r="O270" i="12" s="1"/>
  <c r="O269" i="12" s="1"/>
  <c r="C280" i="12"/>
  <c r="L293" i="12"/>
  <c r="M53" i="12"/>
  <c r="C148" i="12"/>
  <c r="C183" i="12"/>
  <c r="M195" i="12"/>
  <c r="I270" i="12"/>
  <c r="I269" i="12" s="1"/>
  <c r="G291" i="12"/>
  <c r="M291" i="12"/>
  <c r="L31" i="12"/>
  <c r="C31" i="12" s="1"/>
  <c r="L33" i="12"/>
  <c r="C33" i="12" s="1"/>
  <c r="D53" i="12"/>
  <c r="E54" i="12"/>
  <c r="E53" i="12" s="1"/>
  <c r="O55" i="12"/>
  <c r="L58" i="12"/>
  <c r="K76" i="12"/>
  <c r="K75" i="12" s="1"/>
  <c r="F76" i="12"/>
  <c r="D76" i="12"/>
  <c r="H76" i="12"/>
  <c r="H75" i="12" s="1"/>
  <c r="H52" i="12" s="1"/>
  <c r="L80" i="12"/>
  <c r="L76" i="12" s="1"/>
  <c r="E83" i="12"/>
  <c r="O95" i="12"/>
  <c r="L103" i="12"/>
  <c r="C107" i="12"/>
  <c r="C110" i="12"/>
  <c r="C115" i="12"/>
  <c r="L122" i="12"/>
  <c r="J130" i="12"/>
  <c r="C162" i="12"/>
  <c r="C168" i="12"/>
  <c r="N173" i="12"/>
  <c r="C190" i="12"/>
  <c r="E195" i="12"/>
  <c r="E194" i="12" s="1"/>
  <c r="C214" i="12"/>
  <c r="I216" i="12"/>
  <c r="C223" i="12"/>
  <c r="C224" i="12"/>
  <c r="C228" i="12"/>
  <c r="D231" i="12"/>
  <c r="D230" i="12" s="1"/>
  <c r="H231" i="12"/>
  <c r="C237" i="12"/>
  <c r="C247" i="12"/>
  <c r="C248" i="12"/>
  <c r="C255" i="12"/>
  <c r="C256" i="12"/>
  <c r="H259" i="12"/>
  <c r="C263" i="12"/>
  <c r="H270" i="12"/>
  <c r="H269" i="12" s="1"/>
  <c r="C282" i="12"/>
  <c r="C294" i="12"/>
  <c r="L54" i="12"/>
  <c r="C217" i="12"/>
  <c r="H292" i="12"/>
  <c r="H291" i="12" s="1"/>
  <c r="J26" i="12"/>
  <c r="K54" i="12"/>
  <c r="K53" i="12" s="1"/>
  <c r="K52" i="12" s="1"/>
  <c r="J54" i="12"/>
  <c r="J53" i="12" s="1"/>
  <c r="C60" i="12"/>
  <c r="C65" i="12"/>
  <c r="G76" i="12"/>
  <c r="G75" i="12" s="1"/>
  <c r="M76" i="12"/>
  <c r="M75" i="12" s="1"/>
  <c r="C86" i="12"/>
  <c r="C98" i="12"/>
  <c r="C100" i="12"/>
  <c r="C111" i="12"/>
  <c r="I116" i="12"/>
  <c r="C119" i="12"/>
  <c r="C124" i="12"/>
  <c r="E130" i="12"/>
  <c r="F131" i="12"/>
  <c r="C134" i="12"/>
  <c r="C143" i="12"/>
  <c r="I151" i="12"/>
  <c r="C157" i="12"/>
  <c r="C158" i="12"/>
  <c r="C167" i="12"/>
  <c r="O165" i="12"/>
  <c r="C172" i="12"/>
  <c r="J174" i="12"/>
  <c r="C186" i="12"/>
  <c r="C201" i="12"/>
  <c r="C209" i="12"/>
  <c r="O205" i="12"/>
  <c r="O204" i="12" s="1"/>
  <c r="H204" i="12"/>
  <c r="I238" i="12"/>
  <c r="I231" i="12" s="1"/>
  <c r="I230" i="12" s="1"/>
  <c r="C243" i="12"/>
  <c r="C244" i="12"/>
  <c r="I246" i="12"/>
  <c r="L292" i="12"/>
  <c r="L291" i="12" s="1"/>
  <c r="C21" i="12"/>
  <c r="J292" i="12"/>
  <c r="J291" i="12" s="1"/>
  <c r="J20" i="12"/>
  <c r="N292" i="12"/>
  <c r="N291" i="12" s="1"/>
  <c r="N20" i="12"/>
  <c r="C43" i="12"/>
  <c r="C88" i="12"/>
  <c r="F84" i="12"/>
  <c r="C79" i="12"/>
  <c r="I77" i="12"/>
  <c r="I76" i="12" s="1"/>
  <c r="K20" i="12"/>
  <c r="C22" i="12"/>
  <c r="L27" i="12"/>
  <c r="C44" i="12"/>
  <c r="C56" i="12"/>
  <c r="F55" i="12"/>
  <c r="C66" i="12"/>
  <c r="C71" i="12"/>
  <c r="I69" i="12"/>
  <c r="I67" i="12" s="1"/>
  <c r="C74" i="12"/>
  <c r="C80" i="12"/>
  <c r="D83" i="12"/>
  <c r="D75" i="12" s="1"/>
  <c r="J83" i="12"/>
  <c r="L95" i="12"/>
  <c r="L83" i="12" s="1"/>
  <c r="C102" i="12"/>
  <c r="I103" i="12"/>
  <c r="C118" i="12"/>
  <c r="C120" i="12"/>
  <c r="F116" i="12"/>
  <c r="C96" i="12"/>
  <c r="F95" i="12"/>
  <c r="C95" i="12" s="1"/>
  <c r="C180" i="12"/>
  <c r="L179" i="12"/>
  <c r="C213" i="12"/>
  <c r="I20" i="12"/>
  <c r="F292" i="12"/>
  <c r="L36" i="12"/>
  <c r="C36" i="12" s="1"/>
  <c r="F58" i="12"/>
  <c r="I58" i="12"/>
  <c r="C59" i="12"/>
  <c r="N75" i="12"/>
  <c r="N52" i="12" s="1"/>
  <c r="I84" i="12"/>
  <c r="F122" i="12"/>
  <c r="I122" i="12"/>
  <c r="C123" i="12"/>
  <c r="O130" i="12"/>
  <c r="F136" i="12"/>
  <c r="C178" i="12"/>
  <c r="F175" i="12"/>
  <c r="G20" i="12"/>
  <c r="C23" i="12"/>
  <c r="O45" i="12"/>
  <c r="O58" i="12"/>
  <c r="C68" i="12"/>
  <c r="F67" i="12"/>
  <c r="L69" i="12"/>
  <c r="L67" i="12" s="1"/>
  <c r="L53" i="12" s="1"/>
  <c r="J75" i="12"/>
  <c r="O76" i="12"/>
  <c r="C82" i="12"/>
  <c r="C91" i="12"/>
  <c r="I89" i="12"/>
  <c r="C89" i="12" s="1"/>
  <c r="C94" i="12"/>
  <c r="C104" i="12"/>
  <c r="F103" i="12"/>
  <c r="O103" i="12"/>
  <c r="C112" i="12"/>
  <c r="O122" i="12"/>
  <c r="C128" i="12"/>
  <c r="I131" i="12"/>
  <c r="C131" i="12" s="1"/>
  <c r="C132" i="12"/>
  <c r="C140" i="12"/>
  <c r="C141" i="12"/>
  <c r="J187" i="12"/>
  <c r="C218" i="12"/>
  <c r="L216" i="12"/>
  <c r="C301" i="12"/>
  <c r="C70" i="12"/>
  <c r="C78" i="12"/>
  <c r="C90" i="12"/>
  <c r="C142" i="12"/>
  <c r="F144" i="12"/>
  <c r="C145" i="12"/>
  <c r="C146" i="12"/>
  <c r="C153" i="12"/>
  <c r="C154" i="12"/>
  <c r="F151" i="12"/>
  <c r="C160" i="12"/>
  <c r="C161" i="12"/>
  <c r="L166" i="12"/>
  <c r="L165" i="12" s="1"/>
  <c r="C166" i="12"/>
  <c r="F165" i="12"/>
  <c r="C169" i="12"/>
  <c r="G174" i="12"/>
  <c r="G173" i="12" s="1"/>
  <c r="G52" i="12" s="1"/>
  <c r="I174" i="12"/>
  <c r="I173" i="12" s="1"/>
  <c r="C184" i="12"/>
  <c r="C185" i="12"/>
  <c r="C188" i="12"/>
  <c r="C189" i="12"/>
  <c r="F191" i="12"/>
  <c r="C191" i="12" s="1"/>
  <c r="C192" i="12"/>
  <c r="C193" i="12"/>
  <c r="C206" i="12"/>
  <c r="L205" i="12"/>
  <c r="H230" i="12"/>
  <c r="C233" i="12"/>
  <c r="N230" i="12"/>
  <c r="N289" i="12" s="1"/>
  <c r="O238" i="12"/>
  <c r="I144" i="12"/>
  <c r="C176" i="12"/>
  <c r="L175" i="12"/>
  <c r="C182" i="12"/>
  <c r="F179" i="12"/>
  <c r="C241" i="12"/>
  <c r="F238" i="12"/>
  <c r="F252" i="12"/>
  <c r="C253" i="12"/>
  <c r="F264" i="12"/>
  <c r="C265" i="12"/>
  <c r="C133" i="12"/>
  <c r="C149" i="12"/>
  <c r="C150" i="12"/>
  <c r="C152" i="12"/>
  <c r="L151" i="12"/>
  <c r="L130" i="12" s="1"/>
  <c r="J173" i="12"/>
  <c r="J289" i="12" s="1"/>
  <c r="O174" i="12"/>
  <c r="O173" i="12" s="1"/>
  <c r="N195" i="12"/>
  <c r="F260" i="12"/>
  <c r="C261" i="12"/>
  <c r="F216" i="12"/>
  <c r="M230" i="12"/>
  <c r="L270" i="12"/>
  <c r="L269" i="12" s="1"/>
  <c r="C273" i="12"/>
  <c r="F272" i="12"/>
  <c r="C288" i="12"/>
  <c r="I286" i="12"/>
  <c r="C286" i="12" s="1"/>
  <c r="C300" i="12"/>
  <c r="H195" i="12"/>
  <c r="C197" i="12"/>
  <c r="O196" i="12"/>
  <c r="O195" i="12" s="1"/>
  <c r="K195" i="12"/>
  <c r="C200" i="12"/>
  <c r="C208" i="12"/>
  <c r="F205" i="12"/>
  <c r="C215" i="12"/>
  <c r="C219" i="12"/>
  <c r="C220" i="12"/>
  <c r="K231" i="12"/>
  <c r="K230" i="12" s="1"/>
  <c r="O235" i="12"/>
  <c r="C235" i="12" s="1"/>
  <c r="C275" i="12"/>
  <c r="C281" i="12"/>
  <c r="C285" i="12"/>
  <c r="F284" i="12"/>
  <c r="G195" i="12"/>
  <c r="I198" i="12"/>
  <c r="C199" i="12"/>
  <c r="C207" i="12"/>
  <c r="I205" i="12"/>
  <c r="I204" i="12" s="1"/>
  <c r="C232" i="12"/>
  <c r="G231" i="12"/>
  <c r="G230" i="12" s="1"/>
  <c r="C236" i="12"/>
  <c r="C239" i="12"/>
  <c r="C240" i="12"/>
  <c r="L246" i="12"/>
  <c r="L231" i="12" s="1"/>
  <c r="L230" i="12" s="1"/>
  <c r="O252" i="12"/>
  <c r="O251" i="12" s="1"/>
  <c r="O260" i="12"/>
  <c r="O264" i="12"/>
  <c r="C271" i="12"/>
  <c r="M270" i="12"/>
  <c r="M269" i="12" s="1"/>
  <c r="C277" i="12"/>
  <c r="F276" i="12"/>
  <c r="C276" i="12" s="1"/>
  <c r="C295" i="12"/>
  <c r="C297" i="12"/>
  <c r="F293" i="12"/>
  <c r="O291" i="12"/>
  <c r="C287" i="12"/>
  <c r="G289" i="12" l="1"/>
  <c r="D194" i="12"/>
  <c r="C165" i="12"/>
  <c r="O83" i="12"/>
  <c r="E75" i="12"/>
  <c r="E52" i="12" s="1"/>
  <c r="E51" i="12" s="1"/>
  <c r="I54" i="12"/>
  <c r="I53" i="12" s="1"/>
  <c r="K289" i="12"/>
  <c r="C264" i="12"/>
  <c r="C293" i="12"/>
  <c r="O259" i="12"/>
  <c r="C116" i="12"/>
  <c r="L75" i="12"/>
  <c r="C238" i="12"/>
  <c r="M194" i="12"/>
  <c r="M289" i="12"/>
  <c r="C216" i="12"/>
  <c r="E289" i="12"/>
  <c r="H289" i="12"/>
  <c r="C246" i="12"/>
  <c r="J52" i="12"/>
  <c r="J51" i="12" s="1"/>
  <c r="J50" i="12" s="1"/>
  <c r="O54" i="12"/>
  <c r="O53" i="12" s="1"/>
  <c r="M52" i="12"/>
  <c r="D52" i="12"/>
  <c r="D51" i="12" s="1"/>
  <c r="D289" i="12"/>
  <c r="G194" i="12"/>
  <c r="G51" i="12" s="1"/>
  <c r="O231" i="12"/>
  <c r="F204" i="12"/>
  <c r="C205" i="12"/>
  <c r="C260" i="12"/>
  <c r="F259" i="12"/>
  <c r="L174" i="12"/>
  <c r="L173" i="12" s="1"/>
  <c r="L52" i="12" s="1"/>
  <c r="F231" i="12"/>
  <c r="C151" i="12"/>
  <c r="C67" i="12"/>
  <c r="C136" i="12"/>
  <c r="F130" i="12"/>
  <c r="C122" i="12"/>
  <c r="C198" i="12"/>
  <c r="I196" i="12"/>
  <c r="K194" i="12"/>
  <c r="K51" i="12" s="1"/>
  <c r="C272" i="12"/>
  <c r="F270" i="12"/>
  <c r="N194" i="12"/>
  <c r="N51" i="12" s="1"/>
  <c r="C252" i="12"/>
  <c r="F251" i="12"/>
  <c r="C251" i="12" s="1"/>
  <c r="L204" i="12"/>
  <c r="L195" i="12" s="1"/>
  <c r="L194" i="12" s="1"/>
  <c r="F187" i="12"/>
  <c r="C187" i="12" s="1"/>
  <c r="C144" i="12"/>
  <c r="I130" i="12"/>
  <c r="O75" i="12"/>
  <c r="O52" i="12" s="1"/>
  <c r="I83" i="12"/>
  <c r="C77" i="12"/>
  <c r="E50" i="12"/>
  <c r="E24" i="12" s="1"/>
  <c r="E20" i="12" s="1"/>
  <c r="C45" i="12"/>
  <c r="O20" i="12"/>
  <c r="C55" i="12"/>
  <c r="F54" i="12"/>
  <c r="C27" i="12"/>
  <c r="L26" i="12"/>
  <c r="C284" i="12"/>
  <c r="F283" i="12"/>
  <c r="C283" i="12" s="1"/>
  <c r="H194" i="12"/>
  <c r="H51" i="12" s="1"/>
  <c r="C179" i="12"/>
  <c r="F291" i="12"/>
  <c r="C103" i="12"/>
  <c r="F174" i="12"/>
  <c r="C175" i="12"/>
  <c r="C58" i="12"/>
  <c r="C84" i="12"/>
  <c r="F83" i="12"/>
  <c r="C76" i="12"/>
  <c r="I292" i="12"/>
  <c r="I291" i="12" s="1"/>
  <c r="C69" i="12"/>
  <c r="J290" i="12" l="1"/>
  <c r="I75" i="12"/>
  <c r="I52" i="12" s="1"/>
  <c r="C292" i="12"/>
  <c r="M51" i="12"/>
  <c r="L51" i="12"/>
  <c r="L50" i="12" s="1"/>
  <c r="C259" i="12"/>
  <c r="O230" i="12"/>
  <c r="N50" i="12"/>
  <c r="N290" i="12"/>
  <c r="F269" i="12"/>
  <c r="C270" i="12"/>
  <c r="H290" i="12"/>
  <c r="H50" i="12"/>
  <c r="E290" i="12"/>
  <c r="C204" i="12"/>
  <c r="F195" i="12"/>
  <c r="G290" i="12"/>
  <c r="G50" i="12"/>
  <c r="F53" i="12"/>
  <c r="C54" i="12"/>
  <c r="O289" i="12"/>
  <c r="C83" i="12"/>
  <c r="F75" i="12"/>
  <c r="C75" i="12" s="1"/>
  <c r="L290" i="12"/>
  <c r="C26" i="12"/>
  <c r="L20" i="12"/>
  <c r="I195" i="12"/>
  <c r="C196" i="12"/>
  <c r="C174" i="12"/>
  <c r="F173" i="12"/>
  <c r="C173" i="12" s="1"/>
  <c r="D50" i="12"/>
  <c r="D24" i="12" s="1"/>
  <c r="D290" i="12" s="1"/>
  <c r="C291" i="12"/>
  <c r="K50" i="12"/>
  <c r="K290" i="12"/>
  <c r="C130" i="12"/>
  <c r="C231" i="12"/>
  <c r="F230" i="12"/>
  <c r="C230" i="12" s="1"/>
  <c r="O194" i="12"/>
  <c r="O51" i="12" s="1"/>
  <c r="L289" i="12"/>
  <c r="M50" i="12" l="1"/>
  <c r="M290" i="12"/>
  <c r="O50" i="12"/>
  <c r="O290" i="12"/>
  <c r="F52" i="12"/>
  <c r="C53" i="12"/>
  <c r="F24" i="12"/>
  <c r="D20" i="12"/>
  <c r="F194" i="12"/>
  <c r="C195" i="12"/>
  <c r="I194" i="12"/>
  <c r="I51" i="12" s="1"/>
  <c r="I289" i="12"/>
  <c r="C269" i="12"/>
  <c r="F289" i="12"/>
  <c r="I290" i="12" l="1"/>
  <c r="I50" i="12"/>
  <c r="C24" i="12"/>
  <c r="F20" i="12"/>
  <c r="C20" i="12" s="1"/>
  <c r="C289" i="12"/>
  <c r="C194" i="12"/>
  <c r="C52" i="12"/>
  <c r="F51" i="12"/>
  <c r="F290" i="12" l="1"/>
  <c r="C290" i="12" s="1"/>
  <c r="C51" i="12"/>
  <c r="F50" i="12"/>
  <c r="C50" i="12" s="1"/>
  <c r="O301" i="11" l="1"/>
  <c r="L301" i="11"/>
  <c r="I301" i="11"/>
  <c r="F301" i="11"/>
  <c r="O300" i="11"/>
  <c r="L300" i="11"/>
  <c r="I300" i="11"/>
  <c r="F300" i="11"/>
  <c r="O299" i="11"/>
  <c r="L299" i="11"/>
  <c r="I299" i="11"/>
  <c r="F299" i="11"/>
  <c r="C299" i="11" s="1"/>
  <c r="O298" i="11"/>
  <c r="L298" i="11"/>
  <c r="I298" i="11"/>
  <c r="F298" i="11"/>
  <c r="C298" i="11" s="1"/>
  <c r="O297" i="11"/>
  <c r="L297" i="11"/>
  <c r="I297" i="11"/>
  <c r="F297" i="11"/>
  <c r="O296" i="11"/>
  <c r="L296" i="11"/>
  <c r="I296" i="11"/>
  <c r="F296" i="11"/>
  <c r="O295" i="11"/>
  <c r="L295" i="11"/>
  <c r="I295" i="11"/>
  <c r="F295" i="11"/>
  <c r="O294" i="11"/>
  <c r="L294" i="11"/>
  <c r="I294" i="11"/>
  <c r="I293" i="11" s="1"/>
  <c r="F294" i="11"/>
  <c r="C294" i="11" s="1"/>
  <c r="N293" i="11"/>
  <c r="M293" i="11"/>
  <c r="K293" i="11"/>
  <c r="J293" i="11"/>
  <c r="H293" i="11"/>
  <c r="G293" i="11"/>
  <c r="E293" i="11"/>
  <c r="D293" i="11"/>
  <c r="O288" i="11"/>
  <c r="L288" i="11"/>
  <c r="I288" i="11"/>
  <c r="F288" i="11"/>
  <c r="O287" i="11"/>
  <c r="L287" i="11"/>
  <c r="L286" i="11" s="1"/>
  <c r="I287" i="11"/>
  <c r="F287" i="11"/>
  <c r="F286" i="11" s="1"/>
  <c r="O286" i="11"/>
  <c r="N286" i="11"/>
  <c r="M286" i="11"/>
  <c r="K286" i="11"/>
  <c r="J286" i="11"/>
  <c r="H286" i="11"/>
  <c r="G286" i="11"/>
  <c r="E286" i="11"/>
  <c r="D286" i="11"/>
  <c r="O285" i="11"/>
  <c r="L285" i="11"/>
  <c r="L284" i="11" s="1"/>
  <c r="L283" i="11" s="1"/>
  <c r="I285" i="11"/>
  <c r="I284" i="11" s="1"/>
  <c r="I283" i="11" s="1"/>
  <c r="F285" i="11"/>
  <c r="O284" i="11"/>
  <c r="O283" i="11" s="1"/>
  <c r="N284" i="11"/>
  <c r="M284" i="11"/>
  <c r="M283" i="11" s="1"/>
  <c r="K284" i="11"/>
  <c r="K283" i="11" s="1"/>
  <c r="J284" i="11"/>
  <c r="J283" i="11" s="1"/>
  <c r="H284" i="11"/>
  <c r="H283" i="11" s="1"/>
  <c r="G284" i="11"/>
  <c r="G283" i="11" s="1"/>
  <c r="E284" i="11"/>
  <c r="E283" i="11" s="1"/>
  <c r="D284" i="11"/>
  <c r="D283" i="11" s="1"/>
  <c r="N283" i="11"/>
  <c r="O282" i="11"/>
  <c r="O281" i="11" s="1"/>
  <c r="L282" i="11"/>
  <c r="L281" i="11" s="1"/>
  <c r="I282" i="11"/>
  <c r="I281" i="11" s="1"/>
  <c r="F282" i="11"/>
  <c r="N281" i="11"/>
  <c r="M281" i="11"/>
  <c r="K281" i="11"/>
  <c r="J281" i="11"/>
  <c r="H281" i="11"/>
  <c r="G281" i="11"/>
  <c r="F281" i="11"/>
  <c r="E281" i="11"/>
  <c r="D281" i="11"/>
  <c r="O280" i="11"/>
  <c r="L280" i="11"/>
  <c r="I280" i="11"/>
  <c r="F280" i="11"/>
  <c r="O279" i="11"/>
  <c r="L279" i="11"/>
  <c r="I279" i="11"/>
  <c r="F279" i="11"/>
  <c r="C279" i="11" s="1"/>
  <c r="O278" i="11"/>
  <c r="L278" i="11"/>
  <c r="I278" i="11"/>
  <c r="F278" i="11"/>
  <c r="C278" i="11" s="1"/>
  <c r="O277" i="11"/>
  <c r="L277" i="11"/>
  <c r="L276" i="11" s="1"/>
  <c r="I277" i="11"/>
  <c r="I276" i="11" s="1"/>
  <c r="F277" i="11"/>
  <c r="N276" i="11"/>
  <c r="M276" i="11"/>
  <c r="K276" i="11"/>
  <c r="J276" i="11"/>
  <c r="H276" i="11"/>
  <c r="G276" i="11"/>
  <c r="E276" i="11"/>
  <c r="D276" i="11"/>
  <c r="O275" i="11"/>
  <c r="L275" i="11"/>
  <c r="I275" i="11"/>
  <c r="F275" i="11"/>
  <c r="O274" i="11"/>
  <c r="L274" i="11"/>
  <c r="C274" i="11" s="1"/>
  <c r="I274" i="11"/>
  <c r="F274" i="11"/>
  <c r="O273" i="11"/>
  <c r="L273" i="11"/>
  <c r="I273" i="11"/>
  <c r="F273" i="11"/>
  <c r="N272" i="11"/>
  <c r="N270" i="11" s="1"/>
  <c r="N269" i="11" s="1"/>
  <c r="M272" i="11"/>
  <c r="K272" i="11"/>
  <c r="J272" i="11"/>
  <c r="I272" i="11"/>
  <c r="H272" i="11"/>
  <c r="G272" i="11"/>
  <c r="E272" i="11"/>
  <c r="E270" i="11" s="1"/>
  <c r="E269" i="11" s="1"/>
  <c r="D272" i="11"/>
  <c r="D270" i="11" s="1"/>
  <c r="O271" i="11"/>
  <c r="L271" i="11"/>
  <c r="I271" i="11"/>
  <c r="F271" i="11"/>
  <c r="J270" i="11"/>
  <c r="H270" i="11"/>
  <c r="J269" i="11"/>
  <c r="O268" i="11"/>
  <c r="L268" i="11"/>
  <c r="I268" i="11"/>
  <c r="F268" i="11"/>
  <c r="O267" i="11"/>
  <c r="L267" i="11"/>
  <c r="I267" i="11"/>
  <c r="F267" i="11"/>
  <c r="O266" i="11"/>
  <c r="L266" i="11"/>
  <c r="I266" i="11"/>
  <c r="F266" i="11"/>
  <c r="C266" i="11" s="1"/>
  <c r="O265" i="11"/>
  <c r="L265" i="11"/>
  <c r="I265" i="11"/>
  <c r="I264" i="11" s="1"/>
  <c r="F265" i="11"/>
  <c r="N264" i="11"/>
  <c r="M264" i="11"/>
  <c r="K264" i="11"/>
  <c r="J264" i="11"/>
  <c r="H264" i="11"/>
  <c r="G264" i="11"/>
  <c r="E264" i="11"/>
  <c r="D264" i="11"/>
  <c r="O263" i="11"/>
  <c r="L263" i="11"/>
  <c r="I263" i="11"/>
  <c r="F263" i="11"/>
  <c r="O262" i="11"/>
  <c r="L262" i="11"/>
  <c r="C262" i="11" s="1"/>
  <c r="I262" i="11"/>
  <c r="F262" i="11"/>
  <c r="O261" i="11"/>
  <c r="L261" i="11"/>
  <c r="I261" i="11"/>
  <c r="F261" i="11"/>
  <c r="N260" i="11"/>
  <c r="N259" i="11" s="1"/>
  <c r="M260" i="11"/>
  <c r="K260" i="11"/>
  <c r="J260" i="11"/>
  <c r="I260" i="11"/>
  <c r="H260" i="11"/>
  <c r="H259" i="11" s="1"/>
  <c r="G260" i="11"/>
  <c r="E260" i="11"/>
  <c r="E259" i="11" s="1"/>
  <c r="D260" i="11"/>
  <c r="J259" i="11"/>
  <c r="D259" i="11"/>
  <c r="O258" i="11"/>
  <c r="L258" i="11"/>
  <c r="I258" i="11"/>
  <c r="F258" i="11"/>
  <c r="C258" i="11" s="1"/>
  <c r="O257" i="11"/>
  <c r="L257" i="11"/>
  <c r="I257" i="11"/>
  <c r="F257" i="11"/>
  <c r="O256" i="11"/>
  <c r="L256" i="11"/>
  <c r="I256" i="11"/>
  <c r="F256" i="11"/>
  <c r="O255" i="11"/>
  <c r="L255" i="11"/>
  <c r="I255" i="11"/>
  <c r="F255" i="11"/>
  <c r="O254" i="11"/>
  <c r="L254" i="11"/>
  <c r="I254" i="11"/>
  <c r="F254" i="11"/>
  <c r="O253" i="11"/>
  <c r="L253" i="11"/>
  <c r="I253" i="11"/>
  <c r="I252" i="11" s="1"/>
  <c r="I251" i="11" s="1"/>
  <c r="F253" i="11"/>
  <c r="N252" i="11"/>
  <c r="M252" i="11"/>
  <c r="M251" i="11" s="1"/>
  <c r="K252" i="11"/>
  <c r="K251" i="11" s="1"/>
  <c r="J252" i="11"/>
  <c r="H252" i="11"/>
  <c r="H251" i="11" s="1"/>
  <c r="G252" i="11"/>
  <c r="G251" i="11" s="1"/>
  <c r="E252" i="11"/>
  <c r="E251" i="11" s="1"/>
  <c r="D252" i="11"/>
  <c r="N251" i="11"/>
  <c r="J251" i="11"/>
  <c r="D251" i="11"/>
  <c r="O250" i="11"/>
  <c r="L250" i="11"/>
  <c r="I250" i="11"/>
  <c r="F250" i="11"/>
  <c r="C250" i="11" s="1"/>
  <c r="O249" i="11"/>
  <c r="L249" i="11"/>
  <c r="I249" i="11"/>
  <c r="F249" i="11"/>
  <c r="O248" i="11"/>
  <c r="L248" i="11"/>
  <c r="I248" i="11"/>
  <c r="F248" i="11"/>
  <c r="O247" i="11"/>
  <c r="L247" i="11"/>
  <c r="L246" i="11" s="1"/>
  <c r="I247" i="11"/>
  <c r="F247" i="11"/>
  <c r="N246" i="11"/>
  <c r="M246" i="11"/>
  <c r="K246" i="11"/>
  <c r="J246" i="11"/>
  <c r="H246" i="11"/>
  <c r="G246" i="11"/>
  <c r="E246" i="11"/>
  <c r="D246" i="11"/>
  <c r="O245" i="11"/>
  <c r="L245" i="11"/>
  <c r="I245" i="11"/>
  <c r="F245" i="11"/>
  <c r="O244" i="11"/>
  <c r="L244" i="11"/>
  <c r="I244" i="11"/>
  <c r="C244" i="11" s="1"/>
  <c r="F244" i="11"/>
  <c r="O243" i="11"/>
  <c r="L243" i="11"/>
  <c r="I243" i="11"/>
  <c r="F243" i="11"/>
  <c r="O242" i="11"/>
  <c r="L242" i="11"/>
  <c r="I242" i="11"/>
  <c r="C242" i="11" s="1"/>
  <c r="F242" i="11"/>
  <c r="O241" i="11"/>
  <c r="L241" i="11"/>
  <c r="I241" i="11"/>
  <c r="F241" i="11"/>
  <c r="O240" i="11"/>
  <c r="L240" i="11"/>
  <c r="I240" i="11"/>
  <c r="F240" i="11"/>
  <c r="O239" i="11"/>
  <c r="L239" i="11"/>
  <c r="I239" i="11"/>
  <c r="F239" i="11"/>
  <c r="F238" i="11" s="1"/>
  <c r="N238" i="11"/>
  <c r="M238" i="11"/>
  <c r="K238" i="11"/>
  <c r="J238" i="11"/>
  <c r="H238" i="11"/>
  <c r="G238" i="11"/>
  <c r="E238" i="11"/>
  <c r="D238" i="11"/>
  <c r="O237" i="11"/>
  <c r="L237" i="11"/>
  <c r="I237" i="11"/>
  <c r="F237" i="11"/>
  <c r="O236" i="11"/>
  <c r="L236" i="11"/>
  <c r="L235" i="11" s="1"/>
  <c r="I236" i="11"/>
  <c r="F236" i="11"/>
  <c r="O235" i="11"/>
  <c r="N235" i="11"/>
  <c r="M235" i="11"/>
  <c r="K235" i="11"/>
  <c r="J235" i="11"/>
  <c r="H235" i="11"/>
  <c r="G235" i="11"/>
  <c r="E235" i="11"/>
  <c r="D235" i="11"/>
  <c r="O234" i="11"/>
  <c r="O233" i="11" s="1"/>
  <c r="L234" i="11"/>
  <c r="L233" i="11" s="1"/>
  <c r="I234" i="11"/>
  <c r="F234" i="11"/>
  <c r="N233" i="11"/>
  <c r="M233" i="11"/>
  <c r="K233" i="11"/>
  <c r="J233" i="11"/>
  <c r="I233" i="11"/>
  <c r="H233" i="11"/>
  <c r="H231" i="11" s="1"/>
  <c r="G233" i="11"/>
  <c r="E233" i="11"/>
  <c r="D233" i="11"/>
  <c r="D231" i="11" s="1"/>
  <c r="D230" i="11" s="1"/>
  <c r="O232" i="11"/>
  <c r="L232" i="11"/>
  <c r="I232" i="11"/>
  <c r="F232" i="11"/>
  <c r="O229" i="11"/>
  <c r="L229" i="11"/>
  <c r="I229" i="11"/>
  <c r="F229" i="11"/>
  <c r="O228" i="11"/>
  <c r="L228" i="11"/>
  <c r="I228" i="11"/>
  <c r="F228" i="11"/>
  <c r="F227" i="11" s="1"/>
  <c r="O227" i="11"/>
  <c r="N227" i="11"/>
  <c r="M227" i="11"/>
  <c r="L227" i="11"/>
  <c r="K227" i="11"/>
  <c r="J227" i="11"/>
  <c r="H227" i="11"/>
  <c r="G227" i="11"/>
  <c r="E227" i="11"/>
  <c r="D227" i="11"/>
  <c r="O226" i="11"/>
  <c r="L226" i="11"/>
  <c r="I226" i="11"/>
  <c r="F226" i="11"/>
  <c r="O225" i="11"/>
  <c r="L225" i="11"/>
  <c r="I225" i="11"/>
  <c r="F225" i="11"/>
  <c r="O224" i="11"/>
  <c r="L224" i="11"/>
  <c r="I224" i="11"/>
  <c r="F224" i="11"/>
  <c r="O223" i="11"/>
  <c r="L223" i="11"/>
  <c r="I223" i="11"/>
  <c r="F223" i="11"/>
  <c r="O222" i="11"/>
  <c r="C222" i="11" s="1"/>
  <c r="L222" i="11"/>
  <c r="I222" i="11"/>
  <c r="F222" i="11"/>
  <c r="O221" i="11"/>
  <c r="L221" i="11"/>
  <c r="I221" i="11"/>
  <c r="F221" i="11"/>
  <c r="O220" i="11"/>
  <c r="L220" i="11"/>
  <c r="I220" i="11"/>
  <c r="F220" i="11"/>
  <c r="O219" i="11"/>
  <c r="L219" i="11"/>
  <c r="I219" i="11"/>
  <c r="F219" i="11"/>
  <c r="O218" i="11"/>
  <c r="L218" i="11"/>
  <c r="I218" i="11"/>
  <c r="F218" i="11"/>
  <c r="O217" i="11"/>
  <c r="L217" i="11"/>
  <c r="I217" i="11"/>
  <c r="I216" i="11" s="1"/>
  <c r="F217" i="11"/>
  <c r="N216" i="11"/>
  <c r="M216" i="11"/>
  <c r="K216" i="11"/>
  <c r="J216" i="11"/>
  <c r="H216" i="11"/>
  <c r="G216" i="11"/>
  <c r="E216" i="11"/>
  <c r="D216" i="11"/>
  <c r="O215" i="11"/>
  <c r="L215" i="11"/>
  <c r="I215" i="11"/>
  <c r="F215" i="11"/>
  <c r="O214" i="11"/>
  <c r="L214" i="11"/>
  <c r="I214" i="11"/>
  <c r="F214" i="11"/>
  <c r="C214" i="11" s="1"/>
  <c r="O213" i="11"/>
  <c r="L213" i="11"/>
  <c r="I213" i="11"/>
  <c r="F213" i="11"/>
  <c r="O212" i="11"/>
  <c r="L212" i="11"/>
  <c r="I212" i="11"/>
  <c r="F212" i="11"/>
  <c r="O211" i="11"/>
  <c r="L211" i="11"/>
  <c r="I211" i="11"/>
  <c r="F211" i="11"/>
  <c r="O210" i="11"/>
  <c r="C210" i="11" s="1"/>
  <c r="L210" i="11"/>
  <c r="I210" i="11"/>
  <c r="F210" i="11"/>
  <c r="O209" i="11"/>
  <c r="L209" i="11"/>
  <c r="I209" i="11"/>
  <c r="F209" i="11"/>
  <c r="O208" i="11"/>
  <c r="L208" i="11"/>
  <c r="I208" i="11"/>
  <c r="F208" i="11"/>
  <c r="O207" i="11"/>
  <c r="L207" i="11"/>
  <c r="I207" i="11"/>
  <c r="F207" i="11"/>
  <c r="O206" i="11"/>
  <c r="L206" i="11"/>
  <c r="I206" i="11"/>
  <c r="F206" i="11"/>
  <c r="N205" i="11"/>
  <c r="M205" i="11"/>
  <c r="K205" i="11"/>
  <c r="K204" i="11" s="1"/>
  <c r="J205" i="11"/>
  <c r="H205" i="11"/>
  <c r="H204" i="11" s="1"/>
  <c r="G205" i="11"/>
  <c r="E205" i="11"/>
  <c r="D205" i="11"/>
  <c r="D204" i="11" s="1"/>
  <c r="M204" i="11"/>
  <c r="G204" i="11"/>
  <c r="O203" i="11"/>
  <c r="L203" i="11"/>
  <c r="I203" i="11"/>
  <c r="F203" i="11"/>
  <c r="O202" i="11"/>
  <c r="L202" i="11"/>
  <c r="I202" i="11"/>
  <c r="F202" i="11"/>
  <c r="O201" i="11"/>
  <c r="L201" i="11"/>
  <c r="I201" i="11"/>
  <c r="F201" i="11"/>
  <c r="O200" i="11"/>
  <c r="L200" i="11"/>
  <c r="I200" i="11"/>
  <c r="F200" i="11"/>
  <c r="O199" i="11"/>
  <c r="L199" i="11"/>
  <c r="L198" i="11" s="1"/>
  <c r="I199" i="11"/>
  <c r="I198" i="11" s="1"/>
  <c r="F199" i="11"/>
  <c r="O198" i="11"/>
  <c r="N198" i="11"/>
  <c r="N196" i="11" s="1"/>
  <c r="M198" i="11"/>
  <c r="K198" i="11"/>
  <c r="K196" i="11" s="1"/>
  <c r="J198" i="11"/>
  <c r="J196" i="11" s="1"/>
  <c r="H198" i="11"/>
  <c r="G198" i="11"/>
  <c r="G196" i="11" s="1"/>
  <c r="G195" i="11" s="1"/>
  <c r="F198" i="11"/>
  <c r="E198" i="11"/>
  <c r="D198" i="11"/>
  <c r="O197" i="11"/>
  <c r="L197" i="11"/>
  <c r="I197" i="11"/>
  <c r="F197" i="11"/>
  <c r="M196" i="11"/>
  <c r="M195" i="11" s="1"/>
  <c r="L196" i="11"/>
  <c r="H196" i="11"/>
  <c r="E196" i="11"/>
  <c r="D196" i="11"/>
  <c r="D195" i="11" s="1"/>
  <c r="O193" i="11"/>
  <c r="O192" i="11" s="1"/>
  <c r="O191" i="11" s="1"/>
  <c r="L193" i="11"/>
  <c r="L192" i="11" s="1"/>
  <c r="L191" i="11" s="1"/>
  <c r="I193" i="11"/>
  <c r="F193" i="11"/>
  <c r="F192" i="11" s="1"/>
  <c r="F191" i="11" s="1"/>
  <c r="N192" i="11"/>
  <c r="M192" i="11"/>
  <c r="M191" i="11" s="1"/>
  <c r="K192" i="11"/>
  <c r="J192" i="11"/>
  <c r="I192" i="11"/>
  <c r="I191" i="11" s="1"/>
  <c r="H192" i="11"/>
  <c r="H191" i="11" s="1"/>
  <c r="G192" i="11"/>
  <c r="E192" i="11"/>
  <c r="E191" i="11" s="1"/>
  <c r="D192" i="11"/>
  <c r="D191" i="11" s="1"/>
  <c r="N191" i="11"/>
  <c r="K191" i="11"/>
  <c r="J191" i="11"/>
  <c r="G191" i="11"/>
  <c r="O190" i="11"/>
  <c r="L190" i="11"/>
  <c r="I190" i="11"/>
  <c r="F190" i="11"/>
  <c r="O189" i="11"/>
  <c r="O188" i="11" s="1"/>
  <c r="O187" i="11" s="1"/>
  <c r="L189" i="11"/>
  <c r="L188" i="11" s="1"/>
  <c r="I189" i="11"/>
  <c r="F189" i="11"/>
  <c r="N188" i="11"/>
  <c r="N187" i="11" s="1"/>
  <c r="M188" i="11"/>
  <c r="K188" i="11"/>
  <c r="J188" i="11"/>
  <c r="J187" i="11" s="1"/>
  <c r="I188" i="11"/>
  <c r="H188" i="11"/>
  <c r="G188" i="11"/>
  <c r="F188" i="11"/>
  <c r="E188" i="11"/>
  <c r="D188" i="11"/>
  <c r="K187" i="11"/>
  <c r="O186" i="11"/>
  <c r="L186" i="11"/>
  <c r="I186" i="11"/>
  <c r="F186" i="11"/>
  <c r="O185" i="11"/>
  <c r="O184" i="11" s="1"/>
  <c r="L185" i="11"/>
  <c r="L184" i="11" s="1"/>
  <c r="I185" i="11"/>
  <c r="F185" i="11"/>
  <c r="N184" i="11"/>
  <c r="M184" i="11"/>
  <c r="K184" i="11"/>
  <c r="J184" i="11"/>
  <c r="I184" i="11"/>
  <c r="H184" i="11"/>
  <c r="G184" i="11"/>
  <c r="F184" i="11"/>
  <c r="E184" i="11"/>
  <c r="D184" i="11"/>
  <c r="O183" i="11"/>
  <c r="L183" i="11"/>
  <c r="I183" i="11"/>
  <c r="F183" i="11"/>
  <c r="O182" i="11"/>
  <c r="L182" i="11"/>
  <c r="I182" i="11"/>
  <c r="F182" i="11"/>
  <c r="C182" i="11" s="1"/>
  <c r="O181" i="11"/>
  <c r="L181" i="11"/>
  <c r="I181" i="11"/>
  <c r="F181" i="11"/>
  <c r="O180" i="11"/>
  <c r="L180" i="11"/>
  <c r="I180" i="11"/>
  <c r="F180" i="11"/>
  <c r="O179" i="11"/>
  <c r="N179" i="11"/>
  <c r="M179" i="11"/>
  <c r="K179" i="11"/>
  <c r="J179" i="11"/>
  <c r="H179" i="11"/>
  <c r="G179" i="11"/>
  <c r="F179" i="11"/>
  <c r="E179" i="11"/>
  <c r="D179" i="11"/>
  <c r="O178" i="11"/>
  <c r="L178" i="11"/>
  <c r="I178" i="11"/>
  <c r="F178" i="11"/>
  <c r="O177" i="11"/>
  <c r="L177" i="11"/>
  <c r="I177" i="11"/>
  <c r="F177" i="11"/>
  <c r="O176" i="11"/>
  <c r="L176" i="11"/>
  <c r="L175" i="11" s="1"/>
  <c r="I176" i="11"/>
  <c r="I175" i="11" s="1"/>
  <c r="F176" i="11"/>
  <c r="O175" i="11"/>
  <c r="O174" i="11" s="1"/>
  <c r="O173" i="11" s="1"/>
  <c r="N175" i="11"/>
  <c r="M175" i="11"/>
  <c r="M174" i="11" s="1"/>
  <c r="K175" i="11"/>
  <c r="K174" i="11" s="1"/>
  <c r="K173" i="11" s="1"/>
  <c r="J175" i="11"/>
  <c r="J174" i="11" s="1"/>
  <c r="J173" i="11" s="1"/>
  <c r="H175" i="11"/>
  <c r="G175" i="11"/>
  <c r="G174" i="11" s="1"/>
  <c r="G173" i="11" s="1"/>
  <c r="E175" i="11"/>
  <c r="E174" i="11" s="1"/>
  <c r="D175" i="11"/>
  <c r="H174" i="11"/>
  <c r="H173" i="11"/>
  <c r="O172" i="11"/>
  <c r="L172" i="11"/>
  <c r="I172" i="11"/>
  <c r="F172" i="11"/>
  <c r="C172" i="11" s="1"/>
  <c r="O171" i="11"/>
  <c r="L171" i="11"/>
  <c r="I171" i="11"/>
  <c r="F171" i="11"/>
  <c r="C171" i="11" s="1"/>
  <c r="O170" i="11"/>
  <c r="L170" i="11"/>
  <c r="I170" i="11"/>
  <c r="F170" i="11"/>
  <c r="O169" i="11"/>
  <c r="L169" i="11"/>
  <c r="I169" i="11"/>
  <c r="F169" i="11"/>
  <c r="O168" i="11"/>
  <c r="L168" i="11"/>
  <c r="I168" i="11"/>
  <c r="F168" i="11"/>
  <c r="O167" i="11"/>
  <c r="L167" i="11"/>
  <c r="I167" i="11"/>
  <c r="I166" i="11" s="1"/>
  <c r="F167" i="11"/>
  <c r="O166" i="11"/>
  <c r="N166" i="11"/>
  <c r="N165" i="11" s="1"/>
  <c r="M166" i="11"/>
  <c r="M165" i="11" s="1"/>
  <c r="K166" i="11"/>
  <c r="K165" i="11" s="1"/>
  <c r="J166" i="11"/>
  <c r="J165" i="11" s="1"/>
  <c r="H166" i="11"/>
  <c r="G166" i="11"/>
  <c r="G165" i="11" s="1"/>
  <c r="E166" i="11"/>
  <c r="D166" i="11"/>
  <c r="D165" i="11" s="1"/>
  <c r="I165" i="11"/>
  <c r="H165" i="11"/>
  <c r="E165" i="11"/>
  <c r="O164" i="11"/>
  <c r="L164" i="11"/>
  <c r="I164" i="11"/>
  <c r="F164" i="11"/>
  <c r="O163" i="11"/>
  <c r="L163" i="11"/>
  <c r="I163" i="11"/>
  <c r="F163" i="11"/>
  <c r="C163" i="11" s="1"/>
  <c r="O162" i="11"/>
  <c r="L162" i="11"/>
  <c r="I162" i="11"/>
  <c r="F162" i="11"/>
  <c r="O161" i="11"/>
  <c r="L161" i="11"/>
  <c r="I161" i="11"/>
  <c r="I160" i="11" s="1"/>
  <c r="F161" i="11"/>
  <c r="F160" i="11" s="1"/>
  <c r="N160" i="11"/>
  <c r="M160" i="11"/>
  <c r="L160" i="11"/>
  <c r="K160" i="11"/>
  <c r="J160" i="11"/>
  <c r="H160" i="11"/>
  <c r="G160" i="11"/>
  <c r="E160" i="11"/>
  <c r="D160" i="11"/>
  <c r="O159" i="11"/>
  <c r="L159" i="11"/>
  <c r="I159" i="11"/>
  <c r="F159" i="11"/>
  <c r="O158" i="11"/>
  <c r="L158" i="11"/>
  <c r="I158" i="11"/>
  <c r="F158" i="11"/>
  <c r="O157" i="11"/>
  <c r="L157" i="11"/>
  <c r="I157" i="11"/>
  <c r="F157" i="11"/>
  <c r="O156" i="11"/>
  <c r="L156" i="11"/>
  <c r="I156" i="11"/>
  <c r="F156" i="11"/>
  <c r="O155" i="11"/>
  <c r="L155" i="11"/>
  <c r="I155" i="11"/>
  <c r="F155" i="11"/>
  <c r="O154" i="11"/>
  <c r="L154" i="11"/>
  <c r="I154" i="11"/>
  <c r="C154" i="11" s="1"/>
  <c r="F154" i="11"/>
  <c r="O153" i="11"/>
  <c r="L153" i="11"/>
  <c r="I153" i="11"/>
  <c r="F153" i="11"/>
  <c r="O152" i="11"/>
  <c r="L152" i="11"/>
  <c r="I152" i="11"/>
  <c r="F152" i="11"/>
  <c r="N151" i="11"/>
  <c r="M151" i="11"/>
  <c r="K151" i="11"/>
  <c r="J151" i="11"/>
  <c r="H151" i="11"/>
  <c r="G151" i="11"/>
  <c r="F151" i="11"/>
  <c r="E151" i="11"/>
  <c r="D151" i="11"/>
  <c r="O150" i="11"/>
  <c r="L150" i="11"/>
  <c r="C150" i="11" s="1"/>
  <c r="I150" i="11"/>
  <c r="F150" i="11"/>
  <c r="O149" i="11"/>
  <c r="L149" i="11"/>
  <c r="I149" i="11"/>
  <c r="F149" i="11"/>
  <c r="O148" i="11"/>
  <c r="L148" i="11"/>
  <c r="I148" i="11"/>
  <c r="F148" i="11"/>
  <c r="O147" i="11"/>
  <c r="L147" i="11"/>
  <c r="I147" i="11"/>
  <c r="F147" i="11"/>
  <c r="O146" i="11"/>
  <c r="L146" i="11"/>
  <c r="I146" i="11"/>
  <c r="F146" i="11"/>
  <c r="O145" i="11"/>
  <c r="L145" i="11"/>
  <c r="I145" i="11"/>
  <c r="I144" i="11" s="1"/>
  <c r="F145" i="11"/>
  <c r="N144" i="11"/>
  <c r="M144" i="11"/>
  <c r="K144" i="11"/>
  <c r="J144" i="11"/>
  <c r="H144" i="11"/>
  <c r="G144" i="11"/>
  <c r="E144" i="11"/>
  <c r="D144" i="11"/>
  <c r="O143" i="11"/>
  <c r="L143" i="11"/>
  <c r="I143" i="11"/>
  <c r="F143" i="11"/>
  <c r="O142" i="11"/>
  <c r="L142" i="11"/>
  <c r="L141" i="11" s="1"/>
  <c r="I142" i="11"/>
  <c r="F142" i="11"/>
  <c r="F141" i="11" s="1"/>
  <c r="N141" i="11"/>
  <c r="M141" i="11"/>
  <c r="K141" i="11"/>
  <c r="J141" i="11"/>
  <c r="I141" i="11"/>
  <c r="H141" i="11"/>
  <c r="G141" i="11"/>
  <c r="E141" i="11"/>
  <c r="D141" i="11"/>
  <c r="O140" i="11"/>
  <c r="L140" i="11"/>
  <c r="I140" i="11"/>
  <c r="F140" i="11"/>
  <c r="O139" i="11"/>
  <c r="L139" i="11"/>
  <c r="I139" i="11"/>
  <c r="F139" i="11"/>
  <c r="O138" i="11"/>
  <c r="L138" i="11"/>
  <c r="I138" i="11"/>
  <c r="F138" i="11"/>
  <c r="O137" i="11"/>
  <c r="O136" i="11" s="1"/>
  <c r="L137" i="11"/>
  <c r="I137" i="11"/>
  <c r="F137" i="11"/>
  <c r="N136" i="11"/>
  <c r="M136" i="11"/>
  <c r="K136" i="11"/>
  <c r="J136" i="11"/>
  <c r="H136" i="11"/>
  <c r="G136" i="11"/>
  <c r="E136" i="11"/>
  <c r="D136" i="11"/>
  <c r="O135" i="11"/>
  <c r="L135" i="11"/>
  <c r="I135" i="11"/>
  <c r="F135" i="11"/>
  <c r="O134" i="11"/>
  <c r="L134" i="11"/>
  <c r="I134" i="11"/>
  <c r="F134" i="11"/>
  <c r="O133" i="11"/>
  <c r="L133" i="11"/>
  <c r="I133" i="11"/>
  <c r="F133" i="11"/>
  <c r="O132" i="11"/>
  <c r="L132" i="11"/>
  <c r="L131" i="11" s="1"/>
  <c r="I132" i="11"/>
  <c r="I131" i="11" s="1"/>
  <c r="F132" i="11"/>
  <c r="N131" i="11"/>
  <c r="M131" i="11"/>
  <c r="K131" i="11"/>
  <c r="J131" i="11"/>
  <c r="H131" i="11"/>
  <c r="H130" i="11" s="1"/>
  <c r="G131" i="11"/>
  <c r="E131" i="11"/>
  <c r="D131" i="11"/>
  <c r="D130" i="11" s="1"/>
  <c r="O129" i="11"/>
  <c r="O128" i="11" s="1"/>
  <c r="L129" i="11"/>
  <c r="L128" i="11" s="1"/>
  <c r="I129" i="11"/>
  <c r="I128" i="11" s="1"/>
  <c r="F129" i="11"/>
  <c r="N128" i="11"/>
  <c r="M128" i="11"/>
  <c r="K128" i="11"/>
  <c r="J128" i="11"/>
  <c r="H128" i="11"/>
  <c r="G128" i="11"/>
  <c r="F128" i="11"/>
  <c r="E128" i="11"/>
  <c r="D128" i="11"/>
  <c r="O127" i="11"/>
  <c r="L127" i="11"/>
  <c r="I127" i="11"/>
  <c r="F127" i="11"/>
  <c r="O126" i="11"/>
  <c r="L126" i="11"/>
  <c r="I126" i="11"/>
  <c r="F126" i="11"/>
  <c r="O125" i="11"/>
  <c r="L125" i="11"/>
  <c r="C125" i="11" s="1"/>
  <c r="I125" i="11"/>
  <c r="F125" i="11"/>
  <c r="O124" i="11"/>
  <c r="L124" i="11"/>
  <c r="I124" i="11"/>
  <c r="F124" i="11"/>
  <c r="O123" i="11"/>
  <c r="L123" i="11"/>
  <c r="I123" i="11"/>
  <c r="F123" i="11"/>
  <c r="N122" i="11"/>
  <c r="M122" i="11"/>
  <c r="K122" i="11"/>
  <c r="J122" i="11"/>
  <c r="H122" i="11"/>
  <c r="G122" i="11"/>
  <c r="E122" i="11"/>
  <c r="D122" i="11"/>
  <c r="O121" i="11"/>
  <c r="L121" i="11"/>
  <c r="I121" i="11"/>
  <c r="F121" i="11"/>
  <c r="O120" i="11"/>
  <c r="L120" i="11"/>
  <c r="I120" i="11"/>
  <c r="F120" i="11"/>
  <c r="O119" i="11"/>
  <c r="L119" i="11"/>
  <c r="I119" i="11"/>
  <c r="F119" i="11"/>
  <c r="O118" i="11"/>
  <c r="L118" i="11"/>
  <c r="C118" i="11" s="1"/>
  <c r="I118" i="11"/>
  <c r="F118" i="11"/>
  <c r="O117" i="11"/>
  <c r="L117" i="11"/>
  <c r="L116" i="11" s="1"/>
  <c r="I117" i="11"/>
  <c r="F117" i="11"/>
  <c r="N116" i="11"/>
  <c r="M116" i="11"/>
  <c r="K116" i="11"/>
  <c r="J116" i="11"/>
  <c r="H116" i="11"/>
  <c r="G116" i="11"/>
  <c r="E116" i="11"/>
  <c r="D116" i="11"/>
  <c r="O115" i="11"/>
  <c r="L115" i="11"/>
  <c r="I115" i="11"/>
  <c r="F115" i="11"/>
  <c r="O114" i="11"/>
  <c r="L114" i="11"/>
  <c r="I114" i="11"/>
  <c r="F114" i="11"/>
  <c r="O113" i="11"/>
  <c r="O112" i="11" s="1"/>
  <c r="L113" i="11"/>
  <c r="I113" i="11"/>
  <c r="F113" i="11"/>
  <c r="F112" i="11" s="1"/>
  <c r="N112" i="11"/>
  <c r="M112" i="11"/>
  <c r="K112" i="11"/>
  <c r="J112" i="11"/>
  <c r="H112" i="11"/>
  <c r="G112" i="11"/>
  <c r="E112" i="11"/>
  <c r="D112" i="11"/>
  <c r="O111" i="11"/>
  <c r="L111" i="11"/>
  <c r="I111" i="11"/>
  <c r="F111" i="11"/>
  <c r="C111" i="11" s="1"/>
  <c r="O110" i="11"/>
  <c r="L110" i="11"/>
  <c r="I110" i="11"/>
  <c r="F110" i="11"/>
  <c r="O109" i="11"/>
  <c r="L109" i="11"/>
  <c r="I109" i="11"/>
  <c r="F109" i="11"/>
  <c r="O108" i="11"/>
  <c r="L108" i="11"/>
  <c r="I108" i="11"/>
  <c r="F108" i="11"/>
  <c r="O107" i="11"/>
  <c r="L107" i="11"/>
  <c r="I107" i="11"/>
  <c r="F107" i="11"/>
  <c r="O106" i="11"/>
  <c r="L106" i="11"/>
  <c r="I106" i="11"/>
  <c r="F106" i="11"/>
  <c r="O105" i="11"/>
  <c r="L105" i="11"/>
  <c r="I105" i="11"/>
  <c r="F105" i="11"/>
  <c r="O104" i="11"/>
  <c r="L104" i="11"/>
  <c r="I104" i="11"/>
  <c r="F104" i="11"/>
  <c r="N103" i="11"/>
  <c r="M103" i="11"/>
  <c r="K103" i="11"/>
  <c r="J103" i="11"/>
  <c r="H103" i="11"/>
  <c r="G103" i="11"/>
  <c r="E103" i="11"/>
  <c r="D103" i="11"/>
  <c r="O102" i="11"/>
  <c r="L102" i="11"/>
  <c r="I102" i="11"/>
  <c r="F102" i="11"/>
  <c r="O101" i="11"/>
  <c r="L101" i="11"/>
  <c r="I101" i="11"/>
  <c r="F101" i="11"/>
  <c r="O100" i="11"/>
  <c r="L100" i="11"/>
  <c r="I100" i="11"/>
  <c r="F100" i="11"/>
  <c r="O99" i="11"/>
  <c r="L99" i="11"/>
  <c r="I99" i="11"/>
  <c r="F99" i="11"/>
  <c r="O98" i="11"/>
  <c r="L98" i="11"/>
  <c r="I98" i="11"/>
  <c r="F98" i="11"/>
  <c r="O97" i="11"/>
  <c r="L97" i="11"/>
  <c r="I97" i="11"/>
  <c r="F97" i="11"/>
  <c r="O96" i="11"/>
  <c r="L96" i="11"/>
  <c r="I96" i="11"/>
  <c r="F96" i="11"/>
  <c r="O95" i="11"/>
  <c r="N95" i="11"/>
  <c r="M95" i="11"/>
  <c r="K95" i="11"/>
  <c r="J95" i="11"/>
  <c r="H95" i="11"/>
  <c r="G95" i="11"/>
  <c r="E95" i="11"/>
  <c r="D95" i="11"/>
  <c r="O94" i="11"/>
  <c r="L94" i="11"/>
  <c r="I94" i="11"/>
  <c r="F94" i="11"/>
  <c r="O93" i="11"/>
  <c r="L93" i="11"/>
  <c r="I93" i="11"/>
  <c r="F93" i="11"/>
  <c r="O92" i="11"/>
  <c r="L92" i="11"/>
  <c r="I92" i="11"/>
  <c r="F92" i="11"/>
  <c r="O91" i="11"/>
  <c r="L91" i="11"/>
  <c r="I91" i="11"/>
  <c r="F91" i="11"/>
  <c r="C91" i="11"/>
  <c r="O90" i="11"/>
  <c r="L90" i="11"/>
  <c r="I90" i="11"/>
  <c r="I89" i="11" s="1"/>
  <c r="F90" i="11"/>
  <c r="N89" i="11"/>
  <c r="M89" i="11"/>
  <c r="K89" i="11"/>
  <c r="J89" i="11"/>
  <c r="H89" i="11"/>
  <c r="G89" i="11"/>
  <c r="E89" i="11"/>
  <c r="D89" i="11"/>
  <c r="O88" i="11"/>
  <c r="L88" i="11"/>
  <c r="I88" i="11"/>
  <c r="F88" i="11"/>
  <c r="O87" i="11"/>
  <c r="L87" i="11"/>
  <c r="I87" i="11"/>
  <c r="F87" i="11"/>
  <c r="O86" i="11"/>
  <c r="L86" i="11"/>
  <c r="I86" i="11"/>
  <c r="F86" i="11"/>
  <c r="O85" i="11"/>
  <c r="L85" i="11"/>
  <c r="L84" i="11" s="1"/>
  <c r="I85" i="11"/>
  <c r="F85" i="11"/>
  <c r="N84" i="11"/>
  <c r="M84" i="11"/>
  <c r="M83" i="11" s="1"/>
  <c r="K84" i="11"/>
  <c r="K83" i="11" s="1"/>
  <c r="J84" i="11"/>
  <c r="H84" i="11"/>
  <c r="G84" i="11"/>
  <c r="F84" i="11"/>
  <c r="E84" i="11"/>
  <c r="D84" i="11"/>
  <c r="O82" i="11"/>
  <c r="L82" i="11"/>
  <c r="I82" i="11"/>
  <c r="F82" i="11"/>
  <c r="O81" i="11"/>
  <c r="L81" i="11"/>
  <c r="L80" i="11" s="1"/>
  <c r="I81" i="11"/>
  <c r="I80" i="11" s="1"/>
  <c r="F81" i="11"/>
  <c r="O80" i="11"/>
  <c r="N80" i="11"/>
  <c r="M80" i="11"/>
  <c r="K80" i="11"/>
  <c r="J80" i="11"/>
  <c r="H80" i="11"/>
  <c r="G80" i="11"/>
  <c r="F80" i="11"/>
  <c r="E80" i="11"/>
  <c r="D80" i="11"/>
  <c r="O79" i="11"/>
  <c r="L79" i="11"/>
  <c r="I79" i="11"/>
  <c r="F79" i="11"/>
  <c r="O78" i="11"/>
  <c r="L78" i="11"/>
  <c r="L77" i="11" s="1"/>
  <c r="L76" i="11" s="1"/>
  <c r="I78" i="11"/>
  <c r="I77" i="11" s="1"/>
  <c r="I76" i="11" s="1"/>
  <c r="F78" i="11"/>
  <c r="N77" i="11"/>
  <c r="N76" i="11" s="1"/>
  <c r="M77" i="11"/>
  <c r="M76" i="11" s="1"/>
  <c r="K77" i="11"/>
  <c r="J77" i="11"/>
  <c r="H77" i="11"/>
  <c r="H76" i="11" s="1"/>
  <c r="G77" i="11"/>
  <c r="E77" i="11"/>
  <c r="D77" i="11"/>
  <c r="D76" i="11" s="1"/>
  <c r="G76" i="11"/>
  <c r="O74" i="11"/>
  <c r="L74" i="11"/>
  <c r="I74" i="11"/>
  <c r="F74" i="11"/>
  <c r="C74" i="11" s="1"/>
  <c r="O73" i="11"/>
  <c r="L73" i="11"/>
  <c r="I73" i="11"/>
  <c r="F73" i="11"/>
  <c r="O72" i="11"/>
  <c r="L72" i="11"/>
  <c r="I72" i="11"/>
  <c r="F72" i="11"/>
  <c r="O71" i="11"/>
  <c r="L71" i="11"/>
  <c r="I71" i="11"/>
  <c r="F71" i="11"/>
  <c r="C71" i="11" s="1"/>
  <c r="O70" i="11"/>
  <c r="L70" i="11"/>
  <c r="I70" i="11"/>
  <c r="F70" i="11"/>
  <c r="N69" i="11"/>
  <c r="N67" i="11" s="1"/>
  <c r="M69" i="11"/>
  <c r="M67" i="11" s="1"/>
  <c r="K69" i="11"/>
  <c r="K67" i="11" s="1"/>
  <c r="J69" i="11"/>
  <c r="J67" i="11" s="1"/>
  <c r="H69" i="11"/>
  <c r="G69" i="11"/>
  <c r="E69" i="11"/>
  <c r="E67" i="11" s="1"/>
  <c r="D69" i="11"/>
  <c r="D67" i="11" s="1"/>
  <c r="O68" i="11"/>
  <c r="L68" i="11"/>
  <c r="I68" i="11"/>
  <c r="F68" i="11"/>
  <c r="H67" i="11"/>
  <c r="G67" i="11"/>
  <c r="O66" i="11"/>
  <c r="L66" i="11"/>
  <c r="I66" i="11"/>
  <c r="F66" i="11"/>
  <c r="O65" i="11"/>
  <c r="L65" i="11"/>
  <c r="I65" i="11"/>
  <c r="F65" i="11"/>
  <c r="O64" i="11"/>
  <c r="L64" i="11"/>
  <c r="I64" i="11"/>
  <c r="F64" i="11"/>
  <c r="O63" i="11"/>
  <c r="L63" i="11"/>
  <c r="I63" i="11"/>
  <c r="F63" i="11"/>
  <c r="O62" i="11"/>
  <c r="L62" i="11"/>
  <c r="I62" i="11"/>
  <c r="F62" i="11"/>
  <c r="O61" i="11"/>
  <c r="L61" i="11"/>
  <c r="I61" i="11"/>
  <c r="F61" i="11"/>
  <c r="O60" i="11"/>
  <c r="L60" i="11"/>
  <c r="I60" i="11"/>
  <c r="F60" i="11"/>
  <c r="O59" i="11"/>
  <c r="L59" i="11"/>
  <c r="I59" i="11"/>
  <c r="F59" i="11"/>
  <c r="N58" i="11"/>
  <c r="M58" i="11"/>
  <c r="M54" i="11" s="1"/>
  <c r="M53" i="11" s="1"/>
  <c r="K58" i="11"/>
  <c r="J58" i="11"/>
  <c r="H58" i="11"/>
  <c r="G58" i="11"/>
  <c r="E58" i="11"/>
  <c r="D58" i="11"/>
  <c r="O57" i="11"/>
  <c r="L57" i="11"/>
  <c r="I57" i="11"/>
  <c r="F57" i="11"/>
  <c r="O56" i="11"/>
  <c r="O55" i="11" s="1"/>
  <c r="L56" i="11"/>
  <c r="L55" i="11" s="1"/>
  <c r="I56" i="11"/>
  <c r="I55" i="11" s="1"/>
  <c r="F56" i="11"/>
  <c r="C56" i="11"/>
  <c r="N55" i="11"/>
  <c r="M55" i="11"/>
  <c r="K55" i="11"/>
  <c r="K54" i="11" s="1"/>
  <c r="J55" i="11"/>
  <c r="J54" i="11" s="1"/>
  <c r="J53" i="11" s="1"/>
  <c r="H55" i="11"/>
  <c r="G55" i="11"/>
  <c r="F55" i="11"/>
  <c r="E55" i="11"/>
  <c r="D55" i="11"/>
  <c r="D54" i="11" s="1"/>
  <c r="D53" i="11" s="1"/>
  <c r="O47" i="11"/>
  <c r="C47" i="11" s="1"/>
  <c r="O46" i="11"/>
  <c r="N45" i="11"/>
  <c r="M45" i="11"/>
  <c r="L44" i="11"/>
  <c r="L43" i="11" s="1"/>
  <c r="I44" i="11"/>
  <c r="I43" i="11" s="1"/>
  <c r="F44" i="11"/>
  <c r="K43" i="11"/>
  <c r="J43" i="11"/>
  <c r="H43" i="11"/>
  <c r="G43" i="11"/>
  <c r="F43" i="11"/>
  <c r="E43" i="11"/>
  <c r="D43" i="11"/>
  <c r="F42" i="11"/>
  <c r="F41" i="11" s="1"/>
  <c r="C42" i="11"/>
  <c r="E41" i="11"/>
  <c r="D41" i="11"/>
  <c r="C41" i="11"/>
  <c r="L40" i="11"/>
  <c r="C40" i="11" s="1"/>
  <c r="L39" i="11"/>
  <c r="C39" i="11" s="1"/>
  <c r="L38" i="11"/>
  <c r="C38" i="11"/>
  <c r="L37" i="11"/>
  <c r="K36" i="11"/>
  <c r="J36" i="11"/>
  <c r="L35" i="11"/>
  <c r="C35" i="11" s="1"/>
  <c r="L34" i="11"/>
  <c r="C34" i="11" s="1"/>
  <c r="K33" i="11"/>
  <c r="J33" i="11"/>
  <c r="L32" i="11"/>
  <c r="C32" i="11" s="1"/>
  <c r="K31" i="11"/>
  <c r="J31" i="11"/>
  <c r="L30" i="11"/>
  <c r="C30" i="11" s="1"/>
  <c r="L29" i="11"/>
  <c r="C29" i="11" s="1"/>
  <c r="L28" i="11"/>
  <c r="K27" i="11"/>
  <c r="J27" i="11"/>
  <c r="F25" i="11"/>
  <c r="C25" i="11" s="1"/>
  <c r="I24" i="11"/>
  <c r="O23" i="11"/>
  <c r="L23" i="11"/>
  <c r="I23" i="11"/>
  <c r="F23" i="11"/>
  <c r="O22" i="11"/>
  <c r="L22" i="11"/>
  <c r="L21" i="11" s="1"/>
  <c r="I22" i="11"/>
  <c r="I21" i="11" s="1"/>
  <c r="F22" i="11"/>
  <c r="F21" i="11" s="1"/>
  <c r="N21" i="11"/>
  <c r="M21" i="11"/>
  <c r="M292" i="11" s="1"/>
  <c r="K21" i="11"/>
  <c r="K292" i="11" s="1"/>
  <c r="K291" i="11" s="1"/>
  <c r="J21" i="11"/>
  <c r="J292" i="11" s="1"/>
  <c r="J291" i="11" s="1"/>
  <c r="H21" i="11"/>
  <c r="G21" i="11"/>
  <c r="G292" i="11" s="1"/>
  <c r="G291" i="11" s="1"/>
  <c r="E21" i="11"/>
  <c r="E292" i="11" s="1"/>
  <c r="E291" i="11" s="1"/>
  <c r="D21" i="11"/>
  <c r="D292" i="11" s="1"/>
  <c r="D291" i="11" s="1"/>
  <c r="H20" i="11"/>
  <c r="M20" i="11" l="1"/>
  <c r="C63" i="11"/>
  <c r="C99" i="11"/>
  <c r="C107" i="11"/>
  <c r="C110" i="11"/>
  <c r="C190" i="11"/>
  <c r="C226" i="11"/>
  <c r="C234" i="11"/>
  <c r="J231" i="11"/>
  <c r="K26" i="11"/>
  <c r="C59" i="11"/>
  <c r="I58" i="11"/>
  <c r="E76" i="11"/>
  <c r="C79" i="11"/>
  <c r="C87" i="11"/>
  <c r="O131" i="11"/>
  <c r="C159" i="11"/>
  <c r="C178" i="11"/>
  <c r="D174" i="11"/>
  <c r="D173" i="11" s="1"/>
  <c r="G187" i="11"/>
  <c r="C202" i="11"/>
  <c r="C254" i="11"/>
  <c r="C256" i="11"/>
  <c r="K270" i="11"/>
  <c r="K269" i="11" s="1"/>
  <c r="C296" i="11"/>
  <c r="C23" i="11"/>
  <c r="L27" i="11"/>
  <c r="C44" i="11"/>
  <c r="N20" i="11"/>
  <c r="C60" i="11"/>
  <c r="C133" i="11"/>
  <c r="C134" i="11"/>
  <c r="C139" i="11"/>
  <c r="I196" i="11"/>
  <c r="E231" i="11"/>
  <c r="G270" i="11"/>
  <c r="G269" i="11" s="1"/>
  <c r="H54" i="11"/>
  <c r="H53" i="11" s="1"/>
  <c r="K76" i="11"/>
  <c r="C82" i="11"/>
  <c r="C113" i="11"/>
  <c r="C115" i="11"/>
  <c r="I136" i="11"/>
  <c r="J130" i="11"/>
  <c r="C143" i="11"/>
  <c r="C147" i="11"/>
  <c r="C148" i="11"/>
  <c r="C149" i="11"/>
  <c r="C206" i="11"/>
  <c r="C218" i="11"/>
  <c r="C221" i="11"/>
  <c r="N231" i="11"/>
  <c r="M231" i="11"/>
  <c r="L187" i="11"/>
  <c r="D269" i="11"/>
  <c r="D194" i="11" s="1"/>
  <c r="H292" i="11"/>
  <c r="H291" i="11" s="1"/>
  <c r="M291" i="11"/>
  <c r="L292" i="11"/>
  <c r="L33" i="11"/>
  <c r="C33" i="11" s="1"/>
  <c r="O45" i="11"/>
  <c r="G54" i="11"/>
  <c r="G53" i="11" s="1"/>
  <c r="C64" i="11"/>
  <c r="I69" i="11"/>
  <c r="C88" i="11"/>
  <c r="C94" i="11"/>
  <c r="C100" i="11"/>
  <c r="L112" i="11"/>
  <c r="C121" i="11"/>
  <c r="C129" i="11"/>
  <c r="N130" i="11"/>
  <c r="L136" i="11"/>
  <c r="C155" i="11"/>
  <c r="C162" i="11"/>
  <c r="C167" i="11"/>
  <c r="N174" i="11"/>
  <c r="C183" i="11"/>
  <c r="C188" i="11"/>
  <c r="F196" i="11"/>
  <c r="C213" i="11"/>
  <c r="C225" i="11"/>
  <c r="C229" i="11"/>
  <c r="O260" i="11"/>
  <c r="C268" i="11"/>
  <c r="O272" i="11"/>
  <c r="C280" i="11"/>
  <c r="L293" i="11"/>
  <c r="C135" i="11"/>
  <c r="H230" i="11"/>
  <c r="I270" i="11"/>
  <c r="I269" i="11" s="1"/>
  <c r="H269" i="11"/>
  <c r="N292" i="11"/>
  <c r="N291" i="11" s="1"/>
  <c r="O21" i="11"/>
  <c r="L31" i="11"/>
  <c r="C31" i="11" s="1"/>
  <c r="J26" i="11"/>
  <c r="J20" i="11" s="1"/>
  <c r="E54" i="11"/>
  <c r="E53" i="11" s="1"/>
  <c r="F58" i="11"/>
  <c r="C62" i="11"/>
  <c r="J83" i="11"/>
  <c r="C85" i="11"/>
  <c r="C86" i="11"/>
  <c r="O84" i="11"/>
  <c r="C108" i="11"/>
  <c r="I116" i="11"/>
  <c r="F131" i="11"/>
  <c r="C138" i="11"/>
  <c r="L144" i="11"/>
  <c r="C152" i="11"/>
  <c r="C153" i="11"/>
  <c r="O151" i="11"/>
  <c r="C164" i="11"/>
  <c r="E173" i="11"/>
  <c r="C180" i="11"/>
  <c r="C181" i="11"/>
  <c r="C186" i="11"/>
  <c r="C189" i="11"/>
  <c r="C215" i="11"/>
  <c r="F233" i="11"/>
  <c r="C237" i="11"/>
  <c r="C241" i="11"/>
  <c r="O238" i="11"/>
  <c r="E230" i="11"/>
  <c r="O252" i="11"/>
  <c r="O251" i="11" s="1"/>
  <c r="G259" i="11"/>
  <c r="K259" i="11"/>
  <c r="C263" i="11"/>
  <c r="C282" i="11"/>
  <c r="M173" i="11"/>
  <c r="N230" i="11"/>
  <c r="L36" i="11"/>
  <c r="C36" i="11" s="1"/>
  <c r="C43" i="11"/>
  <c r="N54" i="11"/>
  <c r="N53" i="11" s="1"/>
  <c r="C66" i="11"/>
  <c r="J76" i="11"/>
  <c r="I84" i="11"/>
  <c r="G83" i="11"/>
  <c r="G75" i="11" s="1"/>
  <c r="I95" i="11"/>
  <c r="C101" i="11"/>
  <c r="C102" i="11"/>
  <c r="C105" i="11"/>
  <c r="O103" i="11"/>
  <c r="C114" i="11"/>
  <c r="C119" i="11"/>
  <c r="C127" i="11"/>
  <c r="G130" i="11"/>
  <c r="C132" i="11"/>
  <c r="C140" i="11"/>
  <c r="C146" i="11"/>
  <c r="K130" i="11"/>
  <c r="K75" i="11" s="1"/>
  <c r="I151" i="11"/>
  <c r="C158" i="11"/>
  <c r="C170" i="11"/>
  <c r="F175" i="11"/>
  <c r="F174" i="11" s="1"/>
  <c r="F173" i="11" s="1"/>
  <c r="C176" i="11"/>
  <c r="C177" i="11"/>
  <c r="I179" i="11"/>
  <c r="I174" i="11" s="1"/>
  <c r="C191" i="11"/>
  <c r="K195" i="11"/>
  <c r="C201" i="11"/>
  <c r="O205" i="11"/>
  <c r="C211" i="11"/>
  <c r="E204" i="11"/>
  <c r="E195" i="11" s="1"/>
  <c r="E194" i="11" s="1"/>
  <c r="O216" i="11"/>
  <c r="C223" i="11"/>
  <c r="J204" i="11"/>
  <c r="J195" i="11" s="1"/>
  <c r="N204" i="11"/>
  <c r="K231" i="11"/>
  <c r="K230" i="11" s="1"/>
  <c r="K194" i="11" s="1"/>
  <c r="C245" i="11"/>
  <c r="F246" i="11"/>
  <c r="C249" i="11"/>
  <c r="O246" i="11"/>
  <c r="C255" i="11"/>
  <c r="C257" i="11"/>
  <c r="O264" i="11"/>
  <c r="L272" i="11"/>
  <c r="O276" i="11"/>
  <c r="G52" i="11"/>
  <c r="F292" i="11"/>
  <c r="C21" i="11"/>
  <c r="O292" i="11"/>
  <c r="O20" i="11"/>
  <c r="I54" i="11"/>
  <c r="C90" i="11"/>
  <c r="F89" i="11"/>
  <c r="C104" i="11"/>
  <c r="L103" i="11"/>
  <c r="C124" i="11"/>
  <c r="F122" i="11"/>
  <c r="I235" i="11"/>
  <c r="C236" i="11"/>
  <c r="C301" i="11"/>
  <c r="G20" i="11"/>
  <c r="K20" i="11"/>
  <c r="C37" i="11"/>
  <c r="F54" i="11"/>
  <c r="K53" i="11"/>
  <c r="O58" i="11"/>
  <c r="O54" i="11" s="1"/>
  <c r="O69" i="11"/>
  <c r="O67" i="11" s="1"/>
  <c r="L69" i="11"/>
  <c r="C72" i="11"/>
  <c r="O77" i="11"/>
  <c r="O76" i="11" s="1"/>
  <c r="C80" i="11"/>
  <c r="C81" i="11"/>
  <c r="N83" i="11"/>
  <c r="C93" i="11"/>
  <c r="C96" i="11"/>
  <c r="L95" i="11"/>
  <c r="H83" i="11"/>
  <c r="C288" i="11"/>
  <c r="I286" i="11"/>
  <c r="I292" i="11" s="1"/>
  <c r="I291" i="11" s="1"/>
  <c r="C27" i="11"/>
  <c r="C22" i="11"/>
  <c r="C55" i="11"/>
  <c r="L58" i="11"/>
  <c r="L54" i="11" s="1"/>
  <c r="L53" i="11" s="1"/>
  <c r="C61" i="11"/>
  <c r="I67" i="11"/>
  <c r="C70" i="11"/>
  <c r="F69" i="11"/>
  <c r="C78" i="11"/>
  <c r="F77" i="11"/>
  <c r="E83" i="11"/>
  <c r="C106" i="11"/>
  <c r="F103" i="11"/>
  <c r="D83" i="11"/>
  <c r="D75" i="11" s="1"/>
  <c r="C131" i="11"/>
  <c r="C207" i="11"/>
  <c r="L205" i="11"/>
  <c r="L216" i="11"/>
  <c r="C219" i="11"/>
  <c r="I227" i="11"/>
  <c r="C227" i="11" s="1"/>
  <c r="C228" i="11"/>
  <c r="C45" i="11"/>
  <c r="I20" i="11"/>
  <c r="C28" i="11"/>
  <c r="C46" i="11"/>
  <c r="C57" i="11"/>
  <c r="C65" i="11"/>
  <c r="C68" i="11"/>
  <c r="L67" i="11"/>
  <c r="C73" i="11"/>
  <c r="N75" i="11"/>
  <c r="H75" i="11"/>
  <c r="C84" i="11"/>
  <c r="O89" i="11"/>
  <c r="L89" i="11"/>
  <c r="C92" i="11"/>
  <c r="C97" i="11"/>
  <c r="C98" i="11"/>
  <c r="F95" i="11"/>
  <c r="C95" i="11" s="1"/>
  <c r="I103" i="11"/>
  <c r="C109" i="11"/>
  <c r="C117" i="11"/>
  <c r="F116" i="11"/>
  <c r="O122" i="11"/>
  <c r="L122" i="11"/>
  <c r="C126" i="11"/>
  <c r="F187" i="11"/>
  <c r="C253" i="11"/>
  <c r="F252" i="11"/>
  <c r="I122" i="11"/>
  <c r="C128" i="11"/>
  <c r="O144" i="11"/>
  <c r="O165" i="11"/>
  <c r="C184" i="11"/>
  <c r="C217" i="11"/>
  <c r="F216" i="11"/>
  <c r="C233" i="11"/>
  <c r="C273" i="11"/>
  <c r="F272" i="11"/>
  <c r="C300" i="11"/>
  <c r="C120" i="11"/>
  <c r="M130" i="11"/>
  <c r="M75" i="11" s="1"/>
  <c r="F136" i="11"/>
  <c r="C136" i="11" s="1"/>
  <c r="C137" i="11"/>
  <c r="C142" i="11"/>
  <c r="O141" i="11"/>
  <c r="F144" i="11"/>
  <c r="C145" i="11"/>
  <c r="L151" i="11"/>
  <c r="C151" i="11" s="1"/>
  <c r="C156" i="11"/>
  <c r="C157" i="11"/>
  <c r="O160" i="11"/>
  <c r="C160" i="11" s="1"/>
  <c r="L166" i="11"/>
  <c r="L165" i="11" s="1"/>
  <c r="C175" i="11"/>
  <c r="C185" i="11"/>
  <c r="D187" i="11"/>
  <c r="H187" i="11"/>
  <c r="N195" i="11"/>
  <c r="N194" i="11" s="1"/>
  <c r="C198" i="11"/>
  <c r="C232" i="11"/>
  <c r="C248" i="11"/>
  <c r="I246" i="11"/>
  <c r="C246" i="11" s="1"/>
  <c r="I112" i="11"/>
  <c r="C112" i="11" s="1"/>
  <c r="O116" i="11"/>
  <c r="C123" i="11"/>
  <c r="E130" i="11"/>
  <c r="I130" i="11"/>
  <c r="C161" i="11"/>
  <c r="C168" i="11"/>
  <c r="C169" i="11"/>
  <c r="F166" i="11"/>
  <c r="N173" i="11"/>
  <c r="L179" i="11"/>
  <c r="L174" i="11" s="1"/>
  <c r="L173" i="11" s="1"/>
  <c r="E187" i="11"/>
  <c r="I187" i="11"/>
  <c r="M187" i="11"/>
  <c r="J230" i="11"/>
  <c r="J194" i="11" s="1"/>
  <c r="C261" i="11"/>
  <c r="F260" i="11"/>
  <c r="L264" i="11"/>
  <c r="C286" i="11"/>
  <c r="C193" i="11"/>
  <c r="H195" i="11"/>
  <c r="C197" i="11"/>
  <c r="O196" i="11"/>
  <c r="C199" i="11"/>
  <c r="C200" i="11"/>
  <c r="C208" i="11"/>
  <c r="C209" i="11"/>
  <c r="F205" i="11"/>
  <c r="C220" i="11"/>
  <c r="F235" i="11"/>
  <c r="G231" i="11"/>
  <c r="G230" i="11" s="1"/>
  <c r="G194" i="11" s="1"/>
  <c r="C240" i="11"/>
  <c r="I238" i="11"/>
  <c r="C243" i="11"/>
  <c r="L252" i="11"/>
  <c r="L251" i="11" s="1"/>
  <c r="M259" i="11"/>
  <c r="M230" i="11" s="1"/>
  <c r="M194" i="11" s="1"/>
  <c r="L260" i="11"/>
  <c r="L259" i="11" s="1"/>
  <c r="C265" i="11"/>
  <c r="F264" i="11"/>
  <c r="L270" i="11"/>
  <c r="L269" i="11" s="1"/>
  <c r="C275" i="11"/>
  <c r="C281" i="11"/>
  <c r="C285" i="11"/>
  <c r="F284" i="11"/>
  <c r="O293" i="11"/>
  <c r="O291" i="11" s="1"/>
  <c r="C192" i="11"/>
  <c r="C203" i="11"/>
  <c r="I205" i="11"/>
  <c r="I204" i="11" s="1"/>
  <c r="I195" i="11" s="1"/>
  <c r="C212" i="11"/>
  <c r="C224" i="11"/>
  <c r="O231" i="11"/>
  <c r="L238" i="11"/>
  <c r="L231" i="11" s="1"/>
  <c r="L230" i="11" s="1"/>
  <c r="I259" i="11"/>
  <c r="C267" i="11"/>
  <c r="M270" i="11"/>
  <c r="M269" i="11" s="1"/>
  <c r="C277" i="11"/>
  <c r="F276" i="11"/>
  <c r="C276" i="11" s="1"/>
  <c r="C295" i="11"/>
  <c r="C297" i="11"/>
  <c r="F293" i="11"/>
  <c r="F291" i="11" s="1"/>
  <c r="C239" i="11"/>
  <c r="C247" i="11"/>
  <c r="C271" i="11"/>
  <c r="C287" i="11"/>
  <c r="K289" i="11" l="1"/>
  <c r="N52" i="11"/>
  <c r="O130" i="11"/>
  <c r="M52" i="11"/>
  <c r="L130" i="11"/>
  <c r="L26" i="11"/>
  <c r="C264" i="11"/>
  <c r="I173" i="11"/>
  <c r="C173" i="11" s="1"/>
  <c r="C174" i="11"/>
  <c r="C272" i="11"/>
  <c r="C179" i="11"/>
  <c r="H52" i="11"/>
  <c r="I231" i="11"/>
  <c r="I230" i="11" s="1"/>
  <c r="O204" i="11"/>
  <c r="O270" i="11"/>
  <c r="O269" i="11" s="1"/>
  <c r="N51" i="11"/>
  <c r="C89" i="11"/>
  <c r="M289" i="11"/>
  <c r="I83" i="11"/>
  <c r="I75" i="11" s="1"/>
  <c r="E75" i="11"/>
  <c r="O259" i="11"/>
  <c r="O230" i="11" s="1"/>
  <c r="L291" i="11"/>
  <c r="C238" i="11"/>
  <c r="O195" i="11"/>
  <c r="L204" i="11"/>
  <c r="L195" i="11" s="1"/>
  <c r="K52" i="11"/>
  <c r="K51" i="11" s="1"/>
  <c r="L83" i="11"/>
  <c r="L75" i="11" s="1"/>
  <c r="L289" i="11" s="1"/>
  <c r="J75" i="11"/>
  <c r="M51" i="11"/>
  <c r="N50" i="11"/>
  <c r="N290" i="11"/>
  <c r="L194" i="11"/>
  <c r="D289" i="11"/>
  <c r="D52" i="11"/>
  <c r="D51" i="11" s="1"/>
  <c r="E52" i="11"/>
  <c r="E51" i="11" s="1"/>
  <c r="E289" i="11"/>
  <c r="C205" i="11"/>
  <c r="F204" i="11"/>
  <c r="C252" i="11"/>
  <c r="F251" i="11"/>
  <c r="C251" i="11" s="1"/>
  <c r="C187" i="11"/>
  <c r="L52" i="11"/>
  <c r="L51" i="11" s="1"/>
  <c r="G289" i="11"/>
  <c r="I194" i="11"/>
  <c r="F165" i="11"/>
  <c r="C165" i="11" s="1"/>
  <c r="C166" i="11"/>
  <c r="N289" i="11"/>
  <c r="C284" i="11"/>
  <c r="F283" i="11"/>
  <c r="C283" i="11" s="1"/>
  <c r="C216" i="11"/>
  <c r="C116" i="11"/>
  <c r="F83" i="11"/>
  <c r="F130" i="11"/>
  <c r="C130" i="11" s="1"/>
  <c r="C103" i="11"/>
  <c r="F270" i="11"/>
  <c r="I53" i="11"/>
  <c r="I52" i="11" s="1"/>
  <c r="C292" i="11"/>
  <c r="O53" i="11"/>
  <c r="C235" i="11"/>
  <c r="F231" i="11"/>
  <c r="C141" i="11"/>
  <c r="C77" i="11"/>
  <c r="F76" i="11"/>
  <c r="C291" i="11"/>
  <c r="C122" i="11"/>
  <c r="C293" i="11"/>
  <c r="C196" i="11"/>
  <c r="H194" i="11"/>
  <c r="H51" i="11" s="1"/>
  <c r="H289" i="11"/>
  <c r="C260" i="11"/>
  <c r="F259" i="11"/>
  <c r="C144" i="11"/>
  <c r="O83" i="11"/>
  <c r="O75" i="11" s="1"/>
  <c r="F67" i="11"/>
  <c r="C67" i="11" s="1"/>
  <c r="C69" i="11"/>
  <c r="C58" i="11"/>
  <c r="C54" i="11"/>
  <c r="F53" i="11"/>
  <c r="G51" i="11"/>
  <c r="C26" i="11" l="1"/>
  <c r="L20" i="11"/>
  <c r="O289" i="11"/>
  <c r="J52" i="11"/>
  <c r="J51" i="11" s="1"/>
  <c r="J289" i="11"/>
  <c r="O194" i="11"/>
  <c r="C259" i="11"/>
  <c r="K50" i="11"/>
  <c r="K290" i="11"/>
  <c r="F269" i="11"/>
  <c r="C270" i="11"/>
  <c r="F230" i="11"/>
  <c r="C230" i="11" s="1"/>
  <c r="C231" i="11"/>
  <c r="I289" i="11"/>
  <c r="E50" i="11"/>
  <c r="E24" i="11" s="1"/>
  <c r="E20" i="11" s="1"/>
  <c r="M50" i="11"/>
  <c r="M290" i="11"/>
  <c r="G290" i="11"/>
  <c r="G50" i="11"/>
  <c r="F75" i="11"/>
  <c r="C75" i="11" s="1"/>
  <c r="C76" i="11"/>
  <c r="I51" i="11"/>
  <c r="C83" i="11"/>
  <c r="L50" i="11"/>
  <c r="L290" i="11"/>
  <c r="C204" i="11"/>
  <c r="F195" i="11"/>
  <c r="D50" i="11"/>
  <c r="D24" i="11" s="1"/>
  <c r="C53" i="11"/>
  <c r="O52" i="11"/>
  <c r="O51" i="11" s="1"/>
  <c r="H290" i="11"/>
  <c r="H50" i="11"/>
  <c r="J50" i="11" l="1"/>
  <c r="J290" i="11"/>
  <c r="D20" i="11"/>
  <c r="F24" i="11"/>
  <c r="D290" i="11"/>
  <c r="F52" i="11"/>
  <c r="C195" i="11"/>
  <c r="F194" i="11"/>
  <c r="C194" i="11" s="1"/>
  <c r="C269" i="11"/>
  <c r="F289" i="11"/>
  <c r="C289" i="11" s="1"/>
  <c r="O50" i="11"/>
  <c r="O290" i="11"/>
  <c r="I290" i="11"/>
  <c r="I50" i="11"/>
  <c r="E290" i="11"/>
  <c r="F51" i="11" l="1"/>
  <c r="C52" i="11"/>
  <c r="C24" i="11"/>
  <c r="F20" i="11"/>
  <c r="C20" i="11" s="1"/>
  <c r="F290" i="11" l="1"/>
  <c r="C290" i="11" s="1"/>
  <c r="F50" i="11"/>
  <c r="C50" i="11" s="1"/>
  <c r="C51" i="11"/>
  <c r="O301" i="10" l="1"/>
  <c r="L301" i="10"/>
  <c r="I301" i="10"/>
  <c r="F301" i="10"/>
  <c r="O300" i="10"/>
  <c r="L300" i="10"/>
  <c r="I300" i="10"/>
  <c r="F300" i="10"/>
  <c r="O299" i="10"/>
  <c r="L299" i="10"/>
  <c r="I299" i="10"/>
  <c r="F299" i="10"/>
  <c r="O298" i="10"/>
  <c r="L298" i="10"/>
  <c r="I298" i="10"/>
  <c r="F298" i="10"/>
  <c r="C298" i="10" s="1"/>
  <c r="O297" i="10"/>
  <c r="L297" i="10"/>
  <c r="I297" i="10"/>
  <c r="F297" i="10"/>
  <c r="O296" i="10"/>
  <c r="L296" i="10"/>
  <c r="I296" i="10"/>
  <c r="F296" i="10"/>
  <c r="O295" i="10"/>
  <c r="L295" i="10"/>
  <c r="I295" i="10"/>
  <c r="F295" i="10"/>
  <c r="O294" i="10"/>
  <c r="O293" i="10" s="1"/>
  <c r="L294" i="10"/>
  <c r="I294" i="10"/>
  <c r="F294" i="10"/>
  <c r="N293" i="10"/>
  <c r="M293" i="10"/>
  <c r="K293" i="10"/>
  <c r="J293" i="10"/>
  <c r="H293" i="10"/>
  <c r="G293" i="10"/>
  <c r="E293" i="10"/>
  <c r="D293" i="10"/>
  <c r="O288" i="10"/>
  <c r="L288" i="10"/>
  <c r="I288" i="10"/>
  <c r="F288" i="10"/>
  <c r="O287" i="10"/>
  <c r="L287" i="10"/>
  <c r="L286" i="10" s="1"/>
  <c r="I287" i="10"/>
  <c r="F287" i="10"/>
  <c r="F286" i="10" s="1"/>
  <c r="O286" i="10"/>
  <c r="N286" i="10"/>
  <c r="M286" i="10"/>
  <c r="K286" i="10"/>
  <c r="J286" i="10"/>
  <c r="H286" i="10"/>
  <c r="G286" i="10"/>
  <c r="E286" i="10"/>
  <c r="D286" i="10"/>
  <c r="O285" i="10"/>
  <c r="L285" i="10"/>
  <c r="L284" i="10" s="1"/>
  <c r="L283" i="10" s="1"/>
  <c r="I285" i="10"/>
  <c r="I284" i="10" s="1"/>
  <c r="I283" i="10" s="1"/>
  <c r="F285" i="10"/>
  <c r="O284" i="10"/>
  <c r="O283" i="10" s="1"/>
  <c r="N284" i="10"/>
  <c r="M284" i="10"/>
  <c r="M283" i="10" s="1"/>
  <c r="K284" i="10"/>
  <c r="K283" i="10" s="1"/>
  <c r="J284" i="10"/>
  <c r="H284" i="10"/>
  <c r="G284" i="10"/>
  <c r="G283" i="10" s="1"/>
  <c r="E284" i="10"/>
  <c r="E283" i="10" s="1"/>
  <c r="D284" i="10"/>
  <c r="N283" i="10"/>
  <c r="J283" i="10"/>
  <c r="H283" i="10"/>
  <c r="D283" i="10"/>
  <c r="O282" i="10"/>
  <c r="O281" i="10" s="1"/>
  <c r="L282" i="10"/>
  <c r="L281" i="10" s="1"/>
  <c r="I282" i="10"/>
  <c r="I281" i="10" s="1"/>
  <c r="F282" i="10"/>
  <c r="N281" i="10"/>
  <c r="M281" i="10"/>
  <c r="K281" i="10"/>
  <c r="J281" i="10"/>
  <c r="H281" i="10"/>
  <c r="G281" i="10"/>
  <c r="F281" i="10"/>
  <c r="E281" i="10"/>
  <c r="D281" i="10"/>
  <c r="O280" i="10"/>
  <c r="L280" i="10"/>
  <c r="I280" i="10"/>
  <c r="F280" i="10"/>
  <c r="O279" i="10"/>
  <c r="L279" i="10"/>
  <c r="I279" i="10"/>
  <c r="F279" i="10"/>
  <c r="O278" i="10"/>
  <c r="L278" i="10"/>
  <c r="I278" i="10"/>
  <c r="F278" i="10"/>
  <c r="C278" i="10" s="1"/>
  <c r="O277" i="10"/>
  <c r="L277" i="10"/>
  <c r="I277" i="10"/>
  <c r="I276" i="10" s="1"/>
  <c r="F277" i="10"/>
  <c r="N276" i="10"/>
  <c r="M276" i="10"/>
  <c r="K276" i="10"/>
  <c r="J276" i="10"/>
  <c r="H276" i="10"/>
  <c r="H270" i="10" s="1"/>
  <c r="H269" i="10" s="1"/>
  <c r="G276" i="10"/>
  <c r="E276" i="10"/>
  <c r="D276" i="10"/>
  <c r="O275" i="10"/>
  <c r="L275" i="10"/>
  <c r="I275" i="10"/>
  <c r="F275" i="10"/>
  <c r="O274" i="10"/>
  <c r="O272" i="10" s="1"/>
  <c r="L274" i="10"/>
  <c r="I274" i="10"/>
  <c r="F274" i="10"/>
  <c r="C274" i="10"/>
  <c r="O273" i="10"/>
  <c r="L273" i="10"/>
  <c r="I273" i="10"/>
  <c r="F273" i="10"/>
  <c r="N272" i="10"/>
  <c r="M272" i="10"/>
  <c r="K272" i="10"/>
  <c r="J272" i="10"/>
  <c r="J270" i="10" s="1"/>
  <c r="J269" i="10" s="1"/>
  <c r="I272" i="10"/>
  <c r="H272" i="10"/>
  <c r="G272" i="10"/>
  <c r="E272" i="10"/>
  <c r="E270" i="10" s="1"/>
  <c r="E269" i="10" s="1"/>
  <c r="D272" i="10"/>
  <c r="O271" i="10"/>
  <c r="L271" i="10"/>
  <c r="I271" i="10"/>
  <c r="F271" i="10"/>
  <c r="N270" i="10"/>
  <c r="K270" i="10"/>
  <c r="K269" i="10" s="1"/>
  <c r="G270" i="10"/>
  <c r="G269" i="10" s="1"/>
  <c r="D270" i="10"/>
  <c r="O268" i="10"/>
  <c r="L268" i="10"/>
  <c r="I268" i="10"/>
  <c r="F268" i="10"/>
  <c r="O267" i="10"/>
  <c r="L267" i="10"/>
  <c r="I267" i="10"/>
  <c r="F267" i="10"/>
  <c r="O266" i="10"/>
  <c r="L266" i="10"/>
  <c r="I266" i="10"/>
  <c r="C266" i="10" s="1"/>
  <c r="F266" i="10"/>
  <c r="O265" i="10"/>
  <c r="L265" i="10"/>
  <c r="L264" i="10" s="1"/>
  <c r="I265" i="10"/>
  <c r="F265" i="10"/>
  <c r="N264" i="10"/>
  <c r="M264" i="10"/>
  <c r="K264" i="10"/>
  <c r="J264" i="10"/>
  <c r="H264" i="10"/>
  <c r="G264" i="10"/>
  <c r="E264" i="10"/>
  <c r="D264" i="10"/>
  <c r="O263" i="10"/>
  <c r="L263" i="10"/>
  <c r="I263" i="10"/>
  <c r="F263" i="10"/>
  <c r="O262" i="10"/>
  <c r="L262" i="10"/>
  <c r="I262" i="10"/>
  <c r="F262" i="10"/>
  <c r="O261" i="10"/>
  <c r="L261" i="10"/>
  <c r="L260" i="10" s="1"/>
  <c r="I261" i="10"/>
  <c r="I260" i="10" s="1"/>
  <c r="F261" i="10"/>
  <c r="N260" i="10"/>
  <c r="M260" i="10"/>
  <c r="K260" i="10"/>
  <c r="J260" i="10"/>
  <c r="H260" i="10"/>
  <c r="G260" i="10"/>
  <c r="G259" i="10" s="1"/>
  <c r="E260" i="10"/>
  <c r="E259" i="10" s="1"/>
  <c r="D260" i="10"/>
  <c r="N259" i="10"/>
  <c r="K259" i="10"/>
  <c r="H259" i="10"/>
  <c r="D259" i="10"/>
  <c r="O258" i="10"/>
  <c r="L258" i="10"/>
  <c r="I258" i="10"/>
  <c r="F258" i="10"/>
  <c r="O257" i="10"/>
  <c r="L257" i="10"/>
  <c r="I257" i="10"/>
  <c r="F257" i="10"/>
  <c r="O256" i="10"/>
  <c r="L256" i="10"/>
  <c r="I256" i="10"/>
  <c r="F256" i="10"/>
  <c r="O255" i="10"/>
  <c r="L255" i="10"/>
  <c r="I255" i="10"/>
  <c r="F255" i="10"/>
  <c r="O254" i="10"/>
  <c r="L254" i="10"/>
  <c r="I254" i="10"/>
  <c r="F254" i="10"/>
  <c r="O253" i="10"/>
  <c r="L253" i="10"/>
  <c r="I253" i="10"/>
  <c r="F253" i="10"/>
  <c r="N252" i="10"/>
  <c r="M252" i="10"/>
  <c r="M251" i="10" s="1"/>
  <c r="K252" i="10"/>
  <c r="J252" i="10"/>
  <c r="H252" i="10"/>
  <c r="G252" i="10"/>
  <c r="G251" i="10" s="1"/>
  <c r="E252" i="10"/>
  <c r="E251" i="10" s="1"/>
  <c r="D252" i="10"/>
  <c r="D251" i="10" s="1"/>
  <c r="N251" i="10"/>
  <c r="K251" i="10"/>
  <c r="J251" i="10"/>
  <c r="H251" i="10"/>
  <c r="O250" i="10"/>
  <c r="L250" i="10"/>
  <c r="I250" i="10"/>
  <c r="F250" i="10"/>
  <c r="O249" i="10"/>
  <c r="L249" i="10"/>
  <c r="I249" i="10"/>
  <c r="F249" i="10"/>
  <c r="O248" i="10"/>
  <c r="L248" i="10"/>
  <c r="I248" i="10"/>
  <c r="F248" i="10"/>
  <c r="O247" i="10"/>
  <c r="L247" i="10"/>
  <c r="I247" i="10"/>
  <c r="F247" i="10"/>
  <c r="O246" i="10"/>
  <c r="N246" i="10"/>
  <c r="M246" i="10"/>
  <c r="K246" i="10"/>
  <c r="J246" i="10"/>
  <c r="H246" i="10"/>
  <c r="G246" i="10"/>
  <c r="E246" i="10"/>
  <c r="D246" i="10"/>
  <c r="O245" i="10"/>
  <c r="L245" i="10"/>
  <c r="I245" i="10"/>
  <c r="F245" i="10"/>
  <c r="O244" i="10"/>
  <c r="L244" i="10"/>
  <c r="I244" i="10"/>
  <c r="F244" i="10"/>
  <c r="O243" i="10"/>
  <c r="L243" i="10"/>
  <c r="I243" i="10"/>
  <c r="F243" i="10"/>
  <c r="O242" i="10"/>
  <c r="L242" i="10"/>
  <c r="I242" i="10"/>
  <c r="F242" i="10"/>
  <c r="O241" i="10"/>
  <c r="L241" i="10"/>
  <c r="I241" i="10"/>
  <c r="F241" i="10"/>
  <c r="O240" i="10"/>
  <c r="L240" i="10"/>
  <c r="I240" i="10"/>
  <c r="F240" i="10"/>
  <c r="O239" i="10"/>
  <c r="L239" i="10"/>
  <c r="I239" i="10"/>
  <c r="F239" i="10"/>
  <c r="N238" i="10"/>
  <c r="M238" i="10"/>
  <c r="K238" i="10"/>
  <c r="J238" i="10"/>
  <c r="H238" i="10"/>
  <c r="G238" i="10"/>
  <c r="E238" i="10"/>
  <c r="D238" i="10"/>
  <c r="O237" i="10"/>
  <c r="L237" i="10"/>
  <c r="I237" i="10"/>
  <c r="F237" i="10"/>
  <c r="O236" i="10"/>
  <c r="L236" i="10"/>
  <c r="I236" i="10"/>
  <c r="I235" i="10" s="1"/>
  <c r="F236" i="10"/>
  <c r="O235" i="10"/>
  <c r="N235" i="10"/>
  <c r="M235" i="10"/>
  <c r="L235" i="10"/>
  <c r="K235" i="10"/>
  <c r="J235" i="10"/>
  <c r="H235" i="10"/>
  <c r="G235" i="10"/>
  <c r="E235" i="10"/>
  <c r="D235" i="10"/>
  <c r="O234" i="10"/>
  <c r="O233" i="10" s="1"/>
  <c r="L234" i="10"/>
  <c r="L233" i="10" s="1"/>
  <c r="I234" i="10"/>
  <c r="F234" i="10"/>
  <c r="N233" i="10"/>
  <c r="M233" i="10"/>
  <c r="M231" i="10" s="1"/>
  <c r="K233" i="10"/>
  <c r="J233" i="10"/>
  <c r="I233" i="10"/>
  <c r="H233" i="10"/>
  <c r="G233" i="10"/>
  <c r="F233" i="10"/>
  <c r="E233" i="10"/>
  <c r="E231" i="10" s="1"/>
  <c r="D233" i="10"/>
  <c r="D231" i="10" s="1"/>
  <c r="O232" i="10"/>
  <c r="L232" i="10"/>
  <c r="I232" i="10"/>
  <c r="F232" i="10"/>
  <c r="N231" i="10"/>
  <c r="N230" i="10" s="1"/>
  <c r="J231" i="10"/>
  <c r="O229" i="10"/>
  <c r="L229" i="10"/>
  <c r="I229" i="10"/>
  <c r="F229" i="10"/>
  <c r="O228" i="10"/>
  <c r="L228" i="10"/>
  <c r="L227" i="10" s="1"/>
  <c r="I228" i="10"/>
  <c r="I227" i="10" s="1"/>
  <c r="F228" i="10"/>
  <c r="F227" i="10" s="1"/>
  <c r="O227" i="10"/>
  <c r="N227" i="10"/>
  <c r="M227" i="10"/>
  <c r="K227" i="10"/>
  <c r="J227" i="10"/>
  <c r="H227" i="10"/>
  <c r="G227" i="10"/>
  <c r="E227" i="10"/>
  <c r="D227" i="10"/>
  <c r="O226" i="10"/>
  <c r="L226" i="10"/>
  <c r="I226" i="10"/>
  <c r="F226" i="10"/>
  <c r="O225" i="10"/>
  <c r="L225" i="10"/>
  <c r="I225" i="10"/>
  <c r="F225" i="10"/>
  <c r="O224" i="10"/>
  <c r="L224" i="10"/>
  <c r="I224" i="10"/>
  <c r="F224" i="10"/>
  <c r="O223" i="10"/>
  <c r="L223" i="10"/>
  <c r="I223" i="10"/>
  <c r="F223" i="10"/>
  <c r="O222" i="10"/>
  <c r="L222" i="10"/>
  <c r="I222" i="10"/>
  <c r="F222" i="10"/>
  <c r="O221" i="10"/>
  <c r="L221" i="10"/>
  <c r="I221" i="10"/>
  <c r="F221" i="10"/>
  <c r="O220" i="10"/>
  <c r="L220" i="10"/>
  <c r="I220" i="10"/>
  <c r="F220" i="10"/>
  <c r="O219" i="10"/>
  <c r="L219" i="10"/>
  <c r="I219" i="10"/>
  <c r="F219" i="10"/>
  <c r="O218" i="10"/>
  <c r="O216" i="10" s="1"/>
  <c r="L218" i="10"/>
  <c r="I218" i="10"/>
  <c r="F218" i="10"/>
  <c r="C218" i="10"/>
  <c r="O217" i="10"/>
  <c r="L217" i="10"/>
  <c r="I217" i="10"/>
  <c r="F217" i="10"/>
  <c r="N216" i="10"/>
  <c r="M216" i="10"/>
  <c r="K216" i="10"/>
  <c r="J216" i="10"/>
  <c r="H216" i="10"/>
  <c r="G216" i="10"/>
  <c r="E216" i="10"/>
  <c r="D216" i="10"/>
  <c r="O215" i="10"/>
  <c r="L215" i="10"/>
  <c r="I215" i="10"/>
  <c r="F215" i="10"/>
  <c r="C215" i="10" s="1"/>
  <c r="O214" i="10"/>
  <c r="L214" i="10"/>
  <c r="I214" i="10"/>
  <c r="F214" i="10"/>
  <c r="O213" i="10"/>
  <c r="L213" i="10"/>
  <c r="I213" i="10"/>
  <c r="F213" i="10"/>
  <c r="C213" i="10" s="1"/>
  <c r="O212" i="10"/>
  <c r="L212" i="10"/>
  <c r="I212" i="10"/>
  <c r="F212" i="10"/>
  <c r="C212" i="10" s="1"/>
  <c r="O211" i="10"/>
  <c r="L211" i="10"/>
  <c r="I211" i="10"/>
  <c r="F211" i="10"/>
  <c r="O210" i="10"/>
  <c r="L210" i="10"/>
  <c r="I210" i="10"/>
  <c r="F210" i="10"/>
  <c r="C210" i="10" s="1"/>
  <c r="O209" i="10"/>
  <c r="L209" i="10"/>
  <c r="I209" i="10"/>
  <c r="F209" i="10"/>
  <c r="O208" i="10"/>
  <c r="L208" i="10"/>
  <c r="I208" i="10"/>
  <c r="F208" i="10"/>
  <c r="O207" i="10"/>
  <c r="L207" i="10"/>
  <c r="I207" i="10"/>
  <c r="F207" i="10"/>
  <c r="O206" i="10"/>
  <c r="L206" i="10"/>
  <c r="I206" i="10"/>
  <c r="F206" i="10"/>
  <c r="N205" i="10"/>
  <c r="M205" i="10"/>
  <c r="K205" i="10"/>
  <c r="J205" i="10"/>
  <c r="H205" i="10"/>
  <c r="H204" i="10" s="1"/>
  <c r="G205" i="10"/>
  <c r="E205" i="10"/>
  <c r="D205" i="10"/>
  <c r="D204" i="10" s="1"/>
  <c r="K204" i="10"/>
  <c r="G204" i="10"/>
  <c r="E204" i="10"/>
  <c r="O203" i="10"/>
  <c r="L203" i="10"/>
  <c r="I203" i="10"/>
  <c r="F203" i="10"/>
  <c r="O202" i="10"/>
  <c r="L202" i="10"/>
  <c r="I202" i="10"/>
  <c r="F202" i="10"/>
  <c r="O201" i="10"/>
  <c r="L201" i="10"/>
  <c r="I201" i="10"/>
  <c r="F201" i="10"/>
  <c r="O200" i="10"/>
  <c r="L200" i="10"/>
  <c r="I200" i="10"/>
  <c r="F200" i="10"/>
  <c r="O199" i="10"/>
  <c r="L199" i="10"/>
  <c r="L198" i="10" s="1"/>
  <c r="I199" i="10"/>
  <c r="F199" i="10"/>
  <c r="O198" i="10"/>
  <c r="N198" i="10"/>
  <c r="N196" i="10" s="1"/>
  <c r="M198" i="10"/>
  <c r="K198" i="10"/>
  <c r="K196" i="10" s="1"/>
  <c r="K195" i="10" s="1"/>
  <c r="J198" i="10"/>
  <c r="J196" i="10" s="1"/>
  <c r="H198" i="10"/>
  <c r="G198" i="10"/>
  <c r="G196" i="10" s="1"/>
  <c r="F198" i="10"/>
  <c r="E198" i="10"/>
  <c r="D198" i="10"/>
  <c r="D196" i="10" s="1"/>
  <c r="D195" i="10" s="1"/>
  <c r="O197" i="10"/>
  <c r="L197" i="10"/>
  <c r="I197" i="10"/>
  <c r="F197" i="10"/>
  <c r="M196" i="10"/>
  <c r="H196" i="10"/>
  <c r="E196" i="10"/>
  <c r="O193" i="10"/>
  <c r="O192" i="10" s="1"/>
  <c r="O191" i="10" s="1"/>
  <c r="L193" i="10"/>
  <c r="L192" i="10" s="1"/>
  <c r="L191" i="10" s="1"/>
  <c r="I193" i="10"/>
  <c r="I192" i="10" s="1"/>
  <c r="I191" i="10" s="1"/>
  <c r="F193" i="10"/>
  <c r="N192" i="10"/>
  <c r="M192" i="10"/>
  <c r="M191" i="10" s="1"/>
  <c r="K192" i="10"/>
  <c r="J192" i="10"/>
  <c r="H192" i="10"/>
  <c r="H191" i="10" s="1"/>
  <c r="G192" i="10"/>
  <c r="G191" i="10" s="1"/>
  <c r="E192" i="10"/>
  <c r="E191" i="10" s="1"/>
  <c r="E187" i="10" s="1"/>
  <c r="D192" i="10"/>
  <c r="D191" i="10" s="1"/>
  <c r="N191" i="10"/>
  <c r="K191" i="10"/>
  <c r="J191" i="10"/>
  <c r="O190" i="10"/>
  <c r="L190" i="10"/>
  <c r="I190" i="10"/>
  <c r="F190" i="10"/>
  <c r="C190" i="10" s="1"/>
  <c r="O189" i="10"/>
  <c r="L189" i="10"/>
  <c r="I189" i="10"/>
  <c r="F189" i="10"/>
  <c r="N188" i="10"/>
  <c r="N187" i="10" s="1"/>
  <c r="M188" i="10"/>
  <c r="K188" i="10"/>
  <c r="J188" i="10"/>
  <c r="J187" i="10" s="1"/>
  <c r="I188" i="10"/>
  <c r="I187" i="10" s="1"/>
  <c r="H188" i="10"/>
  <c r="H187" i="10" s="1"/>
  <c r="G188" i="10"/>
  <c r="E188" i="10"/>
  <c r="D188" i="10"/>
  <c r="D187" i="10" s="1"/>
  <c r="M187" i="10"/>
  <c r="K187" i="10"/>
  <c r="O186" i="10"/>
  <c r="L186" i="10"/>
  <c r="I186" i="10"/>
  <c r="F186" i="10"/>
  <c r="O185" i="10"/>
  <c r="O184" i="10" s="1"/>
  <c r="L185" i="10"/>
  <c r="I185" i="10"/>
  <c r="I184" i="10" s="1"/>
  <c r="F185" i="10"/>
  <c r="C185" i="10" s="1"/>
  <c r="N184" i="10"/>
  <c r="M184" i="10"/>
  <c r="L184" i="10"/>
  <c r="K184" i="10"/>
  <c r="J184" i="10"/>
  <c r="H184" i="10"/>
  <c r="G184" i="10"/>
  <c r="F184" i="10"/>
  <c r="E184" i="10"/>
  <c r="D184" i="10"/>
  <c r="O183" i="10"/>
  <c r="L183" i="10"/>
  <c r="I183" i="10"/>
  <c r="F183" i="10"/>
  <c r="O182" i="10"/>
  <c r="L182" i="10"/>
  <c r="I182" i="10"/>
  <c r="F182" i="10"/>
  <c r="O181" i="10"/>
  <c r="L181" i="10"/>
  <c r="I181" i="10"/>
  <c r="F181" i="10"/>
  <c r="O180" i="10"/>
  <c r="L180" i="10"/>
  <c r="I180" i="10"/>
  <c r="I179" i="10" s="1"/>
  <c r="F180" i="10"/>
  <c r="N179" i="10"/>
  <c r="M179" i="10"/>
  <c r="K179" i="10"/>
  <c r="J179" i="10"/>
  <c r="H179" i="10"/>
  <c r="G179" i="10"/>
  <c r="E179" i="10"/>
  <c r="D179" i="10"/>
  <c r="O178" i="10"/>
  <c r="L178" i="10"/>
  <c r="I178" i="10"/>
  <c r="F178" i="10"/>
  <c r="O177" i="10"/>
  <c r="L177" i="10"/>
  <c r="I177" i="10"/>
  <c r="F177" i="10"/>
  <c r="C177" i="10"/>
  <c r="O176" i="10"/>
  <c r="L176" i="10"/>
  <c r="I176" i="10"/>
  <c r="F176" i="10"/>
  <c r="N175" i="10"/>
  <c r="M175" i="10"/>
  <c r="M174" i="10" s="1"/>
  <c r="M173" i="10" s="1"/>
  <c r="K175" i="10"/>
  <c r="K174" i="10" s="1"/>
  <c r="K173" i="10" s="1"/>
  <c r="J175" i="10"/>
  <c r="J174" i="10" s="1"/>
  <c r="J173" i="10" s="1"/>
  <c r="I175" i="10"/>
  <c r="H175" i="10"/>
  <c r="G175" i="10"/>
  <c r="G174" i="10" s="1"/>
  <c r="E175" i="10"/>
  <c r="D175" i="10"/>
  <c r="N174" i="10"/>
  <c r="N173" i="10" s="1"/>
  <c r="H174" i="10"/>
  <c r="D174" i="10"/>
  <c r="G173" i="10"/>
  <c r="O172" i="10"/>
  <c r="L172" i="10"/>
  <c r="I172" i="10"/>
  <c r="F172" i="10"/>
  <c r="O171" i="10"/>
  <c r="L171" i="10"/>
  <c r="I171" i="10"/>
  <c r="F171" i="10"/>
  <c r="O170" i="10"/>
  <c r="L170" i="10"/>
  <c r="I170" i="10"/>
  <c r="F170" i="10"/>
  <c r="O169" i="10"/>
  <c r="L169" i="10"/>
  <c r="I169" i="10"/>
  <c r="F169" i="10"/>
  <c r="O168" i="10"/>
  <c r="L168" i="10"/>
  <c r="I168" i="10"/>
  <c r="F168" i="10"/>
  <c r="O167" i="10"/>
  <c r="L167" i="10"/>
  <c r="I167" i="10"/>
  <c r="F167" i="10"/>
  <c r="N166" i="10"/>
  <c r="N165" i="10" s="1"/>
  <c r="M166" i="10"/>
  <c r="K166" i="10"/>
  <c r="K165" i="10" s="1"/>
  <c r="J166" i="10"/>
  <c r="J165" i="10" s="1"/>
  <c r="H166" i="10"/>
  <c r="H165" i="10" s="1"/>
  <c r="G166" i="10"/>
  <c r="E166" i="10"/>
  <c r="D166" i="10"/>
  <c r="D165" i="10" s="1"/>
  <c r="M165" i="10"/>
  <c r="G165" i="10"/>
  <c r="E165" i="10"/>
  <c r="O164" i="10"/>
  <c r="L164" i="10"/>
  <c r="I164" i="10"/>
  <c r="F164" i="10"/>
  <c r="C164" i="10" s="1"/>
  <c r="O163" i="10"/>
  <c r="L163" i="10"/>
  <c r="I163" i="10"/>
  <c r="F163" i="10"/>
  <c r="O162" i="10"/>
  <c r="L162" i="10"/>
  <c r="I162" i="10"/>
  <c r="F162" i="10"/>
  <c r="C162" i="10" s="1"/>
  <c r="O161" i="10"/>
  <c r="O160" i="10" s="1"/>
  <c r="L161" i="10"/>
  <c r="I161" i="10"/>
  <c r="I160" i="10" s="1"/>
  <c r="F161" i="10"/>
  <c r="C161" i="10" s="1"/>
  <c r="N160" i="10"/>
  <c r="M160" i="10"/>
  <c r="L160" i="10"/>
  <c r="K160" i="10"/>
  <c r="J160" i="10"/>
  <c r="H160" i="10"/>
  <c r="G160" i="10"/>
  <c r="F160" i="10"/>
  <c r="E160" i="10"/>
  <c r="D160" i="10"/>
  <c r="O159" i="10"/>
  <c r="L159" i="10"/>
  <c r="I159" i="10"/>
  <c r="F159" i="10"/>
  <c r="O158" i="10"/>
  <c r="L158" i="10"/>
  <c r="I158" i="10"/>
  <c r="F158" i="10"/>
  <c r="O157" i="10"/>
  <c r="L157" i="10"/>
  <c r="C157" i="10" s="1"/>
  <c r="I157" i="10"/>
  <c r="F157" i="10"/>
  <c r="O156" i="10"/>
  <c r="L156" i="10"/>
  <c r="I156" i="10"/>
  <c r="F156" i="10"/>
  <c r="O155" i="10"/>
  <c r="L155" i="10"/>
  <c r="I155" i="10"/>
  <c r="F155" i="10"/>
  <c r="O154" i="10"/>
  <c r="L154" i="10"/>
  <c r="I154" i="10"/>
  <c r="F154" i="10"/>
  <c r="O153" i="10"/>
  <c r="L153" i="10"/>
  <c r="C153" i="10" s="1"/>
  <c r="I153" i="10"/>
  <c r="F153" i="10"/>
  <c r="O152" i="10"/>
  <c r="L152" i="10"/>
  <c r="I152" i="10"/>
  <c r="F152" i="10"/>
  <c r="N151" i="10"/>
  <c r="M151" i="10"/>
  <c r="K151" i="10"/>
  <c r="J151" i="10"/>
  <c r="H151" i="10"/>
  <c r="G151" i="10"/>
  <c r="E151" i="10"/>
  <c r="D151" i="10"/>
  <c r="O150" i="10"/>
  <c r="L150" i="10"/>
  <c r="I150" i="10"/>
  <c r="F150" i="10"/>
  <c r="O149" i="10"/>
  <c r="L149" i="10"/>
  <c r="I149" i="10"/>
  <c r="F149" i="10"/>
  <c r="O148" i="10"/>
  <c r="L148" i="10"/>
  <c r="I148" i="10"/>
  <c r="F148" i="10"/>
  <c r="O147" i="10"/>
  <c r="L147" i="10"/>
  <c r="I147" i="10"/>
  <c r="F147" i="10"/>
  <c r="O146" i="10"/>
  <c r="L146" i="10"/>
  <c r="I146" i="10"/>
  <c r="F146" i="10"/>
  <c r="O145" i="10"/>
  <c r="L145" i="10"/>
  <c r="L144" i="10" s="1"/>
  <c r="I145" i="10"/>
  <c r="I144" i="10" s="1"/>
  <c r="F145" i="10"/>
  <c r="N144" i="10"/>
  <c r="M144" i="10"/>
  <c r="K144" i="10"/>
  <c r="J144" i="10"/>
  <c r="H144" i="10"/>
  <c r="G144" i="10"/>
  <c r="E144" i="10"/>
  <c r="D144" i="10"/>
  <c r="O143" i="10"/>
  <c r="L143" i="10"/>
  <c r="I143" i="10"/>
  <c r="F143" i="10"/>
  <c r="O142" i="10"/>
  <c r="L142" i="10"/>
  <c r="L141" i="10" s="1"/>
  <c r="I142" i="10"/>
  <c r="F142" i="10"/>
  <c r="F141" i="10" s="1"/>
  <c r="O141" i="10"/>
  <c r="N141" i="10"/>
  <c r="M141" i="10"/>
  <c r="K141" i="10"/>
  <c r="J141" i="10"/>
  <c r="H141" i="10"/>
  <c r="G141" i="10"/>
  <c r="E141" i="10"/>
  <c r="D141" i="10"/>
  <c r="O140" i="10"/>
  <c r="L140" i="10"/>
  <c r="I140" i="10"/>
  <c r="F140" i="10"/>
  <c r="C140" i="10" s="1"/>
  <c r="O139" i="10"/>
  <c r="L139" i="10"/>
  <c r="I139" i="10"/>
  <c r="F139" i="10"/>
  <c r="O138" i="10"/>
  <c r="L138" i="10"/>
  <c r="I138" i="10"/>
  <c r="F138" i="10"/>
  <c r="C138" i="10" s="1"/>
  <c r="O137" i="10"/>
  <c r="O136" i="10" s="1"/>
  <c r="L137" i="10"/>
  <c r="I137" i="10"/>
  <c r="I136" i="10" s="1"/>
  <c r="F137" i="10"/>
  <c r="C137" i="10" s="1"/>
  <c r="N136" i="10"/>
  <c r="M136" i="10"/>
  <c r="L136" i="10"/>
  <c r="K136" i="10"/>
  <c r="J136" i="10"/>
  <c r="H136" i="10"/>
  <c r="G136" i="10"/>
  <c r="E136" i="10"/>
  <c r="D136" i="10"/>
  <c r="O135" i="10"/>
  <c r="L135" i="10"/>
  <c r="I135" i="10"/>
  <c r="F135" i="10"/>
  <c r="O134" i="10"/>
  <c r="L134" i="10"/>
  <c r="I134" i="10"/>
  <c r="F134" i="10"/>
  <c r="O133" i="10"/>
  <c r="L133" i="10"/>
  <c r="I133" i="10"/>
  <c r="F133" i="10"/>
  <c r="C133" i="10" s="1"/>
  <c r="O132" i="10"/>
  <c r="L132" i="10"/>
  <c r="L131" i="10" s="1"/>
  <c r="I132" i="10"/>
  <c r="F132" i="10"/>
  <c r="N131" i="10"/>
  <c r="M131" i="10"/>
  <c r="K131" i="10"/>
  <c r="J131" i="10"/>
  <c r="J130" i="10" s="1"/>
  <c r="H131" i="10"/>
  <c r="G131" i="10"/>
  <c r="E131" i="10"/>
  <c r="E130" i="10" s="1"/>
  <c r="D131" i="10"/>
  <c r="O129" i="10"/>
  <c r="O128" i="10" s="1"/>
  <c r="L129" i="10"/>
  <c r="L128" i="10" s="1"/>
  <c r="I129" i="10"/>
  <c r="I128" i="10" s="1"/>
  <c r="F129" i="10"/>
  <c r="N128" i="10"/>
  <c r="M128" i="10"/>
  <c r="K128" i="10"/>
  <c r="J128" i="10"/>
  <c r="H128" i="10"/>
  <c r="G128" i="10"/>
  <c r="F128" i="10"/>
  <c r="E128" i="10"/>
  <c r="D128" i="10"/>
  <c r="O127" i="10"/>
  <c r="L127" i="10"/>
  <c r="I127" i="10"/>
  <c r="F127" i="10"/>
  <c r="O126" i="10"/>
  <c r="L126" i="10"/>
  <c r="I126" i="10"/>
  <c r="F126" i="10"/>
  <c r="O125" i="10"/>
  <c r="L125" i="10"/>
  <c r="I125" i="10"/>
  <c r="F125" i="10"/>
  <c r="O124" i="10"/>
  <c r="L124" i="10"/>
  <c r="I124" i="10"/>
  <c r="F124" i="10"/>
  <c r="O123" i="10"/>
  <c r="L123" i="10"/>
  <c r="I123" i="10"/>
  <c r="F123" i="10"/>
  <c r="N122" i="10"/>
  <c r="M122" i="10"/>
  <c r="K122" i="10"/>
  <c r="J122" i="10"/>
  <c r="H122" i="10"/>
  <c r="G122" i="10"/>
  <c r="E122" i="10"/>
  <c r="D122" i="10"/>
  <c r="O121" i="10"/>
  <c r="L121" i="10"/>
  <c r="I121" i="10"/>
  <c r="F121" i="10"/>
  <c r="C121" i="10"/>
  <c r="O120" i="10"/>
  <c r="L120" i="10"/>
  <c r="I120" i="10"/>
  <c r="F120" i="10"/>
  <c r="O119" i="10"/>
  <c r="L119" i="10"/>
  <c r="I119" i="10"/>
  <c r="F119" i="10"/>
  <c r="O118" i="10"/>
  <c r="L118" i="10"/>
  <c r="I118" i="10"/>
  <c r="F118" i="10"/>
  <c r="O117" i="10"/>
  <c r="L117" i="10"/>
  <c r="I117" i="10"/>
  <c r="F117" i="10"/>
  <c r="C117" i="10" s="1"/>
  <c r="N116" i="10"/>
  <c r="M116" i="10"/>
  <c r="K116" i="10"/>
  <c r="J116" i="10"/>
  <c r="H116" i="10"/>
  <c r="G116" i="10"/>
  <c r="E116" i="10"/>
  <c r="D116" i="10"/>
  <c r="O115" i="10"/>
  <c r="L115" i="10"/>
  <c r="I115" i="10"/>
  <c r="F115" i="10"/>
  <c r="O114" i="10"/>
  <c r="L114" i="10"/>
  <c r="I114" i="10"/>
  <c r="F114" i="10"/>
  <c r="O113" i="10"/>
  <c r="O112" i="10" s="1"/>
  <c r="L113" i="10"/>
  <c r="I113" i="10"/>
  <c r="F113" i="10"/>
  <c r="C113" i="10" s="1"/>
  <c r="N112" i="10"/>
  <c r="M112" i="10"/>
  <c r="L112" i="10"/>
  <c r="K112" i="10"/>
  <c r="J112" i="10"/>
  <c r="H112" i="10"/>
  <c r="G112" i="10"/>
  <c r="E112" i="10"/>
  <c r="D112" i="10"/>
  <c r="O111" i="10"/>
  <c r="L111" i="10"/>
  <c r="I111" i="10"/>
  <c r="F111" i="10"/>
  <c r="O110" i="10"/>
  <c r="L110" i="10"/>
  <c r="I110" i="10"/>
  <c r="F110" i="10"/>
  <c r="O109" i="10"/>
  <c r="L109" i="10"/>
  <c r="I109" i="10"/>
  <c r="F109" i="10"/>
  <c r="O108" i="10"/>
  <c r="L108" i="10"/>
  <c r="I108" i="10"/>
  <c r="F108" i="10"/>
  <c r="O107" i="10"/>
  <c r="L107" i="10"/>
  <c r="I107" i="10"/>
  <c r="F107" i="10"/>
  <c r="O106" i="10"/>
  <c r="L106" i="10"/>
  <c r="I106" i="10"/>
  <c r="F106" i="10"/>
  <c r="O105" i="10"/>
  <c r="L105" i="10"/>
  <c r="I105" i="10"/>
  <c r="F105" i="10"/>
  <c r="O104" i="10"/>
  <c r="L104" i="10"/>
  <c r="I104" i="10"/>
  <c r="F104" i="10"/>
  <c r="N103" i="10"/>
  <c r="M103" i="10"/>
  <c r="K103" i="10"/>
  <c r="J103" i="10"/>
  <c r="I103" i="10"/>
  <c r="H103" i="10"/>
  <c r="G103" i="10"/>
  <c r="E103" i="10"/>
  <c r="D103" i="10"/>
  <c r="O102" i="10"/>
  <c r="L102" i="10"/>
  <c r="I102" i="10"/>
  <c r="F102" i="10"/>
  <c r="O101" i="10"/>
  <c r="L101" i="10"/>
  <c r="I101" i="10"/>
  <c r="F101" i="10"/>
  <c r="C101" i="10" s="1"/>
  <c r="O100" i="10"/>
  <c r="L100" i="10"/>
  <c r="I100" i="10"/>
  <c r="F100" i="10"/>
  <c r="O99" i="10"/>
  <c r="L99" i="10"/>
  <c r="I99" i="10"/>
  <c r="F99" i="10"/>
  <c r="O98" i="10"/>
  <c r="L98" i="10"/>
  <c r="I98" i="10"/>
  <c r="F98" i="10"/>
  <c r="O97" i="10"/>
  <c r="L97" i="10"/>
  <c r="I97" i="10"/>
  <c r="F97" i="10"/>
  <c r="O96" i="10"/>
  <c r="L96" i="10"/>
  <c r="I96" i="10"/>
  <c r="F96" i="10"/>
  <c r="N95" i="10"/>
  <c r="M95" i="10"/>
  <c r="K95" i="10"/>
  <c r="J95" i="10"/>
  <c r="H95" i="10"/>
  <c r="G95" i="10"/>
  <c r="E95" i="10"/>
  <c r="D95" i="10"/>
  <c r="O94" i="10"/>
  <c r="L94" i="10"/>
  <c r="I94" i="10"/>
  <c r="F94" i="10"/>
  <c r="O93" i="10"/>
  <c r="L93" i="10"/>
  <c r="I93" i="10"/>
  <c r="F93" i="10"/>
  <c r="C93" i="10" s="1"/>
  <c r="O92" i="10"/>
  <c r="L92" i="10"/>
  <c r="I92" i="10"/>
  <c r="F92" i="10"/>
  <c r="O91" i="10"/>
  <c r="L91" i="10"/>
  <c r="I91" i="10"/>
  <c r="F91" i="10"/>
  <c r="O90" i="10"/>
  <c r="L90" i="10"/>
  <c r="I90" i="10"/>
  <c r="I89" i="10" s="1"/>
  <c r="F90" i="10"/>
  <c r="N89" i="10"/>
  <c r="M89" i="10"/>
  <c r="K89" i="10"/>
  <c r="J89" i="10"/>
  <c r="H89" i="10"/>
  <c r="G89" i="10"/>
  <c r="E89" i="10"/>
  <c r="D89" i="10"/>
  <c r="O88" i="10"/>
  <c r="L88" i="10"/>
  <c r="I88" i="10"/>
  <c r="F88" i="10"/>
  <c r="O87" i="10"/>
  <c r="L87" i="10"/>
  <c r="I87" i="10"/>
  <c r="F87" i="10"/>
  <c r="O86" i="10"/>
  <c r="L86" i="10"/>
  <c r="I86" i="10"/>
  <c r="F86" i="10"/>
  <c r="O85" i="10"/>
  <c r="O84" i="10" s="1"/>
  <c r="L85" i="10"/>
  <c r="I85" i="10"/>
  <c r="F85" i="10"/>
  <c r="F84" i="10" s="1"/>
  <c r="N84" i="10"/>
  <c r="M84" i="10"/>
  <c r="L84" i="10"/>
  <c r="K84" i="10"/>
  <c r="J84" i="10"/>
  <c r="H84" i="10"/>
  <c r="H83" i="10" s="1"/>
  <c r="G84" i="10"/>
  <c r="E84" i="10"/>
  <c r="D84" i="10"/>
  <c r="O82" i="10"/>
  <c r="L82" i="10"/>
  <c r="I82" i="10"/>
  <c r="F82" i="10"/>
  <c r="O81" i="10"/>
  <c r="L81" i="10"/>
  <c r="L80" i="10" s="1"/>
  <c r="I81" i="10"/>
  <c r="F81" i="10"/>
  <c r="F80" i="10" s="1"/>
  <c r="N80" i="10"/>
  <c r="M80" i="10"/>
  <c r="K80" i="10"/>
  <c r="J80" i="10"/>
  <c r="I80" i="10"/>
  <c r="H80" i="10"/>
  <c r="G80" i="10"/>
  <c r="E80" i="10"/>
  <c r="D80" i="10"/>
  <c r="O79" i="10"/>
  <c r="L79" i="10"/>
  <c r="I79" i="10"/>
  <c r="F79" i="10"/>
  <c r="O78" i="10"/>
  <c r="L78" i="10"/>
  <c r="L77" i="10" s="1"/>
  <c r="I78" i="10"/>
  <c r="F78" i="10"/>
  <c r="N77" i="10"/>
  <c r="M77" i="10"/>
  <c r="M76" i="10" s="1"/>
  <c r="K77" i="10"/>
  <c r="J77" i="10"/>
  <c r="J76" i="10" s="1"/>
  <c r="H77" i="10"/>
  <c r="H76" i="10" s="1"/>
  <c r="G77" i="10"/>
  <c r="E77" i="10"/>
  <c r="E76" i="10" s="1"/>
  <c r="D77" i="10"/>
  <c r="D76" i="10" s="1"/>
  <c r="N76" i="10"/>
  <c r="O74" i="10"/>
  <c r="L74" i="10"/>
  <c r="I74" i="10"/>
  <c r="F74" i="10"/>
  <c r="O73" i="10"/>
  <c r="L73" i="10"/>
  <c r="I73" i="10"/>
  <c r="F73" i="10"/>
  <c r="O72" i="10"/>
  <c r="L72" i="10"/>
  <c r="I72" i="10"/>
  <c r="F72" i="10"/>
  <c r="O71" i="10"/>
  <c r="L71" i="10"/>
  <c r="I71" i="10"/>
  <c r="I69" i="10" s="1"/>
  <c r="I67" i="10" s="1"/>
  <c r="F71" i="10"/>
  <c r="O70" i="10"/>
  <c r="L70" i="10"/>
  <c r="L69" i="10" s="1"/>
  <c r="I70" i="10"/>
  <c r="F70" i="10"/>
  <c r="N69" i="10"/>
  <c r="M69" i="10"/>
  <c r="M67" i="10" s="1"/>
  <c r="K69" i="10"/>
  <c r="J69" i="10"/>
  <c r="H69" i="10"/>
  <c r="H67" i="10" s="1"/>
  <c r="G69" i="10"/>
  <c r="G67" i="10" s="1"/>
  <c r="E69" i="10"/>
  <c r="E67" i="10" s="1"/>
  <c r="D69" i="10"/>
  <c r="D67" i="10" s="1"/>
  <c r="O68" i="10"/>
  <c r="L68" i="10"/>
  <c r="I68" i="10"/>
  <c r="F68" i="10"/>
  <c r="N67" i="10"/>
  <c r="K67" i="10"/>
  <c r="J67" i="10"/>
  <c r="O66" i="10"/>
  <c r="L66" i="10"/>
  <c r="I66" i="10"/>
  <c r="F66" i="10"/>
  <c r="O65" i="10"/>
  <c r="L65" i="10"/>
  <c r="I65" i="10"/>
  <c r="F65" i="10"/>
  <c r="O64" i="10"/>
  <c r="L64" i="10"/>
  <c r="I64" i="10"/>
  <c r="F64" i="10"/>
  <c r="O63" i="10"/>
  <c r="L63" i="10"/>
  <c r="I63" i="10"/>
  <c r="F63" i="10"/>
  <c r="O62" i="10"/>
  <c r="L62" i="10"/>
  <c r="I62" i="10"/>
  <c r="F62" i="10"/>
  <c r="O61" i="10"/>
  <c r="L61" i="10"/>
  <c r="I61" i="10"/>
  <c r="F61" i="10"/>
  <c r="O60" i="10"/>
  <c r="L60" i="10"/>
  <c r="I60" i="10"/>
  <c r="F60" i="10"/>
  <c r="O59" i="10"/>
  <c r="O58" i="10" s="1"/>
  <c r="L59" i="10"/>
  <c r="L58" i="10" s="1"/>
  <c r="I59" i="10"/>
  <c r="I58" i="10" s="1"/>
  <c r="F59" i="10"/>
  <c r="N58" i="10"/>
  <c r="M58" i="10"/>
  <c r="K58" i="10"/>
  <c r="J58" i="10"/>
  <c r="H58" i="10"/>
  <c r="G58" i="10"/>
  <c r="E58" i="10"/>
  <c r="D58" i="10"/>
  <c r="O57" i="10"/>
  <c r="L57" i="10"/>
  <c r="I57" i="10"/>
  <c r="F57" i="10"/>
  <c r="O56" i="10"/>
  <c r="L56" i="10"/>
  <c r="L55" i="10" s="1"/>
  <c r="I56" i="10"/>
  <c r="F56" i="10"/>
  <c r="F55" i="10" s="1"/>
  <c r="O55" i="10"/>
  <c r="O54" i="10" s="1"/>
  <c r="N55" i="10"/>
  <c r="M55" i="10"/>
  <c r="K55" i="10"/>
  <c r="J55" i="10"/>
  <c r="J54" i="10" s="1"/>
  <c r="J53" i="10" s="1"/>
  <c r="H55" i="10"/>
  <c r="G55" i="10"/>
  <c r="G54" i="10" s="1"/>
  <c r="E55" i="10"/>
  <c r="D55" i="10"/>
  <c r="D54" i="10" s="1"/>
  <c r="N54" i="10"/>
  <c r="N53" i="10" s="1"/>
  <c r="O47" i="10"/>
  <c r="C47" i="10" s="1"/>
  <c r="O46" i="10"/>
  <c r="C46" i="10" s="1"/>
  <c r="N45" i="10"/>
  <c r="M45" i="10"/>
  <c r="L44" i="10"/>
  <c r="L43" i="10" s="1"/>
  <c r="I44" i="10"/>
  <c r="F44" i="10"/>
  <c r="K43" i="10"/>
  <c r="J43" i="10"/>
  <c r="I43" i="10"/>
  <c r="H43" i="10"/>
  <c r="G43" i="10"/>
  <c r="F43" i="10"/>
  <c r="E43" i="10"/>
  <c r="D43" i="10"/>
  <c r="F42" i="10"/>
  <c r="C42" i="10" s="1"/>
  <c r="E41" i="10"/>
  <c r="D41" i="10"/>
  <c r="L40" i="10"/>
  <c r="C40" i="10" s="1"/>
  <c r="L39" i="10"/>
  <c r="C39" i="10" s="1"/>
  <c r="L38" i="10"/>
  <c r="C38" i="10" s="1"/>
  <c r="L37" i="10"/>
  <c r="C37" i="10" s="1"/>
  <c r="K36" i="10"/>
  <c r="J36" i="10"/>
  <c r="L35" i="10"/>
  <c r="C35" i="10" s="1"/>
  <c r="L34" i="10"/>
  <c r="C34" i="10" s="1"/>
  <c r="K33" i="10"/>
  <c r="J33" i="10"/>
  <c r="L32" i="10"/>
  <c r="C32" i="10" s="1"/>
  <c r="L31" i="10"/>
  <c r="C31" i="10" s="1"/>
  <c r="K31" i="10"/>
  <c r="J31" i="10"/>
  <c r="L30" i="10"/>
  <c r="C30" i="10" s="1"/>
  <c r="L29" i="10"/>
  <c r="C29" i="10" s="1"/>
  <c r="L28" i="10"/>
  <c r="C28" i="10" s="1"/>
  <c r="K27" i="10"/>
  <c r="K26" i="10" s="1"/>
  <c r="K20" i="10" s="1"/>
  <c r="J27" i="10"/>
  <c r="F25" i="10"/>
  <c r="C25" i="10" s="1"/>
  <c r="I24" i="10"/>
  <c r="O23" i="10"/>
  <c r="L23" i="10"/>
  <c r="I23" i="10"/>
  <c r="F23" i="10"/>
  <c r="O22" i="10"/>
  <c r="O21" i="10" s="1"/>
  <c r="L22" i="10"/>
  <c r="I22" i="10"/>
  <c r="I21" i="10" s="1"/>
  <c r="F22" i="10"/>
  <c r="N21" i="10"/>
  <c r="N292" i="10" s="1"/>
  <c r="N291" i="10" s="1"/>
  <c r="M21" i="10"/>
  <c r="M292" i="10" s="1"/>
  <c r="M291" i="10" s="1"/>
  <c r="L21" i="10"/>
  <c r="L292" i="10" s="1"/>
  <c r="K21" i="10"/>
  <c r="K292" i="10" s="1"/>
  <c r="K291" i="10" s="1"/>
  <c r="J21" i="10"/>
  <c r="J292" i="10" s="1"/>
  <c r="J291" i="10" s="1"/>
  <c r="H21" i="10"/>
  <c r="H292" i="10" s="1"/>
  <c r="H291" i="10" s="1"/>
  <c r="G21" i="10"/>
  <c r="G292" i="10" s="1"/>
  <c r="G291" i="10" s="1"/>
  <c r="F21" i="10"/>
  <c r="F292" i="10" s="1"/>
  <c r="E21" i="10"/>
  <c r="E292" i="10" s="1"/>
  <c r="E291" i="10" s="1"/>
  <c r="D21" i="10"/>
  <c r="D292" i="10" s="1"/>
  <c r="D291" i="10" s="1"/>
  <c r="J26" i="10" l="1"/>
  <c r="G53" i="10"/>
  <c r="C70" i="10"/>
  <c r="C71" i="10"/>
  <c r="O69" i="10"/>
  <c r="O67" i="10" s="1"/>
  <c r="C79" i="10"/>
  <c r="C127" i="10"/>
  <c r="O131" i="10"/>
  <c r="C147" i="10"/>
  <c r="C154" i="10"/>
  <c r="C156" i="10"/>
  <c r="O179" i="10"/>
  <c r="C206" i="10"/>
  <c r="C222" i="10"/>
  <c r="C250" i="10"/>
  <c r="N269" i="10"/>
  <c r="L54" i="10"/>
  <c r="C61" i="10"/>
  <c r="C65" i="10"/>
  <c r="C82" i="10"/>
  <c r="C85" i="10"/>
  <c r="F112" i="10"/>
  <c r="N130" i="10"/>
  <c r="L151" i="10"/>
  <c r="C169" i="10"/>
  <c r="C170" i="10"/>
  <c r="C172" i="10"/>
  <c r="C202" i="10"/>
  <c r="C226" i="10"/>
  <c r="C242" i="10"/>
  <c r="C243" i="10"/>
  <c r="C258" i="10"/>
  <c r="C262" i="10"/>
  <c r="C263" i="10"/>
  <c r="J259" i="10"/>
  <c r="O264" i="10"/>
  <c r="L272" i="10"/>
  <c r="C280" i="10"/>
  <c r="O53" i="10"/>
  <c r="H54" i="10"/>
  <c r="H53" i="10" s="1"/>
  <c r="O77" i="10"/>
  <c r="I174" i="10"/>
  <c r="I173" i="10" s="1"/>
  <c r="C181" i="10"/>
  <c r="C183" i="10"/>
  <c r="L188" i="10"/>
  <c r="C234" i="10"/>
  <c r="C254" i="10"/>
  <c r="C294" i="10"/>
  <c r="C97" i="10"/>
  <c r="C98" i="10"/>
  <c r="C105" i="10"/>
  <c r="C106" i="10"/>
  <c r="C107" i="10"/>
  <c r="C149" i="10"/>
  <c r="O151" i="10"/>
  <c r="O175" i="10"/>
  <c r="G187" i="10"/>
  <c r="D230" i="10"/>
  <c r="L187" i="10"/>
  <c r="G20" i="10"/>
  <c r="C23" i="10"/>
  <c r="C43" i="10"/>
  <c r="C60" i="10"/>
  <c r="C62" i="10"/>
  <c r="C64" i="10"/>
  <c r="C66" i="10"/>
  <c r="G76" i="10"/>
  <c r="K76" i="10"/>
  <c r="G83" i="10"/>
  <c r="L89" i="10"/>
  <c r="C94" i="10"/>
  <c r="E83" i="10"/>
  <c r="C100" i="10"/>
  <c r="I116" i="10"/>
  <c r="C119" i="10"/>
  <c r="J83" i="10"/>
  <c r="J75" i="10" s="1"/>
  <c r="J52" i="10" s="1"/>
  <c r="C124" i="10"/>
  <c r="F136" i="10"/>
  <c r="C146" i="10"/>
  <c r="C159" i="10"/>
  <c r="C171" i="10"/>
  <c r="C182" i="10"/>
  <c r="G195" i="10"/>
  <c r="C203" i="10"/>
  <c r="C214" i="10"/>
  <c r="C224" i="10"/>
  <c r="H231" i="10"/>
  <c r="H230" i="10" s="1"/>
  <c r="C257" i="10"/>
  <c r="O260" i="10"/>
  <c r="O259" i="10" s="1"/>
  <c r="I270" i="10"/>
  <c r="I269" i="10" s="1"/>
  <c r="C279" i="10"/>
  <c r="D269" i="10"/>
  <c r="I293" i="10"/>
  <c r="C296" i="10"/>
  <c r="C299" i="10"/>
  <c r="M20" i="10"/>
  <c r="L76" i="10"/>
  <c r="M83" i="10"/>
  <c r="I95" i="10"/>
  <c r="L103" i="10"/>
  <c r="L116" i="10"/>
  <c r="L166" i="10"/>
  <c r="L165" i="10" s="1"/>
  <c r="I205" i="10"/>
  <c r="J204" i="10"/>
  <c r="J195" i="10" s="1"/>
  <c r="N204" i="10"/>
  <c r="N195" i="10" s="1"/>
  <c r="I246" i="10"/>
  <c r="C44" i="10"/>
  <c r="E54" i="10"/>
  <c r="E53" i="10" s="1"/>
  <c r="K54" i="10"/>
  <c r="K53" i="10" s="1"/>
  <c r="L67" i="10"/>
  <c r="L53" i="10" s="1"/>
  <c r="C72" i="10"/>
  <c r="C74" i="10"/>
  <c r="I77" i="10"/>
  <c r="I76" i="10" s="1"/>
  <c r="C87" i="10"/>
  <c r="C88" i="10"/>
  <c r="C91" i="10"/>
  <c r="O89" i="10"/>
  <c r="C109" i="10"/>
  <c r="C114" i="10"/>
  <c r="L122" i="10"/>
  <c r="C129" i="10"/>
  <c r="C139" i="10"/>
  <c r="C168" i="10"/>
  <c r="O196" i="10"/>
  <c r="H195" i="10"/>
  <c r="C207" i="10"/>
  <c r="C221" i="10"/>
  <c r="C236" i="10"/>
  <c r="C240" i="10"/>
  <c r="O238" i="10"/>
  <c r="C282" i="10"/>
  <c r="L293" i="10"/>
  <c r="L291" i="10" s="1"/>
  <c r="M54" i="10"/>
  <c r="M53" i="10" s="1"/>
  <c r="C57" i="10"/>
  <c r="C59" i="10"/>
  <c r="C63" i="10"/>
  <c r="C73" i="10"/>
  <c r="C78" i="10"/>
  <c r="C81" i="10"/>
  <c r="I84" i="10"/>
  <c r="C84" i="10" s="1"/>
  <c r="K83" i="10"/>
  <c r="C108" i="10"/>
  <c r="N83" i="10"/>
  <c r="N75" i="10" s="1"/>
  <c r="N52" i="10" s="1"/>
  <c r="C125" i="10"/>
  <c r="C135" i="10"/>
  <c r="C145" i="10"/>
  <c r="C155" i="10"/>
  <c r="C158" i="10"/>
  <c r="C163" i="10"/>
  <c r="C186" i="10"/>
  <c r="C201" i="10"/>
  <c r="C211" i="10"/>
  <c r="M204" i="10"/>
  <c r="C223" i="10"/>
  <c r="C225" i="10"/>
  <c r="C228" i="10"/>
  <c r="C229" i="10"/>
  <c r="O231" i="10"/>
  <c r="K231" i="10"/>
  <c r="K230" i="10" s="1"/>
  <c r="K194" i="10" s="1"/>
  <c r="I238" i="10"/>
  <c r="C245" i="10"/>
  <c r="O252" i="10"/>
  <c r="O251" i="10" s="1"/>
  <c r="M270" i="10"/>
  <c r="M269" i="10" s="1"/>
  <c r="O276" i="10"/>
  <c r="O270" i="10" s="1"/>
  <c r="O269" i="10" s="1"/>
  <c r="I20" i="10"/>
  <c r="D53" i="10"/>
  <c r="O292" i="10"/>
  <c r="E75" i="10"/>
  <c r="C132" i="10"/>
  <c r="F131" i="10"/>
  <c r="C301" i="10"/>
  <c r="H20" i="10"/>
  <c r="C21" i="10"/>
  <c r="C56" i="10"/>
  <c r="C68" i="10"/>
  <c r="F69" i="10"/>
  <c r="C69" i="10" s="1"/>
  <c r="F77" i="10"/>
  <c r="O80" i="10"/>
  <c r="C80" i="10" s="1"/>
  <c r="C86" i="10"/>
  <c r="C99" i="10"/>
  <c r="C110" i="10"/>
  <c r="C111" i="10"/>
  <c r="C115" i="10"/>
  <c r="I112" i="10"/>
  <c r="C112" i="10" s="1"/>
  <c r="O116" i="10"/>
  <c r="F122" i="10"/>
  <c r="I122" i="10"/>
  <c r="I83" i="10" s="1"/>
  <c r="C123" i="10"/>
  <c r="C126" i="10"/>
  <c r="G130" i="10"/>
  <c r="G75" i="10" s="1"/>
  <c r="K130" i="10"/>
  <c r="K75" i="10" s="1"/>
  <c r="C134" i="10"/>
  <c r="D130" i="10"/>
  <c r="H130" i="10"/>
  <c r="H75" i="10" s="1"/>
  <c r="C150" i="10"/>
  <c r="I151" i="10"/>
  <c r="O166" i="10"/>
  <c r="O165" i="10" s="1"/>
  <c r="H173" i="10"/>
  <c r="E174" i="10"/>
  <c r="E173" i="10" s="1"/>
  <c r="C176" i="10"/>
  <c r="F175" i="10"/>
  <c r="O174" i="10"/>
  <c r="O173" i="10" s="1"/>
  <c r="L179" i="10"/>
  <c r="C189" i="10"/>
  <c r="F188" i="10"/>
  <c r="H194" i="10"/>
  <c r="E230" i="10"/>
  <c r="C268" i="10"/>
  <c r="I264" i="10"/>
  <c r="C96" i="10"/>
  <c r="F95" i="10"/>
  <c r="L33" i="10"/>
  <c r="C33" i="10" s="1"/>
  <c r="F41" i="10"/>
  <c r="C41" i="10" s="1"/>
  <c r="I55" i="10"/>
  <c r="I54" i="10" s="1"/>
  <c r="I53" i="10" s="1"/>
  <c r="F58" i="10"/>
  <c r="C58" i="10" s="1"/>
  <c r="D83" i="10"/>
  <c r="D75" i="10" s="1"/>
  <c r="C92" i="10"/>
  <c r="F89" i="10"/>
  <c r="C89" i="10" s="1"/>
  <c r="C102" i="10"/>
  <c r="C118" i="10"/>
  <c r="C120" i="10"/>
  <c r="F116" i="10"/>
  <c r="C116" i="10" s="1"/>
  <c r="M130" i="10"/>
  <c r="M75" i="10" s="1"/>
  <c r="M52" i="10" s="1"/>
  <c r="L130" i="10"/>
  <c r="C152" i="10"/>
  <c r="F151" i="10"/>
  <c r="C151" i="10" s="1"/>
  <c r="C160" i="10"/>
  <c r="C178" i="10"/>
  <c r="C184" i="10"/>
  <c r="C197" i="10"/>
  <c r="F196" i="10"/>
  <c r="C200" i="10"/>
  <c r="I198" i="10"/>
  <c r="C239" i="10"/>
  <c r="L238" i="10"/>
  <c r="C261" i="10"/>
  <c r="F260" i="10"/>
  <c r="C148" i="10"/>
  <c r="F144" i="10"/>
  <c r="C22" i="10"/>
  <c r="L27" i="10"/>
  <c r="L36" i="10"/>
  <c r="C36" i="10" s="1"/>
  <c r="O45" i="10"/>
  <c r="O20" i="10" s="1"/>
  <c r="J20" i="10"/>
  <c r="N20" i="10"/>
  <c r="O95" i="10"/>
  <c r="L95" i="10"/>
  <c r="L83" i="10" s="1"/>
  <c r="L75" i="10" s="1"/>
  <c r="C104" i="10"/>
  <c r="F103" i="10"/>
  <c r="O103" i="10"/>
  <c r="O122" i="10"/>
  <c r="C128" i="10"/>
  <c r="I131" i="10"/>
  <c r="C136" i="10"/>
  <c r="C143" i="10"/>
  <c r="I141" i="10"/>
  <c r="C141" i="10" s="1"/>
  <c r="O144" i="10"/>
  <c r="O130" i="10" s="1"/>
  <c r="F166" i="10"/>
  <c r="I166" i="10"/>
  <c r="I165" i="10" s="1"/>
  <c r="C167" i="10"/>
  <c r="D173" i="10"/>
  <c r="L175" i="10"/>
  <c r="C180" i="10"/>
  <c r="F179" i="10"/>
  <c r="C220" i="10"/>
  <c r="I216" i="10"/>
  <c r="I204" i="10" s="1"/>
  <c r="C237" i="10"/>
  <c r="F235" i="10"/>
  <c r="C256" i="10"/>
  <c r="I252" i="10"/>
  <c r="I251" i="10" s="1"/>
  <c r="C90" i="10"/>
  <c r="C142" i="10"/>
  <c r="D194" i="10"/>
  <c r="L196" i="10"/>
  <c r="L216" i="10"/>
  <c r="C232" i="10"/>
  <c r="C233" i="10"/>
  <c r="C248" i="10"/>
  <c r="C249" i="10"/>
  <c r="F246" i="10"/>
  <c r="L252" i="10"/>
  <c r="L251" i="10" s="1"/>
  <c r="C255" i="10"/>
  <c r="C273" i="10"/>
  <c r="F272" i="10"/>
  <c r="C272" i="10" s="1"/>
  <c r="L276" i="10"/>
  <c r="C288" i="10"/>
  <c r="I286" i="10"/>
  <c r="I292" i="10" s="1"/>
  <c r="C300" i="10"/>
  <c r="C193" i="10"/>
  <c r="F192" i="10"/>
  <c r="E195" i="10"/>
  <c r="E194" i="10" s="1"/>
  <c r="M195" i="10"/>
  <c r="O205" i="10"/>
  <c r="O204" i="10" s="1"/>
  <c r="O195" i="10" s="1"/>
  <c r="C217" i="10"/>
  <c r="F216" i="10"/>
  <c r="J230" i="10"/>
  <c r="J194" i="10" s="1"/>
  <c r="I231" i="10"/>
  <c r="C241" i="10"/>
  <c r="F238" i="10"/>
  <c r="C238" i="10" s="1"/>
  <c r="C253" i="10"/>
  <c r="F252" i="10"/>
  <c r="M259" i="10"/>
  <c r="M230" i="10" s="1"/>
  <c r="L259" i="10"/>
  <c r="C265" i="10"/>
  <c r="F264" i="10"/>
  <c r="C264" i="10" s="1"/>
  <c r="L270" i="10"/>
  <c r="L269" i="10" s="1"/>
  <c r="C275" i="10"/>
  <c r="C281" i="10"/>
  <c r="C285" i="10"/>
  <c r="F284" i="10"/>
  <c r="O188" i="10"/>
  <c r="O187" i="10" s="1"/>
  <c r="C199" i="10"/>
  <c r="L205" i="10"/>
  <c r="L204" i="10" s="1"/>
  <c r="C208" i="10"/>
  <c r="C209" i="10"/>
  <c r="F205" i="10"/>
  <c r="C219" i="10"/>
  <c r="C227" i="10"/>
  <c r="G231" i="10"/>
  <c r="G230" i="10" s="1"/>
  <c r="G194" i="10" s="1"/>
  <c r="C244" i="10"/>
  <c r="C247" i="10"/>
  <c r="L246" i="10"/>
  <c r="L231" i="10" s="1"/>
  <c r="L230" i="10" s="1"/>
  <c r="I259" i="10"/>
  <c r="C267" i="10"/>
  <c r="C277" i="10"/>
  <c r="F276" i="10"/>
  <c r="C276" i="10" s="1"/>
  <c r="C295" i="10"/>
  <c r="C297" i="10"/>
  <c r="F293" i="10"/>
  <c r="C293" i="10" s="1"/>
  <c r="O291" i="10"/>
  <c r="C271" i="10"/>
  <c r="C287" i="10"/>
  <c r="H52" i="10" l="1"/>
  <c r="H51" i="10" s="1"/>
  <c r="C179" i="10"/>
  <c r="N289" i="10"/>
  <c r="N194" i="10"/>
  <c r="N51" i="10" s="1"/>
  <c r="N50" i="10" s="1"/>
  <c r="E52" i="10"/>
  <c r="E51" i="10" s="1"/>
  <c r="E50" i="10" s="1"/>
  <c r="E24" i="10" s="1"/>
  <c r="E20" i="10" s="1"/>
  <c r="O76" i="10"/>
  <c r="M289" i="10"/>
  <c r="H289" i="10"/>
  <c r="O230" i="10"/>
  <c r="O194" i="10" s="1"/>
  <c r="C144" i="10"/>
  <c r="F54" i="10"/>
  <c r="L195" i="10"/>
  <c r="L194" i="10" s="1"/>
  <c r="O83" i="10"/>
  <c r="C95" i="10"/>
  <c r="F67" i="10"/>
  <c r="C67" i="10" s="1"/>
  <c r="N290" i="10"/>
  <c r="K52" i="10"/>
  <c r="K51" i="10" s="1"/>
  <c r="K289" i="10"/>
  <c r="I291" i="10"/>
  <c r="C292" i="10"/>
  <c r="G289" i="10"/>
  <c r="G52" i="10"/>
  <c r="G51" i="10" s="1"/>
  <c r="H290" i="10"/>
  <c r="H50" i="10"/>
  <c r="C205" i="10"/>
  <c r="F204" i="10"/>
  <c r="C204" i="10" s="1"/>
  <c r="C235" i="10"/>
  <c r="F231" i="10"/>
  <c r="D52" i="10"/>
  <c r="D51" i="10" s="1"/>
  <c r="C216" i="10"/>
  <c r="M194" i="10"/>
  <c r="M51" i="10" s="1"/>
  <c r="C246" i="10"/>
  <c r="C27" i="10"/>
  <c r="L26" i="10"/>
  <c r="C122" i="10"/>
  <c r="J51" i="10"/>
  <c r="C55" i="10"/>
  <c r="F270" i="10"/>
  <c r="F291" i="10"/>
  <c r="C291" i="10" s="1"/>
  <c r="O75" i="10"/>
  <c r="O52" i="10" s="1"/>
  <c r="C54" i="10"/>
  <c r="F53" i="10"/>
  <c r="C284" i="10"/>
  <c r="F283" i="10"/>
  <c r="C283" i="10" s="1"/>
  <c r="J289" i="10"/>
  <c r="L174" i="10"/>
  <c r="L173" i="10" s="1"/>
  <c r="L52" i="10" s="1"/>
  <c r="F165" i="10"/>
  <c r="C165" i="10" s="1"/>
  <c r="C166" i="10"/>
  <c r="E289" i="10"/>
  <c r="F195" i="10"/>
  <c r="C188" i="10"/>
  <c r="C175" i="10"/>
  <c r="F174" i="10"/>
  <c r="C77" i="10"/>
  <c r="F76" i="10"/>
  <c r="F83" i="10"/>
  <c r="C83" i="10" s="1"/>
  <c r="C131" i="10"/>
  <c r="F130" i="10"/>
  <c r="C252" i="10"/>
  <c r="F251" i="10"/>
  <c r="C251" i="10" s="1"/>
  <c r="I230" i="10"/>
  <c r="C192" i="10"/>
  <c r="F191" i="10"/>
  <c r="C191" i="10" s="1"/>
  <c r="D289" i="10"/>
  <c r="I130" i="10"/>
  <c r="I75" i="10" s="1"/>
  <c r="I52" i="10" s="1"/>
  <c r="C103" i="10"/>
  <c r="C45" i="10"/>
  <c r="C286" i="10"/>
  <c r="C260" i="10"/>
  <c r="F259" i="10"/>
  <c r="C259" i="10" s="1"/>
  <c r="C198" i="10"/>
  <c r="I196" i="10"/>
  <c r="I195" i="10" s="1"/>
  <c r="O51" i="10" l="1"/>
  <c r="O50" i="10" s="1"/>
  <c r="C196" i="10"/>
  <c r="L51" i="10"/>
  <c r="L50" i="10" s="1"/>
  <c r="I289" i="10"/>
  <c r="C53" i="10"/>
  <c r="F269" i="10"/>
  <c r="C270" i="10"/>
  <c r="L290" i="10"/>
  <c r="C26" i="10"/>
  <c r="L20" i="10"/>
  <c r="M50" i="10"/>
  <c r="M290" i="10"/>
  <c r="I194" i="10"/>
  <c r="I51" i="10" s="1"/>
  <c r="C130" i="10"/>
  <c r="F75" i="10"/>
  <c r="C75" i="10" s="1"/>
  <c r="C76" i="10"/>
  <c r="F187" i="10"/>
  <c r="C187" i="10" s="1"/>
  <c r="D50" i="10"/>
  <c r="D24" i="10" s="1"/>
  <c r="G290" i="10"/>
  <c r="G50" i="10"/>
  <c r="E290" i="10"/>
  <c r="J50" i="10"/>
  <c r="J290" i="10"/>
  <c r="F230" i="10"/>
  <c r="C230" i="10" s="1"/>
  <c r="C231" i="10"/>
  <c r="L289" i="10"/>
  <c r="O290" i="10"/>
  <c r="F173" i="10"/>
  <c r="C173" i="10" s="1"/>
  <c r="C174" i="10"/>
  <c r="C195" i="10"/>
  <c r="O289" i="10"/>
  <c r="K50" i="10"/>
  <c r="K290" i="10"/>
  <c r="I290" i="10" l="1"/>
  <c r="I50" i="10"/>
  <c r="F52" i="10"/>
  <c r="F194" i="10"/>
  <c r="C194" i="10" s="1"/>
  <c r="F24" i="10"/>
  <c r="D20" i="10"/>
  <c r="D290" i="10"/>
  <c r="C269" i="10"/>
  <c r="F289" i="10"/>
  <c r="C289" i="10" s="1"/>
  <c r="F51" i="10" l="1"/>
  <c r="C52" i="10"/>
  <c r="C24" i="10"/>
  <c r="F20" i="10"/>
  <c r="C20" i="10" s="1"/>
  <c r="F290" i="10" l="1"/>
  <c r="C290" i="10" s="1"/>
  <c r="F50" i="10"/>
  <c r="C50" i="10" s="1"/>
  <c r="C51" i="10"/>
  <c r="O301" i="9" l="1"/>
  <c r="L301" i="9"/>
  <c r="I301" i="9"/>
  <c r="F301" i="9"/>
  <c r="O300" i="9"/>
  <c r="L300" i="9"/>
  <c r="I300" i="9"/>
  <c r="F300" i="9"/>
  <c r="O299" i="9"/>
  <c r="L299" i="9"/>
  <c r="I299" i="9"/>
  <c r="F299" i="9"/>
  <c r="C299" i="9" s="1"/>
  <c r="O298" i="9"/>
  <c r="L298" i="9"/>
  <c r="I298" i="9"/>
  <c r="F298" i="9"/>
  <c r="O297" i="9"/>
  <c r="L297" i="9"/>
  <c r="I297" i="9"/>
  <c r="F297" i="9"/>
  <c r="O296" i="9"/>
  <c r="L296" i="9"/>
  <c r="I296" i="9"/>
  <c r="F296" i="9"/>
  <c r="O295" i="9"/>
  <c r="L295" i="9"/>
  <c r="I295" i="9"/>
  <c r="F295" i="9"/>
  <c r="O294" i="9"/>
  <c r="O293" i="9" s="1"/>
  <c r="L294" i="9"/>
  <c r="I294" i="9"/>
  <c r="F294" i="9"/>
  <c r="F293" i="9" s="1"/>
  <c r="N293" i="9"/>
  <c r="M293" i="9"/>
  <c r="K293" i="9"/>
  <c r="J293" i="9"/>
  <c r="H293" i="9"/>
  <c r="G293" i="9"/>
  <c r="E293" i="9"/>
  <c r="D293" i="9"/>
  <c r="O288" i="9"/>
  <c r="L288" i="9"/>
  <c r="I288" i="9"/>
  <c r="F288" i="9"/>
  <c r="O287" i="9"/>
  <c r="O286" i="9" s="1"/>
  <c r="L287" i="9"/>
  <c r="I287" i="9"/>
  <c r="F287" i="9"/>
  <c r="C287" i="9" s="1"/>
  <c r="N286" i="9"/>
  <c r="M286" i="9"/>
  <c r="L286" i="9"/>
  <c r="K286" i="9"/>
  <c r="J286" i="9"/>
  <c r="H286" i="9"/>
  <c r="G286" i="9"/>
  <c r="E286" i="9"/>
  <c r="D286" i="9"/>
  <c r="O285" i="9"/>
  <c r="L285" i="9"/>
  <c r="L284" i="9" s="1"/>
  <c r="L283" i="9" s="1"/>
  <c r="I285" i="9"/>
  <c r="F285" i="9"/>
  <c r="O284" i="9"/>
  <c r="O283" i="9" s="1"/>
  <c r="N284" i="9"/>
  <c r="M284" i="9"/>
  <c r="M283" i="9" s="1"/>
  <c r="K284" i="9"/>
  <c r="J284" i="9"/>
  <c r="J283" i="9" s="1"/>
  <c r="I284" i="9"/>
  <c r="I283" i="9" s="1"/>
  <c r="H284" i="9"/>
  <c r="G284" i="9"/>
  <c r="F284" i="9"/>
  <c r="E284" i="9"/>
  <c r="E283" i="9" s="1"/>
  <c r="D284" i="9"/>
  <c r="N283" i="9"/>
  <c r="K283" i="9"/>
  <c r="H283" i="9"/>
  <c r="G283" i="9"/>
  <c r="D283" i="9"/>
  <c r="O282" i="9"/>
  <c r="O281" i="9" s="1"/>
  <c r="L282" i="9"/>
  <c r="I282" i="9"/>
  <c r="I281" i="9" s="1"/>
  <c r="F282" i="9"/>
  <c r="F281" i="9" s="1"/>
  <c r="N281" i="9"/>
  <c r="M281" i="9"/>
  <c r="L281" i="9"/>
  <c r="K281" i="9"/>
  <c r="J281" i="9"/>
  <c r="H281" i="9"/>
  <c r="G281" i="9"/>
  <c r="E281" i="9"/>
  <c r="D281" i="9"/>
  <c r="O280" i="9"/>
  <c r="L280" i="9"/>
  <c r="I280" i="9"/>
  <c r="F280" i="9"/>
  <c r="O279" i="9"/>
  <c r="L279" i="9"/>
  <c r="I279" i="9"/>
  <c r="F279" i="9"/>
  <c r="C279" i="9" s="1"/>
  <c r="O278" i="9"/>
  <c r="L278" i="9"/>
  <c r="I278" i="9"/>
  <c r="F278" i="9"/>
  <c r="O277" i="9"/>
  <c r="L277" i="9"/>
  <c r="I277" i="9"/>
  <c r="I276" i="9" s="1"/>
  <c r="F277" i="9"/>
  <c r="F276" i="9" s="1"/>
  <c r="N276" i="9"/>
  <c r="M276" i="9"/>
  <c r="K276" i="9"/>
  <c r="J276" i="9"/>
  <c r="H276" i="9"/>
  <c r="G276" i="9"/>
  <c r="E276" i="9"/>
  <c r="D276" i="9"/>
  <c r="O275" i="9"/>
  <c r="L275" i="9"/>
  <c r="I275" i="9"/>
  <c r="C275" i="9" s="1"/>
  <c r="F275" i="9"/>
  <c r="O274" i="9"/>
  <c r="L274" i="9"/>
  <c r="I274" i="9"/>
  <c r="F274" i="9"/>
  <c r="O273" i="9"/>
  <c r="L273" i="9"/>
  <c r="L272" i="9" s="1"/>
  <c r="I273" i="9"/>
  <c r="I272" i="9" s="1"/>
  <c r="F273" i="9"/>
  <c r="N272" i="9"/>
  <c r="N270" i="9" s="1"/>
  <c r="N269" i="9" s="1"/>
  <c r="M272" i="9"/>
  <c r="M270" i="9" s="1"/>
  <c r="M269" i="9" s="1"/>
  <c r="K272" i="9"/>
  <c r="J272" i="9"/>
  <c r="H272" i="9"/>
  <c r="H270" i="9" s="1"/>
  <c r="H269" i="9" s="1"/>
  <c r="G272" i="9"/>
  <c r="E272" i="9"/>
  <c r="D272" i="9"/>
  <c r="O271" i="9"/>
  <c r="L271" i="9"/>
  <c r="I271" i="9"/>
  <c r="F271" i="9"/>
  <c r="C271" i="9"/>
  <c r="K270" i="9"/>
  <c r="K269" i="9" s="1"/>
  <c r="G270" i="9"/>
  <c r="G269" i="9" s="1"/>
  <c r="D270" i="9"/>
  <c r="D269" i="9" s="1"/>
  <c r="O268" i="9"/>
  <c r="L268" i="9"/>
  <c r="I268" i="9"/>
  <c r="F268" i="9"/>
  <c r="O267" i="9"/>
  <c r="L267" i="9"/>
  <c r="I267" i="9"/>
  <c r="F267" i="9"/>
  <c r="O266" i="9"/>
  <c r="L266" i="9"/>
  <c r="I266" i="9"/>
  <c r="F266" i="9"/>
  <c r="O265" i="9"/>
  <c r="L265" i="9"/>
  <c r="I265" i="9"/>
  <c r="F265" i="9"/>
  <c r="N264" i="9"/>
  <c r="M264" i="9"/>
  <c r="K264" i="9"/>
  <c r="J264" i="9"/>
  <c r="H264" i="9"/>
  <c r="G264" i="9"/>
  <c r="E264" i="9"/>
  <c r="D264" i="9"/>
  <c r="O263" i="9"/>
  <c r="L263" i="9"/>
  <c r="I263" i="9"/>
  <c r="F263" i="9"/>
  <c r="O262" i="9"/>
  <c r="L262" i="9"/>
  <c r="I262" i="9"/>
  <c r="F262" i="9"/>
  <c r="C262" i="9" s="1"/>
  <c r="O261" i="9"/>
  <c r="L261" i="9"/>
  <c r="I261" i="9"/>
  <c r="I260" i="9" s="1"/>
  <c r="F261" i="9"/>
  <c r="N260" i="9"/>
  <c r="M260" i="9"/>
  <c r="M259" i="9" s="1"/>
  <c r="K260" i="9"/>
  <c r="K259" i="9" s="1"/>
  <c r="J260" i="9"/>
  <c r="J259" i="9" s="1"/>
  <c r="H260" i="9"/>
  <c r="H259" i="9" s="1"/>
  <c r="G260" i="9"/>
  <c r="G259" i="9" s="1"/>
  <c r="E260" i="9"/>
  <c r="E259" i="9" s="1"/>
  <c r="D260" i="9"/>
  <c r="N259" i="9"/>
  <c r="D259" i="9"/>
  <c r="O258" i="9"/>
  <c r="L258" i="9"/>
  <c r="I258" i="9"/>
  <c r="F258" i="9"/>
  <c r="C258" i="9" s="1"/>
  <c r="O257" i="9"/>
  <c r="L257" i="9"/>
  <c r="I257" i="9"/>
  <c r="F257" i="9"/>
  <c r="O256" i="9"/>
  <c r="L256" i="9"/>
  <c r="I256" i="9"/>
  <c r="F256" i="9"/>
  <c r="O255" i="9"/>
  <c r="L255" i="9"/>
  <c r="I255" i="9"/>
  <c r="F255" i="9"/>
  <c r="C255" i="9" s="1"/>
  <c r="O254" i="9"/>
  <c r="L254" i="9"/>
  <c r="I254" i="9"/>
  <c r="F254" i="9"/>
  <c r="O253" i="9"/>
  <c r="L253" i="9"/>
  <c r="I253" i="9"/>
  <c r="F253" i="9"/>
  <c r="N252" i="9"/>
  <c r="M252" i="9"/>
  <c r="M251" i="9" s="1"/>
  <c r="K252" i="9"/>
  <c r="J252" i="9"/>
  <c r="H252" i="9"/>
  <c r="G252" i="9"/>
  <c r="G251" i="9" s="1"/>
  <c r="E252" i="9"/>
  <c r="E251" i="9" s="1"/>
  <c r="D252" i="9"/>
  <c r="N251" i="9"/>
  <c r="K251" i="9"/>
  <c r="J251" i="9"/>
  <c r="H251" i="9"/>
  <c r="D251" i="9"/>
  <c r="O250" i="9"/>
  <c r="L250" i="9"/>
  <c r="I250" i="9"/>
  <c r="F250" i="9"/>
  <c r="O249" i="9"/>
  <c r="L249" i="9"/>
  <c r="I249" i="9"/>
  <c r="F249" i="9"/>
  <c r="O248" i="9"/>
  <c r="L248" i="9"/>
  <c r="I248" i="9"/>
  <c r="F248" i="9"/>
  <c r="O247" i="9"/>
  <c r="L247" i="9"/>
  <c r="I247" i="9"/>
  <c r="F247" i="9"/>
  <c r="O246" i="9"/>
  <c r="N246" i="9"/>
  <c r="M246" i="9"/>
  <c r="K246" i="9"/>
  <c r="J246" i="9"/>
  <c r="H246" i="9"/>
  <c r="G246" i="9"/>
  <c r="E246" i="9"/>
  <c r="D246" i="9"/>
  <c r="O245" i="9"/>
  <c r="L245" i="9"/>
  <c r="I245" i="9"/>
  <c r="F245" i="9"/>
  <c r="O244" i="9"/>
  <c r="L244" i="9"/>
  <c r="I244" i="9"/>
  <c r="F244" i="9"/>
  <c r="O243" i="9"/>
  <c r="L243" i="9"/>
  <c r="I243" i="9"/>
  <c r="F243" i="9"/>
  <c r="O242" i="9"/>
  <c r="L242" i="9"/>
  <c r="I242" i="9"/>
  <c r="F242" i="9"/>
  <c r="O241" i="9"/>
  <c r="L241" i="9"/>
  <c r="I241" i="9"/>
  <c r="F241" i="9"/>
  <c r="O240" i="9"/>
  <c r="L240" i="9"/>
  <c r="I240" i="9"/>
  <c r="F240" i="9"/>
  <c r="O239" i="9"/>
  <c r="L239" i="9"/>
  <c r="L238" i="9" s="1"/>
  <c r="I239" i="9"/>
  <c r="F239" i="9"/>
  <c r="C239" i="9" s="1"/>
  <c r="N238" i="9"/>
  <c r="M238" i="9"/>
  <c r="K238" i="9"/>
  <c r="J238" i="9"/>
  <c r="H238" i="9"/>
  <c r="G238" i="9"/>
  <c r="E238" i="9"/>
  <c r="D238" i="9"/>
  <c r="O237" i="9"/>
  <c r="L237" i="9"/>
  <c r="I237" i="9"/>
  <c r="F237" i="9"/>
  <c r="C237" i="9" s="1"/>
  <c r="O236" i="9"/>
  <c r="L236" i="9"/>
  <c r="L235" i="9" s="1"/>
  <c r="I236" i="9"/>
  <c r="I235" i="9" s="1"/>
  <c r="F236" i="9"/>
  <c r="C236" i="9" s="1"/>
  <c r="O235" i="9"/>
  <c r="N235" i="9"/>
  <c r="M235" i="9"/>
  <c r="K235" i="9"/>
  <c r="K231" i="9" s="1"/>
  <c r="J235" i="9"/>
  <c r="H235" i="9"/>
  <c r="G235" i="9"/>
  <c r="F235" i="9"/>
  <c r="E235" i="9"/>
  <c r="D235" i="9"/>
  <c r="O234" i="9"/>
  <c r="O233" i="9" s="1"/>
  <c r="L234" i="9"/>
  <c r="L233" i="9" s="1"/>
  <c r="I234" i="9"/>
  <c r="F234" i="9"/>
  <c r="F233" i="9" s="1"/>
  <c r="N233" i="9"/>
  <c r="N231" i="9" s="1"/>
  <c r="M233" i="9"/>
  <c r="M231" i="9" s="1"/>
  <c r="K233" i="9"/>
  <c r="J233" i="9"/>
  <c r="I233" i="9"/>
  <c r="H233" i="9"/>
  <c r="G233" i="9"/>
  <c r="E233" i="9"/>
  <c r="E231" i="9" s="1"/>
  <c r="E230" i="9" s="1"/>
  <c r="D233" i="9"/>
  <c r="O232" i="9"/>
  <c r="L232" i="9"/>
  <c r="I232" i="9"/>
  <c r="F232" i="9"/>
  <c r="O229" i="9"/>
  <c r="L229" i="9"/>
  <c r="I229" i="9"/>
  <c r="F229" i="9"/>
  <c r="O228" i="9"/>
  <c r="L228" i="9"/>
  <c r="L227" i="9" s="1"/>
  <c r="I228" i="9"/>
  <c r="I227" i="9" s="1"/>
  <c r="F228" i="9"/>
  <c r="O227" i="9"/>
  <c r="N227" i="9"/>
  <c r="M227" i="9"/>
  <c r="K227" i="9"/>
  <c r="J227" i="9"/>
  <c r="H227" i="9"/>
  <c r="G227" i="9"/>
  <c r="F227" i="9"/>
  <c r="E227" i="9"/>
  <c r="D227" i="9"/>
  <c r="O226" i="9"/>
  <c r="L226" i="9"/>
  <c r="I226" i="9"/>
  <c r="F226" i="9"/>
  <c r="O225" i="9"/>
  <c r="L225" i="9"/>
  <c r="I225" i="9"/>
  <c r="F225" i="9"/>
  <c r="O224" i="9"/>
  <c r="L224" i="9"/>
  <c r="I224" i="9"/>
  <c r="F224" i="9"/>
  <c r="O223" i="9"/>
  <c r="L223" i="9"/>
  <c r="I223" i="9"/>
  <c r="C223" i="9" s="1"/>
  <c r="F223" i="9"/>
  <c r="O222" i="9"/>
  <c r="L222" i="9"/>
  <c r="I222" i="9"/>
  <c r="F222" i="9"/>
  <c r="O221" i="9"/>
  <c r="L221" i="9"/>
  <c r="I221" i="9"/>
  <c r="F221" i="9"/>
  <c r="O220" i="9"/>
  <c r="L220" i="9"/>
  <c r="I220" i="9"/>
  <c r="F220" i="9"/>
  <c r="O219" i="9"/>
  <c r="L219" i="9"/>
  <c r="I219" i="9"/>
  <c r="F219" i="9"/>
  <c r="O218" i="9"/>
  <c r="L218" i="9"/>
  <c r="I218" i="9"/>
  <c r="F218" i="9"/>
  <c r="O217" i="9"/>
  <c r="L217" i="9"/>
  <c r="I217" i="9"/>
  <c r="F217" i="9"/>
  <c r="N216" i="9"/>
  <c r="M216" i="9"/>
  <c r="K216" i="9"/>
  <c r="J216" i="9"/>
  <c r="I216" i="9"/>
  <c r="H216" i="9"/>
  <c r="G216" i="9"/>
  <c r="F216" i="9"/>
  <c r="E216" i="9"/>
  <c r="D216" i="9"/>
  <c r="O215" i="9"/>
  <c r="L215" i="9"/>
  <c r="I215" i="9"/>
  <c r="F215" i="9"/>
  <c r="O214" i="9"/>
  <c r="L214" i="9"/>
  <c r="I214" i="9"/>
  <c r="F214" i="9"/>
  <c r="O213" i="9"/>
  <c r="L213" i="9"/>
  <c r="I213" i="9"/>
  <c r="F213" i="9"/>
  <c r="O212" i="9"/>
  <c r="L212" i="9"/>
  <c r="I212" i="9"/>
  <c r="F212" i="9"/>
  <c r="O211" i="9"/>
  <c r="L211" i="9"/>
  <c r="I211" i="9"/>
  <c r="C211" i="9" s="1"/>
  <c r="F211" i="9"/>
  <c r="O210" i="9"/>
  <c r="L210" i="9"/>
  <c r="I210" i="9"/>
  <c r="F210" i="9"/>
  <c r="O209" i="9"/>
  <c r="L209" i="9"/>
  <c r="I209" i="9"/>
  <c r="F209" i="9"/>
  <c r="O208" i="9"/>
  <c r="L208" i="9"/>
  <c r="I208" i="9"/>
  <c r="F208" i="9"/>
  <c r="O207" i="9"/>
  <c r="L207" i="9"/>
  <c r="I207" i="9"/>
  <c r="F207" i="9"/>
  <c r="O206" i="9"/>
  <c r="L206" i="9"/>
  <c r="I206" i="9"/>
  <c r="F206" i="9"/>
  <c r="N205" i="9"/>
  <c r="M205" i="9"/>
  <c r="K205" i="9"/>
  <c r="J205" i="9"/>
  <c r="H205" i="9"/>
  <c r="H204" i="9" s="1"/>
  <c r="G205" i="9"/>
  <c r="E205" i="9"/>
  <c r="D205" i="9"/>
  <c r="D204" i="9" s="1"/>
  <c r="M204" i="9"/>
  <c r="E204" i="9"/>
  <c r="O203" i="9"/>
  <c r="L203" i="9"/>
  <c r="I203" i="9"/>
  <c r="F203" i="9"/>
  <c r="O202" i="9"/>
  <c r="L202" i="9"/>
  <c r="I202" i="9"/>
  <c r="F202" i="9"/>
  <c r="O201" i="9"/>
  <c r="L201" i="9"/>
  <c r="I201" i="9"/>
  <c r="F201" i="9"/>
  <c r="O200" i="9"/>
  <c r="L200" i="9"/>
  <c r="I200" i="9"/>
  <c r="F200" i="9"/>
  <c r="O199" i="9"/>
  <c r="L199" i="9"/>
  <c r="I199" i="9"/>
  <c r="F199" i="9"/>
  <c r="O198" i="9"/>
  <c r="N198" i="9"/>
  <c r="N196" i="9" s="1"/>
  <c r="M198" i="9"/>
  <c r="K198" i="9"/>
  <c r="K196" i="9" s="1"/>
  <c r="J198" i="9"/>
  <c r="H198" i="9"/>
  <c r="H196" i="9" s="1"/>
  <c r="H195" i="9" s="1"/>
  <c r="G198" i="9"/>
  <c r="G196" i="9" s="1"/>
  <c r="F198" i="9"/>
  <c r="E198" i="9"/>
  <c r="D198" i="9"/>
  <c r="D196" i="9" s="1"/>
  <c r="D195" i="9" s="1"/>
  <c r="O197" i="9"/>
  <c r="L197" i="9"/>
  <c r="I197" i="9"/>
  <c r="F197" i="9"/>
  <c r="F196" i="9" s="1"/>
  <c r="M196" i="9"/>
  <c r="M195" i="9" s="1"/>
  <c r="J196" i="9"/>
  <c r="E196" i="9"/>
  <c r="E195" i="9" s="1"/>
  <c r="O193" i="9"/>
  <c r="O192" i="9" s="1"/>
  <c r="O191" i="9" s="1"/>
  <c r="L193" i="9"/>
  <c r="L192" i="9" s="1"/>
  <c r="L191" i="9" s="1"/>
  <c r="I193" i="9"/>
  <c r="I192" i="9" s="1"/>
  <c r="F193" i="9"/>
  <c r="C193" i="9" s="1"/>
  <c r="N192" i="9"/>
  <c r="N191" i="9" s="1"/>
  <c r="M192" i="9"/>
  <c r="K192" i="9"/>
  <c r="K191" i="9" s="1"/>
  <c r="J192" i="9"/>
  <c r="J191" i="9" s="1"/>
  <c r="H192" i="9"/>
  <c r="G192" i="9"/>
  <c r="G191" i="9" s="1"/>
  <c r="E192" i="9"/>
  <c r="E191" i="9" s="1"/>
  <c r="D192" i="9"/>
  <c r="D191" i="9" s="1"/>
  <c r="M191" i="9"/>
  <c r="I191" i="9"/>
  <c r="H191" i="9"/>
  <c r="H187" i="9" s="1"/>
  <c r="O190" i="9"/>
  <c r="L190" i="9"/>
  <c r="I190" i="9"/>
  <c r="F190" i="9"/>
  <c r="O189" i="9"/>
  <c r="L189" i="9"/>
  <c r="I189" i="9"/>
  <c r="I188" i="9" s="1"/>
  <c r="I187" i="9" s="1"/>
  <c r="F189" i="9"/>
  <c r="O188" i="9"/>
  <c r="O187" i="9" s="1"/>
  <c r="N188" i="9"/>
  <c r="M188" i="9"/>
  <c r="K188" i="9"/>
  <c r="K187" i="9" s="1"/>
  <c r="J188" i="9"/>
  <c r="H188" i="9"/>
  <c r="G188" i="9"/>
  <c r="F188" i="9"/>
  <c r="E188" i="9"/>
  <c r="D188" i="9"/>
  <c r="M187" i="9"/>
  <c r="O186" i="9"/>
  <c r="L186" i="9"/>
  <c r="I186" i="9"/>
  <c r="F186" i="9"/>
  <c r="O185" i="9"/>
  <c r="L185" i="9"/>
  <c r="I185" i="9"/>
  <c r="I184" i="9" s="1"/>
  <c r="F185" i="9"/>
  <c r="O184" i="9"/>
  <c r="N184" i="9"/>
  <c r="M184" i="9"/>
  <c r="K184" i="9"/>
  <c r="J184" i="9"/>
  <c r="H184" i="9"/>
  <c r="G184" i="9"/>
  <c r="F184" i="9"/>
  <c r="E184" i="9"/>
  <c r="D184" i="9"/>
  <c r="O183" i="9"/>
  <c r="L183" i="9"/>
  <c r="I183" i="9"/>
  <c r="F183" i="9"/>
  <c r="O182" i="9"/>
  <c r="L182" i="9"/>
  <c r="I182" i="9"/>
  <c r="F182" i="9"/>
  <c r="O181" i="9"/>
  <c r="L181" i="9"/>
  <c r="I181" i="9"/>
  <c r="F181" i="9"/>
  <c r="O180" i="9"/>
  <c r="O179" i="9" s="1"/>
  <c r="L180" i="9"/>
  <c r="I180" i="9"/>
  <c r="F180" i="9"/>
  <c r="F179" i="9" s="1"/>
  <c r="N179" i="9"/>
  <c r="M179" i="9"/>
  <c r="K179" i="9"/>
  <c r="J179" i="9"/>
  <c r="H179" i="9"/>
  <c r="G179" i="9"/>
  <c r="E179" i="9"/>
  <c r="D179" i="9"/>
  <c r="O178" i="9"/>
  <c r="L178" i="9"/>
  <c r="I178" i="9"/>
  <c r="F178" i="9"/>
  <c r="O177" i="9"/>
  <c r="L177" i="9"/>
  <c r="I177" i="9"/>
  <c r="F177" i="9"/>
  <c r="O176" i="9"/>
  <c r="O175" i="9" s="1"/>
  <c r="L176" i="9"/>
  <c r="I176" i="9"/>
  <c r="F176" i="9"/>
  <c r="F175" i="9" s="1"/>
  <c r="N175" i="9"/>
  <c r="M175" i="9"/>
  <c r="K175" i="9"/>
  <c r="J175" i="9"/>
  <c r="H175" i="9"/>
  <c r="H174" i="9" s="1"/>
  <c r="H173" i="9" s="1"/>
  <c r="G175" i="9"/>
  <c r="G174" i="9" s="1"/>
  <c r="G173" i="9" s="1"/>
  <c r="E175" i="9"/>
  <c r="E174" i="9" s="1"/>
  <c r="E173" i="9" s="1"/>
  <c r="D175" i="9"/>
  <c r="N174" i="9"/>
  <c r="N173" i="9" s="1"/>
  <c r="M174" i="9"/>
  <c r="M173" i="9" s="1"/>
  <c r="K174" i="9"/>
  <c r="O172" i="9"/>
  <c r="L172" i="9"/>
  <c r="I172" i="9"/>
  <c r="F172" i="9"/>
  <c r="O171" i="9"/>
  <c r="L171" i="9"/>
  <c r="I171" i="9"/>
  <c r="F171" i="9"/>
  <c r="O170" i="9"/>
  <c r="L170" i="9"/>
  <c r="I170" i="9"/>
  <c r="F170" i="9"/>
  <c r="O169" i="9"/>
  <c r="L169" i="9"/>
  <c r="I169" i="9"/>
  <c r="F169" i="9"/>
  <c r="O168" i="9"/>
  <c r="L168" i="9"/>
  <c r="I168" i="9"/>
  <c r="F168" i="9"/>
  <c r="O167" i="9"/>
  <c r="L167" i="9"/>
  <c r="I167" i="9"/>
  <c r="F167" i="9"/>
  <c r="F166" i="9" s="1"/>
  <c r="N166" i="9"/>
  <c r="M166" i="9"/>
  <c r="M165" i="9" s="1"/>
  <c r="K166" i="9"/>
  <c r="J166" i="9"/>
  <c r="J165" i="9" s="1"/>
  <c r="H166" i="9"/>
  <c r="G166" i="9"/>
  <c r="G165" i="9" s="1"/>
  <c r="E166" i="9"/>
  <c r="E165" i="9" s="1"/>
  <c r="D166" i="9"/>
  <c r="N165" i="9"/>
  <c r="K165" i="9"/>
  <c r="H165" i="9"/>
  <c r="D165" i="9"/>
  <c r="O164" i="9"/>
  <c r="L164" i="9"/>
  <c r="I164" i="9"/>
  <c r="F164" i="9"/>
  <c r="O163" i="9"/>
  <c r="L163" i="9"/>
  <c r="I163" i="9"/>
  <c r="F163" i="9"/>
  <c r="O162" i="9"/>
  <c r="L162" i="9"/>
  <c r="I162" i="9"/>
  <c r="F162" i="9"/>
  <c r="O161" i="9"/>
  <c r="O160" i="9" s="1"/>
  <c r="L161" i="9"/>
  <c r="I161" i="9"/>
  <c r="F161" i="9"/>
  <c r="N160" i="9"/>
  <c r="M160" i="9"/>
  <c r="L160" i="9"/>
  <c r="K160" i="9"/>
  <c r="J160" i="9"/>
  <c r="H160" i="9"/>
  <c r="G160" i="9"/>
  <c r="F160" i="9"/>
  <c r="E160" i="9"/>
  <c r="D160" i="9"/>
  <c r="O159" i="9"/>
  <c r="L159" i="9"/>
  <c r="I159" i="9"/>
  <c r="F159" i="9"/>
  <c r="O158" i="9"/>
  <c r="L158" i="9"/>
  <c r="I158" i="9"/>
  <c r="F158" i="9"/>
  <c r="O157" i="9"/>
  <c r="L157" i="9"/>
  <c r="I157" i="9"/>
  <c r="F157" i="9"/>
  <c r="O156" i="9"/>
  <c r="L156" i="9"/>
  <c r="I156" i="9"/>
  <c r="F156" i="9"/>
  <c r="C156" i="9" s="1"/>
  <c r="O155" i="9"/>
  <c r="L155" i="9"/>
  <c r="I155" i="9"/>
  <c r="F155" i="9"/>
  <c r="O154" i="9"/>
  <c r="L154" i="9"/>
  <c r="I154" i="9"/>
  <c r="F154" i="9"/>
  <c r="O153" i="9"/>
  <c r="L153" i="9"/>
  <c r="I153" i="9"/>
  <c r="F153" i="9"/>
  <c r="O152" i="9"/>
  <c r="L152" i="9"/>
  <c r="L151" i="9" s="1"/>
  <c r="I152" i="9"/>
  <c r="F152" i="9"/>
  <c r="N151" i="9"/>
  <c r="M151" i="9"/>
  <c r="K151" i="9"/>
  <c r="J151" i="9"/>
  <c r="H151" i="9"/>
  <c r="G151" i="9"/>
  <c r="E151" i="9"/>
  <c r="D151" i="9"/>
  <c r="O150" i="9"/>
  <c r="L150" i="9"/>
  <c r="I150" i="9"/>
  <c r="F150" i="9"/>
  <c r="O149" i="9"/>
  <c r="L149" i="9"/>
  <c r="I149" i="9"/>
  <c r="F149" i="9"/>
  <c r="C149" i="9" s="1"/>
  <c r="O148" i="9"/>
  <c r="L148" i="9"/>
  <c r="I148" i="9"/>
  <c r="F148" i="9"/>
  <c r="O147" i="9"/>
  <c r="L147" i="9"/>
  <c r="I147" i="9"/>
  <c r="F147" i="9"/>
  <c r="O146" i="9"/>
  <c r="L146" i="9"/>
  <c r="I146" i="9"/>
  <c r="F146" i="9"/>
  <c r="O145" i="9"/>
  <c r="L145" i="9"/>
  <c r="L144" i="9" s="1"/>
  <c r="I145" i="9"/>
  <c r="F145" i="9"/>
  <c r="F144" i="9" s="1"/>
  <c r="N144" i="9"/>
  <c r="M144" i="9"/>
  <c r="K144" i="9"/>
  <c r="J144" i="9"/>
  <c r="H144" i="9"/>
  <c r="G144" i="9"/>
  <c r="E144" i="9"/>
  <c r="D144" i="9"/>
  <c r="O143" i="9"/>
  <c r="L143" i="9"/>
  <c r="I143" i="9"/>
  <c r="F143" i="9"/>
  <c r="O142" i="9"/>
  <c r="L142" i="9"/>
  <c r="I142" i="9"/>
  <c r="F142" i="9"/>
  <c r="O141" i="9"/>
  <c r="N141" i="9"/>
  <c r="M141" i="9"/>
  <c r="K141" i="9"/>
  <c r="J141" i="9"/>
  <c r="H141" i="9"/>
  <c r="G141" i="9"/>
  <c r="F141" i="9"/>
  <c r="E141" i="9"/>
  <c r="D141" i="9"/>
  <c r="O140" i="9"/>
  <c r="L140" i="9"/>
  <c r="I140" i="9"/>
  <c r="F140" i="9"/>
  <c r="O139" i="9"/>
  <c r="L139" i="9"/>
  <c r="I139" i="9"/>
  <c r="F139" i="9"/>
  <c r="O138" i="9"/>
  <c r="L138" i="9"/>
  <c r="I138" i="9"/>
  <c r="F138" i="9"/>
  <c r="O137" i="9"/>
  <c r="O136" i="9" s="1"/>
  <c r="L137" i="9"/>
  <c r="C137" i="9" s="1"/>
  <c r="I137" i="9"/>
  <c r="F137" i="9"/>
  <c r="F136" i="9" s="1"/>
  <c r="N136" i="9"/>
  <c r="M136" i="9"/>
  <c r="K136" i="9"/>
  <c r="J136" i="9"/>
  <c r="H136" i="9"/>
  <c r="G136" i="9"/>
  <c r="E136" i="9"/>
  <c r="D136" i="9"/>
  <c r="O135" i="9"/>
  <c r="L135" i="9"/>
  <c r="I135" i="9"/>
  <c r="F135" i="9"/>
  <c r="O134" i="9"/>
  <c r="L134" i="9"/>
  <c r="I134" i="9"/>
  <c r="F134" i="9"/>
  <c r="O133" i="9"/>
  <c r="L133" i="9"/>
  <c r="I133" i="9"/>
  <c r="F133" i="9"/>
  <c r="C133" i="9" s="1"/>
  <c r="O132" i="9"/>
  <c r="O131" i="9" s="1"/>
  <c r="L132" i="9"/>
  <c r="I132" i="9"/>
  <c r="F132" i="9"/>
  <c r="N131" i="9"/>
  <c r="M131" i="9"/>
  <c r="M130" i="9" s="1"/>
  <c r="K131" i="9"/>
  <c r="J131" i="9"/>
  <c r="H131" i="9"/>
  <c r="G131" i="9"/>
  <c r="E131" i="9"/>
  <c r="D131" i="9"/>
  <c r="D130" i="9" s="1"/>
  <c r="N130" i="9"/>
  <c r="J130" i="9"/>
  <c r="O129" i="9"/>
  <c r="O128" i="9" s="1"/>
  <c r="L129" i="9"/>
  <c r="L128" i="9" s="1"/>
  <c r="I129" i="9"/>
  <c r="F129" i="9"/>
  <c r="F128" i="9" s="1"/>
  <c r="N128" i="9"/>
  <c r="M128" i="9"/>
  <c r="K128" i="9"/>
  <c r="J128" i="9"/>
  <c r="I128" i="9"/>
  <c r="H128" i="9"/>
  <c r="G128" i="9"/>
  <c r="E128" i="9"/>
  <c r="D128" i="9"/>
  <c r="O127" i="9"/>
  <c r="L127" i="9"/>
  <c r="I127" i="9"/>
  <c r="F127" i="9"/>
  <c r="O126" i="9"/>
  <c r="L126" i="9"/>
  <c r="I126" i="9"/>
  <c r="F126" i="9"/>
  <c r="O125" i="9"/>
  <c r="L125" i="9"/>
  <c r="I125" i="9"/>
  <c r="F125" i="9"/>
  <c r="O124" i="9"/>
  <c r="L124" i="9"/>
  <c r="I124" i="9"/>
  <c r="F124" i="9"/>
  <c r="C124" i="9" s="1"/>
  <c r="O123" i="9"/>
  <c r="L123" i="9"/>
  <c r="I123" i="9"/>
  <c r="F123" i="9"/>
  <c r="C123" i="9" s="1"/>
  <c r="N122" i="9"/>
  <c r="M122" i="9"/>
  <c r="K122" i="9"/>
  <c r="J122" i="9"/>
  <c r="H122" i="9"/>
  <c r="G122" i="9"/>
  <c r="E122" i="9"/>
  <c r="D122" i="9"/>
  <c r="O121" i="9"/>
  <c r="L121" i="9"/>
  <c r="I121" i="9"/>
  <c r="F121" i="9"/>
  <c r="O120" i="9"/>
  <c r="L120" i="9"/>
  <c r="I120" i="9"/>
  <c r="F120" i="9"/>
  <c r="O119" i="9"/>
  <c r="L119" i="9"/>
  <c r="I119" i="9"/>
  <c r="F119" i="9"/>
  <c r="O118" i="9"/>
  <c r="L118" i="9"/>
  <c r="I118" i="9"/>
  <c r="F118" i="9"/>
  <c r="O117" i="9"/>
  <c r="L117" i="9"/>
  <c r="I117" i="9"/>
  <c r="F117" i="9"/>
  <c r="N116" i="9"/>
  <c r="M116" i="9"/>
  <c r="K116" i="9"/>
  <c r="J116" i="9"/>
  <c r="H116" i="9"/>
  <c r="G116" i="9"/>
  <c r="E116" i="9"/>
  <c r="D116" i="9"/>
  <c r="O115" i="9"/>
  <c r="L115" i="9"/>
  <c r="I115" i="9"/>
  <c r="F115" i="9"/>
  <c r="O114" i="9"/>
  <c r="L114" i="9"/>
  <c r="I114" i="9"/>
  <c r="F114" i="9"/>
  <c r="O113" i="9"/>
  <c r="O112" i="9" s="1"/>
  <c r="L113" i="9"/>
  <c r="L112" i="9" s="1"/>
  <c r="I113" i="9"/>
  <c r="F113" i="9"/>
  <c r="F112" i="9" s="1"/>
  <c r="N112" i="9"/>
  <c r="M112" i="9"/>
  <c r="K112" i="9"/>
  <c r="J112" i="9"/>
  <c r="H112" i="9"/>
  <c r="G112" i="9"/>
  <c r="E112" i="9"/>
  <c r="D112" i="9"/>
  <c r="O111" i="9"/>
  <c r="L111" i="9"/>
  <c r="I111" i="9"/>
  <c r="F111" i="9"/>
  <c r="O110" i="9"/>
  <c r="L110" i="9"/>
  <c r="I110" i="9"/>
  <c r="F110" i="9"/>
  <c r="O109" i="9"/>
  <c r="L109" i="9"/>
  <c r="I109" i="9"/>
  <c r="F109" i="9"/>
  <c r="C109" i="9" s="1"/>
  <c r="O108" i="9"/>
  <c r="L108" i="9"/>
  <c r="I108" i="9"/>
  <c r="F108" i="9"/>
  <c r="O107" i="9"/>
  <c r="L107" i="9"/>
  <c r="I107" i="9"/>
  <c r="F107" i="9"/>
  <c r="O106" i="9"/>
  <c r="L106" i="9"/>
  <c r="I106" i="9"/>
  <c r="F106" i="9"/>
  <c r="O105" i="9"/>
  <c r="L105" i="9"/>
  <c r="I105" i="9"/>
  <c r="F105" i="9"/>
  <c r="C105" i="9" s="1"/>
  <c r="O104" i="9"/>
  <c r="O103" i="9" s="1"/>
  <c r="L104" i="9"/>
  <c r="I104" i="9"/>
  <c r="F104" i="9"/>
  <c r="N103" i="9"/>
  <c r="M103" i="9"/>
  <c r="K103" i="9"/>
  <c r="J103" i="9"/>
  <c r="H103" i="9"/>
  <c r="G103" i="9"/>
  <c r="E103" i="9"/>
  <c r="D103" i="9"/>
  <c r="O102" i="9"/>
  <c r="L102" i="9"/>
  <c r="I102" i="9"/>
  <c r="F102" i="9"/>
  <c r="O101" i="9"/>
  <c r="L101" i="9"/>
  <c r="I101" i="9"/>
  <c r="F101" i="9"/>
  <c r="C101" i="9" s="1"/>
  <c r="O100" i="9"/>
  <c r="L100" i="9"/>
  <c r="I100" i="9"/>
  <c r="F100" i="9"/>
  <c r="O99" i="9"/>
  <c r="L99" i="9"/>
  <c r="I99" i="9"/>
  <c r="F99" i="9"/>
  <c r="O98" i="9"/>
  <c r="L98" i="9"/>
  <c r="I98" i="9"/>
  <c r="F98" i="9"/>
  <c r="O97" i="9"/>
  <c r="L97" i="9"/>
  <c r="I97" i="9"/>
  <c r="F97" i="9"/>
  <c r="O96" i="9"/>
  <c r="L96" i="9"/>
  <c r="I96" i="9"/>
  <c r="F96" i="9"/>
  <c r="N95" i="9"/>
  <c r="M95" i="9"/>
  <c r="K95" i="9"/>
  <c r="J95" i="9"/>
  <c r="H95" i="9"/>
  <c r="G95" i="9"/>
  <c r="E95" i="9"/>
  <c r="D95" i="9"/>
  <c r="O94" i="9"/>
  <c r="L94" i="9"/>
  <c r="I94" i="9"/>
  <c r="F94" i="9"/>
  <c r="O93" i="9"/>
  <c r="L93" i="9"/>
  <c r="I93" i="9"/>
  <c r="C93" i="9" s="1"/>
  <c r="F93" i="9"/>
  <c r="O92" i="9"/>
  <c r="L92" i="9"/>
  <c r="I92" i="9"/>
  <c r="F92" i="9"/>
  <c r="O91" i="9"/>
  <c r="L91" i="9"/>
  <c r="I91" i="9"/>
  <c r="F91" i="9"/>
  <c r="O90" i="9"/>
  <c r="L90" i="9"/>
  <c r="I90" i="9"/>
  <c r="F90" i="9"/>
  <c r="N89" i="9"/>
  <c r="M89" i="9"/>
  <c r="K89" i="9"/>
  <c r="J89" i="9"/>
  <c r="H89" i="9"/>
  <c r="G89" i="9"/>
  <c r="E89" i="9"/>
  <c r="D89" i="9"/>
  <c r="O88" i="9"/>
  <c r="L88" i="9"/>
  <c r="I88" i="9"/>
  <c r="F88" i="9"/>
  <c r="O87" i="9"/>
  <c r="L87" i="9"/>
  <c r="I87" i="9"/>
  <c r="F87" i="9"/>
  <c r="O86" i="9"/>
  <c r="L86" i="9"/>
  <c r="I86" i="9"/>
  <c r="F86" i="9"/>
  <c r="O85" i="9"/>
  <c r="O84" i="9" s="1"/>
  <c r="L85" i="9"/>
  <c r="I85" i="9"/>
  <c r="F85" i="9"/>
  <c r="F84" i="9" s="1"/>
  <c r="N84" i="9"/>
  <c r="M84" i="9"/>
  <c r="K84" i="9"/>
  <c r="J84" i="9"/>
  <c r="H84" i="9"/>
  <c r="G84" i="9"/>
  <c r="E84" i="9"/>
  <c r="E83" i="9" s="1"/>
  <c r="D84" i="9"/>
  <c r="O82" i="9"/>
  <c r="L82" i="9"/>
  <c r="I82" i="9"/>
  <c r="F82" i="9"/>
  <c r="O81" i="9"/>
  <c r="O80" i="9" s="1"/>
  <c r="L81" i="9"/>
  <c r="L80" i="9" s="1"/>
  <c r="I81" i="9"/>
  <c r="F81" i="9"/>
  <c r="F80" i="9" s="1"/>
  <c r="N80" i="9"/>
  <c r="M80" i="9"/>
  <c r="K80" i="9"/>
  <c r="J80" i="9"/>
  <c r="H80" i="9"/>
  <c r="G80" i="9"/>
  <c r="E80" i="9"/>
  <c r="D80" i="9"/>
  <c r="O79" i="9"/>
  <c r="L79" i="9"/>
  <c r="I79" i="9"/>
  <c r="F79" i="9"/>
  <c r="O78" i="9"/>
  <c r="O77" i="9" s="1"/>
  <c r="L78" i="9"/>
  <c r="I78" i="9"/>
  <c r="I77" i="9" s="1"/>
  <c r="F78" i="9"/>
  <c r="N77" i="9"/>
  <c r="M77" i="9"/>
  <c r="K77" i="9"/>
  <c r="K76" i="9" s="1"/>
  <c r="J77" i="9"/>
  <c r="J76" i="9" s="1"/>
  <c r="H77" i="9"/>
  <c r="G77" i="9"/>
  <c r="G76" i="9" s="1"/>
  <c r="F77" i="9"/>
  <c r="E77" i="9"/>
  <c r="D77" i="9"/>
  <c r="D76" i="9" s="1"/>
  <c r="M76" i="9"/>
  <c r="E76" i="9"/>
  <c r="O74" i="9"/>
  <c r="L74" i="9"/>
  <c r="I74" i="9"/>
  <c r="F74" i="9"/>
  <c r="O73" i="9"/>
  <c r="L73" i="9"/>
  <c r="I73" i="9"/>
  <c r="F73" i="9"/>
  <c r="O72" i="9"/>
  <c r="L72" i="9"/>
  <c r="I72" i="9"/>
  <c r="F72" i="9"/>
  <c r="O71" i="9"/>
  <c r="L71" i="9"/>
  <c r="I71" i="9"/>
  <c r="F71" i="9"/>
  <c r="O70" i="9"/>
  <c r="L70" i="9"/>
  <c r="I70" i="9"/>
  <c r="F70" i="9"/>
  <c r="N69" i="9"/>
  <c r="M69" i="9"/>
  <c r="K69" i="9"/>
  <c r="K67" i="9" s="1"/>
  <c r="J69" i="9"/>
  <c r="H69" i="9"/>
  <c r="H67" i="9" s="1"/>
  <c r="G69" i="9"/>
  <c r="G67" i="9" s="1"/>
  <c r="E69" i="9"/>
  <c r="D69" i="9"/>
  <c r="D67" i="9" s="1"/>
  <c r="O68" i="9"/>
  <c r="L68" i="9"/>
  <c r="I68" i="9"/>
  <c r="F68" i="9"/>
  <c r="N67" i="9"/>
  <c r="M67" i="9"/>
  <c r="J67" i="9"/>
  <c r="E67" i="9"/>
  <c r="O66" i="9"/>
  <c r="L66" i="9"/>
  <c r="I66" i="9"/>
  <c r="F66" i="9"/>
  <c r="O65" i="9"/>
  <c r="L65" i="9"/>
  <c r="I65" i="9"/>
  <c r="F65" i="9"/>
  <c r="O64" i="9"/>
  <c r="L64" i="9"/>
  <c r="I64" i="9"/>
  <c r="F64" i="9"/>
  <c r="O63" i="9"/>
  <c r="L63" i="9"/>
  <c r="I63" i="9"/>
  <c r="F63" i="9"/>
  <c r="O62" i="9"/>
  <c r="L62" i="9"/>
  <c r="I62" i="9"/>
  <c r="F62" i="9"/>
  <c r="O61" i="9"/>
  <c r="L61" i="9"/>
  <c r="I61" i="9"/>
  <c r="F61" i="9"/>
  <c r="O60" i="9"/>
  <c r="L60" i="9"/>
  <c r="I60" i="9"/>
  <c r="F60" i="9"/>
  <c r="O59" i="9"/>
  <c r="L59" i="9"/>
  <c r="I59" i="9"/>
  <c r="F59" i="9"/>
  <c r="N58" i="9"/>
  <c r="M58" i="9"/>
  <c r="K58" i="9"/>
  <c r="J58" i="9"/>
  <c r="H58" i="9"/>
  <c r="G58" i="9"/>
  <c r="E58" i="9"/>
  <c r="D58" i="9"/>
  <c r="O57" i="9"/>
  <c r="L57" i="9"/>
  <c r="I57" i="9"/>
  <c r="F57" i="9"/>
  <c r="O56" i="9"/>
  <c r="L56" i="9"/>
  <c r="L55" i="9" s="1"/>
  <c r="I56" i="9"/>
  <c r="F56" i="9"/>
  <c r="N55" i="9"/>
  <c r="M55" i="9"/>
  <c r="M54" i="9" s="1"/>
  <c r="M53" i="9" s="1"/>
  <c r="K55" i="9"/>
  <c r="J55" i="9"/>
  <c r="I55" i="9"/>
  <c r="H55" i="9"/>
  <c r="G55" i="9"/>
  <c r="E55" i="9"/>
  <c r="D55" i="9"/>
  <c r="D54" i="9" s="1"/>
  <c r="G54" i="9"/>
  <c r="G53" i="9" s="1"/>
  <c r="O47" i="9"/>
  <c r="C47" i="9" s="1"/>
  <c r="O46" i="9"/>
  <c r="C46" i="9"/>
  <c r="N45" i="9"/>
  <c r="M45" i="9"/>
  <c r="L44" i="9"/>
  <c r="I44" i="9"/>
  <c r="F44" i="9"/>
  <c r="F43" i="9" s="1"/>
  <c r="K43" i="9"/>
  <c r="J43" i="9"/>
  <c r="I43" i="9"/>
  <c r="H43" i="9"/>
  <c r="G43" i="9"/>
  <c r="E43" i="9"/>
  <c r="D43" i="9"/>
  <c r="F42" i="9"/>
  <c r="C42" i="9" s="1"/>
  <c r="E41" i="9"/>
  <c r="D41" i="9"/>
  <c r="L40" i="9"/>
  <c r="C40" i="9" s="1"/>
  <c r="L39" i="9"/>
  <c r="C39" i="9" s="1"/>
  <c r="L38" i="9"/>
  <c r="C38" i="9" s="1"/>
  <c r="L37" i="9"/>
  <c r="C37" i="9" s="1"/>
  <c r="K36" i="9"/>
  <c r="J36" i="9"/>
  <c r="L35" i="9"/>
  <c r="C35" i="9" s="1"/>
  <c r="L34" i="9"/>
  <c r="C34" i="9" s="1"/>
  <c r="K33" i="9"/>
  <c r="J33" i="9"/>
  <c r="L32" i="9"/>
  <c r="K31" i="9"/>
  <c r="J31" i="9"/>
  <c r="L30" i="9"/>
  <c r="C30" i="9"/>
  <c r="L29" i="9"/>
  <c r="C29" i="9" s="1"/>
  <c r="L28" i="9"/>
  <c r="C28" i="9" s="1"/>
  <c r="K27" i="9"/>
  <c r="J27" i="9"/>
  <c r="F25" i="9"/>
  <c r="C25" i="9" s="1"/>
  <c r="I24" i="9"/>
  <c r="O23" i="9"/>
  <c r="C23" i="9" s="1"/>
  <c r="L23" i="9"/>
  <c r="I23" i="9"/>
  <c r="F23" i="9"/>
  <c r="O22" i="9"/>
  <c r="L22" i="9"/>
  <c r="L21" i="9" s="1"/>
  <c r="I22" i="9"/>
  <c r="F22" i="9"/>
  <c r="F21" i="9" s="1"/>
  <c r="N21" i="9"/>
  <c r="N292" i="9" s="1"/>
  <c r="N291" i="9" s="1"/>
  <c r="M21" i="9"/>
  <c r="M292" i="9" s="1"/>
  <c r="M291" i="9" s="1"/>
  <c r="K21" i="9"/>
  <c r="K292" i="9" s="1"/>
  <c r="K291" i="9" s="1"/>
  <c r="J21" i="9"/>
  <c r="J292" i="9" s="1"/>
  <c r="J291" i="9" s="1"/>
  <c r="I21" i="9"/>
  <c r="I20" i="9" s="1"/>
  <c r="H21" i="9"/>
  <c r="G21" i="9"/>
  <c r="G292" i="9" s="1"/>
  <c r="G291" i="9" s="1"/>
  <c r="E21" i="9"/>
  <c r="E292" i="9" s="1"/>
  <c r="E291" i="9" s="1"/>
  <c r="D21" i="9"/>
  <c r="L36" i="9" l="1"/>
  <c r="C36" i="9" s="1"/>
  <c r="C57" i="9"/>
  <c r="K54" i="9"/>
  <c r="K53" i="9" s="1"/>
  <c r="C73" i="9"/>
  <c r="C114" i="9"/>
  <c r="L136" i="9"/>
  <c r="C153" i="9"/>
  <c r="O166" i="9"/>
  <c r="O165" i="9" s="1"/>
  <c r="F192" i="9"/>
  <c r="F191" i="9" s="1"/>
  <c r="C266" i="9"/>
  <c r="I80" i="9"/>
  <c r="C97" i="9"/>
  <c r="C100" i="9"/>
  <c r="C129" i="9"/>
  <c r="C164" i="9"/>
  <c r="J174" i="9"/>
  <c r="J173" i="9" s="1"/>
  <c r="C180" i="9"/>
  <c r="C203" i="9"/>
  <c r="C206" i="9"/>
  <c r="C218" i="9"/>
  <c r="C226" i="9"/>
  <c r="H54" i="9"/>
  <c r="N54" i="9"/>
  <c r="N53" i="9" s="1"/>
  <c r="O69" i="9"/>
  <c r="H76" i="9"/>
  <c r="C147" i="9"/>
  <c r="C148" i="9"/>
  <c r="C161" i="9"/>
  <c r="C168" i="9"/>
  <c r="C278" i="9"/>
  <c r="C294" i="9"/>
  <c r="C295" i="9"/>
  <c r="J26" i="9"/>
  <c r="J20" i="9" s="1"/>
  <c r="C65" i="9"/>
  <c r="C86" i="9"/>
  <c r="I103" i="9"/>
  <c r="C113" i="9"/>
  <c r="I131" i="9"/>
  <c r="F187" i="9"/>
  <c r="E187" i="9"/>
  <c r="C242" i="9"/>
  <c r="C250" i="9"/>
  <c r="F286" i="9"/>
  <c r="C121" i="9"/>
  <c r="I76" i="9"/>
  <c r="G20" i="9"/>
  <c r="F41" i="9"/>
  <c r="C41" i="9" s="1"/>
  <c r="O58" i="9"/>
  <c r="C66" i="9"/>
  <c r="C82" i="9"/>
  <c r="C88" i="9"/>
  <c r="K26" i="9"/>
  <c r="C44" i="9"/>
  <c r="J54" i="9"/>
  <c r="J53" i="9" s="1"/>
  <c r="C59" i="9"/>
  <c r="C60" i="9"/>
  <c r="C64" i="9"/>
  <c r="I69" i="9"/>
  <c r="I67" i="9" s="1"/>
  <c r="N76" i="9"/>
  <c r="C81" i="9"/>
  <c r="I84" i="9"/>
  <c r="I89" i="9"/>
  <c r="C102" i="9"/>
  <c r="C108" i="9"/>
  <c r="I112" i="9"/>
  <c r="F116" i="9"/>
  <c r="C120" i="9"/>
  <c r="N83" i="9"/>
  <c r="O122" i="9"/>
  <c r="C138" i="9"/>
  <c r="K130" i="9"/>
  <c r="O144" i="9"/>
  <c r="C154" i="9"/>
  <c r="C155" i="9"/>
  <c r="C162" i="9"/>
  <c r="C163" i="9"/>
  <c r="I166" i="9"/>
  <c r="I165" i="9" s="1"/>
  <c r="C172" i="9"/>
  <c r="D174" i="9"/>
  <c r="C176" i="9"/>
  <c r="O174" i="9"/>
  <c r="O173" i="9" s="1"/>
  <c r="K173" i="9"/>
  <c r="D187" i="9"/>
  <c r="I205" i="9"/>
  <c r="I204" i="9" s="1"/>
  <c r="C213" i="9"/>
  <c r="C225" i="9"/>
  <c r="G204" i="9"/>
  <c r="G195" i="9" s="1"/>
  <c r="J231" i="9"/>
  <c r="J230" i="9" s="1"/>
  <c r="I252" i="9"/>
  <c r="I251" i="9" s="1"/>
  <c r="C256" i="9"/>
  <c r="C257" i="9"/>
  <c r="F260" i="9"/>
  <c r="C261" i="9"/>
  <c r="O260" i="9"/>
  <c r="I264" i="9"/>
  <c r="I270" i="9"/>
  <c r="I269" i="9" s="1"/>
  <c r="L276" i="9"/>
  <c r="L270" i="9" s="1"/>
  <c r="L269" i="9" s="1"/>
  <c r="I293" i="9"/>
  <c r="C300" i="9"/>
  <c r="G130" i="9"/>
  <c r="I160" i="9"/>
  <c r="C160" i="9" s="1"/>
  <c r="N204" i="9"/>
  <c r="N195" i="9" s="1"/>
  <c r="L293" i="9"/>
  <c r="H53" i="9"/>
  <c r="I116" i="9"/>
  <c r="J83" i="9"/>
  <c r="J75" i="9" s="1"/>
  <c r="N20" i="9"/>
  <c r="E54" i="9"/>
  <c r="C62" i="9"/>
  <c r="D53" i="9"/>
  <c r="C74" i="9"/>
  <c r="D83" i="9"/>
  <c r="D75" i="9" s="1"/>
  <c r="C85" i="9"/>
  <c r="C94" i="9"/>
  <c r="M83" i="9"/>
  <c r="M75" i="9" s="1"/>
  <c r="M52" i="9" s="1"/>
  <c r="I95" i="9"/>
  <c r="C118" i="9"/>
  <c r="C139" i="9"/>
  <c r="C140" i="9"/>
  <c r="I144" i="9"/>
  <c r="C150" i="9"/>
  <c r="I151" i="9"/>
  <c r="I175" i="9"/>
  <c r="C185" i="9"/>
  <c r="N187" i="9"/>
  <c r="C215" i="9"/>
  <c r="J204" i="9"/>
  <c r="J195" i="9" s="1"/>
  <c r="C217" i="9"/>
  <c r="O216" i="9"/>
  <c r="C234" i="9"/>
  <c r="C243" i="9"/>
  <c r="I246" i="9"/>
  <c r="L252" i="9"/>
  <c r="L251" i="9" s="1"/>
  <c r="C265" i="9"/>
  <c r="O264" i="9"/>
  <c r="O272" i="9"/>
  <c r="C91" i="9"/>
  <c r="O89" i="9"/>
  <c r="O95" i="9"/>
  <c r="C110" i="9"/>
  <c r="C115" i="9"/>
  <c r="C117" i="9"/>
  <c r="C126" i="9"/>
  <c r="E130" i="9"/>
  <c r="E75" i="9" s="1"/>
  <c r="I136" i="9"/>
  <c r="C136" i="9" s="1"/>
  <c r="C146" i="9"/>
  <c r="C157" i="9"/>
  <c r="C167" i="9"/>
  <c r="I179" i="9"/>
  <c r="J187" i="9"/>
  <c r="C202" i="9"/>
  <c r="C210" i="9"/>
  <c r="C214" i="9"/>
  <c r="C222" i="9"/>
  <c r="K204" i="9"/>
  <c r="K195" i="9" s="1"/>
  <c r="C228" i="9"/>
  <c r="C229" i="9"/>
  <c r="G231" i="9"/>
  <c r="G230" i="9" s="1"/>
  <c r="G194" i="9" s="1"/>
  <c r="F264" i="9"/>
  <c r="C274" i="9"/>
  <c r="C298" i="9"/>
  <c r="K20" i="9"/>
  <c r="C70" i="9"/>
  <c r="L69" i="9"/>
  <c r="L67" i="9" s="1"/>
  <c r="L77" i="9"/>
  <c r="C78" i="9"/>
  <c r="L103" i="9"/>
  <c r="C106" i="9"/>
  <c r="L131" i="9"/>
  <c r="C134" i="9"/>
  <c r="I141" i="9"/>
  <c r="C145" i="9"/>
  <c r="F165" i="9"/>
  <c r="C177" i="9"/>
  <c r="L175" i="9"/>
  <c r="C175" i="9" s="1"/>
  <c r="C301" i="9"/>
  <c r="L27" i="9"/>
  <c r="C32" i="9"/>
  <c r="L31" i="9"/>
  <c r="C31" i="9" s="1"/>
  <c r="L43" i="9"/>
  <c r="C43" i="9" s="1"/>
  <c r="C80" i="9"/>
  <c r="C104" i="9"/>
  <c r="F103" i="9"/>
  <c r="C103" i="9" s="1"/>
  <c r="C112" i="9"/>
  <c r="C132" i="9"/>
  <c r="F131" i="9"/>
  <c r="C142" i="9"/>
  <c r="L141" i="9"/>
  <c r="C144" i="9"/>
  <c r="C181" i="9"/>
  <c r="L179" i="9"/>
  <c r="C179" i="9" s="1"/>
  <c r="C192" i="9"/>
  <c r="K230" i="9"/>
  <c r="M20" i="9"/>
  <c r="C22" i="9"/>
  <c r="O21" i="9"/>
  <c r="E53" i="9"/>
  <c r="O55" i="9"/>
  <c r="O54" i="9" s="1"/>
  <c r="F58" i="9"/>
  <c r="I58" i="9"/>
  <c r="C63" i="9"/>
  <c r="C71" i="9"/>
  <c r="C72" i="9"/>
  <c r="F69" i="9"/>
  <c r="C69" i="9" s="1"/>
  <c r="F76" i="9"/>
  <c r="C79" i="9"/>
  <c r="G83" i="9"/>
  <c r="G75" i="9" s="1"/>
  <c r="L84" i="9"/>
  <c r="C87" i="9"/>
  <c r="L89" i="9"/>
  <c r="C90" i="9"/>
  <c r="C96" i="9"/>
  <c r="F95" i="9"/>
  <c r="C107" i="9"/>
  <c r="O116" i="9"/>
  <c r="O83" i="9" s="1"/>
  <c r="F122" i="9"/>
  <c r="I122" i="9"/>
  <c r="I83" i="9" s="1"/>
  <c r="C127" i="9"/>
  <c r="C135" i="9"/>
  <c r="L166" i="9"/>
  <c r="L165" i="9" s="1"/>
  <c r="C169" i="9"/>
  <c r="K194" i="9"/>
  <c r="D292" i="9"/>
  <c r="D291" i="9" s="1"/>
  <c r="C68" i="9"/>
  <c r="C92" i="9"/>
  <c r="F89" i="9"/>
  <c r="F259" i="9"/>
  <c r="L33" i="9"/>
  <c r="C33" i="9" s="1"/>
  <c r="O45" i="9"/>
  <c r="I54" i="9"/>
  <c r="C61" i="9"/>
  <c r="O76" i="9"/>
  <c r="K83" i="9"/>
  <c r="L95" i="9"/>
  <c r="C98" i="9"/>
  <c r="C125" i="9"/>
  <c r="C128" i="9"/>
  <c r="H292" i="9"/>
  <c r="H291" i="9" s="1"/>
  <c r="H20" i="9"/>
  <c r="L292" i="9"/>
  <c r="C21" i="9"/>
  <c r="F292" i="9"/>
  <c r="C56" i="9"/>
  <c r="F55" i="9"/>
  <c r="L58" i="9"/>
  <c r="L54" i="9" s="1"/>
  <c r="L53" i="9" s="1"/>
  <c r="O67" i="9"/>
  <c r="H83" i="9"/>
  <c r="C99" i="9"/>
  <c r="C111" i="9"/>
  <c r="L116" i="9"/>
  <c r="C119" i="9"/>
  <c r="L122" i="9"/>
  <c r="H130" i="9"/>
  <c r="C143" i="9"/>
  <c r="F151" i="9"/>
  <c r="C152" i="9"/>
  <c r="I174" i="9"/>
  <c r="I173" i="9" s="1"/>
  <c r="L188" i="9"/>
  <c r="C189" i="9"/>
  <c r="C200" i="9"/>
  <c r="I198" i="9"/>
  <c r="I196" i="9" s="1"/>
  <c r="I195" i="9" s="1"/>
  <c r="C241" i="9"/>
  <c r="F238" i="9"/>
  <c r="C247" i="9"/>
  <c r="L246" i="9"/>
  <c r="L231" i="9" s="1"/>
  <c r="G187" i="9"/>
  <c r="C199" i="9"/>
  <c r="L198" i="9"/>
  <c r="L196" i="9" s="1"/>
  <c r="C227" i="9"/>
  <c r="C170" i="9"/>
  <c r="C171" i="9"/>
  <c r="D173" i="9"/>
  <c r="C178" i="9"/>
  <c r="C182" i="9"/>
  <c r="C183" i="9"/>
  <c r="L184" i="9"/>
  <c r="C184" i="9" s="1"/>
  <c r="C190" i="9"/>
  <c r="O196" i="9"/>
  <c r="C207" i="9"/>
  <c r="L205" i="9"/>
  <c r="C254" i="9"/>
  <c r="F252" i="9"/>
  <c r="L264" i="9"/>
  <c r="C267" i="9"/>
  <c r="C277" i="9"/>
  <c r="O276" i="9"/>
  <c r="O270" i="9" s="1"/>
  <c r="O269" i="9" s="1"/>
  <c r="C282" i="9"/>
  <c r="C293" i="9"/>
  <c r="C235" i="9"/>
  <c r="C284" i="9"/>
  <c r="F283" i="9"/>
  <c r="C283" i="9" s="1"/>
  <c r="O151" i="9"/>
  <c r="O130" i="9" s="1"/>
  <c r="C158" i="9"/>
  <c r="C159" i="9"/>
  <c r="F174" i="9"/>
  <c r="C186" i="9"/>
  <c r="C191" i="9"/>
  <c r="O205" i="9"/>
  <c r="O204" i="9" s="1"/>
  <c r="L216" i="9"/>
  <c r="C216" i="9" s="1"/>
  <c r="C219" i="9"/>
  <c r="N230" i="9"/>
  <c r="O238" i="9"/>
  <c r="O231" i="9" s="1"/>
  <c r="I259" i="9"/>
  <c r="L260" i="9"/>
  <c r="C263" i="9"/>
  <c r="C264" i="9"/>
  <c r="C273" i="9"/>
  <c r="F272" i="9"/>
  <c r="C276" i="9"/>
  <c r="C281" i="9"/>
  <c r="C288" i="9"/>
  <c r="I286" i="9"/>
  <c r="C197" i="9"/>
  <c r="F205" i="9"/>
  <c r="C212" i="9"/>
  <c r="C224" i="9"/>
  <c r="H231" i="9"/>
  <c r="H230" i="9" s="1"/>
  <c r="H194" i="9" s="1"/>
  <c r="C233" i="9"/>
  <c r="C240" i="9"/>
  <c r="I238" i="9"/>
  <c r="I231" i="9" s="1"/>
  <c r="E270" i="9"/>
  <c r="E269" i="9" s="1"/>
  <c r="E194" i="9" s="1"/>
  <c r="C280" i="9"/>
  <c r="C296" i="9"/>
  <c r="C297" i="9"/>
  <c r="L291" i="9"/>
  <c r="C201" i="9"/>
  <c r="C208" i="9"/>
  <c r="C209" i="9"/>
  <c r="C220" i="9"/>
  <c r="C221" i="9"/>
  <c r="C232" i="9"/>
  <c r="D231" i="9"/>
  <c r="D230" i="9" s="1"/>
  <c r="D194" i="9" s="1"/>
  <c r="M230" i="9"/>
  <c r="C244" i="9"/>
  <c r="C245" i="9"/>
  <c r="C248" i="9"/>
  <c r="C249" i="9"/>
  <c r="F246" i="9"/>
  <c r="C246" i="9" s="1"/>
  <c r="C253" i="9"/>
  <c r="O252" i="9"/>
  <c r="O251" i="9" s="1"/>
  <c r="C268" i="9"/>
  <c r="J270" i="9"/>
  <c r="J269" i="9" s="1"/>
  <c r="C285" i="9"/>
  <c r="G52" i="9" l="1"/>
  <c r="G51" i="9" s="1"/>
  <c r="O53" i="9"/>
  <c r="I230" i="9"/>
  <c r="L204" i="9"/>
  <c r="F67" i="9"/>
  <c r="K75" i="9"/>
  <c r="M289" i="9"/>
  <c r="H75" i="9"/>
  <c r="H52" i="9" s="1"/>
  <c r="C116" i="9"/>
  <c r="J289" i="9"/>
  <c r="G289" i="9"/>
  <c r="O259" i="9"/>
  <c r="O230" i="9" s="1"/>
  <c r="J52" i="9"/>
  <c r="N194" i="9"/>
  <c r="M194" i="9"/>
  <c r="H51" i="9"/>
  <c r="H50" i="9" s="1"/>
  <c r="I53" i="9"/>
  <c r="F83" i="9"/>
  <c r="D52" i="9"/>
  <c r="D51" i="9" s="1"/>
  <c r="D50" i="9" s="1"/>
  <c r="D24" i="9" s="1"/>
  <c r="E52" i="9"/>
  <c r="E51" i="9" s="1"/>
  <c r="C141" i="9"/>
  <c r="L259" i="9"/>
  <c r="N75" i="9"/>
  <c r="N52" i="9" s="1"/>
  <c r="G290" i="9"/>
  <c r="G50" i="9"/>
  <c r="K52" i="9"/>
  <c r="K51" i="9" s="1"/>
  <c r="K289" i="9"/>
  <c r="C286" i="9"/>
  <c r="L195" i="9"/>
  <c r="I292" i="9"/>
  <c r="I291" i="9" s="1"/>
  <c r="J194" i="9"/>
  <c r="L26" i="9"/>
  <c r="C27" i="9"/>
  <c r="C77" i="9"/>
  <c r="L76" i="9"/>
  <c r="C76" i="9" s="1"/>
  <c r="F270" i="9"/>
  <c r="C272" i="9"/>
  <c r="C260" i="9"/>
  <c r="C67" i="9"/>
  <c r="C95" i="9"/>
  <c r="C131" i="9"/>
  <c r="F130" i="9"/>
  <c r="F291" i="9"/>
  <c r="F231" i="9"/>
  <c r="C238" i="9"/>
  <c r="L83" i="9"/>
  <c r="C83" i="9" s="1"/>
  <c r="M51" i="9"/>
  <c r="C205" i="9"/>
  <c r="F204" i="9"/>
  <c r="H289" i="9"/>
  <c r="O195" i="9"/>
  <c r="C198" i="9"/>
  <c r="C151" i="9"/>
  <c r="C45" i="9"/>
  <c r="I130" i="9"/>
  <c r="I75" i="9" s="1"/>
  <c r="C122" i="9"/>
  <c r="O292" i="9"/>
  <c r="O291" i="9" s="1"/>
  <c r="O20" i="9"/>
  <c r="C165" i="9"/>
  <c r="C252" i="9"/>
  <c r="F251" i="9"/>
  <c r="C251" i="9" s="1"/>
  <c r="L174" i="9"/>
  <c r="L173" i="9" s="1"/>
  <c r="E289" i="9"/>
  <c r="F173" i="9"/>
  <c r="I194" i="9"/>
  <c r="C196" i="9"/>
  <c r="L187" i="9"/>
  <c r="C187" i="9" s="1"/>
  <c r="C188" i="9"/>
  <c r="C55" i="9"/>
  <c r="F54" i="9"/>
  <c r="O75" i="9"/>
  <c r="O52" i="9" s="1"/>
  <c r="C89" i="9"/>
  <c r="C84" i="9"/>
  <c r="C58" i="9"/>
  <c r="D289" i="9"/>
  <c r="C166" i="9"/>
  <c r="L130" i="9"/>
  <c r="C259" i="9" l="1"/>
  <c r="C174" i="9"/>
  <c r="N289" i="9"/>
  <c r="H290" i="9"/>
  <c r="F75" i="9"/>
  <c r="J51" i="9"/>
  <c r="D290" i="9"/>
  <c r="N51" i="9"/>
  <c r="O194" i="9"/>
  <c r="O51" i="9" s="1"/>
  <c r="L230" i="9"/>
  <c r="L194" i="9" s="1"/>
  <c r="I289" i="9"/>
  <c r="I52" i="9"/>
  <c r="I51" i="9" s="1"/>
  <c r="M50" i="9"/>
  <c r="M290" i="9"/>
  <c r="F269" i="9"/>
  <c r="C270" i="9"/>
  <c r="F230" i="9"/>
  <c r="C230" i="9" s="1"/>
  <c r="C231" i="9"/>
  <c r="L75" i="9"/>
  <c r="L52" i="9" s="1"/>
  <c r="J50" i="9"/>
  <c r="J290" i="9"/>
  <c r="D20" i="9"/>
  <c r="C26" i="9"/>
  <c r="L20" i="9"/>
  <c r="C204" i="9"/>
  <c r="F195" i="9"/>
  <c r="C291" i="9"/>
  <c r="E50" i="9"/>
  <c r="E24" i="9" s="1"/>
  <c r="E20" i="9" s="1"/>
  <c r="O289" i="9"/>
  <c r="F53" i="9"/>
  <c r="C54" i="9"/>
  <c r="K50" i="9"/>
  <c r="K290" i="9"/>
  <c r="C173" i="9"/>
  <c r="C130" i="9"/>
  <c r="C292" i="9"/>
  <c r="L289" i="9" l="1"/>
  <c r="N290" i="9"/>
  <c r="N50" i="9"/>
  <c r="O50" i="9"/>
  <c r="O290" i="9"/>
  <c r="L51" i="9"/>
  <c r="C75" i="9"/>
  <c r="E290" i="9"/>
  <c r="F52" i="9"/>
  <c r="C53" i="9"/>
  <c r="F24" i="9"/>
  <c r="C269" i="9"/>
  <c r="F289" i="9"/>
  <c r="C289" i="9" s="1"/>
  <c r="F194" i="9"/>
  <c r="C194" i="9" s="1"/>
  <c r="C195" i="9"/>
  <c r="I290" i="9"/>
  <c r="I50" i="9"/>
  <c r="L50" i="9" l="1"/>
  <c r="L290" i="9"/>
  <c r="C24" i="9"/>
  <c r="F20" i="9"/>
  <c r="C20" i="9" s="1"/>
  <c r="C52" i="9"/>
  <c r="F51" i="9"/>
  <c r="F290" i="9" l="1"/>
  <c r="C290" i="9" s="1"/>
  <c r="C51" i="9"/>
  <c r="F50" i="9"/>
  <c r="C50" i="9" s="1"/>
  <c r="O301" i="8" l="1"/>
  <c r="L301" i="8"/>
  <c r="I301" i="8"/>
  <c r="F301" i="8"/>
  <c r="O300" i="8"/>
  <c r="L300" i="8"/>
  <c r="I300" i="8"/>
  <c r="F300" i="8"/>
  <c r="O299" i="8"/>
  <c r="L299" i="8"/>
  <c r="I299" i="8"/>
  <c r="F299" i="8"/>
  <c r="O298" i="8"/>
  <c r="L298" i="8"/>
  <c r="I298" i="8"/>
  <c r="F298" i="8"/>
  <c r="C298" i="8" s="1"/>
  <c r="O297" i="8"/>
  <c r="L297" i="8"/>
  <c r="I297" i="8"/>
  <c r="F297" i="8"/>
  <c r="O296" i="8"/>
  <c r="L296" i="8"/>
  <c r="I296" i="8"/>
  <c r="F296" i="8"/>
  <c r="O295" i="8"/>
  <c r="L295" i="8"/>
  <c r="I295" i="8"/>
  <c r="F295" i="8"/>
  <c r="O294" i="8"/>
  <c r="O293" i="8" s="1"/>
  <c r="L294" i="8"/>
  <c r="I294" i="8"/>
  <c r="F294" i="8"/>
  <c r="N293" i="8"/>
  <c r="M293" i="8"/>
  <c r="K293" i="8"/>
  <c r="J293" i="8"/>
  <c r="H293" i="8"/>
  <c r="G293" i="8"/>
  <c r="E293" i="8"/>
  <c r="D293" i="8"/>
  <c r="O288" i="8"/>
  <c r="L288" i="8"/>
  <c r="I288" i="8"/>
  <c r="F288" i="8"/>
  <c r="C288" i="8" s="1"/>
  <c r="O287" i="8"/>
  <c r="L287" i="8"/>
  <c r="L286" i="8" s="1"/>
  <c r="I287" i="8"/>
  <c r="F287" i="8"/>
  <c r="O286" i="8"/>
  <c r="N286" i="8"/>
  <c r="M286" i="8"/>
  <c r="K286" i="8"/>
  <c r="J286" i="8"/>
  <c r="H286" i="8"/>
  <c r="G286" i="8"/>
  <c r="F286" i="8"/>
  <c r="E286" i="8"/>
  <c r="D286" i="8"/>
  <c r="O285" i="8"/>
  <c r="L285" i="8"/>
  <c r="L284" i="8" s="1"/>
  <c r="L283" i="8" s="1"/>
  <c r="I285" i="8"/>
  <c r="F285" i="8"/>
  <c r="O284" i="8"/>
  <c r="O283" i="8" s="1"/>
  <c r="N284" i="8"/>
  <c r="M284" i="8"/>
  <c r="M283" i="8" s="1"/>
  <c r="K284" i="8"/>
  <c r="K283" i="8" s="1"/>
  <c r="J284" i="8"/>
  <c r="I284" i="8"/>
  <c r="I283" i="8" s="1"/>
  <c r="H284" i="8"/>
  <c r="H283" i="8" s="1"/>
  <c r="G284" i="8"/>
  <c r="G283" i="8" s="1"/>
  <c r="E284" i="8"/>
  <c r="E283" i="8" s="1"/>
  <c r="D284" i="8"/>
  <c r="N283" i="8"/>
  <c r="J283" i="8"/>
  <c r="D283" i="8"/>
  <c r="O282" i="8"/>
  <c r="O281" i="8" s="1"/>
  <c r="L282" i="8"/>
  <c r="L281" i="8" s="1"/>
  <c r="I282" i="8"/>
  <c r="F282" i="8"/>
  <c r="C282" i="8" s="1"/>
  <c r="N281" i="8"/>
  <c r="M281" i="8"/>
  <c r="K281" i="8"/>
  <c r="J281" i="8"/>
  <c r="I281" i="8"/>
  <c r="H281" i="8"/>
  <c r="G281" i="8"/>
  <c r="F281" i="8"/>
  <c r="E281" i="8"/>
  <c r="D281" i="8"/>
  <c r="O280" i="8"/>
  <c r="L280" i="8"/>
  <c r="I280" i="8"/>
  <c r="F280" i="8"/>
  <c r="O279" i="8"/>
  <c r="L279" i="8"/>
  <c r="I279" i="8"/>
  <c r="F279" i="8"/>
  <c r="O278" i="8"/>
  <c r="L278" i="8"/>
  <c r="I278" i="8"/>
  <c r="F278" i="8"/>
  <c r="O277" i="8"/>
  <c r="L277" i="8"/>
  <c r="I277" i="8"/>
  <c r="I276" i="8" s="1"/>
  <c r="F277" i="8"/>
  <c r="N276" i="8"/>
  <c r="M276" i="8"/>
  <c r="K276" i="8"/>
  <c r="J276" i="8"/>
  <c r="H276" i="8"/>
  <c r="G276" i="8"/>
  <c r="E276" i="8"/>
  <c r="D276" i="8"/>
  <c r="O275" i="8"/>
  <c r="L275" i="8"/>
  <c r="I275" i="8"/>
  <c r="F275" i="8"/>
  <c r="O274" i="8"/>
  <c r="L274" i="8"/>
  <c r="I274" i="8"/>
  <c r="F274" i="8"/>
  <c r="C274" i="8" s="1"/>
  <c r="O273" i="8"/>
  <c r="O272" i="8" s="1"/>
  <c r="L273" i="8"/>
  <c r="I273" i="8"/>
  <c r="I272" i="8" s="1"/>
  <c r="F273" i="8"/>
  <c r="N272" i="8"/>
  <c r="M272" i="8"/>
  <c r="M270" i="8" s="1"/>
  <c r="M269" i="8" s="1"/>
  <c r="L272" i="8"/>
  <c r="K272" i="8"/>
  <c r="K270" i="8" s="1"/>
  <c r="K269" i="8" s="1"/>
  <c r="J272" i="8"/>
  <c r="H272" i="8"/>
  <c r="H270" i="8" s="1"/>
  <c r="H269" i="8" s="1"/>
  <c r="G272" i="8"/>
  <c r="E272" i="8"/>
  <c r="D272" i="8"/>
  <c r="O271" i="8"/>
  <c r="L271" i="8"/>
  <c r="I271" i="8"/>
  <c r="F271" i="8"/>
  <c r="N270" i="8"/>
  <c r="N269" i="8" s="1"/>
  <c r="J270" i="8"/>
  <c r="G270" i="8"/>
  <c r="G269" i="8" s="1"/>
  <c r="O268" i="8"/>
  <c r="L268" i="8"/>
  <c r="I268" i="8"/>
  <c r="F268" i="8"/>
  <c r="O267" i="8"/>
  <c r="L267" i="8"/>
  <c r="I267" i="8"/>
  <c r="F267" i="8"/>
  <c r="O266" i="8"/>
  <c r="L266" i="8"/>
  <c r="I266" i="8"/>
  <c r="F266" i="8"/>
  <c r="O265" i="8"/>
  <c r="O264" i="8" s="1"/>
  <c r="L265" i="8"/>
  <c r="I265" i="8"/>
  <c r="F265" i="8"/>
  <c r="N264" i="8"/>
  <c r="M264" i="8"/>
  <c r="K264" i="8"/>
  <c r="J264" i="8"/>
  <c r="H264" i="8"/>
  <c r="G264" i="8"/>
  <c r="E264" i="8"/>
  <c r="D264" i="8"/>
  <c r="O263" i="8"/>
  <c r="L263" i="8"/>
  <c r="I263" i="8"/>
  <c r="C263" i="8" s="1"/>
  <c r="F263" i="8"/>
  <c r="O262" i="8"/>
  <c r="L262" i="8"/>
  <c r="I262" i="8"/>
  <c r="C262" i="8" s="1"/>
  <c r="F262" i="8"/>
  <c r="O261" i="8"/>
  <c r="L261" i="8"/>
  <c r="I261" i="8"/>
  <c r="F261" i="8"/>
  <c r="N260" i="8"/>
  <c r="M260" i="8"/>
  <c r="K260" i="8"/>
  <c r="J260" i="8"/>
  <c r="J259" i="8" s="1"/>
  <c r="H260" i="8"/>
  <c r="H259" i="8" s="1"/>
  <c r="G260" i="8"/>
  <c r="E260" i="8"/>
  <c r="D260" i="8"/>
  <c r="D259" i="8" s="1"/>
  <c r="N259" i="8"/>
  <c r="G259" i="8"/>
  <c r="O258" i="8"/>
  <c r="L258" i="8"/>
  <c r="I258" i="8"/>
  <c r="F258" i="8"/>
  <c r="C258" i="8" s="1"/>
  <c r="O257" i="8"/>
  <c r="L257" i="8"/>
  <c r="I257" i="8"/>
  <c r="F257" i="8"/>
  <c r="O256" i="8"/>
  <c r="L256" i="8"/>
  <c r="I256" i="8"/>
  <c r="F256" i="8"/>
  <c r="O255" i="8"/>
  <c r="L255" i="8"/>
  <c r="I255" i="8"/>
  <c r="F255" i="8"/>
  <c r="O254" i="8"/>
  <c r="L254" i="8"/>
  <c r="I254" i="8"/>
  <c r="F254" i="8"/>
  <c r="C254" i="8" s="1"/>
  <c r="O253" i="8"/>
  <c r="L253" i="8"/>
  <c r="I253" i="8"/>
  <c r="F253" i="8"/>
  <c r="N252" i="8"/>
  <c r="M252" i="8"/>
  <c r="M251" i="8" s="1"/>
  <c r="K252" i="8"/>
  <c r="K251" i="8" s="1"/>
  <c r="J252" i="8"/>
  <c r="J251" i="8" s="1"/>
  <c r="H252" i="8"/>
  <c r="H251" i="8" s="1"/>
  <c r="G252" i="8"/>
  <c r="E252" i="8"/>
  <c r="E251" i="8" s="1"/>
  <c r="D252" i="8"/>
  <c r="N251" i="8"/>
  <c r="G251" i="8"/>
  <c r="D251" i="8"/>
  <c r="O250" i="8"/>
  <c r="O246" i="8" s="1"/>
  <c r="L250" i="8"/>
  <c r="I250" i="8"/>
  <c r="F250" i="8"/>
  <c r="C250" i="8" s="1"/>
  <c r="O249" i="8"/>
  <c r="L249" i="8"/>
  <c r="I249" i="8"/>
  <c r="F249" i="8"/>
  <c r="O248" i="8"/>
  <c r="L248" i="8"/>
  <c r="I248" i="8"/>
  <c r="F248" i="8"/>
  <c r="O247" i="8"/>
  <c r="L247" i="8"/>
  <c r="I247" i="8"/>
  <c r="F247" i="8"/>
  <c r="N246" i="8"/>
  <c r="M246" i="8"/>
  <c r="K246" i="8"/>
  <c r="J246" i="8"/>
  <c r="H246" i="8"/>
  <c r="G246" i="8"/>
  <c r="E246" i="8"/>
  <c r="D246" i="8"/>
  <c r="O245" i="8"/>
  <c r="L245" i="8"/>
  <c r="I245" i="8"/>
  <c r="F245" i="8"/>
  <c r="O244" i="8"/>
  <c r="L244" i="8"/>
  <c r="I244" i="8"/>
  <c r="F244" i="8"/>
  <c r="O243" i="8"/>
  <c r="L243" i="8"/>
  <c r="I243" i="8"/>
  <c r="F243" i="8"/>
  <c r="O242" i="8"/>
  <c r="L242" i="8"/>
  <c r="I242" i="8"/>
  <c r="C242" i="8" s="1"/>
  <c r="F242" i="8"/>
  <c r="O241" i="8"/>
  <c r="L241" i="8"/>
  <c r="I241" i="8"/>
  <c r="F241" i="8"/>
  <c r="O240" i="8"/>
  <c r="L240" i="8"/>
  <c r="I240" i="8"/>
  <c r="F240" i="8"/>
  <c r="O239" i="8"/>
  <c r="L239" i="8"/>
  <c r="L238" i="8" s="1"/>
  <c r="I239" i="8"/>
  <c r="F239" i="8"/>
  <c r="N238" i="8"/>
  <c r="M238" i="8"/>
  <c r="K238" i="8"/>
  <c r="J238" i="8"/>
  <c r="H238" i="8"/>
  <c r="G238" i="8"/>
  <c r="E238" i="8"/>
  <c r="D238" i="8"/>
  <c r="O237" i="8"/>
  <c r="L237" i="8"/>
  <c r="I237" i="8"/>
  <c r="F237" i="8"/>
  <c r="O236" i="8"/>
  <c r="L236" i="8"/>
  <c r="L235" i="8" s="1"/>
  <c r="I236" i="8"/>
  <c r="I235" i="8" s="1"/>
  <c r="F236" i="8"/>
  <c r="O235" i="8"/>
  <c r="N235" i="8"/>
  <c r="M235" i="8"/>
  <c r="K235" i="8"/>
  <c r="J235" i="8"/>
  <c r="H235" i="8"/>
  <c r="G235" i="8"/>
  <c r="F235" i="8"/>
  <c r="E235" i="8"/>
  <c r="D235" i="8"/>
  <c r="O234" i="8"/>
  <c r="O233" i="8" s="1"/>
  <c r="L234" i="8"/>
  <c r="L233" i="8" s="1"/>
  <c r="I234" i="8"/>
  <c r="F234" i="8"/>
  <c r="F233" i="8" s="1"/>
  <c r="N233" i="8"/>
  <c r="M233" i="8"/>
  <c r="K233" i="8"/>
  <c r="J233" i="8"/>
  <c r="I233" i="8"/>
  <c r="H233" i="8"/>
  <c r="H231" i="8" s="1"/>
  <c r="G233" i="8"/>
  <c r="E233" i="8"/>
  <c r="D233" i="8"/>
  <c r="D231" i="8" s="1"/>
  <c r="D230" i="8" s="1"/>
  <c r="O232" i="8"/>
  <c r="L232" i="8"/>
  <c r="I232" i="8"/>
  <c r="F232" i="8"/>
  <c r="C232" i="8" s="1"/>
  <c r="O229" i="8"/>
  <c r="L229" i="8"/>
  <c r="I229" i="8"/>
  <c r="F229" i="8"/>
  <c r="O228" i="8"/>
  <c r="L228" i="8"/>
  <c r="L227" i="8" s="1"/>
  <c r="I228" i="8"/>
  <c r="I227" i="8" s="1"/>
  <c r="F228" i="8"/>
  <c r="O227" i="8"/>
  <c r="N227" i="8"/>
  <c r="M227" i="8"/>
  <c r="K227" i="8"/>
  <c r="J227" i="8"/>
  <c r="H227" i="8"/>
  <c r="G227" i="8"/>
  <c r="F227" i="8"/>
  <c r="E227" i="8"/>
  <c r="D227" i="8"/>
  <c r="O226" i="8"/>
  <c r="L226" i="8"/>
  <c r="I226" i="8"/>
  <c r="F226" i="8"/>
  <c r="O225" i="8"/>
  <c r="L225" i="8"/>
  <c r="I225" i="8"/>
  <c r="F225" i="8"/>
  <c r="O224" i="8"/>
  <c r="L224" i="8"/>
  <c r="I224" i="8"/>
  <c r="F224" i="8"/>
  <c r="O223" i="8"/>
  <c r="L223" i="8"/>
  <c r="I223" i="8"/>
  <c r="F223" i="8"/>
  <c r="O222" i="8"/>
  <c r="L222" i="8"/>
  <c r="I222" i="8"/>
  <c r="F222" i="8"/>
  <c r="O221" i="8"/>
  <c r="L221" i="8"/>
  <c r="I221" i="8"/>
  <c r="F221" i="8"/>
  <c r="O220" i="8"/>
  <c r="L220" i="8"/>
  <c r="I220" i="8"/>
  <c r="F220" i="8"/>
  <c r="O219" i="8"/>
  <c r="L219" i="8"/>
  <c r="I219" i="8"/>
  <c r="F219" i="8"/>
  <c r="O218" i="8"/>
  <c r="L218" i="8"/>
  <c r="C218" i="8" s="1"/>
  <c r="I218" i="8"/>
  <c r="F218" i="8"/>
  <c r="O217" i="8"/>
  <c r="L217" i="8"/>
  <c r="I217" i="8"/>
  <c r="F217" i="8"/>
  <c r="N216" i="8"/>
  <c r="M216" i="8"/>
  <c r="K216" i="8"/>
  <c r="J216" i="8"/>
  <c r="I216" i="8"/>
  <c r="H216" i="8"/>
  <c r="G216" i="8"/>
  <c r="E216" i="8"/>
  <c r="D216" i="8"/>
  <c r="O215" i="8"/>
  <c r="L215" i="8"/>
  <c r="I215" i="8"/>
  <c r="F215" i="8"/>
  <c r="O214" i="8"/>
  <c r="L214" i="8"/>
  <c r="I214" i="8"/>
  <c r="F214" i="8"/>
  <c r="O213" i="8"/>
  <c r="L213" i="8"/>
  <c r="I213" i="8"/>
  <c r="F213" i="8"/>
  <c r="O212" i="8"/>
  <c r="L212" i="8"/>
  <c r="I212" i="8"/>
  <c r="F212" i="8"/>
  <c r="O211" i="8"/>
  <c r="L211" i="8"/>
  <c r="I211" i="8"/>
  <c r="F211" i="8"/>
  <c r="O210" i="8"/>
  <c r="L210" i="8"/>
  <c r="I210" i="8"/>
  <c r="F210" i="8"/>
  <c r="C210" i="8" s="1"/>
  <c r="O209" i="8"/>
  <c r="L209" i="8"/>
  <c r="I209" i="8"/>
  <c r="F209" i="8"/>
  <c r="O208" i="8"/>
  <c r="L208" i="8"/>
  <c r="I208" i="8"/>
  <c r="F208" i="8"/>
  <c r="O207" i="8"/>
  <c r="L207" i="8"/>
  <c r="I207" i="8"/>
  <c r="F207" i="8"/>
  <c r="O206" i="8"/>
  <c r="O205" i="8" s="1"/>
  <c r="L206" i="8"/>
  <c r="I206" i="8"/>
  <c r="F206" i="8"/>
  <c r="C206" i="8" s="1"/>
  <c r="N205" i="8"/>
  <c r="M205" i="8"/>
  <c r="K205" i="8"/>
  <c r="J205" i="8"/>
  <c r="H205" i="8"/>
  <c r="H204" i="8" s="1"/>
  <c r="G205" i="8"/>
  <c r="G204" i="8" s="1"/>
  <c r="E205" i="8"/>
  <c r="D205" i="8"/>
  <c r="D204" i="8" s="1"/>
  <c r="M204" i="8"/>
  <c r="K204" i="8"/>
  <c r="E204" i="8"/>
  <c r="O203" i="8"/>
  <c r="L203" i="8"/>
  <c r="I203" i="8"/>
  <c r="F203" i="8"/>
  <c r="O202" i="8"/>
  <c r="L202" i="8"/>
  <c r="I202" i="8"/>
  <c r="F202" i="8"/>
  <c r="O201" i="8"/>
  <c r="L201" i="8"/>
  <c r="I201" i="8"/>
  <c r="F201" i="8"/>
  <c r="O200" i="8"/>
  <c r="L200" i="8"/>
  <c r="I200" i="8"/>
  <c r="F200" i="8"/>
  <c r="O199" i="8"/>
  <c r="L199" i="8"/>
  <c r="L198" i="8" s="1"/>
  <c r="I199" i="8"/>
  <c r="F199" i="8"/>
  <c r="F198" i="8" s="1"/>
  <c r="O198" i="8"/>
  <c r="N198" i="8"/>
  <c r="M198" i="8"/>
  <c r="K198" i="8"/>
  <c r="K196" i="8" s="1"/>
  <c r="K195" i="8" s="1"/>
  <c r="J198" i="8"/>
  <c r="H198" i="8"/>
  <c r="H196" i="8" s="1"/>
  <c r="H195" i="8" s="1"/>
  <c r="G198" i="8"/>
  <c r="G196" i="8" s="1"/>
  <c r="E198" i="8"/>
  <c r="E196" i="8" s="1"/>
  <c r="D198" i="8"/>
  <c r="D196" i="8" s="1"/>
  <c r="O197" i="8"/>
  <c r="L197" i="8"/>
  <c r="I197" i="8"/>
  <c r="F197" i="8"/>
  <c r="N196" i="8"/>
  <c r="M196" i="8"/>
  <c r="J196" i="8"/>
  <c r="O193" i="8"/>
  <c r="L193" i="8"/>
  <c r="L192" i="8" s="1"/>
  <c r="L191" i="8" s="1"/>
  <c r="I193" i="8"/>
  <c r="F193" i="8"/>
  <c r="O192" i="8"/>
  <c r="O191" i="8" s="1"/>
  <c r="N192" i="8"/>
  <c r="M192" i="8"/>
  <c r="M191" i="8" s="1"/>
  <c r="K192" i="8"/>
  <c r="J192" i="8"/>
  <c r="I192" i="8"/>
  <c r="I191" i="8" s="1"/>
  <c r="H192" i="8"/>
  <c r="H191" i="8" s="1"/>
  <c r="G192" i="8"/>
  <c r="G191" i="8" s="1"/>
  <c r="E192" i="8"/>
  <c r="D192" i="8"/>
  <c r="D191" i="8" s="1"/>
  <c r="N191" i="8"/>
  <c r="K191" i="8"/>
  <c r="J191" i="8"/>
  <c r="E191" i="8"/>
  <c r="O190" i="8"/>
  <c r="L190" i="8"/>
  <c r="I190" i="8"/>
  <c r="F190" i="8"/>
  <c r="O189" i="8"/>
  <c r="O188" i="8" s="1"/>
  <c r="L189" i="8"/>
  <c r="I189" i="8"/>
  <c r="F189" i="8"/>
  <c r="F188" i="8" s="1"/>
  <c r="N188" i="8"/>
  <c r="N187" i="8" s="1"/>
  <c r="M188" i="8"/>
  <c r="L188" i="8"/>
  <c r="K188" i="8"/>
  <c r="K187" i="8" s="1"/>
  <c r="J188" i="8"/>
  <c r="I188" i="8"/>
  <c r="H188" i="8"/>
  <c r="G188" i="8"/>
  <c r="E188" i="8"/>
  <c r="E187" i="8" s="1"/>
  <c r="D188" i="8"/>
  <c r="M187" i="8"/>
  <c r="I187" i="8"/>
  <c r="O186" i="8"/>
  <c r="L186" i="8"/>
  <c r="I186" i="8"/>
  <c r="F186" i="8"/>
  <c r="O185" i="8"/>
  <c r="O184" i="8" s="1"/>
  <c r="L185" i="8"/>
  <c r="L184" i="8" s="1"/>
  <c r="I185" i="8"/>
  <c r="C185" i="8" s="1"/>
  <c r="F185" i="8"/>
  <c r="F184" i="8" s="1"/>
  <c r="N184" i="8"/>
  <c r="M184" i="8"/>
  <c r="K184" i="8"/>
  <c r="J184" i="8"/>
  <c r="I184" i="8"/>
  <c r="H184" i="8"/>
  <c r="G184" i="8"/>
  <c r="E184" i="8"/>
  <c r="D184" i="8"/>
  <c r="O183" i="8"/>
  <c r="L183" i="8"/>
  <c r="I183" i="8"/>
  <c r="F183" i="8"/>
  <c r="O182" i="8"/>
  <c r="L182" i="8"/>
  <c r="I182" i="8"/>
  <c r="F182" i="8"/>
  <c r="O181" i="8"/>
  <c r="L181" i="8"/>
  <c r="I181" i="8"/>
  <c r="F181" i="8"/>
  <c r="O180" i="8"/>
  <c r="L180" i="8"/>
  <c r="I180" i="8"/>
  <c r="F180" i="8"/>
  <c r="N179" i="8"/>
  <c r="M179" i="8"/>
  <c r="K179" i="8"/>
  <c r="J179" i="8"/>
  <c r="I179" i="8"/>
  <c r="H179" i="8"/>
  <c r="G179" i="8"/>
  <c r="E179" i="8"/>
  <c r="D179" i="8"/>
  <c r="O178" i="8"/>
  <c r="L178" i="8"/>
  <c r="I178" i="8"/>
  <c r="F178" i="8"/>
  <c r="O177" i="8"/>
  <c r="L177" i="8"/>
  <c r="I177" i="8"/>
  <c r="F177" i="8"/>
  <c r="O176" i="8"/>
  <c r="L176" i="8"/>
  <c r="I176" i="8"/>
  <c r="I175" i="8" s="1"/>
  <c r="F176" i="8"/>
  <c r="N175" i="8"/>
  <c r="M175" i="8"/>
  <c r="M174" i="8" s="1"/>
  <c r="M173" i="8" s="1"/>
  <c r="K175" i="8"/>
  <c r="J175" i="8"/>
  <c r="H175" i="8"/>
  <c r="H174" i="8" s="1"/>
  <c r="H173" i="8" s="1"/>
  <c r="G175" i="8"/>
  <c r="G174" i="8" s="1"/>
  <c r="G173" i="8" s="1"/>
  <c r="E175" i="8"/>
  <c r="D175" i="8"/>
  <c r="K174" i="8"/>
  <c r="K173" i="8" s="1"/>
  <c r="J174" i="8"/>
  <c r="J173" i="8" s="1"/>
  <c r="O172" i="8"/>
  <c r="L172" i="8"/>
  <c r="I172" i="8"/>
  <c r="F172" i="8"/>
  <c r="C172" i="8" s="1"/>
  <c r="O171" i="8"/>
  <c r="L171" i="8"/>
  <c r="I171" i="8"/>
  <c r="F171" i="8"/>
  <c r="C171" i="8" s="1"/>
  <c r="O170" i="8"/>
  <c r="L170" i="8"/>
  <c r="I170" i="8"/>
  <c r="F170" i="8"/>
  <c r="O169" i="8"/>
  <c r="L169" i="8"/>
  <c r="I169" i="8"/>
  <c r="F169" i="8"/>
  <c r="C169" i="8" s="1"/>
  <c r="O168" i="8"/>
  <c r="L168" i="8"/>
  <c r="I168" i="8"/>
  <c r="F168" i="8"/>
  <c r="O167" i="8"/>
  <c r="L167" i="8"/>
  <c r="I167" i="8"/>
  <c r="I166" i="8" s="1"/>
  <c r="I165" i="8" s="1"/>
  <c r="F167" i="8"/>
  <c r="F166" i="8" s="1"/>
  <c r="N166" i="8"/>
  <c r="N165" i="8" s="1"/>
  <c r="M166" i="8"/>
  <c r="M165" i="8" s="1"/>
  <c r="K166" i="8"/>
  <c r="K165" i="8" s="1"/>
  <c r="J166" i="8"/>
  <c r="J165" i="8" s="1"/>
  <c r="H166" i="8"/>
  <c r="H165" i="8" s="1"/>
  <c r="G166" i="8"/>
  <c r="E166" i="8"/>
  <c r="E165" i="8" s="1"/>
  <c r="D166" i="8"/>
  <c r="G165" i="8"/>
  <c r="D165" i="8"/>
  <c r="O164" i="8"/>
  <c r="L164" i="8"/>
  <c r="I164" i="8"/>
  <c r="F164" i="8"/>
  <c r="O163" i="8"/>
  <c r="L163" i="8"/>
  <c r="I163" i="8"/>
  <c r="F163" i="8"/>
  <c r="O162" i="8"/>
  <c r="L162" i="8"/>
  <c r="I162" i="8"/>
  <c r="F162" i="8"/>
  <c r="O161" i="8"/>
  <c r="O160" i="8" s="1"/>
  <c r="L161" i="8"/>
  <c r="L160" i="8" s="1"/>
  <c r="I161" i="8"/>
  <c r="F161" i="8"/>
  <c r="F160" i="8" s="1"/>
  <c r="N160" i="8"/>
  <c r="M160" i="8"/>
  <c r="K160" i="8"/>
  <c r="J160" i="8"/>
  <c r="I160" i="8"/>
  <c r="H160" i="8"/>
  <c r="G160" i="8"/>
  <c r="E160" i="8"/>
  <c r="D160" i="8"/>
  <c r="O159" i="8"/>
  <c r="L159" i="8"/>
  <c r="I159" i="8"/>
  <c r="F159" i="8"/>
  <c r="O158" i="8"/>
  <c r="L158" i="8"/>
  <c r="I158" i="8"/>
  <c r="F158" i="8"/>
  <c r="O157" i="8"/>
  <c r="L157" i="8"/>
  <c r="I157" i="8"/>
  <c r="C157" i="8" s="1"/>
  <c r="F157" i="8"/>
  <c r="O156" i="8"/>
  <c r="L156" i="8"/>
  <c r="I156" i="8"/>
  <c r="F156" i="8"/>
  <c r="O155" i="8"/>
  <c r="L155" i="8"/>
  <c r="I155" i="8"/>
  <c r="F155" i="8"/>
  <c r="O154" i="8"/>
  <c r="L154" i="8"/>
  <c r="I154" i="8"/>
  <c r="F154" i="8"/>
  <c r="O153" i="8"/>
  <c r="L153" i="8"/>
  <c r="I153" i="8"/>
  <c r="F153" i="8"/>
  <c r="O152" i="8"/>
  <c r="L152" i="8"/>
  <c r="I152" i="8"/>
  <c r="I151" i="8" s="1"/>
  <c r="F152" i="8"/>
  <c r="N151" i="8"/>
  <c r="M151" i="8"/>
  <c r="K151" i="8"/>
  <c r="J151" i="8"/>
  <c r="H151" i="8"/>
  <c r="G151" i="8"/>
  <c r="E151" i="8"/>
  <c r="D151" i="8"/>
  <c r="O150" i="8"/>
  <c r="L150" i="8"/>
  <c r="I150" i="8"/>
  <c r="F150" i="8"/>
  <c r="O149" i="8"/>
  <c r="L149" i="8"/>
  <c r="I149" i="8"/>
  <c r="F149" i="8"/>
  <c r="O148" i="8"/>
  <c r="L148" i="8"/>
  <c r="I148" i="8"/>
  <c r="F148" i="8"/>
  <c r="O147" i="8"/>
  <c r="L147" i="8"/>
  <c r="I147" i="8"/>
  <c r="F147" i="8"/>
  <c r="O146" i="8"/>
  <c r="L146" i="8"/>
  <c r="I146" i="8"/>
  <c r="F146" i="8"/>
  <c r="O145" i="8"/>
  <c r="O144" i="8" s="1"/>
  <c r="L145" i="8"/>
  <c r="I145" i="8"/>
  <c r="F145" i="8"/>
  <c r="N144" i="8"/>
  <c r="M144" i="8"/>
  <c r="K144" i="8"/>
  <c r="J144" i="8"/>
  <c r="H144" i="8"/>
  <c r="G144" i="8"/>
  <c r="E144" i="8"/>
  <c r="D144" i="8"/>
  <c r="O143" i="8"/>
  <c r="L143" i="8"/>
  <c r="I143" i="8"/>
  <c r="F143" i="8"/>
  <c r="O142" i="8"/>
  <c r="L142" i="8"/>
  <c r="I142" i="8"/>
  <c r="I141" i="8" s="1"/>
  <c r="F142" i="8"/>
  <c r="O141" i="8"/>
  <c r="N141" i="8"/>
  <c r="M141" i="8"/>
  <c r="K141" i="8"/>
  <c r="J141" i="8"/>
  <c r="H141" i="8"/>
  <c r="G141" i="8"/>
  <c r="F141" i="8"/>
  <c r="E141" i="8"/>
  <c r="D141" i="8"/>
  <c r="O140" i="8"/>
  <c r="L140" i="8"/>
  <c r="I140" i="8"/>
  <c r="F140" i="8"/>
  <c r="C140" i="8" s="1"/>
  <c r="O139" i="8"/>
  <c r="L139" i="8"/>
  <c r="I139" i="8"/>
  <c r="F139" i="8"/>
  <c r="C139" i="8" s="1"/>
  <c r="O138" i="8"/>
  <c r="L138" i="8"/>
  <c r="I138" i="8"/>
  <c r="F138" i="8"/>
  <c r="O137" i="8"/>
  <c r="O136" i="8" s="1"/>
  <c r="L137" i="8"/>
  <c r="L136" i="8" s="1"/>
  <c r="I137" i="8"/>
  <c r="F137" i="8"/>
  <c r="F136" i="8" s="1"/>
  <c r="N136" i="8"/>
  <c r="M136" i="8"/>
  <c r="K136" i="8"/>
  <c r="J136" i="8"/>
  <c r="H136" i="8"/>
  <c r="G136" i="8"/>
  <c r="E136" i="8"/>
  <c r="D136" i="8"/>
  <c r="O135" i="8"/>
  <c r="L135" i="8"/>
  <c r="I135" i="8"/>
  <c r="F135" i="8"/>
  <c r="O134" i="8"/>
  <c r="L134" i="8"/>
  <c r="I134" i="8"/>
  <c r="F134" i="8"/>
  <c r="O133" i="8"/>
  <c r="L133" i="8"/>
  <c r="I133" i="8"/>
  <c r="F133" i="8"/>
  <c r="O132" i="8"/>
  <c r="O131" i="8" s="1"/>
  <c r="L132" i="8"/>
  <c r="I132" i="8"/>
  <c r="F132" i="8"/>
  <c r="N131" i="8"/>
  <c r="N130" i="8" s="1"/>
  <c r="M131" i="8"/>
  <c r="M130" i="8" s="1"/>
  <c r="K131" i="8"/>
  <c r="J131" i="8"/>
  <c r="I131" i="8"/>
  <c r="H131" i="8"/>
  <c r="G131" i="8"/>
  <c r="E131" i="8"/>
  <c r="D131" i="8"/>
  <c r="D130" i="8" s="1"/>
  <c r="J130" i="8"/>
  <c r="O129" i="8"/>
  <c r="O128" i="8" s="1"/>
  <c r="L129" i="8"/>
  <c r="L128" i="8" s="1"/>
  <c r="I129" i="8"/>
  <c r="I128" i="8" s="1"/>
  <c r="F129" i="8"/>
  <c r="F128" i="8" s="1"/>
  <c r="N128" i="8"/>
  <c r="M128" i="8"/>
  <c r="K128" i="8"/>
  <c r="J128" i="8"/>
  <c r="H128" i="8"/>
  <c r="G128" i="8"/>
  <c r="E128" i="8"/>
  <c r="D128" i="8"/>
  <c r="O127" i="8"/>
  <c r="L127" i="8"/>
  <c r="I127" i="8"/>
  <c r="F127" i="8"/>
  <c r="O126" i="8"/>
  <c r="L126" i="8"/>
  <c r="I126" i="8"/>
  <c r="F126" i="8"/>
  <c r="O125" i="8"/>
  <c r="L125" i="8"/>
  <c r="I125" i="8"/>
  <c r="F125" i="8"/>
  <c r="O124" i="8"/>
  <c r="L124" i="8"/>
  <c r="I124" i="8"/>
  <c r="F124" i="8"/>
  <c r="O123" i="8"/>
  <c r="L123" i="8"/>
  <c r="I123" i="8"/>
  <c r="F123" i="8"/>
  <c r="N122" i="8"/>
  <c r="M122" i="8"/>
  <c r="K122" i="8"/>
  <c r="J122" i="8"/>
  <c r="H122" i="8"/>
  <c r="G122" i="8"/>
  <c r="E122" i="8"/>
  <c r="D122" i="8"/>
  <c r="O121" i="8"/>
  <c r="L121" i="8"/>
  <c r="I121" i="8"/>
  <c r="C121" i="8" s="1"/>
  <c r="F121" i="8"/>
  <c r="O120" i="8"/>
  <c r="L120" i="8"/>
  <c r="I120" i="8"/>
  <c r="F120" i="8"/>
  <c r="O119" i="8"/>
  <c r="L119" i="8"/>
  <c r="I119" i="8"/>
  <c r="F119" i="8"/>
  <c r="O118" i="8"/>
  <c r="L118" i="8"/>
  <c r="I118" i="8"/>
  <c r="F118" i="8"/>
  <c r="O117" i="8"/>
  <c r="L117" i="8"/>
  <c r="L116" i="8" s="1"/>
  <c r="I117" i="8"/>
  <c r="F117" i="8"/>
  <c r="F116" i="8" s="1"/>
  <c r="N116" i="8"/>
  <c r="M116" i="8"/>
  <c r="K116" i="8"/>
  <c r="J116" i="8"/>
  <c r="H116" i="8"/>
  <c r="G116" i="8"/>
  <c r="E116" i="8"/>
  <c r="D116" i="8"/>
  <c r="O115" i="8"/>
  <c r="L115" i="8"/>
  <c r="I115" i="8"/>
  <c r="F115" i="8"/>
  <c r="C115" i="8" s="1"/>
  <c r="O114" i="8"/>
  <c r="L114" i="8"/>
  <c r="I114" i="8"/>
  <c r="F114" i="8"/>
  <c r="O113" i="8"/>
  <c r="O112" i="8" s="1"/>
  <c r="L113" i="8"/>
  <c r="I113" i="8"/>
  <c r="F113" i="8"/>
  <c r="F112" i="8" s="1"/>
  <c r="N112" i="8"/>
  <c r="M112" i="8"/>
  <c r="K112" i="8"/>
  <c r="J112" i="8"/>
  <c r="H112" i="8"/>
  <c r="G112" i="8"/>
  <c r="E112" i="8"/>
  <c r="D112" i="8"/>
  <c r="O111" i="8"/>
  <c r="L111" i="8"/>
  <c r="I111" i="8"/>
  <c r="F111" i="8"/>
  <c r="O110" i="8"/>
  <c r="L110" i="8"/>
  <c r="I110" i="8"/>
  <c r="F110" i="8"/>
  <c r="O109" i="8"/>
  <c r="L109" i="8"/>
  <c r="I109" i="8"/>
  <c r="F109" i="8"/>
  <c r="O108" i="8"/>
  <c r="L108" i="8"/>
  <c r="I108" i="8"/>
  <c r="F108" i="8"/>
  <c r="O107" i="8"/>
  <c r="L107" i="8"/>
  <c r="I107" i="8"/>
  <c r="F107" i="8"/>
  <c r="O106" i="8"/>
  <c r="L106" i="8"/>
  <c r="I106" i="8"/>
  <c r="F106" i="8"/>
  <c r="O105" i="8"/>
  <c r="L105" i="8"/>
  <c r="I105" i="8"/>
  <c r="F105" i="8"/>
  <c r="C105" i="8" s="1"/>
  <c r="O104" i="8"/>
  <c r="O103" i="8" s="1"/>
  <c r="L104" i="8"/>
  <c r="I104" i="8"/>
  <c r="F104" i="8"/>
  <c r="N103" i="8"/>
  <c r="M103" i="8"/>
  <c r="K103" i="8"/>
  <c r="J103" i="8"/>
  <c r="I103" i="8"/>
  <c r="H103" i="8"/>
  <c r="G103" i="8"/>
  <c r="E103" i="8"/>
  <c r="D103" i="8"/>
  <c r="O102" i="8"/>
  <c r="L102" i="8"/>
  <c r="I102" i="8"/>
  <c r="F102" i="8"/>
  <c r="O101" i="8"/>
  <c r="L101" i="8"/>
  <c r="I101" i="8"/>
  <c r="F101" i="8"/>
  <c r="C101" i="8" s="1"/>
  <c r="O100" i="8"/>
  <c r="L100" i="8"/>
  <c r="I100" i="8"/>
  <c r="F100" i="8"/>
  <c r="O99" i="8"/>
  <c r="L99" i="8"/>
  <c r="I99" i="8"/>
  <c r="F99" i="8"/>
  <c r="O98" i="8"/>
  <c r="L98" i="8"/>
  <c r="I98" i="8"/>
  <c r="F98" i="8"/>
  <c r="O97" i="8"/>
  <c r="L97" i="8"/>
  <c r="I97" i="8"/>
  <c r="F97" i="8"/>
  <c r="O96" i="8"/>
  <c r="L96" i="8"/>
  <c r="I96" i="8"/>
  <c r="F96" i="8"/>
  <c r="N95" i="8"/>
  <c r="M95" i="8"/>
  <c r="K95" i="8"/>
  <c r="J95" i="8"/>
  <c r="H95" i="8"/>
  <c r="G95" i="8"/>
  <c r="E95" i="8"/>
  <c r="D95" i="8"/>
  <c r="O94" i="8"/>
  <c r="L94" i="8"/>
  <c r="I94" i="8"/>
  <c r="F94" i="8"/>
  <c r="O93" i="8"/>
  <c r="L93" i="8"/>
  <c r="I93" i="8"/>
  <c r="F93" i="8"/>
  <c r="O92" i="8"/>
  <c r="L92" i="8"/>
  <c r="I92" i="8"/>
  <c r="F92" i="8"/>
  <c r="O91" i="8"/>
  <c r="L91" i="8"/>
  <c r="I91" i="8"/>
  <c r="F91" i="8"/>
  <c r="O90" i="8"/>
  <c r="L90" i="8"/>
  <c r="I90" i="8"/>
  <c r="I89" i="8" s="1"/>
  <c r="F90" i="8"/>
  <c r="N89" i="8"/>
  <c r="M89" i="8"/>
  <c r="K89" i="8"/>
  <c r="J89" i="8"/>
  <c r="H89" i="8"/>
  <c r="G89" i="8"/>
  <c r="E89" i="8"/>
  <c r="D89" i="8"/>
  <c r="O88" i="8"/>
  <c r="L88" i="8"/>
  <c r="I88" i="8"/>
  <c r="F88" i="8"/>
  <c r="O87" i="8"/>
  <c r="L87" i="8"/>
  <c r="I87" i="8"/>
  <c r="F87" i="8"/>
  <c r="O86" i="8"/>
  <c r="L86" i="8"/>
  <c r="I86" i="8"/>
  <c r="F86" i="8"/>
  <c r="O85" i="8"/>
  <c r="O84" i="8" s="1"/>
  <c r="L85" i="8"/>
  <c r="I85" i="8"/>
  <c r="F85" i="8"/>
  <c r="F84" i="8" s="1"/>
  <c r="N84" i="8"/>
  <c r="M84" i="8"/>
  <c r="K84" i="8"/>
  <c r="J84" i="8"/>
  <c r="J83" i="8" s="1"/>
  <c r="H84" i="8"/>
  <c r="G84" i="8"/>
  <c r="E84" i="8"/>
  <c r="E83" i="8" s="1"/>
  <c r="D84" i="8"/>
  <c r="M83" i="8"/>
  <c r="H83" i="8"/>
  <c r="G83" i="8"/>
  <c r="D83" i="8"/>
  <c r="O82" i="8"/>
  <c r="L82" i="8"/>
  <c r="I82" i="8"/>
  <c r="F82" i="8"/>
  <c r="O81" i="8"/>
  <c r="L81" i="8"/>
  <c r="L80" i="8" s="1"/>
  <c r="I81" i="8"/>
  <c r="I80" i="8" s="1"/>
  <c r="F81" i="8"/>
  <c r="O80" i="8"/>
  <c r="N80" i="8"/>
  <c r="M80" i="8"/>
  <c r="K80" i="8"/>
  <c r="J80" i="8"/>
  <c r="H80" i="8"/>
  <c r="G80" i="8"/>
  <c r="F80" i="8"/>
  <c r="E80" i="8"/>
  <c r="D80" i="8"/>
  <c r="O79" i="8"/>
  <c r="L79" i="8"/>
  <c r="I79" i="8"/>
  <c r="F79" i="8"/>
  <c r="O78" i="8"/>
  <c r="L78" i="8"/>
  <c r="L77" i="8" s="1"/>
  <c r="L76" i="8" s="1"/>
  <c r="I78" i="8"/>
  <c r="I77" i="8" s="1"/>
  <c r="I76" i="8" s="1"/>
  <c r="F78" i="8"/>
  <c r="N77" i="8"/>
  <c r="N76" i="8" s="1"/>
  <c r="M77" i="8"/>
  <c r="M76" i="8" s="1"/>
  <c r="M75" i="8" s="1"/>
  <c r="K77" i="8"/>
  <c r="J77" i="8"/>
  <c r="J76" i="8" s="1"/>
  <c r="H77" i="8"/>
  <c r="H76" i="8" s="1"/>
  <c r="G77" i="8"/>
  <c r="E77" i="8"/>
  <c r="E76" i="8" s="1"/>
  <c r="D77" i="8"/>
  <c r="D76" i="8" s="1"/>
  <c r="D75" i="8" s="1"/>
  <c r="K76" i="8"/>
  <c r="G76" i="8"/>
  <c r="O74" i="8"/>
  <c r="L74" i="8"/>
  <c r="I74" i="8"/>
  <c r="F74" i="8"/>
  <c r="O73" i="8"/>
  <c r="L73" i="8"/>
  <c r="I73" i="8"/>
  <c r="F73" i="8"/>
  <c r="O72" i="8"/>
  <c r="L72" i="8"/>
  <c r="I72" i="8"/>
  <c r="F72" i="8"/>
  <c r="O71" i="8"/>
  <c r="L71" i="8"/>
  <c r="I71" i="8"/>
  <c r="F71" i="8"/>
  <c r="O70" i="8"/>
  <c r="L70" i="8"/>
  <c r="I70" i="8"/>
  <c r="I69" i="8" s="1"/>
  <c r="F70" i="8"/>
  <c r="N69" i="8"/>
  <c r="N67" i="8" s="1"/>
  <c r="M69" i="8"/>
  <c r="M67" i="8" s="1"/>
  <c r="K69" i="8"/>
  <c r="K67" i="8" s="1"/>
  <c r="J69" i="8"/>
  <c r="J67" i="8" s="1"/>
  <c r="H69" i="8"/>
  <c r="G69" i="8"/>
  <c r="E69" i="8"/>
  <c r="E67" i="8" s="1"/>
  <c r="D69" i="8"/>
  <c r="O68" i="8"/>
  <c r="L68" i="8"/>
  <c r="I68" i="8"/>
  <c r="F68" i="8"/>
  <c r="H67" i="8"/>
  <c r="G67" i="8"/>
  <c r="D67" i="8"/>
  <c r="O66" i="8"/>
  <c r="L66" i="8"/>
  <c r="I66" i="8"/>
  <c r="F66" i="8"/>
  <c r="O65" i="8"/>
  <c r="L65" i="8"/>
  <c r="I65" i="8"/>
  <c r="F65" i="8"/>
  <c r="O64" i="8"/>
  <c r="L64" i="8"/>
  <c r="I64" i="8"/>
  <c r="F64" i="8"/>
  <c r="O63" i="8"/>
  <c r="L63" i="8"/>
  <c r="I63" i="8"/>
  <c r="F63" i="8"/>
  <c r="O62" i="8"/>
  <c r="L62" i="8"/>
  <c r="I62" i="8"/>
  <c r="F62" i="8"/>
  <c r="O61" i="8"/>
  <c r="L61" i="8"/>
  <c r="I61" i="8"/>
  <c r="F61" i="8"/>
  <c r="O60" i="8"/>
  <c r="L60" i="8"/>
  <c r="I60" i="8"/>
  <c r="F60" i="8"/>
  <c r="O59" i="8"/>
  <c r="L59" i="8"/>
  <c r="I59" i="8"/>
  <c r="F59" i="8"/>
  <c r="N58" i="8"/>
  <c r="M58" i="8"/>
  <c r="K58" i="8"/>
  <c r="J58" i="8"/>
  <c r="H58" i="8"/>
  <c r="G58" i="8"/>
  <c r="E58" i="8"/>
  <c r="E54" i="8" s="1"/>
  <c r="D58" i="8"/>
  <c r="O57" i="8"/>
  <c r="L57" i="8"/>
  <c r="I57" i="8"/>
  <c r="F57" i="8"/>
  <c r="O56" i="8"/>
  <c r="O55" i="8" s="1"/>
  <c r="L56" i="8"/>
  <c r="I56" i="8"/>
  <c r="C56" i="8" s="1"/>
  <c r="F56" i="8"/>
  <c r="F55" i="8" s="1"/>
  <c r="N55" i="8"/>
  <c r="M55" i="8"/>
  <c r="K55" i="8"/>
  <c r="J55" i="8"/>
  <c r="J54" i="8" s="1"/>
  <c r="H55" i="8"/>
  <c r="G55" i="8"/>
  <c r="G54" i="8" s="1"/>
  <c r="G53" i="8" s="1"/>
  <c r="E55" i="8"/>
  <c r="D55" i="8"/>
  <c r="D54" i="8" s="1"/>
  <c r="D53" i="8" s="1"/>
  <c r="O47" i="8"/>
  <c r="C47" i="8" s="1"/>
  <c r="O46" i="8"/>
  <c r="C46" i="8" s="1"/>
  <c r="N45" i="8"/>
  <c r="M45" i="8"/>
  <c r="L44" i="8"/>
  <c r="I44" i="8"/>
  <c r="I43" i="8" s="1"/>
  <c r="C43" i="8" s="1"/>
  <c r="F44" i="8"/>
  <c r="L43" i="8"/>
  <c r="K43" i="8"/>
  <c r="J43" i="8"/>
  <c r="H43" i="8"/>
  <c r="G43" i="8"/>
  <c r="F43" i="8"/>
  <c r="E43" i="8"/>
  <c r="D43" i="8"/>
  <c r="F42" i="8"/>
  <c r="C42" i="8" s="1"/>
  <c r="E41" i="8"/>
  <c r="D41" i="8"/>
  <c r="L40" i="8"/>
  <c r="C40" i="8" s="1"/>
  <c r="L39" i="8"/>
  <c r="C39" i="8" s="1"/>
  <c r="L38" i="8"/>
  <c r="C38" i="8"/>
  <c r="L37" i="8"/>
  <c r="C37" i="8" s="1"/>
  <c r="K36" i="8"/>
  <c r="J36" i="8"/>
  <c r="L35" i="8"/>
  <c r="C35" i="8" s="1"/>
  <c r="L34" i="8"/>
  <c r="C34" i="8" s="1"/>
  <c r="K33" i="8"/>
  <c r="J33" i="8"/>
  <c r="L32" i="8"/>
  <c r="L31" i="8" s="1"/>
  <c r="C31" i="8" s="1"/>
  <c r="K31" i="8"/>
  <c r="J31" i="8"/>
  <c r="L30" i="8"/>
  <c r="C30" i="8" s="1"/>
  <c r="L29" i="8"/>
  <c r="C29" i="8" s="1"/>
  <c r="L28" i="8"/>
  <c r="C28" i="8" s="1"/>
  <c r="K27" i="8"/>
  <c r="J27" i="8"/>
  <c r="J26" i="8" s="1"/>
  <c r="F25" i="8"/>
  <c r="C25" i="8" s="1"/>
  <c r="O23" i="8"/>
  <c r="L23" i="8"/>
  <c r="I23" i="8"/>
  <c r="F23" i="8"/>
  <c r="O22" i="8"/>
  <c r="L22" i="8"/>
  <c r="I22" i="8"/>
  <c r="I21" i="8" s="1"/>
  <c r="F22" i="8"/>
  <c r="N21" i="8"/>
  <c r="N292" i="8" s="1"/>
  <c r="N291" i="8" s="1"/>
  <c r="M21" i="8"/>
  <c r="K21" i="8"/>
  <c r="K292" i="8" s="1"/>
  <c r="K291" i="8" s="1"/>
  <c r="J21" i="8"/>
  <c r="J292" i="8" s="1"/>
  <c r="J291" i="8" s="1"/>
  <c r="H21" i="8"/>
  <c r="H292" i="8" s="1"/>
  <c r="H291" i="8" s="1"/>
  <c r="G21" i="8"/>
  <c r="G292" i="8" s="1"/>
  <c r="G291" i="8" s="1"/>
  <c r="E21" i="8"/>
  <c r="D21" i="8"/>
  <c r="D292" i="8" s="1"/>
  <c r="D291" i="8" s="1"/>
  <c r="K26" i="8" l="1"/>
  <c r="N54" i="8"/>
  <c r="N53" i="8" s="1"/>
  <c r="C72" i="8"/>
  <c r="C78" i="8"/>
  <c r="C79" i="8"/>
  <c r="C93" i="8"/>
  <c r="C94" i="8"/>
  <c r="C109" i="8"/>
  <c r="C181" i="8"/>
  <c r="C211" i="8"/>
  <c r="C222" i="8"/>
  <c r="C234" i="8"/>
  <c r="E231" i="8"/>
  <c r="J231" i="8"/>
  <c r="C278" i="8"/>
  <c r="L21" i="8"/>
  <c r="L292" i="8" s="1"/>
  <c r="C32" i="8"/>
  <c r="C60" i="8"/>
  <c r="C68" i="8"/>
  <c r="C118" i="8"/>
  <c r="C149" i="8"/>
  <c r="C162" i="8"/>
  <c r="C177" i="8"/>
  <c r="N174" i="8"/>
  <c r="N173" i="8" s="1"/>
  <c r="C226" i="8"/>
  <c r="M231" i="8"/>
  <c r="C294" i="8"/>
  <c r="C133" i="8"/>
  <c r="C145" i="8"/>
  <c r="C153" i="8"/>
  <c r="J187" i="8"/>
  <c r="C202" i="8"/>
  <c r="C244" i="8"/>
  <c r="C256" i="8"/>
  <c r="C257" i="8"/>
  <c r="C266" i="8"/>
  <c r="J269" i="8"/>
  <c r="C23" i="8"/>
  <c r="C97" i="8"/>
  <c r="C125" i="8"/>
  <c r="G187" i="8"/>
  <c r="C214" i="8"/>
  <c r="C215" i="8"/>
  <c r="N231" i="8"/>
  <c r="N230" i="8" s="1"/>
  <c r="K259" i="8"/>
  <c r="D270" i="8"/>
  <c r="N20" i="8"/>
  <c r="H54" i="8"/>
  <c r="H53" i="8" s="1"/>
  <c r="L55" i="8"/>
  <c r="M54" i="8"/>
  <c r="M53" i="8" s="1"/>
  <c r="M52" i="8" s="1"/>
  <c r="C61" i="8"/>
  <c r="I58" i="8"/>
  <c r="J53" i="8"/>
  <c r="C70" i="8"/>
  <c r="C71" i="8"/>
  <c r="F77" i="8"/>
  <c r="F76" i="8" s="1"/>
  <c r="C86" i="8"/>
  <c r="C100" i="8"/>
  <c r="C113" i="8"/>
  <c r="I116" i="8"/>
  <c r="C123" i="8"/>
  <c r="C124" i="8"/>
  <c r="O122" i="8"/>
  <c r="C137" i="8"/>
  <c r="G130" i="8"/>
  <c r="G75" i="8" s="1"/>
  <c r="G52" i="8" s="1"/>
  <c r="F144" i="8"/>
  <c r="C148" i="8"/>
  <c r="C168" i="8"/>
  <c r="O166" i="8"/>
  <c r="O165" i="8" s="1"/>
  <c r="C186" i="8"/>
  <c r="C189" i="8"/>
  <c r="O187" i="8"/>
  <c r="C201" i="8"/>
  <c r="O216" i="8"/>
  <c r="H230" i="8"/>
  <c r="K231" i="8"/>
  <c r="K230" i="8" s="1"/>
  <c r="K194" i="8" s="1"/>
  <c r="C243" i="8"/>
  <c r="C245" i="8"/>
  <c r="I293" i="8"/>
  <c r="C299" i="8"/>
  <c r="C300" i="8"/>
  <c r="I67" i="8"/>
  <c r="C74" i="8"/>
  <c r="C82" i="8"/>
  <c r="I95" i="8"/>
  <c r="I144" i="8"/>
  <c r="H187" i="8"/>
  <c r="L187" i="8"/>
  <c r="G195" i="8"/>
  <c r="J204" i="8"/>
  <c r="J195" i="8" s="1"/>
  <c r="N204" i="8"/>
  <c r="N195" i="8" s="1"/>
  <c r="L276" i="8"/>
  <c r="L293" i="8"/>
  <c r="L291" i="8" s="1"/>
  <c r="K54" i="8"/>
  <c r="K53" i="8" s="1"/>
  <c r="C64" i="8"/>
  <c r="O77" i="8"/>
  <c r="O76" i="8" s="1"/>
  <c r="C88" i="8"/>
  <c r="C91" i="8"/>
  <c r="O89" i="8"/>
  <c r="C110" i="8"/>
  <c r="I112" i="8"/>
  <c r="C117" i="8"/>
  <c r="I136" i="8"/>
  <c r="C146" i="8"/>
  <c r="C158" i="8"/>
  <c r="C161" i="8"/>
  <c r="C184" i="8"/>
  <c r="D187" i="8"/>
  <c r="H194" i="8"/>
  <c r="C221" i="8"/>
  <c r="C235" i="8"/>
  <c r="I246" i="8"/>
  <c r="I252" i="8"/>
  <c r="I251" i="8" s="1"/>
  <c r="I260" i="8"/>
  <c r="L260" i="8"/>
  <c r="C267" i="8"/>
  <c r="I264" i="8"/>
  <c r="C287" i="8"/>
  <c r="I286" i="8"/>
  <c r="C286" i="8" s="1"/>
  <c r="J20" i="8"/>
  <c r="C62" i="8"/>
  <c r="C63" i="8"/>
  <c r="C66" i="8"/>
  <c r="J75" i="8"/>
  <c r="I84" i="8"/>
  <c r="K83" i="8"/>
  <c r="K75" i="8" s="1"/>
  <c r="K289" i="8" s="1"/>
  <c r="C102" i="8"/>
  <c r="C108" i="8"/>
  <c r="C114" i="8"/>
  <c r="C120" i="8"/>
  <c r="N83" i="8"/>
  <c r="N75" i="8" s="1"/>
  <c r="C126" i="8"/>
  <c r="C138" i="8"/>
  <c r="K130" i="8"/>
  <c r="C150" i="8"/>
  <c r="C155" i="8"/>
  <c r="C156" i="8"/>
  <c r="C163" i="8"/>
  <c r="C164" i="8"/>
  <c r="C170" i="8"/>
  <c r="D174" i="8"/>
  <c r="D173" i="8" s="1"/>
  <c r="D52" i="8" s="1"/>
  <c r="C190" i="8"/>
  <c r="E195" i="8"/>
  <c r="O196" i="8"/>
  <c r="C213" i="8"/>
  <c r="C225" i="8"/>
  <c r="C229" i="8"/>
  <c r="C236" i="8"/>
  <c r="C237" i="8"/>
  <c r="C239" i="8"/>
  <c r="O238" i="8"/>
  <c r="E259" i="8"/>
  <c r="E230" i="8" s="1"/>
  <c r="L264" i="8"/>
  <c r="C275" i="8"/>
  <c r="C280" i="8"/>
  <c r="D269" i="8"/>
  <c r="M20" i="8"/>
  <c r="M292" i="8"/>
  <c r="M291" i="8" s="1"/>
  <c r="F69" i="8"/>
  <c r="F67" i="8" s="1"/>
  <c r="K20" i="8"/>
  <c r="I292" i="8"/>
  <c r="I291" i="8" s="1"/>
  <c r="E292" i="8"/>
  <c r="E291" i="8" s="1"/>
  <c r="O21" i="8"/>
  <c r="C44" i="8"/>
  <c r="O58" i="8"/>
  <c r="O54" i="8" s="1"/>
  <c r="L58" i="8"/>
  <c r="L54" i="8" s="1"/>
  <c r="C65" i="8"/>
  <c r="L69" i="8"/>
  <c r="L67" i="8" s="1"/>
  <c r="C73" i="8"/>
  <c r="C80" i="8"/>
  <c r="C76" i="8"/>
  <c r="C22" i="8"/>
  <c r="F21" i="8"/>
  <c r="E53" i="8"/>
  <c r="C57" i="8"/>
  <c r="C59" i="8"/>
  <c r="F58" i="8"/>
  <c r="O69" i="8"/>
  <c r="O67" i="8" s="1"/>
  <c r="C92" i="8"/>
  <c r="F89" i="8"/>
  <c r="C160" i="8"/>
  <c r="F165" i="8"/>
  <c r="C197" i="8"/>
  <c r="F196" i="8"/>
  <c r="L27" i="8"/>
  <c r="L33" i="8"/>
  <c r="C33" i="8" s="1"/>
  <c r="L36" i="8"/>
  <c r="C36" i="8" s="1"/>
  <c r="F41" i="8"/>
  <c r="C41" i="8" s="1"/>
  <c r="O45" i="8"/>
  <c r="I55" i="8"/>
  <c r="I54" i="8" s="1"/>
  <c r="I53" i="8" s="1"/>
  <c r="C77" i="8"/>
  <c r="C81" i="8"/>
  <c r="L84" i="8"/>
  <c r="O95" i="8"/>
  <c r="L95" i="8"/>
  <c r="C98" i="8"/>
  <c r="C104" i="8"/>
  <c r="F103" i="8"/>
  <c r="L112" i="8"/>
  <c r="C128" i="8"/>
  <c r="E130" i="8"/>
  <c r="E75" i="8" s="1"/>
  <c r="C132" i="8"/>
  <c r="F131" i="8"/>
  <c r="C142" i="8"/>
  <c r="L141" i="8"/>
  <c r="C141" i="8" s="1"/>
  <c r="L144" i="8"/>
  <c r="C144" i="8" s="1"/>
  <c r="C147" i="8"/>
  <c r="C159" i="8"/>
  <c r="L166" i="8"/>
  <c r="L165" i="8" s="1"/>
  <c r="I174" i="8"/>
  <c r="I173" i="8" s="1"/>
  <c r="O175" i="8"/>
  <c r="L175" i="8"/>
  <c r="C178" i="8"/>
  <c r="C183" i="8"/>
  <c r="J230" i="8"/>
  <c r="J289" i="8" s="1"/>
  <c r="L131" i="8"/>
  <c r="C134" i="8"/>
  <c r="C136" i="8"/>
  <c r="C180" i="8"/>
  <c r="F179" i="8"/>
  <c r="C253" i="8"/>
  <c r="F252" i="8"/>
  <c r="C301" i="8"/>
  <c r="C87" i="8"/>
  <c r="C90" i="8"/>
  <c r="L89" i="8"/>
  <c r="C96" i="8"/>
  <c r="F95" i="8"/>
  <c r="C107" i="8"/>
  <c r="O116" i="8"/>
  <c r="C116" i="8" s="1"/>
  <c r="F122" i="8"/>
  <c r="I122" i="8"/>
  <c r="I83" i="8" s="1"/>
  <c r="C127" i="8"/>
  <c r="C135" i="8"/>
  <c r="O151" i="8"/>
  <c r="O130" i="8" s="1"/>
  <c r="L151" i="8"/>
  <c r="C154" i="8"/>
  <c r="E174" i="8"/>
  <c r="E173" i="8" s="1"/>
  <c r="C176" i="8"/>
  <c r="F175" i="8"/>
  <c r="C207" i="8"/>
  <c r="L205" i="8"/>
  <c r="L216" i="8"/>
  <c r="C219" i="8"/>
  <c r="C85" i="8"/>
  <c r="L103" i="8"/>
  <c r="C106" i="8"/>
  <c r="C129" i="8"/>
  <c r="C99" i="8"/>
  <c r="C111" i="8"/>
  <c r="C119" i="8"/>
  <c r="L122" i="8"/>
  <c r="H130" i="8"/>
  <c r="H75" i="8" s="1"/>
  <c r="H52" i="8" s="1"/>
  <c r="H51" i="8" s="1"/>
  <c r="C143" i="8"/>
  <c r="C152" i="8"/>
  <c r="F151" i="8"/>
  <c r="C167" i="8"/>
  <c r="O179" i="8"/>
  <c r="L179" i="8"/>
  <c r="C182" i="8"/>
  <c r="C188" i="8"/>
  <c r="C193" i="8"/>
  <c r="F192" i="8"/>
  <c r="C241" i="8"/>
  <c r="F238" i="8"/>
  <c r="C261" i="8"/>
  <c r="F260" i="8"/>
  <c r="C277" i="8"/>
  <c r="F276" i="8"/>
  <c r="D195" i="8"/>
  <c r="O204" i="8"/>
  <c r="C217" i="8"/>
  <c r="F216" i="8"/>
  <c r="I231" i="8"/>
  <c r="G231" i="8"/>
  <c r="G230" i="8" s="1"/>
  <c r="G194" i="8" s="1"/>
  <c r="C240" i="8"/>
  <c r="I238" i="8"/>
  <c r="C247" i="8"/>
  <c r="L246" i="8"/>
  <c r="L231" i="8" s="1"/>
  <c r="I270" i="8"/>
  <c r="I269" i="8" s="1"/>
  <c r="E270" i="8"/>
  <c r="E269" i="8" s="1"/>
  <c r="C281" i="8"/>
  <c r="C285" i="8"/>
  <c r="F284" i="8"/>
  <c r="N194" i="8"/>
  <c r="M195" i="8"/>
  <c r="L196" i="8"/>
  <c r="C208" i="8"/>
  <c r="C209" i="8"/>
  <c r="F205" i="8"/>
  <c r="C220" i="8"/>
  <c r="C227" i="8"/>
  <c r="O231" i="8"/>
  <c r="M259" i="8"/>
  <c r="M230" i="8" s="1"/>
  <c r="M289" i="8" s="1"/>
  <c r="C265" i="8"/>
  <c r="F264" i="8"/>
  <c r="C264" i="8" s="1"/>
  <c r="C271" i="8"/>
  <c r="L270" i="8"/>
  <c r="L269" i="8" s="1"/>
  <c r="C273" i="8"/>
  <c r="F272" i="8"/>
  <c r="C279" i="8"/>
  <c r="C200" i="8"/>
  <c r="I198" i="8"/>
  <c r="C203" i="8"/>
  <c r="I205" i="8"/>
  <c r="I204" i="8" s="1"/>
  <c r="C212" i="8"/>
  <c r="C223" i="8"/>
  <c r="C224" i="8"/>
  <c r="C228" i="8"/>
  <c r="C233" i="8"/>
  <c r="C248" i="8"/>
  <c r="C249" i="8"/>
  <c r="F246" i="8"/>
  <c r="O252" i="8"/>
  <c r="O251" i="8" s="1"/>
  <c r="L252" i="8"/>
  <c r="L251" i="8" s="1"/>
  <c r="C255" i="8"/>
  <c r="I259" i="8"/>
  <c r="O260" i="8"/>
  <c r="O259" i="8" s="1"/>
  <c r="L259" i="8"/>
  <c r="C268" i="8"/>
  <c r="O276" i="8"/>
  <c r="O270" i="8" s="1"/>
  <c r="O269" i="8" s="1"/>
  <c r="C295" i="8"/>
  <c r="C296" i="8"/>
  <c r="C297" i="8"/>
  <c r="F293" i="8"/>
  <c r="C293" i="8" s="1"/>
  <c r="C199" i="8"/>
  <c r="C122" i="8" l="1"/>
  <c r="K52" i="8"/>
  <c r="K51" i="8" s="1"/>
  <c r="K50" i="8" s="1"/>
  <c r="I130" i="8"/>
  <c r="L204" i="8"/>
  <c r="O53" i="8"/>
  <c r="C112" i="8"/>
  <c r="C166" i="8"/>
  <c r="O195" i="8"/>
  <c r="N52" i="8"/>
  <c r="N289" i="8"/>
  <c r="G51" i="8"/>
  <c r="G50" i="8" s="1"/>
  <c r="G24" i="8" s="1"/>
  <c r="J194" i="8"/>
  <c r="E289" i="8"/>
  <c r="O83" i="8"/>
  <c r="C58" i="8"/>
  <c r="L53" i="8"/>
  <c r="I75" i="8"/>
  <c r="J52" i="8"/>
  <c r="J51" i="8" s="1"/>
  <c r="J50" i="8" s="1"/>
  <c r="N51" i="8"/>
  <c r="N50" i="8" s="1"/>
  <c r="I230" i="8"/>
  <c r="C246" i="8"/>
  <c r="E194" i="8"/>
  <c r="C216" i="8"/>
  <c r="D194" i="8"/>
  <c r="D51" i="8" s="1"/>
  <c r="C95" i="8"/>
  <c r="C179" i="8"/>
  <c r="L130" i="8"/>
  <c r="K290" i="8"/>
  <c r="H50" i="8"/>
  <c r="H24" i="8" s="1"/>
  <c r="H20" i="8" s="1"/>
  <c r="D50" i="8"/>
  <c r="D24" i="8" s="1"/>
  <c r="O75" i="8"/>
  <c r="I196" i="8"/>
  <c r="I195" i="8" s="1"/>
  <c r="I194" i="8" s="1"/>
  <c r="C198" i="8"/>
  <c r="C205" i="8"/>
  <c r="F204" i="8"/>
  <c r="C204" i="8" s="1"/>
  <c r="E52" i="8"/>
  <c r="E51" i="8" s="1"/>
  <c r="L230" i="8"/>
  <c r="F270" i="8"/>
  <c r="C272" i="8"/>
  <c r="O230" i="8"/>
  <c r="G289" i="8"/>
  <c r="C260" i="8"/>
  <c r="F259" i="8"/>
  <c r="C259" i="8" s="1"/>
  <c r="C192" i="8"/>
  <c r="F191" i="8"/>
  <c r="C151" i="8"/>
  <c r="H289" i="8"/>
  <c r="C165" i="8"/>
  <c r="F292" i="8"/>
  <c r="C21" i="8"/>
  <c r="F54" i="8"/>
  <c r="C131" i="8"/>
  <c r="F130" i="8"/>
  <c r="C45" i="8"/>
  <c r="C27" i="8"/>
  <c r="L26" i="8"/>
  <c r="C284" i="8"/>
  <c r="F283" i="8"/>
  <c r="C283" i="8" s="1"/>
  <c r="C175" i="8"/>
  <c r="F174" i="8"/>
  <c r="C252" i="8"/>
  <c r="F251" i="8"/>
  <c r="C251" i="8" s="1"/>
  <c r="L174" i="8"/>
  <c r="L173" i="8" s="1"/>
  <c r="C103" i="8"/>
  <c r="C55" i="8"/>
  <c r="O292" i="8"/>
  <c r="O291" i="8" s="1"/>
  <c r="O20" i="8"/>
  <c r="M194" i="8"/>
  <c r="M51" i="8" s="1"/>
  <c r="L83" i="8"/>
  <c r="C89" i="8"/>
  <c r="L195" i="8"/>
  <c r="L194" i="8" s="1"/>
  <c r="C276" i="8"/>
  <c r="C238" i="8"/>
  <c r="F231" i="8"/>
  <c r="J290" i="8"/>
  <c r="F83" i="8"/>
  <c r="O174" i="8"/>
  <c r="O173" i="8" s="1"/>
  <c r="C84" i="8"/>
  <c r="I52" i="8"/>
  <c r="D289" i="8"/>
  <c r="C67" i="8"/>
  <c r="C69" i="8"/>
  <c r="D290" i="8" l="1"/>
  <c r="O52" i="8"/>
  <c r="O289" i="8"/>
  <c r="N290" i="8"/>
  <c r="L75" i="8"/>
  <c r="L52" i="8" s="1"/>
  <c r="L51" i="8" s="1"/>
  <c r="L50" i="8" s="1"/>
  <c r="F195" i="8"/>
  <c r="C130" i="8"/>
  <c r="C83" i="8"/>
  <c r="F75" i="8"/>
  <c r="C75" i="8" s="1"/>
  <c r="M50" i="8"/>
  <c r="M290" i="8"/>
  <c r="C195" i="8"/>
  <c r="F269" i="8"/>
  <c r="C270" i="8"/>
  <c r="I51" i="8"/>
  <c r="C196" i="8"/>
  <c r="O194" i="8"/>
  <c r="O51" i="8" s="1"/>
  <c r="C292" i="8"/>
  <c r="F291" i="8"/>
  <c r="C291" i="8" s="1"/>
  <c r="C191" i="8"/>
  <c r="F187" i="8"/>
  <c r="C187" i="8" s="1"/>
  <c r="D20" i="8"/>
  <c r="H290" i="8"/>
  <c r="I24" i="8"/>
  <c r="I20" i="8" s="1"/>
  <c r="G20" i="8"/>
  <c r="F230" i="8"/>
  <c r="C230" i="8" s="1"/>
  <c r="C231" i="8"/>
  <c r="F173" i="8"/>
  <c r="C173" i="8" s="1"/>
  <c r="C174" i="8"/>
  <c r="C54" i="8"/>
  <c r="F53" i="8"/>
  <c r="E50" i="8"/>
  <c r="E24" i="8" s="1"/>
  <c r="E20" i="8" s="1"/>
  <c r="I289" i="8"/>
  <c r="G290" i="8"/>
  <c r="L290" i="8"/>
  <c r="C26" i="8"/>
  <c r="L20" i="8"/>
  <c r="E290" i="8" l="1"/>
  <c r="L289" i="8"/>
  <c r="O50" i="8"/>
  <c r="O290" i="8"/>
  <c r="F52" i="8"/>
  <c r="C53" i="8"/>
  <c r="I290" i="8"/>
  <c r="I50" i="8"/>
  <c r="F194" i="8"/>
  <c r="C194" i="8" s="1"/>
  <c r="C269" i="8"/>
  <c r="F289" i="8"/>
  <c r="C289" i="8" s="1"/>
  <c r="F24" i="8"/>
  <c r="F51" i="8" l="1"/>
  <c r="C52" i="8"/>
  <c r="C24" i="8"/>
  <c r="F20" i="8"/>
  <c r="C20" i="8" s="1"/>
  <c r="F290" i="8" l="1"/>
  <c r="C290" i="8" s="1"/>
  <c r="C51" i="8"/>
  <c r="F50" i="8"/>
  <c r="C50" i="8" s="1"/>
  <c r="O301" i="7" l="1"/>
  <c r="L301" i="7"/>
  <c r="I301" i="7"/>
  <c r="F301" i="7"/>
  <c r="O300" i="7"/>
  <c r="L300" i="7"/>
  <c r="I300" i="7"/>
  <c r="F300" i="7"/>
  <c r="O299" i="7"/>
  <c r="L299" i="7"/>
  <c r="I299" i="7"/>
  <c r="F299" i="7"/>
  <c r="O298" i="7"/>
  <c r="L298" i="7"/>
  <c r="I298" i="7"/>
  <c r="F298" i="7"/>
  <c r="O297" i="7"/>
  <c r="L297" i="7"/>
  <c r="I297" i="7"/>
  <c r="F297" i="7"/>
  <c r="O296" i="7"/>
  <c r="L296" i="7"/>
  <c r="I296" i="7"/>
  <c r="F296" i="7"/>
  <c r="O295" i="7"/>
  <c r="L295" i="7"/>
  <c r="I295" i="7"/>
  <c r="F295" i="7"/>
  <c r="O294" i="7"/>
  <c r="L294" i="7"/>
  <c r="I294" i="7"/>
  <c r="F294" i="7"/>
  <c r="N293" i="7"/>
  <c r="M293" i="7"/>
  <c r="K293" i="7"/>
  <c r="J293" i="7"/>
  <c r="H293" i="7"/>
  <c r="G293" i="7"/>
  <c r="E293" i="7"/>
  <c r="D293" i="7"/>
  <c r="O288" i="7"/>
  <c r="L288" i="7"/>
  <c r="I288" i="7"/>
  <c r="F288" i="7"/>
  <c r="O287" i="7"/>
  <c r="L287" i="7"/>
  <c r="L286" i="7" s="1"/>
  <c r="I287" i="7"/>
  <c r="F287" i="7"/>
  <c r="O286" i="7"/>
  <c r="N286" i="7"/>
  <c r="M286" i="7"/>
  <c r="K286" i="7"/>
  <c r="J286" i="7"/>
  <c r="H286" i="7"/>
  <c r="G286" i="7"/>
  <c r="F286" i="7"/>
  <c r="E286" i="7"/>
  <c r="D286" i="7"/>
  <c r="O285" i="7"/>
  <c r="L285" i="7"/>
  <c r="L284" i="7" s="1"/>
  <c r="L283" i="7" s="1"/>
  <c r="I285" i="7"/>
  <c r="F285" i="7"/>
  <c r="O284" i="7"/>
  <c r="O283" i="7" s="1"/>
  <c r="N284" i="7"/>
  <c r="N283" i="7" s="1"/>
  <c r="M284" i="7"/>
  <c r="M283" i="7" s="1"/>
  <c r="K284" i="7"/>
  <c r="J284" i="7"/>
  <c r="I284" i="7"/>
  <c r="I283" i="7" s="1"/>
  <c r="H284" i="7"/>
  <c r="H283" i="7" s="1"/>
  <c r="G284" i="7"/>
  <c r="E284" i="7"/>
  <c r="E283" i="7" s="1"/>
  <c r="D284" i="7"/>
  <c r="K283" i="7"/>
  <c r="J283" i="7"/>
  <c r="G283" i="7"/>
  <c r="D283" i="7"/>
  <c r="O282" i="7"/>
  <c r="O281" i="7" s="1"/>
  <c r="L282" i="7"/>
  <c r="L281" i="7" s="1"/>
  <c r="I282" i="7"/>
  <c r="I281" i="7" s="1"/>
  <c r="F282" i="7"/>
  <c r="F281" i="7" s="1"/>
  <c r="N281" i="7"/>
  <c r="M281" i="7"/>
  <c r="K281" i="7"/>
  <c r="J281" i="7"/>
  <c r="H281" i="7"/>
  <c r="G281" i="7"/>
  <c r="E281" i="7"/>
  <c r="D281" i="7"/>
  <c r="O280" i="7"/>
  <c r="L280" i="7"/>
  <c r="I280" i="7"/>
  <c r="F280" i="7"/>
  <c r="O279" i="7"/>
  <c r="L279" i="7"/>
  <c r="I279" i="7"/>
  <c r="F279" i="7"/>
  <c r="O278" i="7"/>
  <c r="L278" i="7"/>
  <c r="I278" i="7"/>
  <c r="F278" i="7"/>
  <c r="O277" i="7"/>
  <c r="L277" i="7"/>
  <c r="I277" i="7"/>
  <c r="F277" i="7"/>
  <c r="N276" i="7"/>
  <c r="M276" i="7"/>
  <c r="K276" i="7"/>
  <c r="J276" i="7"/>
  <c r="H276" i="7"/>
  <c r="G276" i="7"/>
  <c r="E276" i="7"/>
  <c r="D276" i="7"/>
  <c r="O275" i="7"/>
  <c r="L275" i="7"/>
  <c r="I275" i="7"/>
  <c r="F275" i="7"/>
  <c r="O274" i="7"/>
  <c r="L274" i="7"/>
  <c r="I274" i="7"/>
  <c r="F274" i="7"/>
  <c r="O273" i="7"/>
  <c r="L273" i="7"/>
  <c r="L272" i="7" s="1"/>
  <c r="I273" i="7"/>
  <c r="I272" i="7" s="1"/>
  <c r="F273" i="7"/>
  <c r="N272" i="7"/>
  <c r="N270" i="7" s="1"/>
  <c r="N269" i="7" s="1"/>
  <c r="M272" i="7"/>
  <c r="M270" i="7" s="1"/>
  <c r="K272" i="7"/>
  <c r="K270" i="7" s="1"/>
  <c r="J272" i="7"/>
  <c r="H272" i="7"/>
  <c r="H270" i="7" s="1"/>
  <c r="H269" i="7" s="1"/>
  <c r="G272" i="7"/>
  <c r="E272" i="7"/>
  <c r="D272" i="7"/>
  <c r="O271" i="7"/>
  <c r="L271" i="7"/>
  <c r="I271" i="7"/>
  <c r="F271" i="7"/>
  <c r="O268" i="7"/>
  <c r="L268" i="7"/>
  <c r="I268" i="7"/>
  <c r="F268" i="7"/>
  <c r="O267" i="7"/>
  <c r="L267" i="7"/>
  <c r="I267" i="7"/>
  <c r="F267" i="7"/>
  <c r="O266" i="7"/>
  <c r="L266" i="7"/>
  <c r="I266" i="7"/>
  <c r="F266" i="7"/>
  <c r="O265" i="7"/>
  <c r="L265" i="7"/>
  <c r="I265" i="7"/>
  <c r="F265" i="7"/>
  <c r="N264" i="7"/>
  <c r="M264" i="7"/>
  <c r="K264" i="7"/>
  <c r="J264" i="7"/>
  <c r="H264" i="7"/>
  <c r="G264" i="7"/>
  <c r="E264" i="7"/>
  <c r="D264" i="7"/>
  <c r="O263" i="7"/>
  <c r="L263" i="7"/>
  <c r="I263" i="7"/>
  <c r="F263" i="7"/>
  <c r="O262" i="7"/>
  <c r="L262" i="7"/>
  <c r="I262" i="7"/>
  <c r="F262" i="7"/>
  <c r="O261" i="7"/>
  <c r="L261" i="7"/>
  <c r="I261" i="7"/>
  <c r="I260" i="7" s="1"/>
  <c r="F261" i="7"/>
  <c r="N260" i="7"/>
  <c r="N259" i="7" s="1"/>
  <c r="M260" i="7"/>
  <c r="K260" i="7"/>
  <c r="K259" i="7" s="1"/>
  <c r="J260" i="7"/>
  <c r="H260" i="7"/>
  <c r="G260" i="7"/>
  <c r="G259" i="7" s="1"/>
  <c r="E260" i="7"/>
  <c r="D260" i="7"/>
  <c r="O258" i="7"/>
  <c r="L258" i="7"/>
  <c r="I258" i="7"/>
  <c r="F258" i="7"/>
  <c r="O257" i="7"/>
  <c r="L257" i="7"/>
  <c r="I257" i="7"/>
  <c r="F257" i="7"/>
  <c r="O256" i="7"/>
  <c r="L256" i="7"/>
  <c r="I256" i="7"/>
  <c r="F256" i="7"/>
  <c r="O255" i="7"/>
  <c r="L255" i="7"/>
  <c r="I255" i="7"/>
  <c r="F255" i="7"/>
  <c r="O254" i="7"/>
  <c r="L254" i="7"/>
  <c r="I254" i="7"/>
  <c r="F254" i="7"/>
  <c r="O253" i="7"/>
  <c r="L253" i="7"/>
  <c r="I253" i="7"/>
  <c r="F253" i="7"/>
  <c r="N252" i="7"/>
  <c r="M252" i="7"/>
  <c r="M251" i="7" s="1"/>
  <c r="K252" i="7"/>
  <c r="K251" i="7" s="1"/>
  <c r="J252" i="7"/>
  <c r="J251" i="7" s="1"/>
  <c r="H252" i="7"/>
  <c r="H251" i="7" s="1"/>
  <c r="G252" i="7"/>
  <c r="G251" i="7" s="1"/>
  <c r="E252" i="7"/>
  <c r="E251" i="7" s="1"/>
  <c r="D252" i="7"/>
  <c r="D251" i="7" s="1"/>
  <c r="N251" i="7"/>
  <c r="O250" i="7"/>
  <c r="L250" i="7"/>
  <c r="I250" i="7"/>
  <c r="F250" i="7"/>
  <c r="O249" i="7"/>
  <c r="L249" i="7"/>
  <c r="I249" i="7"/>
  <c r="F249" i="7"/>
  <c r="O248" i="7"/>
  <c r="L248" i="7"/>
  <c r="I248" i="7"/>
  <c r="F248" i="7"/>
  <c r="O247" i="7"/>
  <c r="O246" i="7" s="1"/>
  <c r="L247" i="7"/>
  <c r="I247" i="7"/>
  <c r="F247" i="7"/>
  <c r="N246" i="7"/>
  <c r="M246" i="7"/>
  <c r="K246" i="7"/>
  <c r="J246" i="7"/>
  <c r="H246" i="7"/>
  <c r="G246" i="7"/>
  <c r="E246" i="7"/>
  <c r="D246" i="7"/>
  <c r="O245" i="7"/>
  <c r="L245" i="7"/>
  <c r="I245" i="7"/>
  <c r="F245" i="7"/>
  <c r="O244" i="7"/>
  <c r="L244" i="7"/>
  <c r="I244" i="7"/>
  <c r="F244" i="7"/>
  <c r="O243" i="7"/>
  <c r="L243" i="7"/>
  <c r="I243" i="7"/>
  <c r="F243" i="7"/>
  <c r="O242" i="7"/>
  <c r="L242" i="7"/>
  <c r="I242" i="7"/>
  <c r="F242" i="7"/>
  <c r="O241" i="7"/>
  <c r="L241" i="7"/>
  <c r="I241" i="7"/>
  <c r="F241" i="7"/>
  <c r="O240" i="7"/>
  <c r="L240" i="7"/>
  <c r="I240" i="7"/>
  <c r="F240" i="7"/>
  <c r="O239" i="7"/>
  <c r="L239" i="7"/>
  <c r="I239" i="7"/>
  <c r="F239" i="7"/>
  <c r="O238" i="7"/>
  <c r="N238" i="7"/>
  <c r="M238" i="7"/>
  <c r="K238" i="7"/>
  <c r="J238" i="7"/>
  <c r="H238" i="7"/>
  <c r="G238" i="7"/>
  <c r="E238" i="7"/>
  <c r="D238" i="7"/>
  <c r="O237" i="7"/>
  <c r="L237" i="7"/>
  <c r="I237" i="7"/>
  <c r="F237" i="7"/>
  <c r="O236" i="7"/>
  <c r="O235" i="7" s="1"/>
  <c r="L236" i="7"/>
  <c r="L235" i="7" s="1"/>
  <c r="I236" i="7"/>
  <c r="I235" i="7" s="1"/>
  <c r="F236" i="7"/>
  <c r="N235" i="7"/>
  <c r="M235" i="7"/>
  <c r="K235" i="7"/>
  <c r="J235" i="7"/>
  <c r="H235" i="7"/>
  <c r="G235" i="7"/>
  <c r="E235" i="7"/>
  <c r="D235" i="7"/>
  <c r="O234" i="7"/>
  <c r="O233" i="7" s="1"/>
  <c r="L234" i="7"/>
  <c r="L233" i="7" s="1"/>
  <c r="I234" i="7"/>
  <c r="I233" i="7" s="1"/>
  <c r="F234" i="7"/>
  <c r="N233" i="7"/>
  <c r="M233" i="7"/>
  <c r="K233" i="7"/>
  <c r="J233" i="7"/>
  <c r="H233" i="7"/>
  <c r="G233" i="7"/>
  <c r="E233" i="7"/>
  <c r="E231" i="7" s="1"/>
  <c r="D233" i="7"/>
  <c r="O232" i="7"/>
  <c r="L232" i="7"/>
  <c r="I232" i="7"/>
  <c r="F232" i="7"/>
  <c r="O229" i="7"/>
  <c r="L229" i="7"/>
  <c r="I229" i="7"/>
  <c r="F229" i="7"/>
  <c r="O228" i="7"/>
  <c r="O227" i="7" s="1"/>
  <c r="L228" i="7"/>
  <c r="I228" i="7"/>
  <c r="I227" i="7" s="1"/>
  <c r="F228" i="7"/>
  <c r="F227" i="7" s="1"/>
  <c r="N227" i="7"/>
  <c r="M227" i="7"/>
  <c r="L227" i="7"/>
  <c r="K227" i="7"/>
  <c r="J227" i="7"/>
  <c r="H227" i="7"/>
  <c r="G227" i="7"/>
  <c r="E227" i="7"/>
  <c r="D227" i="7"/>
  <c r="O226" i="7"/>
  <c r="L226" i="7"/>
  <c r="I226" i="7"/>
  <c r="F226" i="7"/>
  <c r="O225" i="7"/>
  <c r="L225" i="7"/>
  <c r="I225" i="7"/>
  <c r="F225" i="7"/>
  <c r="O224" i="7"/>
  <c r="L224" i="7"/>
  <c r="I224" i="7"/>
  <c r="F224" i="7"/>
  <c r="O223" i="7"/>
  <c r="L223" i="7"/>
  <c r="I223" i="7"/>
  <c r="F223" i="7"/>
  <c r="O222" i="7"/>
  <c r="L222" i="7"/>
  <c r="I222" i="7"/>
  <c r="F222" i="7"/>
  <c r="O221" i="7"/>
  <c r="L221" i="7"/>
  <c r="I221" i="7"/>
  <c r="F221" i="7"/>
  <c r="O220" i="7"/>
  <c r="L220" i="7"/>
  <c r="I220" i="7"/>
  <c r="F220" i="7"/>
  <c r="O219" i="7"/>
  <c r="L219" i="7"/>
  <c r="I219" i="7"/>
  <c r="F219" i="7"/>
  <c r="O218" i="7"/>
  <c r="L218" i="7"/>
  <c r="I218" i="7"/>
  <c r="F218" i="7"/>
  <c r="O217" i="7"/>
  <c r="L217" i="7"/>
  <c r="I217" i="7"/>
  <c r="F217" i="7"/>
  <c r="N216" i="7"/>
  <c r="M216" i="7"/>
  <c r="K216" i="7"/>
  <c r="J216" i="7"/>
  <c r="H216" i="7"/>
  <c r="G216" i="7"/>
  <c r="E216" i="7"/>
  <c r="D216" i="7"/>
  <c r="O215" i="7"/>
  <c r="L215" i="7"/>
  <c r="I215" i="7"/>
  <c r="F215" i="7"/>
  <c r="O214" i="7"/>
  <c r="L214" i="7"/>
  <c r="I214" i="7"/>
  <c r="F214" i="7"/>
  <c r="O213" i="7"/>
  <c r="L213" i="7"/>
  <c r="I213" i="7"/>
  <c r="F213" i="7"/>
  <c r="O212" i="7"/>
  <c r="L212" i="7"/>
  <c r="I212" i="7"/>
  <c r="F212" i="7"/>
  <c r="O211" i="7"/>
  <c r="L211" i="7"/>
  <c r="I211" i="7"/>
  <c r="F211" i="7"/>
  <c r="O210" i="7"/>
  <c r="L210" i="7"/>
  <c r="I210" i="7"/>
  <c r="F210" i="7"/>
  <c r="O209" i="7"/>
  <c r="L209" i="7"/>
  <c r="I209" i="7"/>
  <c r="F209" i="7"/>
  <c r="O208" i="7"/>
  <c r="L208" i="7"/>
  <c r="I208" i="7"/>
  <c r="F208" i="7"/>
  <c r="O207" i="7"/>
  <c r="L207" i="7"/>
  <c r="I207" i="7"/>
  <c r="F207" i="7"/>
  <c r="O206" i="7"/>
  <c r="L206" i="7"/>
  <c r="I206" i="7"/>
  <c r="F206" i="7"/>
  <c r="N205" i="7"/>
  <c r="M205" i="7"/>
  <c r="K205" i="7"/>
  <c r="J205" i="7"/>
  <c r="H205" i="7"/>
  <c r="G205" i="7"/>
  <c r="G204" i="7" s="1"/>
  <c r="E205" i="7"/>
  <c r="E204" i="7" s="1"/>
  <c r="D205" i="7"/>
  <c r="O203" i="7"/>
  <c r="L203" i="7"/>
  <c r="I203" i="7"/>
  <c r="F203" i="7"/>
  <c r="O202" i="7"/>
  <c r="L202" i="7"/>
  <c r="I202" i="7"/>
  <c r="F202" i="7"/>
  <c r="O201" i="7"/>
  <c r="L201" i="7"/>
  <c r="I201" i="7"/>
  <c r="F201" i="7"/>
  <c r="O200" i="7"/>
  <c r="L200" i="7"/>
  <c r="I200" i="7"/>
  <c r="F200" i="7"/>
  <c r="O199" i="7"/>
  <c r="L199" i="7"/>
  <c r="L198" i="7" s="1"/>
  <c r="I199" i="7"/>
  <c r="F199" i="7"/>
  <c r="F198" i="7" s="1"/>
  <c r="O198" i="7"/>
  <c r="N198" i="7"/>
  <c r="M198" i="7"/>
  <c r="K198" i="7"/>
  <c r="K196" i="7" s="1"/>
  <c r="J198" i="7"/>
  <c r="J196" i="7" s="1"/>
  <c r="H198" i="7"/>
  <c r="H196" i="7" s="1"/>
  <c r="G198" i="7"/>
  <c r="G196" i="7" s="1"/>
  <c r="E198" i="7"/>
  <c r="E196" i="7" s="1"/>
  <c r="D198" i="7"/>
  <c r="D196" i="7" s="1"/>
  <c r="O197" i="7"/>
  <c r="L197" i="7"/>
  <c r="I197" i="7"/>
  <c r="F197" i="7"/>
  <c r="N196" i="7"/>
  <c r="M196" i="7"/>
  <c r="O193" i="7"/>
  <c r="L193" i="7"/>
  <c r="L192" i="7" s="1"/>
  <c r="L191" i="7" s="1"/>
  <c r="I193" i="7"/>
  <c r="F193" i="7"/>
  <c r="O192" i="7"/>
  <c r="O191" i="7" s="1"/>
  <c r="N192" i="7"/>
  <c r="N191" i="7" s="1"/>
  <c r="M192" i="7"/>
  <c r="M191" i="7" s="1"/>
  <c r="K192" i="7"/>
  <c r="K191" i="7" s="1"/>
  <c r="J192" i="7"/>
  <c r="J191" i="7" s="1"/>
  <c r="I192" i="7"/>
  <c r="I191" i="7" s="1"/>
  <c r="H192" i="7"/>
  <c r="H191" i="7" s="1"/>
  <c r="G192" i="7"/>
  <c r="G191" i="7" s="1"/>
  <c r="E192" i="7"/>
  <c r="E191" i="7" s="1"/>
  <c r="D192" i="7"/>
  <c r="D191" i="7" s="1"/>
  <c r="O190" i="7"/>
  <c r="L190" i="7"/>
  <c r="I190" i="7"/>
  <c r="F190" i="7"/>
  <c r="O189" i="7"/>
  <c r="L189" i="7"/>
  <c r="L188" i="7" s="1"/>
  <c r="I189" i="7"/>
  <c r="F189" i="7"/>
  <c r="O188" i="7"/>
  <c r="N188" i="7"/>
  <c r="M188" i="7"/>
  <c r="K188" i="7"/>
  <c r="J188" i="7"/>
  <c r="H188" i="7"/>
  <c r="G188" i="7"/>
  <c r="F188" i="7"/>
  <c r="E188" i="7"/>
  <c r="D188" i="7"/>
  <c r="O186" i="7"/>
  <c r="L186" i="7"/>
  <c r="I186" i="7"/>
  <c r="F186" i="7"/>
  <c r="O185" i="7"/>
  <c r="L185" i="7"/>
  <c r="L184" i="7" s="1"/>
  <c r="I185" i="7"/>
  <c r="F185" i="7"/>
  <c r="O184" i="7"/>
  <c r="N184" i="7"/>
  <c r="M184" i="7"/>
  <c r="K184" i="7"/>
  <c r="J184" i="7"/>
  <c r="H184" i="7"/>
  <c r="G184" i="7"/>
  <c r="F184" i="7"/>
  <c r="E184" i="7"/>
  <c r="D184" i="7"/>
  <c r="O183" i="7"/>
  <c r="L183" i="7"/>
  <c r="I183" i="7"/>
  <c r="F183" i="7"/>
  <c r="O182" i="7"/>
  <c r="L182" i="7"/>
  <c r="I182" i="7"/>
  <c r="F182" i="7"/>
  <c r="O181" i="7"/>
  <c r="L181" i="7"/>
  <c r="I181" i="7"/>
  <c r="F181" i="7"/>
  <c r="O180" i="7"/>
  <c r="L180" i="7"/>
  <c r="I180" i="7"/>
  <c r="F180" i="7"/>
  <c r="F179" i="7" s="1"/>
  <c r="O179" i="7"/>
  <c r="N179" i="7"/>
  <c r="M179" i="7"/>
  <c r="K179" i="7"/>
  <c r="J179" i="7"/>
  <c r="H179" i="7"/>
  <c r="G179" i="7"/>
  <c r="E179" i="7"/>
  <c r="D179" i="7"/>
  <c r="O178" i="7"/>
  <c r="L178" i="7"/>
  <c r="I178" i="7"/>
  <c r="F178" i="7"/>
  <c r="O177" i="7"/>
  <c r="L177" i="7"/>
  <c r="I177" i="7"/>
  <c r="F177" i="7"/>
  <c r="O176" i="7"/>
  <c r="L176" i="7"/>
  <c r="I176" i="7"/>
  <c r="F176" i="7"/>
  <c r="F175" i="7" s="1"/>
  <c r="O175" i="7"/>
  <c r="N175" i="7"/>
  <c r="M175" i="7"/>
  <c r="K175" i="7"/>
  <c r="K174" i="7" s="1"/>
  <c r="J175" i="7"/>
  <c r="J174" i="7" s="1"/>
  <c r="H175" i="7"/>
  <c r="G175" i="7"/>
  <c r="E175" i="7"/>
  <c r="E174" i="7" s="1"/>
  <c r="D175" i="7"/>
  <c r="D174" i="7" s="1"/>
  <c r="D173" i="7" s="1"/>
  <c r="M174" i="7"/>
  <c r="O172" i="7"/>
  <c r="L172" i="7"/>
  <c r="I172" i="7"/>
  <c r="F172" i="7"/>
  <c r="O171" i="7"/>
  <c r="L171" i="7"/>
  <c r="I171" i="7"/>
  <c r="F171" i="7"/>
  <c r="O170" i="7"/>
  <c r="L170" i="7"/>
  <c r="I170" i="7"/>
  <c r="F170" i="7"/>
  <c r="O169" i="7"/>
  <c r="L169" i="7"/>
  <c r="I169" i="7"/>
  <c r="F169" i="7"/>
  <c r="O168" i="7"/>
  <c r="L168" i="7"/>
  <c r="I168" i="7"/>
  <c r="F168" i="7"/>
  <c r="O167" i="7"/>
  <c r="O166" i="7" s="1"/>
  <c r="L167" i="7"/>
  <c r="I167" i="7"/>
  <c r="F167" i="7"/>
  <c r="N166" i="7"/>
  <c r="M166" i="7"/>
  <c r="K166" i="7"/>
  <c r="J166" i="7"/>
  <c r="H166" i="7"/>
  <c r="H165" i="7" s="1"/>
  <c r="G166" i="7"/>
  <c r="G165" i="7" s="1"/>
  <c r="E166" i="7"/>
  <c r="E165" i="7" s="1"/>
  <c r="D166" i="7"/>
  <c r="D165" i="7" s="1"/>
  <c r="N165" i="7"/>
  <c r="M165" i="7"/>
  <c r="K165" i="7"/>
  <c r="J165" i="7"/>
  <c r="O164" i="7"/>
  <c r="L164" i="7"/>
  <c r="I164" i="7"/>
  <c r="F164" i="7"/>
  <c r="O163" i="7"/>
  <c r="L163" i="7"/>
  <c r="I163" i="7"/>
  <c r="F163" i="7"/>
  <c r="O162" i="7"/>
  <c r="L162" i="7"/>
  <c r="I162" i="7"/>
  <c r="F162" i="7"/>
  <c r="O161" i="7"/>
  <c r="O160" i="7" s="1"/>
  <c r="L161" i="7"/>
  <c r="L160" i="7" s="1"/>
  <c r="I161" i="7"/>
  <c r="F161" i="7"/>
  <c r="N160" i="7"/>
  <c r="M160" i="7"/>
  <c r="K160" i="7"/>
  <c r="J160" i="7"/>
  <c r="H160" i="7"/>
  <c r="G160" i="7"/>
  <c r="F160" i="7"/>
  <c r="E160" i="7"/>
  <c r="D160" i="7"/>
  <c r="O159" i="7"/>
  <c r="L159" i="7"/>
  <c r="I159" i="7"/>
  <c r="F159" i="7"/>
  <c r="O158" i="7"/>
  <c r="L158" i="7"/>
  <c r="I158" i="7"/>
  <c r="F158" i="7"/>
  <c r="O157" i="7"/>
  <c r="L157" i="7"/>
  <c r="I157" i="7"/>
  <c r="F157" i="7"/>
  <c r="O156" i="7"/>
  <c r="L156" i="7"/>
  <c r="I156" i="7"/>
  <c r="F156" i="7"/>
  <c r="O155" i="7"/>
  <c r="L155" i="7"/>
  <c r="I155" i="7"/>
  <c r="F155" i="7"/>
  <c r="O154" i="7"/>
  <c r="L154" i="7"/>
  <c r="I154" i="7"/>
  <c r="F154" i="7"/>
  <c r="O153" i="7"/>
  <c r="L153" i="7"/>
  <c r="I153" i="7"/>
  <c r="F153" i="7"/>
  <c r="O152" i="7"/>
  <c r="L152" i="7"/>
  <c r="I152" i="7"/>
  <c r="F152" i="7"/>
  <c r="O151" i="7"/>
  <c r="N151" i="7"/>
  <c r="M151" i="7"/>
  <c r="K151" i="7"/>
  <c r="J151" i="7"/>
  <c r="H151" i="7"/>
  <c r="G151" i="7"/>
  <c r="E151" i="7"/>
  <c r="D151" i="7"/>
  <c r="O150" i="7"/>
  <c r="L150" i="7"/>
  <c r="I150" i="7"/>
  <c r="F150" i="7"/>
  <c r="O149" i="7"/>
  <c r="L149" i="7"/>
  <c r="I149" i="7"/>
  <c r="F149" i="7"/>
  <c r="O148" i="7"/>
  <c r="L148" i="7"/>
  <c r="I148" i="7"/>
  <c r="F148" i="7"/>
  <c r="O147" i="7"/>
  <c r="L147" i="7"/>
  <c r="I147" i="7"/>
  <c r="F147" i="7"/>
  <c r="C147" i="7"/>
  <c r="O146" i="7"/>
  <c r="L146" i="7"/>
  <c r="I146" i="7"/>
  <c r="F146" i="7"/>
  <c r="C146" i="7" s="1"/>
  <c r="O145" i="7"/>
  <c r="L145" i="7"/>
  <c r="I145" i="7"/>
  <c r="F145" i="7"/>
  <c r="N144" i="7"/>
  <c r="M144" i="7"/>
  <c r="K144" i="7"/>
  <c r="J144" i="7"/>
  <c r="H144" i="7"/>
  <c r="G144" i="7"/>
  <c r="E144" i="7"/>
  <c r="D144" i="7"/>
  <c r="O143" i="7"/>
  <c r="L143" i="7"/>
  <c r="I143" i="7"/>
  <c r="F143" i="7"/>
  <c r="C143" i="7" s="1"/>
  <c r="O142" i="7"/>
  <c r="L142" i="7"/>
  <c r="L141" i="7" s="1"/>
  <c r="I142" i="7"/>
  <c r="I141" i="7" s="1"/>
  <c r="F142" i="7"/>
  <c r="N141" i="7"/>
  <c r="M141" i="7"/>
  <c r="K141" i="7"/>
  <c r="J141" i="7"/>
  <c r="H141" i="7"/>
  <c r="G141" i="7"/>
  <c r="E141" i="7"/>
  <c r="D141" i="7"/>
  <c r="O140" i="7"/>
  <c r="L140" i="7"/>
  <c r="I140" i="7"/>
  <c r="F140" i="7"/>
  <c r="O139" i="7"/>
  <c r="L139" i="7"/>
  <c r="I139" i="7"/>
  <c r="F139" i="7"/>
  <c r="O138" i="7"/>
  <c r="L138" i="7"/>
  <c r="I138" i="7"/>
  <c r="F138" i="7"/>
  <c r="O137" i="7"/>
  <c r="O136" i="7" s="1"/>
  <c r="L137" i="7"/>
  <c r="L136" i="7" s="1"/>
  <c r="I137" i="7"/>
  <c r="F137" i="7"/>
  <c r="F136" i="7" s="1"/>
  <c r="N136" i="7"/>
  <c r="M136" i="7"/>
  <c r="K136" i="7"/>
  <c r="J136" i="7"/>
  <c r="J130" i="7" s="1"/>
  <c r="H136" i="7"/>
  <c r="G136" i="7"/>
  <c r="E136" i="7"/>
  <c r="D136" i="7"/>
  <c r="O135" i="7"/>
  <c r="L135" i="7"/>
  <c r="I135" i="7"/>
  <c r="F135" i="7"/>
  <c r="O134" i="7"/>
  <c r="L134" i="7"/>
  <c r="I134" i="7"/>
  <c r="F134" i="7"/>
  <c r="O133" i="7"/>
  <c r="L133" i="7"/>
  <c r="I133" i="7"/>
  <c r="F133" i="7"/>
  <c r="O132" i="7"/>
  <c r="L132" i="7"/>
  <c r="L131" i="7" s="1"/>
  <c r="I132" i="7"/>
  <c r="F132" i="7"/>
  <c r="O131" i="7"/>
  <c r="N131" i="7"/>
  <c r="M131" i="7"/>
  <c r="K131" i="7"/>
  <c r="J131" i="7"/>
  <c r="H131" i="7"/>
  <c r="G131" i="7"/>
  <c r="E131" i="7"/>
  <c r="D131" i="7"/>
  <c r="O129" i="7"/>
  <c r="L129" i="7"/>
  <c r="L128" i="7" s="1"/>
  <c r="I129" i="7"/>
  <c r="F129" i="7"/>
  <c r="F128" i="7" s="1"/>
  <c r="O128" i="7"/>
  <c r="N128" i="7"/>
  <c r="M128" i="7"/>
  <c r="K128" i="7"/>
  <c r="J128" i="7"/>
  <c r="H128" i="7"/>
  <c r="G128" i="7"/>
  <c r="E128" i="7"/>
  <c r="D128" i="7"/>
  <c r="O127" i="7"/>
  <c r="L127" i="7"/>
  <c r="I127" i="7"/>
  <c r="F127" i="7"/>
  <c r="O126" i="7"/>
  <c r="L126" i="7"/>
  <c r="I126" i="7"/>
  <c r="F126" i="7"/>
  <c r="O125" i="7"/>
  <c r="L125" i="7"/>
  <c r="I125" i="7"/>
  <c r="F125" i="7"/>
  <c r="O124" i="7"/>
  <c r="L124" i="7"/>
  <c r="I124" i="7"/>
  <c r="F124" i="7"/>
  <c r="O123" i="7"/>
  <c r="L123" i="7"/>
  <c r="I123" i="7"/>
  <c r="F123" i="7"/>
  <c r="N122" i="7"/>
  <c r="M122" i="7"/>
  <c r="K122" i="7"/>
  <c r="J122" i="7"/>
  <c r="H122" i="7"/>
  <c r="G122" i="7"/>
  <c r="E122" i="7"/>
  <c r="D122" i="7"/>
  <c r="O121" i="7"/>
  <c r="L121" i="7"/>
  <c r="I121" i="7"/>
  <c r="F121" i="7"/>
  <c r="O120" i="7"/>
  <c r="L120" i="7"/>
  <c r="I120" i="7"/>
  <c r="F120" i="7"/>
  <c r="O119" i="7"/>
  <c r="L119" i="7"/>
  <c r="I119" i="7"/>
  <c r="F119" i="7"/>
  <c r="O118" i="7"/>
  <c r="L118" i="7"/>
  <c r="I118" i="7"/>
  <c r="F118" i="7"/>
  <c r="O117" i="7"/>
  <c r="L117" i="7"/>
  <c r="I117" i="7"/>
  <c r="F117" i="7"/>
  <c r="F116" i="7" s="1"/>
  <c r="N116" i="7"/>
  <c r="M116" i="7"/>
  <c r="K116" i="7"/>
  <c r="J116" i="7"/>
  <c r="H116" i="7"/>
  <c r="G116" i="7"/>
  <c r="E116" i="7"/>
  <c r="D116" i="7"/>
  <c r="O115" i="7"/>
  <c r="L115" i="7"/>
  <c r="I115" i="7"/>
  <c r="F115" i="7"/>
  <c r="O114" i="7"/>
  <c r="L114" i="7"/>
  <c r="I114" i="7"/>
  <c r="F114" i="7"/>
  <c r="O113" i="7"/>
  <c r="L113" i="7"/>
  <c r="L112" i="7" s="1"/>
  <c r="I113" i="7"/>
  <c r="F113" i="7"/>
  <c r="N112" i="7"/>
  <c r="M112" i="7"/>
  <c r="K112" i="7"/>
  <c r="J112" i="7"/>
  <c r="H112" i="7"/>
  <c r="G112" i="7"/>
  <c r="E112" i="7"/>
  <c r="D112" i="7"/>
  <c r="O111" i="7"/>
  <c r="L111" i="7"/>
  <c r="I111" i="7"/>
  <c r="F111" i="7"/>
  <c r="O110" i="7"/>
  <c r="L110" i="7"/>
  <c r="I110" i="7"/>
  <c r="F110" i="7"/>
  <c r="O109" i="7"/>
  <c r="L109" i="7"/>
  <c r="I109" i="7"/>
  <c r="F109" i="7"/>
  <c r="O108" i="7"/>
  <c r="L108" i="7"/>
  <c r="I108" i="7"/>
  <c r="F108" i="7"/>
  <c r="O107" i="7"/>
  <c r="L107" i="7"/>
  <c r="I107" i="7"/>
  <c r="F107" i="7"/>
  <c r="O106" i="7"/>
  <c r="L106" i="7"/>
  <c r="I106" i="7"/>
  <c r="F106" i="7"/>
  <c r="O105" i="7"/>
  <c r="L105" i="7"/>
  <c r="I105" i="7"/>
  <c r="F105" i="7"/>
  <c r="O104" i="7"/>
  <c r="L104" i="7"/>
  <c r="I104" i="7"/>
  <c r="F104" i="7"/>
  <c r="O103" i="7"/>
  <c r="N103" i="7"/>
  <c r="M103" i="7"/>
  <c r="K103" i="7"/>
  <c r="J103" i="7"/>
  <c r="H103" i="7"/>
  <c r="G103" i="7"/>
  <c r="E103" i="7"/>
  <c r="D103" i="7"/>
  <c r="O102" i="7"/>
  <c r="L102" i="7"/>
  <c r="I102" i="7"/>
  <c r="F102" i="7"/>
  <c r="O101" i="7"/>
  <c r="L101" i="7"/>
  <c r="I101" i="7"/>
  <c r="F101" i="7"/>
  <c r="O100" i="7"/>
  <c r="L100" i="7"/>
  <c r="I100" i="7"/>
  <c r="F100" i="7"/>
  <c r="O99" i="7"/>
  <c r="L99" i="7"/>
  <c r="I99" i="7"/>
  <c r="F99" i="7"/>
  <c r="O98" i="7"/>
  <c r="L98" i="7"/>
  <c r="I98" i="7"/>
  <c r="F98" i="7"/>
  <c r="O97" i="7"/>
  <c r="L97" i="7"/>
  <c r="I97" i="7"/>
  <c r="F97" i="7"/>
  <c r="O96" i="7"/>
  <c r="L96" i="7"/>
  <c r="L95" i="7" s="1"/>
  <c r="I96" i="7"/>
  <c r="F96" i="7"/>
  <c r="N95" i="7"/>
  <c r="M95" i="7"/>
  <c r="K95" i="7"/>
  <c r="J95" i="7"/>
  <c r="H95" i="7"/>
  <c r="G95" i="7"/>
  <c r="E95" i="7"/>
  <c r="D95" i="7"/>
  <c r="O94" i="7"/>
  <c r="L94" i="7"/>
  <c r="I94" i="7"/>
  <c r="F94" i="7"/>
  <c r="O93" i="7"/>
  <c r="L93" i="7"/>
  <c r="I93" i="7"/>
  <c r="F93" i="7"/>
  <c r="O92" i="7"/>
  <c r="L92" i="7"/>
  <c r="I92" i="7"/>
  <c r="F92" i="7"/>
  <c r="O91" i="7"/>
  <c r="L91" i="7"/>
  <c r="I91" i="7"/>
  <c r="F91" i="7"/>
  <c r="O90" i="7"/>
  <c r="L90" i="7"/>
  <c r="I90" i="7"/>
  <c r="F90" i="7"/>
  <c r="N89" i="7"/>
  <c r="M89" i="7"/>
  <c r="K89" i="7"/>
  <c r="J89" i="7"/>
  <c r="H89" i="7"/>
  <c r="G89" i="7"/>
  <c r="E89" i="7"/>
  <c r="D89" i="7"/>
  <c r="O88" i="7"/>
  <c r="L88" i="7"/>
  <c r="I88" i="7"/>
  <c r="F88" i="7"/>
  <c r="O87" i="7"/>
  <c r="L87" i="7"/>
  <c r="I87" i="7"/>
  <c r="F87" i="7"/>
  <c r="O86" i="7"/>
  <c r="L86" i="7"/>
  <c r="I86" i="7"/>
  <c r="F86" i="7"/>
  <c r="O85" i="7"/>
  <c r="L85" i="7"/>
  <c r="I85" i="7"/>
  <c r="F85" i="7"/>
  <c r="N84" i="7"/>
  <c r="M84" i="7"/>
  <c r="K84" i="7"/>
  <c r="J84" i="7"/>
  <c r="H84" i="7"/>
  <c r="G84" i="7"/>
  <c r="E84" i="7"/>
  <c r="D84" i="7"/>
  <c r="O82" i="7"/>
  <c r="L82" i="7"/>
  <c r="I82" i="7"/>
  <c r="F82" i="7"/>
  <c r="O81" i="7"/>
  <c r="L81" i="7"/>
  <c r="L80" i="7" s="1"/>
  <c r="I81" i="7"/>
  <c r="F81" i="7"/>
  <c r="F80" i="7" s="1"/>
  <c r="O80" i="7"/>
  <c r="N80" i="7"/>
  <c r="M80" i="7"/>
  <c r="K80" i="7"/>
  <c r="J80" i="7"/>
  <c r="H80" i="7"/>
  <c r="G80" i="7"/>
  <c r="E80" i="7"/>
  <c r="D80" i="7"/>
  <c r="O79" i="7"/>
  <c r="L79" i="7"/>
  <c r="I79" i="7"/>
  <c r="F79" i="7"/>
  <c r="O78" i="7"/>
  <c r="L78" i="7"/>
  <c r="I78" i="7"/>
  <c r="I77" i="7" s="1"/>
  <c r="F78" i="7"/>
  <c r="N77" i="7"/>
  <c r="M77" i="7"/>
  <c r="K77" i="7"/>
  <c r="K76" i="7" s="1"/>
  <c r="J77" i="7"/>
  <c r="J76" i="7" s="1"/>
  <c r="H77" i="7"/>
  <c r="G77" i="7"/>
  <c r="G76" i="7" s="1"/>
  <c r="E77" i="7"/>
  <c r="E76" i="7" s="1"/>
  <c r="D77" i="7"/>
  <c r="D76" i="7" s="1"/>
  <c r="O74" i="7"/>
  <c r="L74" i="7"/>
  <c r="I74" i="7"/>
  <c r="F74" i="7"/>
  <c r="O73" i="7"/>
  <c r="L73" i="7"/>
  <c r="I73" i="7"/>
  <c r="F73" i="7"/>
  <c r="O72" i="7"/>
  <c r="L72" i="7"/>
  <c r="I72" i="7"/>
  <c r="F72" i="7"/>
  <c r="O71" i="7"/>
  <c r="L71" i="7"/>
  <c r="I71" i="7"/>
  <c r="F71" i="7"/>
  <c r="O70" i="7"/>
  <c r="L70" i="7"/>
  <c r="I70" i="7"/>
  <c r="F70" i="7"/>
  <c r="N69" i="7"/>
  <c r="N67" i="7" s="1"/>
  <c r="M69" i="7"/>
  <c r="M67" i="7" s="1"/>
  <c r="K69" i="7"/>
  <c r="K67" i="7" s="1"/>
  <c r="J69" i="7"/>
  <c r="J67" i="7" s="1"/>
  <c r="H69" i="7"/>
  <c r="H67" i="7" s="1"/>
  <c r="G69" i="7"/>
  <c r="E69" i="7"/>
  <c r="E67" i="7" s="1"/>
  <c r="D69" i="7"/>
  <c r="D67" i="7" s="1"/>
  <c r="O68" i="7"/>
  <c r="L68" i="7"/>
  <c r="I68" i="7"/>
  <c r="F68" i="7"/>
  <c r="G67" i="7"/>
  <c r="O66" i="7"/>
  <c r="L66" i="7"/>
  <c r="I66" i="7"/>
  <c r="F66" i="7"/>
  <c r="O65" i="7"/>
  <c r="L65" i="7"/>
  <c r="I65" i="7"/>
  <c r="F65" i="7"/>
  <c r="O64" i="7"/>
  <c r="L64" i="7"/>
  <c r="I64" i="7"/>
  <c r="F64" i="7"/>
  <c r="O63" i="7"/>
  <c r="L63" i="7"/>
  <c r="I63" i="7"/>
  <c r="F63" i="7"/>
  <c r="O62" i="7"/>
  <c r="L62" i="7"/>
  <c r="I62" i="7"/>
  <c r="F62" i="7"/>
  <c r="O61" i="7"/>
  <c r="L61" i="7"/>
  <c r="I61" i="7"/>
  <c r="F61" i="7"/>
  <c r="O60" i="7"/>
  <c r="L60" i="7"/>
  <c r="I60" i="7"/>
  <c r="F60" i="7"/>
  <c r="O59" i="7"/>
  <c r="L59" i="7"/>
  <c r="I59" i="7"/>
  <c r="I58" i="7" s="1"/>
  <c r="F59" i="7"/>
  <c r="N58" i="7"/>
  <c r="M58" i="7"/>
  <c r="K58" i="7"/>
  <c r="J58" i="7"/>
  <c r="H58" i="7"/>
  <c r="G58" i="7"/>
  <c r="E58" i="7"/>
  <c r="D58" i="7"/>
  <c r="O57" i="7"/>
  <c r="L57" i="7"/>
  <c r="I57" i="7"/>
  <c r="F57" i="7"/>
  <c r="O56" i="7"/>
  <c r="O55" i="7" s="1"/>
  <c r="L56" i="7"/>
  <c r="I56" i="7"/>
  <c r="F56" i="7"/>
  <c r="F55" i="7" s="1"/>
  <c r="N55" i="7"/>
  <c r="M55" i="7"/>
  <c r="K55" i="7"/>
  <c r="J55" i="7"/>
  <c r="H55" i="7"/>
  <c r="G55" i="7"/>
  <c r="E55" i="7"/>
  <c r="D55" i="7"/>
  <c r="D54" i="7" s="1"/>
  <c r="O47" i="7"/>
  <c r="C47" i="7" s="1"/>
  <c r="O46" i="7"/>
  <c r="C46" i="7" s="1"/>
  <c r="N45" i="7"/>
  <c r="M45" i="7"/>
  <c r="L44" i="7"/>
  <c r="L43" i="7" s="1"/>
  <c r="I44" i="7"/>
  <c r="I43" i="7" s="1"/>
  <c r="F44" i="7"/>
  <c r="K43" i="7"/>
  <c r="J43" i="7"/>
  <c r="H43" i="7"/>
  <c r="G43" i="7"/>
  <c r="E43" i="7"/>
  <c r="D43" i="7"/>
  <c r="F42" i="7"/>
  <c r="C42" i="7" s="1"/>
  <c r="E41" i="7"/>
  <c r="D41" i="7"/>
  <c r="L40" i="7"/>
  <c r="C40" i="7" s="1"/>
  <c r="L39" i="7"/>
  <c r="C39" i="7" s="1"/>
  <c r="L38" i="7"/>
  <c r="C38" i="7" s="1"/>
  <c r="L37" i="7"/>
  <c r="C37" i="7" s="1"/>
  <c r="K36" i="7"/>
  <c r="J36" i="7"/>
  <c r="L35" i="7"/>
  <c r="C35" i="7" s="1"/>
  <c r="L34" i="7"/>
  <c r="C34" i="7" s="1"/>
  <c r="K33" i="7"/>
  <c r="J33" i="7"/>
  <c r="L32" i="7"/>
  <c r="L31" i="7" s="1"/>
  <c r="C31" i="7" s="1"/>
  <c r="K31" i="7"/>
  <c r="J31" i="7"/>
  <c r="L30" i="7"/>
  <c r="C30" i="7" s="1"/>
  <c r="L29" i="7"/>
  <c r="C29" i="7" s="1"/>
  <c r="L28" i="7"/>
  <c r="C28" i="7" s="1"/>
  <c r="K27" i="7"/>
  <c r="J27" i="7"/>
  <c r="I25" i="7"/>
  <c r="F25" i="7"/>
  <c r="C25" i="7" s="1"/>
  <c r="I24" i="7"/>
  <c r="F24" i="7"/>
  <c r="O23" i="7"/>
  <c r="L23" i="7"/>
  <c r="I23" i="7"/>
  <c r="F23" i="7"/>
  <c r="O22" i="7"/>
  <c r="L22" i="7"/>
  <c r="I22" i="7"/>
  <c r="F22" i="7"/>
  <c r="F21" i="7" s="1"/>
  <c r="N21" i="7"/>
  <c r="M21" i="7"/>
  <c r="K21" i="7"/>
  <c r="J21" i="7"/>
  <c r="J292" i="7" s="1"/>
  <c r="H21" i="7"/>
  <c r="G21" i="7"/>
  <c r="E21" i="7"/>
  <c r="D21" i="7"/>
  <c r="O144" i="7" l="1"/>
  <c r="H259" i="7"/>
  <c r="K173" i="7"/>
  <c r="O187" i="7"/>
  <c r="D53" i="7"/>
  <c r="D20" i="7"/>
  <c r="J291" i="7"/>
  <c r="F292" i="7"/>
  <c r="J26" i="7"/>
  <c r="J20" i="7" s="1"/>
  <c r="M173" i="7"/>
  <c r="H174" i="7"/>
  <c r="H173" i="7" s="1"/>
  <c r="C254" i="7"/>
  <c r="D259" i="7"/>
  <c r="J54" i="7"/>
  <c r="J53" i="7" s="1"/>
  <c r="N54" i="7"/>
  <c r="N53" i="7" s="1"/>
  <c r="D187" i="7"/>
  <c r="C23" i="7"/>
  <c r="C87" i="7"/>
  <c r="C234" i="7"/>
  <c r="C278" i="7"/>
  <c r="H130" i="7"/>
  <c r="C183" i="7"/>
  <c r="D130" i="7"/>
  <c r="K292" i="7"/>
  <c r="K291" i="7" s="1"/>
  <c r="C202" i="7"/>
  <c r="M269" i="7"/>
  <c r="C298" i="7"/>
  <c r="L175" i="7"/>
  <c r="C86" i="7"/>
  <c r="C108" i="7"/>
  <c r="C119" i="7"/>
  <c r="O21" i="7"/>
  <c r="O292" i="7" s="1"/>
  <c r="C32" i="7"/>
  <c r="L58" i="7"/>
  <c r="N76" i="7"/>
  <c r="C214" i="7"/>
  <c r="C224" i="7"/>
  <c r="O276" i="7"/>
  <c r="C24" i="7"/>
  <c r="E54" i="7"/>
  <c r="C71" i="7"/>
  <c r="C74" i="7"/>
  <c r="G83" i="7"/>
  <c r="C123" i="7"/>
  <c r="C127" i="7"/>
  <c r="C135" i="7"/>
  <c r="O141" i="7"/>
  <c r="C157" i="7"/>
  <c r="C163" i="7"/>
  <c r="G174" i="7"/>
  <c r="G173" i="7" s="1"/>
  <c r="K204" i="7"/>
  <c r="C218" i="7"/>
  <c r="C222" i="7"/>
  <c r="C226" i="7"/>
  <c r="J231" i="7"/>
  <c r="N231" i="7"/>
  <c r="N230" i="7" s="1"/>
  <c r="I238" i="7"/>
  <c r="L260" i="7"/>
  <c r="C271" i="7"/>
  <c r="D270" i="7"/>
  <c r="O272" i="7"/>
  <c r="C282" i="7"/>
  <c r="O95" i="7"/>
  <c r="O264" i="7"/>
  <c r="J270" i="7"/>
  <c r="J269" i="7" s="1"/>
  <c r="D292" i="7"/>
  <c r="D291" i="7" s="1"/>
  <c r="H292" i="7"/>
  <c r="H291" i="7" s="1"/>
  <c r="N292" i="7"/>
  <c r="N291" i="7" s="1"/>
  <c r="O77" i="7"/>
  <c r="O76" i="7" s="1"/>
  <c r="H76" i="7"/>
  <c r="C91" i="7"/>
  <c r="C99" i="7"/>
  <c r="C100" i="7"/>
  <c r="C102" i="7"/>
  <c r="O112" i="7"/>
  <c r="C120" i="7"/>
  <c r="C139" i="7"/>
  <c r="C171" i="7"/>
  <c r="N174" i="7"/>
  <c r="N187" i="7"/>
  <c r="G187" i="7"/>
  <c r="K187" i="7"/>
  <c r="H231" i="7"/>
  <c r="H230" i="7" s="1"/>
  <c r="E259" i="7"/>
  <c r="C262" i="7"/>
  <c r="J259" i="7"/>
  <c r="J230" i="7" s="1"/>
  <c r="G270" i="7"/>
  <c r="G269" i="7" s="1"/>
  <c r="C274" i="7"/>
  <c r="I276" i="7"/>
  <c r="C22" i="7"/>
  <c r="C61" i="7"/>
  <c r="C63" i="7"/>
  <c r="C66" i="7"/>
  <c r="O69" i="7"/>
  <c r="O67" i="7" s="1"/>
  <c r="C79" i="7"/>
  <c r="C107" i="7"/>
  <c r="C111" i="7"/>
  <c r="C115" i="7"/>
  <c r="C155" i="7"/>
  <c r="C159" i="7"/>
  <c r="C167" i="7"/>
  <c r="E173" i="7"/>
  <c r="C178" i="7"/>
  <c r="E187" i="7"/>
  <c r="J187" i="7"/>
  <c r="H187" i="7"/>
  <c r="C206" i="7"/>
  <c r="C210" i="7"/>
  <c r="C212" i="7"/>
  <c r="C213" i="7"/>
  <c r="C232" i="7"/>
  <c r="D231" i="7"/>
  <c r="M231" i="7"/>
  <c r="C242" i="7"/>
  <c r="C245" i="7"/>
  <c r="C250" i="7"/>
  <c r="C258" i="7"/>
  <c r="C266" i="7"/>
  <c r="C294" i="7"/>
  <c r="L166" i="7"/>
  <c r="L165" i="7" s="1"/>
  <c r="I205" i="7"/>
  <c r="I264" i="7"/>
  <c r="I259" i="7" s="1"/>
  <c r="I286" i="7"/>
  <c r="C286" i="7" s="1"/>
  <c r="G292" i="7"/>
  <c r="G291" i="7" s="1"/>
  <c r="I21" i="7"/>
  <c r="I20" i="7" s="1"/>
  <c r="K26" i="7"/>
  <c r="K20" i="7" s="1"/>
  <c r="F41" i="7"/>
  <c r="C41" i="7" s="1"/>
  <c r="C44" i="7"/>
  <c r="K54" i="7"/>
  <c r="K53" i="7" s="1"/>
  <c r="C65" i="7"/>
  <c r="L69" i="7"/>
  <c r="C73" i="7"/>
  <c r="M76" i="7"/>
  <c r="L77" i="7"/>
  <c r="L76" i="7" s="1"/>
  <c r="O89" i="7"/>
  <c r="C101" i="7"/>
  <c r="K83" i="7"/>
  <c r="F103" i="7"/>
  <c r="C106" i="7"/>
  <c r="C118" i="7"/>
  <c r="O116" i="7"/>
  <c r="H83" i="7"/>
  <c r="C138" i="7"/>
  <c r="M130" i="7"/>
  <c r="C150" i="7"/>
  <c r="C182" i="7"/>
  <c r="C186" i="7"/>
  <c r="M187" i="7"/>
  <c r="O196" i="7"/>
  <c r="H204" i="7"/>
  <c r="H195" i="7" s="1"/>
  <c r="H194" i="7" s="1"/>
  <c r="C207" i="7"/>
  <c r="O216" i="7"/>
  <c r="J204" i="7"/>
  <c r="J195" i="7" s="1"/>
  <c r="N204" i="7"/>
  <c r="N195" i="7" s="1"/>
  <c r="C257" i="7"/>
  <c r="L264" i="7"/>
  <c r="C275" i="7"/>
  <c r="C279" i="7"/>
  <c r="D269" i="7"/>
  <c r="I293" i="7"/>
  <c r="C299" i="7"/>
  <c r="C300" i="7"/>
  <c r="I270" i="7"/>
  <c r="I269" i="7" s="1"/>
  <c r="L21" i="7"/>
  <c r="L292" i="7" s="1"/>
  <c r="L33" i="7"/>
  <c r="C33" i="7" s="1"/>
  <c r="H20" i="7"/>
  <c r="G54" i="7"/>
  <c r="G53" i="7" s="1"/>
  <c r="M54" i="7"/>
  <c r="M53" i="7" s="1"/>
  <c r="C57" i="7"/>
  <c r="E53" i="7"/>
  <c r="C60" i="7"/>
  <c r="C64" i="7"/>
  <c r="C72" i="7"/>
  <c r="E83" i="7"/>
  <c r="C92" i="7"/>
  <c r="C94" i="7"/>
  <c r="C110" i="7"/>
  <c r="D83" i="7"/>
  <c r="D75" i="7" s="1"/>
  <c r="O122" i="7"/>
  <c r="F131" i="7"/>
  <c r="C134" i="7"/>
  <c r="C149" i="7"/>
  <c r="F151" i="7"/>
  <c r="C154" i="7"/>
  <c r="C162" i="7"/>
  <c r="K195" i="7"/>
  <c r="C201" i="7"/>
  <c r="D204" i="7"/>
  <c r="D195" i="7" s="1"/>
  <c r="C211" i="7"/>
  <c r="C221" i="7"/>
  <c r="F233" i="7"/>
  <c r="C236" i="7"/>
  <c r="C243" i="7"/>
  <c r="I252" i="7"/>
  <c r="I251" i="7" s="1"/>
  <c r="C263" i="7"/>
  <c r="K269" i="7"/>
  <c r="C280" i="7"/>
  <c r="L293" i="7"/>
  <c r="H54" i="7"/>
  <c r="H53" i="7" s="1"/>
  <c r="C56" i="7"/>
  <c r="C59" i="7"/>
  <c r="C62" i="7"/>
  <c r="C82" i="7"/>
  <c r="N83" i="7"/>
  <c r="O84" i="7"/>
  <c r="L84" i="7"/>
  <c r="M83" i="7"/>
  <c r="L89" i="7"/>
  <c r="C93" i="7"/>
  <c r="C98" i="7"/>
  <c r="L103" i="7"/>
  <c r="C109" i="7"/>
  <c r="L116" i="7"/>
  <c r="C121" i="7"/>
  <c r="G130" i="7"/>
  <c r="G75" i="7" s="1"/>
  <c r="E130" i="7"/>
  <c r="E75" i="7" s="1"/>
  <c r="E52" i="7" s="1"/>
  <c r="L144" i="7"/>
  <c r="C158" i="7"/>
  <c r="C172" i="7"/>
  <c r="L179" i="7"/>
  <c r="L174" i="7" s="1"/>
  <c r="L173" i="7" s="1"/>
  <c r="J173" i="7"/>
  <c r="N173" i="7"/>
  <c r="L187" i="7"/>
  <c r="G195" i="7"/>
  <c r="C203" i="7"/>
  <c r="C215" i="7"/>
  <c r="M204" i="7"/>
  <c r="M195" i="7" s="1"/>
  <c r="I216" i="7"/>
  <c r="C223" i="7"/>
  <c r="C225" i="7"/>
  <c r="C228" i="7"/>
  <c r="C229" i="7"/>
  <c r="O231" i="7"/>
  <c r="K231" i="7"/>
  <c r="K230" i="7" s="1"/>
  <c r="C240" i="7"/>
  <c r="O252" i="7"/>
  <c r="O251" i="7" s="1"/>
  <c r="L276" i="7"/>
  <c r="C287" i="7"/>
  <c r="C288" i="7"/>
  <c r="O293" i="7"/>
  <c r="O291" i="7" s="1"/>
  <c r="C133" i="7"/>
  <c r="I131" i="7"/>
  <c r="C142" i="7"/>
  <c r="F141" i="7"/>
  <c r="C141" i="7" s="1"/>
  <c r="C177" i="7"/>
  <c r="I175" i="7"/>
  <c r="C175" i="7" s="1"/>
  <c r="C301" i="7"/>
  <c r="L27" i="7"/>
  <c r="L55" i="7"/>
  <c r="F58" i="7"/>
  <c r="C70" i="7"/>
  <c r="F69" i="7"/>
  <c r="N130" i="7"/>
  <c r="C169" i="7"/>
  <c r="I166" i="7"/>
  <c r="I165" i="7" s="1"/>
  <c r="G20" i="7"/>
  <c r="M20" i="7"/>
  <c r="M292" i="7"/>
  <c r="M291" i="7" s="1"/>
  <c r="I55" i="7"/>
  <c r="O58" i="7"/>
  <c r="O54" i="7" s="1"/>
  <c r="C90" i="7"/>
  <c r="F89" i="7"/>
  <c r="C97" i="7"/>
  <c r="I95" i="7"/>
  <c r="C114" i="7"/>
  <c r="F112" i="7"/>
  <c r="I188" i="7"/>
  <c r="I187" i="7" s="1"/>
  <c r="C190" i="7"/>
  <c r="L36" i="7"/>
  <c r="C36" i="7" s="1"/>
  <c r="C124" i="7"/>
  <c r="L122" i="7"/>
  <c r="O45" i="7"/>
  <c r="I116" i="7"/>
  <c r="C117" i="7"/>
  <c r="F43" i="7"/>
  <c r="C43" i="7" s="1"/>
  <c r="N20" i="7"/>
  <c r="E292" i="7"/>
  <c r="E291" i="7" s="1"/>
  <c r="E20" i="7"/>
  <c r="L67" i="7"/>
  <c r="C68" i="7"/>
  <c r="C78" i="7"/>
  <c r="F77" i="7"/>
  <c r="F174" i="7"/>
  <c r="I160" i="7"/>
  <c r="C160" i="7" s="1"/>
  <c r="C161" i="7"/>
  <c r="C164" i="7"/>
  <c r="O165" i="7"/>
  <c r="I80" i="7"/>
  <c r="I76" i="7" s="1"/>
  <c r="C81" i="7"/>
  <c r="J83" i="7"/>
  <c r="J75" i="7" s="1"/>
  <c r="I112" i="7"/>
  <c r="C113" i="7"/>
  <c r="C126" i="7"/>
  <c r="F122" i="7"/>
  <c r="O130" i="7"/>
  <c r="C153" i="7"/>
  <c r="I151" i="7"/>
  <c r="C156" i="7"/>
  <c r="F67" i="7"/>
  <c r="I69" i="7"/>
  <c r="I67" i="7" s="1"/>
  <c r="F84" i="7"/>
  <c r="I84" i="7"/>
  <c r="C85" i="7"/>
  <c r="C88" i="7"/>
  <c r="I89" i="7"/>
  <c r="F95" i="7"/>
  <c r="C105" i="7"/>
  <c r="I103" i="7"/>
  <c r="C125" i="7"/>
  <c r="I122" i="7"/>
  <c r="I128" i="7"/>
  <c r="C128" i="7" s="1"/>
  <c r="C129" i="7"/>
  <c r="K130" i="7"/>
  <c r="I136" i="7"/>
  <c r="C136" i="7" s="1"/>
  <c r="C137" i="7"/>
  <c r="C140" i="7"/>
  <c r="F144" i="7"/>
  <c r="I144" i="7"/>
  <c r="C145" i="7"/>
  <c r="C148" i="7"/>
  <c r="L151" i="7"/>
  <c r="C168" i="7"/>
  <c r="C170" i="7"/>
  <c r="F166" i="7"/>
  <c r="O174" i="7"/>
  <c r="O173" i="7" s="1"/>
  <c r="C181" i="7"/>
  <c r="I179" i="7"/>
  <c r="I184" i="7"/>
  <c r="C184" i="7" s="1"/>
  <c r="C185" i="7"/>
  <c r="C200" i="7"/>
  <c r="I198" i="7"/>
  <c r="C237" i="7"/>
  <c r="F235" i="7"/>
  <c r="C239" i="7"/>
  <c r="L238" i="7"/>
  <c r="C261" i="7"/>
  <c r="F260" i="7"/>
  <c r="C277" i="7"/>
  <c r="F276" i="7"/>
  <c r="C96" i="7"/>
  <c r="C104" i="7"/>
  <c r="C132" i="7"/>
  <c r="C152" i="7"/>
  <c r="C176" i="7"/>
  <c r="C180" i="7"/>
  <c r="C197" i="7"/>
  <c r="F196" i="7"/>
  <c r="L216" i="7"/>
  <c r="C233" i="7"/>
  <c r="C249" i="7"/>
  <c r="F246" i="7"/>
  <c r="L252" i="7"/>
  <c r="L251" i="7" s="1"/>
  <c r="C255" i="7"/>
  <c r="E270" i="7"/>
  <c r="E269" i="7" s="1"/>
  <c r="C285" i="7"/>
  <c r="F284" i="7"/>
  <c r="C189" i="7"/>
  <c r="O205" i="7"/>
  <c r="C217" i="7"/>
  <c r="F216" i="7"/>
  <c r="C241" i="7"/>
  <c r="F238" i="7"/>
  <c r="C248" i="7"/>
  <c r="I246" i="7"/>
  <c r="E230" i="7"/>
  <c r="C253" i="7"/>
  <c r="F252" i="7"/>
  <c r="M259" i="7"/>
  <c r="C265" i="7"/>
  <c r="F264" i="7"/>
  <c r="L270" i="7"/>
  <c r="L269" i="7" s="1"/>
  <c r="C273" i="7"/>
  <c r="F272" i="7"/>
  <c r="C193" i="7"/>
  <c r="F192" i="7"/>
  <c r="E195" i="7"/>
  <c r="L196" i="7"/>
  <c r="L205" i="7"/>
  <c r="C208" i="7"/>
  <c r="C209" i="7"/>
  <c r="F205" i="7"/>
  <c r="C219" i="7"/>
  <c r="C220" i="7"/>
  <c r="C227" i="7"/>
  <c r="G231" i="7"/>
  <c r="G230" i="7" s="1"/>
  <c r="C244" i="7"/>
  <c r="C247" i="7"/>
  <c r="L246" i="7"/>
  <c r="C256" i="7"/>
  <c r="O260" i="7"/>
  <c r="O259" i="7" s="1"/>
  <c r="C267" i="7"/>
  <c r="C268" i="7"/>
  <c r="C281" i="7"/>
  <c r="C295" i="7"/>
  <c r="C296" i="7"/>
  <c r="C297" i="7"/>
  <c r="F293" i="7"/>
  <c r="C199" i="7"/>
  <c r="D230" i="7" l="1"/>
  <c r="D194" i="7" s="1"/>
  <c r="D289" i="7"/>
  <c r="G52" i="7"/>
  <c r="O270" i="7"/>
  <c r="O269" i="7" s="1"/>
  <c r="C116" i="7"/>
  <c r="D52" i="7"/>
  <c r="K75" i="7"/>
  <c r="K52" i="7" s="1"/>
  <c r="M75" i="7"/>
  <c r="M52" i="7" s="1"/>
  <c r="G194" i="7"/>
  <c r="I231" i="7"/>
  <c r="I230" i="7" s="1"/>
  <c r="C179" i="7"/>
  <c r="O53" i="7"/>
  <c r="I292" i="7"/>
  <c r="H75" i="7"/>
  <c r="H289" i="7" s="1"/>
  <c r="C67" i="7"/>
  <c r="C89" i="7"/>
  <c r="C151" i="7"/>
  <c r="L259" i="7"/>
  <c r="L54" i="7"/>
  <c r="L53" i="7" s="1"/>
  <c r="C264" i="7"/>
  <c r="C69" i="7"/>
  <c r="O204" i="7"/>
  <c r="O195" i="7" s="1"/>
  <c r="C103" i="7"/>
  <c r="J52" i="7"/>
  <c r="F20" i="7"/>
  <c r="O230" i="7"/>
  <c r="L83" i="7"/>
  <c r="O83" i="7"/>
  <c r="O75" i="7" s="1"/>
  <c r="M230" i="7"/>
  <c r="M194" i="7" s="1"/>
  <c r="M51" i="7" s="1"/>
  <c r="C276" i="7"/>
  <c r="N75" i="7"/>
  <c r="N52" i="7" s="1"/>
  <c r="L291" i="7"/>
  <c r="J194" i="7"/>
  <c r="N194" i="7"/>
  <c r="L130" i="7"/>
  <c r="I204" i="7"/>
  <c r="L231" i="7"/>
  <c r="C238" i="7"/>
  <c r="C293" i="7"/>
  <c r="L204" i="7"/>
  <c r="M289" i="7"/>
  <c r="E289" i="7"/>
  <c r="C21" i="7"/>
  <c r="I174" i="7"/>
  <c r="I173" i="7" s="1"/>
  <c r="K194" i="7"/>
  <c r="K51" i="7" s="1"/>
  <c r="O194" i="7"/>
  <c r="C192" i="7"/>
  <c r="F191" i="7"/>
  <c r="C246" i="7"/>
  <c r="C45" i="7"/>
  <c r="O20" i="7"/>
  <c r="C27" i="7"/>
  <c r="L26" i="7"/>
  <c r="J289" i="7"/>
  <c r="C205" i="7"/>
  <c r="F204" i="7"/>
  <c r="L195" i="7"/>
  <c r="C252" i="7"/>
  <c r="F251" i="7"/>
  <c r="C251" i="7" s="1"/>
  <c r="C260" i="7"/>
  <c r="F259" i="7"/>
  <c r="C259" i="7" s="1"/>
  <c r="C235" i="7"/>
  <c r="F231" i="7"/>
  <c r="C198" i="7"/>
  <c r="I196" i="7"/>
  <c r="I195" i="7" s="1"/>
  <c r="C144" i="7"/>
  <c r="F130" i="7"/>
  <c r="C77" i="7"/>
  <c r="F76" i="7"/>
  <c r="C55" i="7"/>
  <c r="I54" i="7"/>
  <c r="I53" i="7" s="1"/>
  <c r="C216" i="7"/>
  <c r="G289" i="7"/>
  <c r="C166" i="7"/>
  <c r="F165" i="7"/>
  <c r="C165" i="7" s="1"/>
  <c r="C95" i="7"/>
  <c r="I83" i="7"/>
  <c r="C122" i="7"/>
  <c r="F173" i="7"/>
  <c r="C80" i="7"/>
  <c r="C58" i="7"/>
  <c r="F54" i="7"/>
  <c r="I130" i="7"/>
  <c r="C131" i="7"/>
  <c r="G51" i="7"/>
  <c r="E194" i="7"/>
  <c r="E51" i="7" s="1"/>
  <c r="F270" i="7"/>
  <c r="C272" i="7"/>
  <c r="C284" i="7"/>
  <c r="F283" i="7"/>
  <c r="C283" i="7" s="1"/>
  <c r="K289" i="7"/>
  <c r="C188" i="7"/>
  <c r="F83" i="7"/>
  <c r="C83" i="7" s="1"/>
  <c r="C84" i="7"/>
  <c r="C112" i="7"/>
  <c r="F291" i="7"/>
  <c r="D51" i="7" l="1"/>
  <c r="D290" i="7" s="1"/>
  <c r="L230" i="7"/>
  <c r="I194" i="7"/>
  <c r="N51" i="7"/>
  <c r="N50" i="7" s="1"/>
  <c r="H52" i="7"/>
  <c r="H51" i="7" s="1"/>
  <c r="C292" i="7"/>
  <c r="I291" i="7"/>
  <c r="C291" i="7" s="1"/>
  <c r="J51" i="7"/>
  <c r="J50" i="7" s="1"/>
  <c r="L75" i="7"/>
  <c r="L52" i="7" s="1"/>
  <c r="L194" i="7"/>
  <c r="C174" i="7"/>
  <c r="O52" i="7"/>
  <c r="O289" i="7"/>
  <c r="C204" i="7"/>
  <c r="D50" i="7"/>
  <c r="O51" i="7"/>
  <c r="O50" i="7" s="1"/>
  <c r="N289" i="7"/>
  <c r="K290" i="7"/>
  <c r="K50" i="7"/>
  <c r="I75" i="7"/>
  <c r="I289" i="7" s="1"/>
  <c r="F195" i="7"/>
  <c r="C195" i="7" s="1"/>
  <c r="M50" i="7"/>
  <c r="M290" i="7"/>
  <c r="G290" i="7"/>
  <c r="G50" i="7"/>
  <c r="F75" i="7"/>
  <c r="C76" i="7"/>
  <c r="E290" i="7"/>
  <c r="E50" i="7"/>
  <c r="C191" i="7"/>
  <c r="F187" i="7"/>
  <c r="C187" i="7" s="1"/>
  <c r="F269" i="7"/>
  <c r="C270" i="7"/>
  <c r="C173" i="7"/>
  <c r="C196" i="7"/>
  <c r="C130" i="7"/>
  <c r="F230" i="7"/>
  <c r="C230" i="7" s="1"/>
  <c r="C231" i="7"/>
  <c r="C54" i="7"/>
  <c r="F53" i="7"/>
  <c r="C26" i="7"/>
  <c r="L20" i="7"/>
  <c r="C20" i="7" s="1"/>
  <c r="O290" i="7"/>
  <c r="C75" i="7" l="1"/>
  <c r="N290" i="7"/>
  <c r="J290" i="7"/>
  <c r="L289" i="7"/>
  <c r="H50" i="7"/>
  <c r="H290" i="7"/>
  <c r="L51" i="7"/>
  <c r="L50" i="7" s="1"/>
  <c r="I52" i="7"/>
  <c r="I51" i="7" s="1"/>
  <c r="I50" i="7" s="1"/>
  <c r="C53" i="7"/>
  <c r="F52" i="7"/>
  <c r="C269" i="7"/>
  <c r="F289" i="7"/>
  <c r="C289" i="7" s="1"/>
  <c r="F194" i="7"/>
  <c r="C194" i="7" s="1"/>
  <c r="I290" i="7" l="1"/>
  <c r="L290" i="7"/>
  <c r="F51" i="7"/>
  <c r="C52" i="7"/>
  <c r="F290" i="7" l="1"/>
  <c r="C290" i="7" s="1"/>
  <c r="F50" i="7"/>
  <c r="C50" i="7" s="1"/>
  <c r="C51" i="7"/>
  <c r="O301" i="6" l="1"/>
  <c r="L301" i="6"/>
  <c r="I301" i="6"/>
  <c r="F301" i="6"/>
  <c r="O300" i="6"/>
  <c r="L300" i="6"/>
  <c r="I300" i="6"/>
  <c r="F300" i="6"/>
  <c r="O299" i="6"/>
  <c r="L299" i="6"/>
  <c r="I299" i="6"/>
  <c r="F299" i="6"/>
  <c r="O298" i="6"/>
  <c r="L298" i="6"/>
  <c r="I298" i="6"/>
  <c r="F298" i="6"/>
  <c r="O297" i="6"/>
  <c r="L297" i="6"/>
  <c r="I297" i="6"/>
  <c r="F297" i="6"/>
  <c r="O296" i="6"/>
  <c r="L296" i="6"/>
  <c r="I296" i="6"/>
  <c r="F296" i="6"/>
  <c r="O295" i="6"/>
  <c r="L295" i="6"/>
  <c r="I295" i="6"/>
  <c r="F295" i="6"/>
  <c r="O294" i="6"/>
  <c r="L294" i="6"/>
  <c r="L293" i="6" s="1"/>
  <c r="I294" i="6"/>
  <c r="F294" i="6"/>
  <c r="N293" i="6"/>
  <c r="M293" i="6"/>
  <c r="K293" i="6"/>
  <c r="J293" i="6"/>
  <c r="H293" i="6"/>
  <c r="G293" i="6"/>
  <c r="E293" i="6"/>
  <c r="D293" i="6"/>
  <c r="O288" i="6"/>
  <c r="L288" i="6"/>
  <c r="I288" i="6"/>
  <c r="F288" i="6"/>
  <c r="O287" i="6"/>
  <c r="L287" i="6"/>
  <c r="L286" i="6" s="1"/>
  <c r="I287" i="6"/>
  <c r="F287" i="6"/>
  <c r="O286" i="6"/>
  <c r="N286" i="6"/>
  <c r="M286" i="6"/>
  <c r="K286" i="6"/>
  <c r="J286" i="6"/>
  <c r="H286" i="6"/>
  <c r="G286" i="6"/>
  <c r="F286" i="6"/>
  <c r="E286" i="6"/>
  <c r="D286" i="6"/>
  <c r="O285" i="6"/>
  <c r="L285" i="6"/>
  <c r="L284" i="6" s="1"/>
  <c r="L283" i="6" s="1"/>
  <c r="I285" i="6"/>
  <c r="F285" i="6"/>
  <c r="O284" i="6"/>
  <c r="O283" i="6" s="1"/>
  <c r="N284" i="6"/>
  <c r="N283" i="6" s="1"/>
  <c r="M284" i="6"/>
  <c r="M283" i="6" s="1"/>
  <c r="K284" i="6"/>
  <c r="K283" i="6" s="1"/>
  <c r="J284" i="6"/>
  <c r="J283" i="6" s="1"/>
  <c r="I284" i="6"/>
  <c r="I283" i="6" s="1"/>
  <c r="H284" i="6"/>
  <c r="H283" i="6" s="1"/>
  <c r="G284" i="6"/>
  <c r="G283" i="6" s="1"/>
  <c r="E284" i="6"/>
  <c r="E283" i="6" s="1"/>
  <c r="D284" i="6"/>
  <c r="D283" i="6" s="1"/>
  <c r="O282" i="6"/>
  <c r="O281" i="6" s="1"/>
  <c r="L282" i="6"/>
  <c r="L281" i="6" s="1"/>
  <c r="I282" i="6"/>
  <c r="I281" i="6" s="1"/>
  <c r="F282" i="6"/>
  <c r="N281" i="6"/>
  <c r="M281" i="6"/>
  <c r="K281" i="6"/>
  <c r="J281" i="6"/>
  <c r="H281" i="6"/>
  <c r="G281" i="6"/>
  <c r="E281" i="6"/>
  <c r="D281" i="6"/>
  <c r="O280" i="6"/>
  <c r="L280" i="6"/>
  <c r="I280" i="6"/>
  <c r="F280" i="6"/>
  <c r="O279" i="6"/>
  <c r="L279" i="6"/>
  <c r="I279" i="6"/>
  <c r="F279" i="6"/>
  <c r="O278" i="6"/>
  <c r="L278" i="6"/>
  <c r="I278" i="6"/>
  <c r="F278" i="6"/>
  <c r="O277" i="6"/>
  <c r="L277" i="6"/>
  <c r="I277" i="6"/>
  <c r="I276" i="6" s="1"/>
  <c r="F277" i="6"/>
  <c r="N276" i="6"/>
  <c r="M276" i="6"/>
  <c r="K276" i="6"/>
  <c r="J276" i="6"/>
  <c r="H276" i="6"/>
  <c r="G276" i="6"/>
  <c r="E276" i="6"/>
  <c r="D276" i="6"/>
  <c r="O275" i="6"/>
  <c r="L275" i="6"/>
  <c r="I275" i="6"/>
  <c r="F275" i="6"/>
  <c r="O274" i="6"/>
  <c r="L274" i="6"/>
  <c r="I274" i="6"/>
  <c r="F274" i="6"/>
  <c r="O273" i="6"/>
  <c r="O272" i="6" s="1"/>
  <c r="L273" i="6"/>
  <c r="I273" i="6"/>
  <c r="I272" i="6" s="1"/>
  <c r="F273" i="6"/>
  <c r="N272" i="6"/>
  <c r="N270" i="6" s="1"/>
  <c r="M272" i="6"/>
  <c r="K272" i="6"/>
  <c r="J272" i="6"/>
  <c r="J270" i="6" s="1"/>
  <c r="H272" i="6"/>
  <c r="H270" i="6" s="1"/>
  <c r="H269" i="6" s="1"/>
  <c r="G272" i="6"/>
  <c r="G270" i="6" s="1"/>
  <c r="G269" i="6" s="1"/>
  <c r="E272" i="6"/>
  <c r="D272" i="6"/>
  <c r="D270" i="6" s="1"/>
  <c r="O271" i="6"/>
  <c r="L271" i="6"/>
  <c r="I271" i="6"/>
  <c r="F271" i="6"/>
  <c r="O268" i="6"/>
  <c r="L268" i="6"/>
  <c r="I268" i="6"/>
  <c r="F268" i="6"/>
  <c r="O267" i="6"/>
  <c r="L267" i="6"/>
  <c r="I267" i="6"/>
  <c r="F267" i="6"/>
  <c r="O266" i="6"/>
  <c r="L266" i="6"/>
  <c r="I266" i="6"/>
  <c r="F266" i="6"/>
  <c r="O265" i="6"/>
  <c r="L265" i="6"/>
  <c r="I265" i="6"/>
  <c r="F265" i="6"/>
  <c r="N264" i="6"/>
  <c r="M264" i="6"/>
  <c r="K264" i="6"/>
  <c r="J264" i="6"/>
  <c r="H264" i="6"/>
  <c r="G264" i="6"/>
  <c r="E264" i="6"/>
  <c r="D264" i="6"/>
  <c r="O263" i="6"/>
  <c r="L263" i="6"/>
  <c r="I263" i="6"/>
  <c r="F263" i="6"/>
  <c r="O262" i="6"/>
  <c r="L262" i="6"/>
  <c r="I262" i="6"/>
  <c r="F262" i="6"/>
  <c r="O261" i="6"/>
  <c r="L261" i="6"/>
  <c r="I261" i="6"/>
  <c r="I260" i="6" s="1"/>
  <c r="F261" i="6"/>
  <c r="N260" i="6"/>
  <c r="M260" i="6"/>
  <c r="K260" i="6"/>
  <c r="K259" i="6" s="1"/>
  <c r="J260" i="6"/>
  <c r="H260" i="6"/>
  <c r="H259" i="6" s="1"/>
  <c r="G260" i="6"/>
  <c r="G259" i="6" s="1"/>
  <c r="E260" i="6"/>
  <c r="D260" i="6"/>
  <c r="D259" i="6" s="1"/>
  <c r="N259" i="6"/>
  <c r="O258" i="6"/>
  <c r="L258" i="6"/>
  <c r="I258" i="6"/>
  <c r="F258" i="6"/>
  <c r="O257" i="6"/>
  <c r="L257" i="6"/>
  <c r="I257" i="6"/>
  <c r="F257" i="6"/>
  <c r="O256" i="6"/>
  <c r="L256" i="6"/>
  <c r="I256" i="6"/>
  <c r="F256" i="6"/>
  <c r="O255" i="6"/>
  <c r="L255" i="6"/>
  <c r="I255" i="6"/>
  <c r="F255" i="6"/>
  <c r="O254" i="6"/>
  <c r="L254" i="6"/>
  <c r="I254" i="6"/>
  <c r="F254" i="6"/>
  <c r="O253" i="6"/>
  <c r="L253" i="6"/>
  <c r="I253" i="6"/>
  <c r="F253" i="6"/>
  <c r="N252" i="6"/>
  <c r="M252" i="6"/>
  <c r="M251" i="6" s="1"/>
  <c r="K252" i="6"/>
  <c r="K251" i="6" s="1"/>
  <c r="J252" i="6"/>
  <c r="J251" i="6" s="1"/>
  <c r="H252" i="6"/>
  <c r="H251" i="6" s="1"/>
  <c r="G252" i="6"/>
  <c r="G251" i="6" s="1"/>
  <c r="E252" i="6"/>
  <c r="E251" i="6" s="1"/>
  <c r="D252" i="6"/>
  <c r="D251" i="6" s="1"/>
  <c r="N251" i="6"/>
  <c r="O250" i="6"/>
  <c r="L250" i="6"/>
  <c r="I250" i="6"/>
  <c r="F250" i="6"/>
  <c r="O249" i="6"/>
  <c r="L249" i="6"/>
  <c r="I249" i="6"/>
  <c r="F249" i="6"/>
  <c r="O248" i="6"/>
  <c r="L248" i="6"/>
  <c r="I248" i="6"/>
  <c r="F248" i="6"/>
  <c r="O247" i="6"/>
  <c r="L247" i="6"/>
  <c r="L246" i="6" s="1"/>
  <c r="I247" i="6"/>
  <c r="F247" i="6"/>
  <c r="O246" i="6"/>
  <c r="N246" i="6"/>
  <c r="M246" i="6"/>
  <c r="K246" i="6"/>
  <c r="J246" i="6"/>
  <c r="H246" i="6"/>
  <c r="G246" i="6"/>
  <c r="E246" i="6"/>
  <c r="D246" i="6"/>
  <c r="O245" i="6"/>
  <c r="L245" i="6"/>
  <c r="I245" i="6"/>
  <c r="F245" i="6"/>
  <c r="O244" i="6"/>
  <c r="L244" i="6"/>
  <c r="I244" i="6"/>
  <c r="F244" i="6"/>
  <c r="O243" i="6"/>
  <c r="L243" i="6"/>
  <c r="I243" i="6"/>
  <c r="F243" i="6"/>
  <c r="O242" i="6"/>
  <c r="L242" i="6"/>
  <c r="I242" i="6"/>
  <c r="F242" i="6"/>
  <c r="O241" i="6"/>
  <c r="L241" i="6"/>
  <c r="I241" i="6"/>
  <c r="F241" i="6"/>
  <c r="O240" i="6"/>
  <c r="L240" i="6"/>
  <c r="I240" i="6"/>
  <c r="F240" i="6"/>
  <c r="O239" i="6"/>
  <c r="L239" i="6"/>
  <c r="I239" i="6"/>
  <c r="F239" i="6"/>
  <c r="N238" i="6"/>
  <c r="M238" i="6"/>
  <c r="K238" i="6"/>
  <c r="J238" i="6"/>
  <c r="H238" i="6"/>
  <c r="G238" i="6"/>
  <c r="E238" i="6"/>
  <c r="D238" i="6"/>
  <c r="O237" i="6"/>
  <c r="L237" i="6"/>
  <c r="I237" i="6"/>
  <c r="F237" i="6"/>
  <c r="O236" i="6"/>
  <c r="L236" i="6"/>
  <c r="L235" i="6" s="1"/>
  <c r="I236" i="6"/>
  <c r="F236" i="6"/>
  <c r="O235" i="6"/>
  <c r="N235" i="6"/>
  <c r="M235" i="6"/>
  <c r="K235" i="6"/>
  <c r="J235" i="6"/>
  <c r="H235" i="6"/>
  <c r="G235" i="6"/>
  <c r="E235" i="6"/>
  <c r="D235" i="6"/>
  <c r="O234" i="6"/>
  <c r="O233" i="6" s="1"/>
  <c r="L234" i="6"/>
  <c r="L233" i="6" s="1"/>
  <c r="I234" i="6"/>
  <c r="F234" i="6"/>
  <c r="N233" i="6"/>
  <c r="M233" i="6"/>
  <c r="K233" i="6"/>
  <c r="J233" i="6"/>
  <c r="I233" i="6"/>
  <c r="H233" i="6"/>
  <c r="G233" i="6"/>
  <c r="F233" i="6"/>
  <c r="E233" i="6"/>
  <c r="D233" i="6"/>
  <c r="O232" i="6"/>
  <c r="L232" i="6"/>
  <c r="I232" i="6"/>
  <c r="F232" i="6"/>
  <c r="O229" i="6"/>
  <c r="L229" i="6"/>
  <c r="I229" i="6"/>
  <c r="F229" i="6"/>
  <c r="O228" i="6"/>
  <c r="O227" i="6" s="1"/>
  <c r="L228" i="6"/>
  <c r="L227" i="6" s="1"/>
  <c r="I228" i="6"/>
  <c r="I227" i="6" s="1"/>
  <c r="F228" i="6"/>
  <c r="N227" i="6"/>
  <c r="M227" i="6"/>
  <c r="K227" i="6"/>
  <c r="J227" i="6"/>
  <c r="H227" i="6"/>
  <c r="G227" i="6"/>
  <c r="F227" i="6"/>
  <c r="E227" i="6"/>
  <c r="D227" i="6"/>
  <c r="O226" i="6"/>
  <c r="L226" i="6"/>
  <c r="I226" i="6"/>
  <c r="F226" i="6"/>
  <c r="O225" i="6"/>
  <c r="L225" i="6"/>
  <c r="I225" i="6"/>
  <c r="F225" i="6"/>
  <c r="O224" i="6"/>
  <c r="L224" i="6"/>
  <c r="I224" i="6"/>
  <c r="F224" i="6"/>
  <c r="O223" i="6"/>
  <c r="L223" i="6"/>
  <c r="I223" i="6"/>
  <c r="F223" i="6"/>
  <c r="O222" i="6"/>
  <c r="L222" i="6"/>
  <c r="I222" i="6"/>
  <c r="F222" i="6"/>
  <c r="O221" i="6"/>
  <c r="L221" i="6"/>
  <c r="I221" i="6"/>
  <c r="F221" i="6"/>
  <c r="O220" i="6"/>
  <c r="L220" i="6"/>
  <c r="I220" i="6"/>
  <c r="F220" i="6"/>
  <c r="O219" i="6"/>
  <c r="L219" i="6"/>
  <c r="I219" i="6"/>
  <c r="F219" i="6"/>
  <c r="O218" i="6"/>
  <c r="L218" i="6"/>
  <c r="I218" i="6"/>
  <c r="F218" i="6"/>
  <c r="O217" i="6"/>
  <c r="L217" i="6"/>
  <c r="I217" i="6"/>
  <c r="F217" i="6"/>
  <c r="N216" i="6"/>
  <c r="M216" i="6"/>
  <c r="K216" i="6"/>
  <c r="J216" i="6"/>
  <c r="H216" i="6"/>
  <c r="G216" i="6"/>
  <c r="E216" i="6"/>
  <c r="D216" i="6"/>
  <c r="O215" i="6"/>
  <c r="L215" i="6"/>
  <c r="I215" i="6"/>
  <c r="F215" i="6"/>
  <c r="O214" i="6"/>
  <c r="L214" i="6"/>
  <c r="I214" i="6"/>
  <c r="F214" i="6"/>
  <c r="O213" i="6"/>
  <c r="L213" i="6"/>
  <c r="I213" i="6"/>
  <c r="F213" i="6"/>
  <c r="O212" i="6"/>
  <c r="L212" i="6"/>
  <c r="I212" i="6"/>
  <c r="F212" i="6"/>
  <c r="O211" i="6"/>
  <c r="L211" i="6"/>
  <c r="I211" i="6"/>
  <c r="F211" i="6"/>
  <c r="O210" i="6"/>
  <c r="L210" i="6"/>
  <c r="I210" i="6"/>
  <c r="F210" i="6"/>
  <c r="O209" i="6"/>
  <c r="L209" i="6"/>
  <c r="I209" i="6"/>
  <c r="F209" i="6"/>
  <c r="O208" i="6"/>
  <c r="L208" i="6"/>
  <c r="I208" i="6"/>
  <c r="F208" i="6"/>
  <c r="O207" i="6"/>
  <c r="L207" i="6"/>
  <c r="I207" i="6"/>
  <c r="F207" i="6"/>
  <c r="O206" i="6"/>
  <c r="L206" i="6"/>
  <c r="I206" i="6"/>
  <c r="F206" i="6"/>
  <c r="N205" i="6"/>
  <c r="M205" i="6"/>
  <c r="K205" i="6"/>
  <c r="J205" i="6"/>
  <c r="H205" i="6"/>
  <c r="G205" i="6"/>
  <c r="E205" i="6"/>
  <c r="E204" i="6" s="1"/>
  <c r="D205" i="6"/>
  <c r="D204" i="6" s="1"/>
  <c r="O203" i="6"/>
  <c r="L203" i="6"/>
  <c r="I203" i="6"/>
  <c r="F203" i="6"/>
  <c r="O202" i="6"/>
  <c r="L202" i="6"/>
  <c r="I202" i="6"/>
  <c r="F202" i="6"/>
  <c r="O201" i="6"/>
  <c r="L201" i="6"/>
  <c r="I201" i="6"/>
  <c r="F201" i="6"/>
  <c r="O200" i="6"/>
  <c r="L200" i="6"/>
  <c r="I200" i="6"/>
  <c r="F200" i="6"/>
  <c r="O199" i="6"/>
  <c r="L199" i="6"/>
  <c r="L198" i="6" s="1"/>
  <c r="I199" i="6"/>
  <c r="F199" i="6"/>
  <c r="F198" i="6" s="1"/>
  <c r="O198" i="6"/>
  <c r="N198" i="6"/>
  <c r="M198" i="6"/>
  <c r="K198" i="6"/>
  <c r="K196" i="6" s="1"/>
  <c r="J198" i="6"/>
  <c r="J196" i="6" s="1"/>
  <c r="H198" i="6"/>
  <c r="H196" i="6" s="1"/>
  <c r="G198" i="6"/>
  <c r="G196" i="6" s="1"/>
  <c r="E198" i="6"/>
  <c r="E196" i="6" s="1"/>
  <c r="D198" i="6"/>
  <c r="O197" i="6"/>
  <c r="L197" i="6"/>
  <c r="I197" i="6"/>
  <c r="F197" i="6"/>
  <c r="N196" i="6"/>
  <c r="M196" i="6"/>
  <c r="D196" i="6"/>
  <c r="O193" i="6"/>
  <c r="L193" i="6"/>
  <c r="L192" i="6" s="1"/>
  <c r="L191" i="6" s="1"/>
  <c r="I193" i="6"/>
  <c r="F193" i="6"/>
  <c r="O192" i="6"/>
  <c r="O191" i="6" s="1"/>
  <c r="N192" i="6"/>
  <c r="N191" i="6" s="1"/>
  <c r="M192" i="6"/>
  <c r="M191" i="6" s="1"/>
  <c r="K192" i="6"/>
  <c r="K191" i="6" s="1"/>
  <c r="J192" i="6"/>
  <c r="J191" i="6" s="1"/>
  <c r="I192" i="6"/>
  <c r="I191" i="6" s="1"/>
  <c r="H192" i="6"/>
  <c r="G192" i="6"/>
  <c r="G191" i="6" s="1"/>
  <c r="E192" i="6"/>
  <c r="E191" i="6" s="1"/>
  <c r="D192" i="6"/>
  <c r="D191" i="6" s="1"/>
  <c r="H191" i="6"/>
  <c r="O190" i="6"/>
  <c r="L190" i="6"/>
  <c r="I190" i="6"/>
  <c r="F190" i="6"/>
  <c r="O189" i="6"/>
  <c r="L189" i="6"/>
  <c r="I189" i="6"/>
  <c r="I188" i="6" s="1"/>
  <c r="F189" i="6"/>
  <c r="F188" i="6" s="1"/>
  <c r="N188" i="6"/>
  <c r="M188" i="6"/>
  <c r="M187" i="6" s="1"/>
  <c r="K188" i="6"/>
  <c r="J188" i="6"/>
  <c r="H188" i="6"/>
  <c r="G188" i="6"/>
  <c r="E188" i="6"/>
  <c r="D188" i="6"/>
  <c r="O186" i="6"/>
  <c r="L186" i="6"/>
  <c r="I186" i="6"/>
  <c r="F186" i="6"/>
  <c r="O185" i="6"/>
  <c r="L185" i="6"/>
  <c r="L184" i="6" s="1"/>
  <c r="I185" i="6"/>
  <c r="I184" i="6" s="1"/>
  <c r="F185" i="6"/>
  <c r="N184" i="6"/>
  <c r="M184" i="6"/>
  <c r="K184" i="6"/>
  <c r="J184" i="6"/>
  <c r="H184" i="6"/>
  <c r="G184" i="6"/>
  <c r="E184" i="6"/>
  <c r="D184" i="6"/>
  <c r="O183" i="6"/>
  <c r="L183" i="6"/>
  <c r="I183" i="6"/>
  <c r="F183" i="6"/>
  <c r="O182" i="6"/>
  <c r="L182" i="6"/>
  <c r="I182" i="6"/>
  <c r="F182" i="6"/>
  <c r="O181" i="6"/>
  <c r="L181" i="6"/>
  <c r="I181" i="6"/>
  <c r="F181" i="6"/>
  <c r="O180" i="6"/>
  <c r="L180" i="6"/>
  <c r="I180" i="6"/>
  <c r="I179" i="6" s="1"/>
  <c r="F180" i="6"/>
  <c r="N179" i="6"/>
  <c r="M179" i="6"/>
  <c r="K179" i="6"/>
  <c r="J179" i="6"/>
  <c r="H179" i="6"/>
  <c r="G179" i="6"/>
  <c r="E179" i="6"/>
  <c r="D179" i="6"/>
  <c r="O178" i="6"/>
  <c r="L178" i="6"/>
  <c r="I178" i="6"/>
  <c r="F178" i="6"/>
  <c r="O177" i="6"/>
  <c r="L177" i="6"/>
  <c r="I177" i="6"/>
  <c r="F177" i="6"/>
  <c r="O176" i="6"/>
  <c r="L176" i="6"/>
  <c r="I176" i="6"/>
  <c r="I175" i="6" s="1"/>
  <c r="I174" i="6" s="1"/>
  <c r="F176" i="6"/>
  <c r="F175" i="6" s="1"/>
  <c r="N175" i="6"/>
  <c r="M175" i="6"/>
  <c r="K175" i="6"/>
  <c r="K174" i="6" s="1"/>
  <c r="K173" i="6" s="1"/>
  <c r="J175" i="6"/>
  <c r="H175" i="6"/>
  <c r="G175" i="6"/>
  <c r="E175" i="6"/>
  <c r="E174" i="6" s="1"/>
  <c r="E173" i="6" s="1"/>
  <c r="D175" i="6"/>
  <c r="O172" i="6"/>
  <c r="L172" i="6"/>
  <c r="I172" i="6"/>
  <c r="F172" i="6"/>
  <c r="O171" i="6"/>
  <c r="L171" i="6"/>
  <c r="I171" i="6"/>
  <c r="F171" i="6"/>
  <c r="O170" i="6"/>
  <c r="L170" i="6"/>
  <c r="I170" i="6"/>
  <c r="F170" i="6"/>
  <c r="O169" i="6"/>
  <c r="L169" i="6"/>
  <c r="I169" i="6"/>
  <c r="F169" i="6"/>
  <c r="O168" i="6"/>
  <c r="L168" i="6"/>
  <c r="I168" i="6"/>
  <c r="F168" i="6"/>
  <c r="O167" i="6"/>
  <c r="L167" i="6"/>
  <c r="I167" i="6"/>
  <c r="F167" i="6"/>
  <c r="N166" i="6"/>
  <c r="N165" i="6" s="1"/>
  <c r="M166" i="6"/>
  <c r="M165" i="6" s="1"/>
  <c r="K166" i="6"/>
  <c r="K165" i="6" s="1"/>
  <c r="J166" i="6"/>
  <c r="J165" i="6" s="1"/>
  <c r="H166" i="6"/>
  <c r="G166" i="6"/>
  <c r="G165" i="6" s="1"/>
  <c r="E166" i="6"/>
  <c r="E165" i="6" s="1"/>
  <c r="D166" i="6"/>
  <c r="D165" i="6" s="1"/>
  <c r="H165" i="6"/>
  <c r="O164" i="6"/>
  <c r="L164" i="6"/>
  <c r="I164" i="6"/>
  <c r="F164" i="6"/>
  <c r="O163" i="6"/>
  <c r="L163" i="6"/>
  <c r="I163" i="6"/>
  <c r="F163" i="6"/>
  <c r="O162" i="6"/>
  <c r="L162" i="6"/>
  <c r="I162" i="6"/>
  <c r="F162" i="6"/>
  <c r="O161" i="6"/>
  <c r="L161" i="6"/>
  <c r="L160" i="6" s="1"/>
  <c r="I161" i="6"/>
  <c r="F161" i="6"/>
  <c r="N160" i="6"/>
  <c r="M160" i="6"/>
  <c r="K160" i="6"/>
  <c r="J160" i="6"/>
  <c r="I160" i="6"/>
  <c r="H160" i="6"/>
  <c r="G160" i="6"/>
  <c r="E160" i="6"/>
  <c r="D160" i="6"/>
  <c r="O159" i="6"/>
  <c r="L159" i="6"/>
  <c r="I159" i="6"/>
  <c r="F159" i="6"/>
  <c r="O158" i="6"/>
  <c r="L158" i="6"/>
  <c r="I158" i="6"/>
  <c r="F158" i="6"/>
  <c r="O157" i="6"/>
  <c r="L157" i="6"/>
  <c r="I157" i="6"/>
  <c r="F157" i="6"/>
  <c r="O156" i="6"/>
  <c r="L156" i="6"/>
  <c r="I156" i="6"/>
  <c r="F156" i="6"/>
  <c r="O155" i="6"/>
  <c r="L155" i="6"/>
  <c r="I155" i="6"/>
  <c r="F155" i="6"/>
  <c r="O154" i="6"/>
  <c r="L154" i="6"/>
  <c r="I154" i="6"/>
  <c r="F154" i="6"/>
  <c r="O153" i="6"/>
  <c r="L153" i="6"/>
  <c r="I153" i="6"/>
  <c r="F153" i="6"/>
  <c r="O152" i="6"/>
  <c r="L152" i="6"/>
  <c r="I152" i="6"/>
  <c r="I151" i="6" s="1"/>
  <c r="F152" i="6"/>
  <c r="F151" i="6" s="1"/>
  <c r="N151" i="6"/>
  <c r="M151" i="6"/>
  <c r="K151" i="6"/>
  <c r="J151" i="6"/>
  <c r="H151" i="6"/>
  <c r="G151" i="6"/>
  <c r="E151" i="6"/>
  <c r="D151" i="6"/>
  <c r="O150" i="6"/>
  <c r="L150" i="6"/>
  <c r="I150" i="6"/>
  <c r="F150" i="6"/>
  <c r="O149" i="6"/>
  <c r="L149" i="6"/>
  <c r="I149" i="6"/>
  <c r="F149" i="6"/>
  <c r="O148" i="6"/>
  <c r="L148" i="6"/>
  <c r="I148" i="6"/>
  <c r="F148" i="6"/>
  <c r="O147" i="6"/>
  <c r="L147" i="6"/>
  <c r="I147" i="6"/>
  <c r="F147" i="6"/>
  <c r="O146" i="6"/>
  <c r="L146" i="6"/>
  <c r="I146" i="6"/>
  <c r="F146" i="6"/>
  <c r="O145" i="6"/>
  <c r="L145" i="6"/>
  <c r="I145" i="6"/>
  <c r="I144" i="6" s="1"/>
  <c r="F145" i="6"/>
  <c r="N144" i="6"/>
  <c r="M144" i="6"/>
  <c r="K144" i="6"/>
  <c r="J144" i="6"/>
  <c r="H144" i="6"/>
  <c r="G144" i="6"/>
  <c r="E144" i="6"/>
  <c r="D144" i="6"/>
  <c r="O143" i="6"/>
  <c r="L143" i="6"/>
  <c r="I143" i="6"/>
  <c r="F143" i="6"/>
  <c r="O142" i="6"/>
  <c r="O141" i="6" s="1"/>
  <c r="L142" i="6"/>
  <c r="L141" i="6" s="1"/>
  <c r="I142" i="6"/>
  <c r="F142" i="6"/>
  <c r="F141" i="6" s="1"/>
  <c r="N141" i="6"/>
  <c r="M141" i="6"/>
  <c r="K141" i="6"/>
  <c r="J141" i="6"/>
  <c r="H141" i="6"/>
  <c r="G141" i="6"/>
  <c r="E141" i="6"/>
  <c r="D141" i="6"/>
  <c r="O140" i="6"/>
  <c r="L140" i="6"/>
  <c r="I140" i="6"/>
  <c r="F140" i="6"/>
  <c r="O139" i="6"/>
  <c r="L139" i="6"/>
  <c r="I139" i="6"/>
  <c r="F139" i="6"/>
  <c r="O138" i="6"/>
  <c r="L138" i="6"/>
  <c r="I138" i="6"/>
  <c r="F138" i="6"/>
  <c r="O137" i="6"/>
  <c r="L137" i="6"/>
  <c r="I137" i="6"/>
  <c r="I136" i="6" s="1"/>
  <c r="F137" i="6"/>
  <c r="N136" i="6"/>
  <c r="M136" i="6"/>
  <c r="K136" i="6"/>
  <c r="J136" i="6"/>
  <c r="H136" i="6"/>
  <c r="G136" i="6"/>
  <c r="E136" i="6"/>
  <c r="D136" i="6"/>
  <c r="O135" i="6"/>
  <c r="L135" i="6"/>
  <c r="I135" i="6"/>
  <c r="F135" i="6"/>
  <c r="O134" i="6"/>
  <c r="L134" i="6"/>
  <c r="I134" i="6"/>
  <c r="F134" i="6"/>
  <c r="O133" i="6"/>
  <c r="L133" i="6"/>
  <c r="I133" i="6"/>
  <c r="F133" i="6"/>
  <c r="O132" i="6"/>
  <c r="L132" i="6"/>
  <c r="I132" i="6"/>
  <c r="I131" i="6" s="1"/>
  <c r="F132" i="6"/>
  <c r="F131" i="6" s="1"/>
  <c r="N131" i="6"/>
  <c r="M131" i="6"/>
  <c r="K131" i="6"/>
  <c r="J131" i="6"/>
  <c r="H131" i="6"/>
  <c r="G131" i="6"/>
  <c r="E131" i="6"/>
  <c r="D131" i="6"/>
  <c r="O129" i="6"/>
  <c r="L129" i="6"/>
  <c r="L128" i="6" s="1"/>
  <c r="I129" i="6"/>
  <c r="I128" i="6" s="1"/>
  <c r="F129" i="6"/>
  <c r="O128" i="6"/>
  <c r="N128" i="6"/>
  <c r="M128" i="6"/>
  <c r="K128" i="6"/>
  <c r="J128" i="6"/>
  <c r="H128" i="6"/>
  <c r="G128" i="6"/>
  <c r="E128" i="6"/>
  <c r="D128" i="6"/>
  <c r="O127" i="6"/>
  <c r="L127" i="6"/>
  <c r="I127" i="6"/>
  <c r="F127" i="6"/>
  <c r="O126" i="6"/>
  <c r="L126" i="6"/>
  <c r="I126" i="6"/>
  <c r="F126" i="6"/>
  <c r="O125" i="6"/>
  <c r="L125" i="6"/>
  <c r="I125" i="6"/>
  <c r="F125" i="6"/>
  <c r="O124" i="6"/>
  <c r="L124" i="6"/>
  <c r="I124" i="6"/>
  <c r="F124" i="6"/>
  <c r="O123" i="6"/>
  <c r="L123" i="6"/>
  <c r="I123" i="6"/>
  <c r="F123" i="6"/>
  <c r="N122" i="6"/>
  <c r="M122" i="6"/>
  <c r="K122" i="6"/>
  <c r="J122" i="6"/>
  <c r="H122" i="6"/>
  <c r="G122" i="6"/>
  <c r="E122" i="6"/>
  <c r="D122" i="6"/>
  <c r="O121" i="6"/>
  <c r="L121" i="6"/>
  <c r="I121" i="6"/>
  <c r="F121" i="6"/>
  <c r="O120" i="6"/>
  <c r="L120" i="6"/>
  <c r="I120" i="6"/>
  <c r="F120" i="6"/>
  <c r="O119" i="6"/>
  <c r="L119" i="6"/>
  <c r="I119" i="6"/>
  <c r="F119" i="6"/>
  <c r="O118" i="6"/>
  <c r="L118" i="6"/>
  <c r="I118" i="6"/>
  <c r="F118" i="6"/>
  <c r="O117" i="6"/>
  <c r="L117" i="6"/>
  <c r="I117" i="6"/>
  <c r="I116" i="6" s="1"/>
  <c r="F117" i="6"/>
  <c r="N116" i="6"/>
  <c r="M116" i="6"/>
  <c r="K116" i="6"/>
  <c r="J116" i="6"/>
  <c r="H116" i="6"/>
  <c r="G116" i="6"/>
  <c r="E116" i="6"/>
  <c r="D116" i="6"/>
  <c r="O115" i="6"/>
  <c r="L115" i="6"/>
  <c r="I115" i="6"/>
  <c r="F115" i="6"/>
  <c r="O114" i="6"/>
  <c r="L114" i="6"/>
  <c r="I114" i="6"/>
  <c r="F114" i="6"/>
  <c r="O113" i="6"/>
  <c r="L113" i="6"/>
  <c r="I113" i="6"/>
  <c r="I112" i="6" s="1"/>
  <c r="F113" i="6"/>
  <c r="N112" i="6"/>
  <c r="M112" i="6"/>
  <c r="K112" i="6"/>
  <c r="J112" i="6"/>
  <c r="H112" i="6"/>
  <c r="G112" i="6"/>
  <c r="E112" i="6"/>
  <c r="D112" i="6"/>
  <c r="O111" i="6"/>
  <c r="L111" i="6"/>
  <c r="I111" i="6"/>
  <c r="F111" i="6"/>
  <c r="O110" i="6"/>
  <c r="L110" i="6"/>
  <c r="I110" i="6"/>
  <c r="F110" i="6"/>
  <c r="O109" i="6"/>
  <c r="L109" i="6"/>
  <c r="I109" i="6"/>
  <c r="F109" i="6"/>
  <c r="O108" i="6"/>
  <c r="L108" i="6"/>
  <c r="I108" i="6"/>
  <c r="F108" i="6"/>
  <c r="O107" i="6"/>
  <c r="L107" i="6"/>
  <c r="I107" i="6"/>
  <c r="F107" i="6"/>
  <c r="O106" i="6"/>
  <c r="L106" i="6"/>
  <c r="I106" i="6"/>
  <c r="F106" i="6"/>
  <c r="O105" i="6"/>
  <c r="L105" i="6"/>
  <c r="I105" i="6"/>
  <c r="F105" i="6"/>
  <c r="O104" i="6"/>
  <c r="L104" i="6"/>
  <c r="I104" i="6"/>
  <c r="F104" i="6"/>
  <c r="N103" i="6"/>
  <c r="M103" i="6"/>
  <c r="K103" i="6"/>
  <c r="J103" i="6"/>
  <c r="H103" i="6"/>
  <c r="G103" i="6"/>
  <c r="E103" i="6"/>
  <c r="D103" i="6"/>
  <c r="O102" i="6"/>
  <c r="L102" i="6"/>
  <c r="I102" i="6"/>
  <c r="F102" i="6"/>
  <c r="O101" i="6"/>
  <c r="L101" i="6"/>
  <c r="I101" i="6"/>
  <c r="F101" i="6"/>
  <c r="O100" i="6"/>
  <c r="L100" i="6"/>
  <c r="I100" i="6"/>
  <c r="F100" i="6"/>
  <c r="O99" i="6"/>
  <c r="L99" i="6"/>
  <c r="I99" i="6"/>
  <c r="F99" i="6"/>
  <c r="O98" i="6"/>
  <c r="L98" i="6"/>
  <c r="I98" i="6"/>
  <c r="F98" i="6"/>
  <c r="O97" i="6"/>
  <c r="L97" i="6"/>
  <c r="I97" i="6"/>
  <c r="F97" i="6"/>
  <c r="O96" i="6"/>
  <c r="L96" i="6"/>
  <c r="I96" i="6"/>
  <c r="F96" i="6"/>
  <c r="F95" i="6" s="1"/>
  <c r="N95" i="6"/>
  <c r="M95" i="6"/>
  <c r="K95" i="6"/>
  <c r="J95" i="6"/>
  <c r="H95" i="6"/>
  <c r="G95" i="6"/>
  <c r="E95" i="6"/>
  <c r="D95" i="6"/>
  <c r="O94" i="6"/>
  <c r="L94" i="6"/>
  <c r="I94" i="6"/>
  <c r="F94" i="6"/>
  <c r="O93" i="6"/>
  <c r="L93" i="6"/>
  <c r="I93" i="6"/>
  <c r="F93" i="6"/>
  <c r="O92" i="6"/>
  <c r="L92" i="6"/>
  <c r="I92" i="6"/>
  <c r="F92" i="6"/>
  <c r="O91" i="6"/>
  <c r="L91" i="6"/>
  <c r="I91" i="6"/>
  <c r="F91" i="6"/>
  <c r="O90" i="6"/>
  <c r="L90" i="6"/>
  <c r="L89" i="6" s="1"/>
  <c r="I90" i="6"/>
  <c r="F90" i="6"/>
  <c r="N89" i="6"/>
  <c r="M89" i="6"/>
  <c r="K89" i="6"/>
  <c r="J89" i="6"/>
  <c r="H89" i="6"/>
  <c r="G89" i="6"/>
  <c r="E89" i="6"/>
  <c r="D89" i="6"/>
  <c r="O88" i="6"/>
  <c r="L88" i="6"/>
  <c r="I88" i="6"/>
  <c r="F88" i="6"/>
  <c r="O87" i="6"/>
  <c r="L87" i="6"/>
  <c r="I87" i="6"/>
  <c r="F87" i="6"/>
  <c r="O86" i="6"/>
  <c r="L86" i="6"/>
  <c r="I86" i="6"/>
  <c r="F86" i="6"/>
  <c r="O85" i="6"/>
  <c r="L85" i="6"/>
  <c r="I85" i="6"/>
  <c r="F85" i="6"/>
  <c r="N84" i="6"/>
  <c r="M84" i="6"/>
  <c r="K84" i="6"/>
  <c r="J84" i="6"/>
  <c r="H84" i="6"/>
  <c r="G84" i="6"/>
  <c r="E84" i="6"/>
  <c r="D84" i="6"/>
  <c r="O82" i="6"/>
  <c r="L82" i="6"/>
  <c r="I82" i="6"/>
  <c r="F82" i="6"/>
  <c r="O81" i="6"/>
  <c r="L81" i="6"/>
  <c r="I81" i="6"/>
  <c r="I80" i="6" s="1"/>
  <c r="F81" i="6"/>
  <c r="F80" i="6" s="1"/>
  <c r="N80" i="6"/>
  <c r="M80" i="6"/>
  <c r="K80" i="6"/>
  <c r="J80" i="6"/>
  <c r="H80" i="6"/>
  <c r="G80" i="6"/>
  <c r="E80" i="6"/>
  <c r="D80" i="6"/>
  <c r="O79" i="6"/>
  <c r="L79" i="6"/>
  <c r="I79" i="6"/>
  <c r="F79" i="6"/>
  <c r="O78" i="6"/>
  <c r="O77" i="6" s="1"/>
  <c r="L78" i="6"/>
  <c r="I78" i="6"/>
  <c r="I77" i="6" s="1"/>
  <c r="F78" i="6"/>
  <c r="N77" i="6"/>
  <c r="M77" i="6"/>
  <c r="L77" i="6"/>
  <c r="K77" i="6"/>
  <c r="J77" i="6"/>
  <c r="H77" i="6"/>
  <c r="G77" i="6"/>
  <c r="G76" i="6" s="1"/>
  <c r="F77" i="6"/>
  <c r="E77" i="6"/>
  <c r="D77" i="6"/>
  <c r="O74" i="6"/>
  <c r="L74" i="6"/>
  <c r="I74" i="6"/>
  <c r="F74" i="6"/>
  <c r="O73" i="6"/>
  <c r="L73" i="6"/>
  <c r="I73" i="6"/>
  <c r="F73" i="6"/>
  <c r="O72" i="6"/>
  <c r="L72" i="6"/>
  <c r="I72" i="6"/>
  <c r="F72" i="6"/>
  <c r="O71" i="6"/>
  <c r="L71" i="6"/>
  <c r="I71" i="6"/>
  <c r="F71" i="6"/>
  <c r="O70" i="6"/>
  <c r="O69" i="6" s="1"/>
  <c r="L70" i="6"/>
  <c r="I70" i="6"/>
  <c r="F70" i="6"/>
  <c r="N69" i="6"/>
  <c r="N67" i="6" s="1"/>
  <c r="M69" i="6"/>
  <c r="M67" i="6" s="1"/>
  <c r="K69" i="6"/>
  <c r="J69" i="6"/>
  <c r="J67" i="6" s="1"/>
  <c r="H69" i="6"/>
  <c r="H67" i="6" s="1"/>
  <c r="G69" i="6"/>
  <c r="G67" i="6" s="1"/>
  <c r="E69" i="6"/>
  <c r="E67" i="6" s="1"/>
  <c r="D69" i="6"/>
  <c r="D67" i="6" s="1"/>
  <c r="O68" i="6"/>
  <c r="L68" i="6"/>
  <c r="I68" i="6"/>
  <c r="F68" i="6"/>
  <c r="K67" i="6"/>
  <c r="O66" i="6"/>
  <c r="L66" i="6"/>
  <c r="I66" i="6"/>
  <c r="F66" i="6"/>
  <c r="O65" i="6"/>
  <c r="L65" i="6"/>
  <c r="I65" i="6"/>
  <c r="F65" i="6"/>
  <c r="O64" i="6"/>
  <c r="L64" i="6"/>
  <c r="I64" i="6"/>
  <c r="F64" i="6"/>
  <c r="O63" i="6"/>
  <c r="L63" i="6"/>
  <c r="I63" i="6"/>
  <c r="F63" i="6"/>
  <c r="O62" i="6"/>
  <c r="L62" i="6"/>
  <c r="I62" i="6"/>
  <c r="F62" i="6"/>
  <c r="O61" i="6"/>
  <c r="L61" i="6"/>
  <c r="I61" i="6"/>
  <c r="F61" i="6"/>
  <c r="O60" i="6"/>
  <c r="L60" i="6"/>
  <c r="I60" i="6"/>
  <c r="F60" i="6"/>
  <c r="O59" i="6"/>
  <c r="O58" i="6" s="1"/>
  <c r="L59" i="6"/>
  <c r="I59" i="6"/>
  <c r="I58" i="6" s="1"/>
  <c r="F59" i="6"/>
  <c r="N58" i="6"/>
  <c r="M58" i="6"/>
  <c r="K58" i="6"/>
  <c r="J58" i="6"/>
  <c r="H58" i="6"/>
  <c r="G58" i="6"/>
  <c r="E58" i="6"/>
  <c r="D58" i="6"/>
  <c r="O57" i="6"/>
  <c r="L57" i="6"/>
  <c r="I57" i="6"/>
  <c r="F57" i="6"/>
  <c r="O56" i="6"/>
  <c r="O55" i="6" s="1"/>
  <c r="L56" i="6"/>
  <c r="L55" i="6" s="1"/>
  <c r="I56" i="6"/>
  <c r="I55" i="6" s="1"/>
  <c r="F56" i="6"/>
  <c r="N55" i="6"/>
  <c r="M55" i="6"/>
  <c r="K55" i="6"/>
  <c r="J55" i="6"/>
  <c r="H55" i="6"/>
  <c r="G55" i="6"/>
  <c r="E55" i="6"/>
  <c r="D55" i="6"/>
  <c r="O47" i="6"/>
  <c r="C47" i="6" s="1"/>
  <c r="O46" i="6"/>
  <c r="C46" i="6" s="1"/>
  <c r="N45" i="6"/>
  <c r="M45" i="6"/>
  <c r="L44" i="6"/>
  <c r="L43" i="6" s="1"/>
  <c r="I44" i="6"/>
  <c r="I43" i="6" s="1"/>
  <c r="F44" i="6"/>
  <c r="F43" i="6" s="1"/>
  <c r="K43" i="6"/>
  <c r="J43" i="6"/>
  <c r="H43" i="6"/>
  <c r="G43" i="6"/>
  <c r="E43" i="6"/>
  <c r="D43" i="6"/>
  <c r="F42" i="6"/>
  <c r="C42" i="6" s="1"/>
  <c r="E41" i="6"/>
  <c r="D41" i="6"/>
  <c r="L40" i="6"/>
  <c r="C40" i="6" s="1"/>
  <c r="L39" i="6"/>
  <c r="C39" i="6" s="1"/>
  <c r="L38" i="6"/>
  <c r="C38" i="6" s="1"/>
  <c r="J37" i="6"/>
  <c r="L37" i="6" s="1"/>
  <c r="K36" i="6"/>
  <c r="L35" i="6"/>
  <c r="L34" i="6"/>
  <c r="C34" i="6" s="1"/>
  <c r="K33" i="6"/>
  <c r="J33" i="6"/>
  <c r="L32" i="6"/>
  <c r="C32" i="6" s="1"/>
  <c r="K31" i="6"/>
  <c r="J31" i="6"/>
  <c r="L30" i="6"/>
  <c r="C30" i="6" s="1"/>
  <c r="L29" i="6"/>
  <c r="C29" i="6" s="1"/>
  <c r="L28" i="6"/>
  <c r="C28" i="6" s="1"/>
  <c r="K27" i="6"/>
  <c r="J27" i="6"/>
  <c r="F25" i="6"/>
  <c r="C25" i="6" s="1"/>
  <c r="I24" i="6"/>
  <c r="F24" i="6"/>
  <c r="O23" i="6"/>
  <c r="L23" i="6"/>
  <c r="I23" i="6"/>
  <c r="F23" i="6"/>
  <c r="O22" i="6"/>
  <c r="O21" i="6" s="1"/>
  <c r="L22" i="6"/>
  <c r="I22" i="6"/>
  <c r="I21" i="6" s="1"/>
  <c r="F22" i="6"/>
  <c r="F21" i="6" s="1"/>
  <c r="N21" i="6"/>
  <c r="N292" i="6" s="1"/>
  <c r="N291" i="6" s="1"/>
  <c r="M21" i="6"/>
  <c r="M20" i="6" s="1"/>
  <c r="K21" i="6"/>
  <c r="J21" i="6"/>
  <c r="J292" i="6" s="1"/>
  <c r="H21" i="6"/>
  <c r="G21" i="6"/>
  <c r="G292" i="6" s="1"/>
  <c r="G291" i="6" s="1"/>
  <c r="E21" i="6"/>
  <c r="E292" i="6" s="1"/>
  <c r="E291" i="6" s="1"/>
  <c r="D21" i="6"/>
  <c r="D292" i="6" s="1"/>
  <c r="I187" i="6" l="1"/>
  <c r="C142" i="6"/>
  <c r="K76" i="6"/>
  <c r="C98" i="6"/>
  <c r="M231" i="6"/>
  <c r="C298" i="6"/>
  <c r="C299" i="6"/>
  <c r="C300" i="6"/>
  <c r="C178" i="6"/>
  <c r="C182" i="6"/>
  <c r="C183" i="6"/>
  <c r="C210" i="6"/>
  <c r="C222" i="6"/>
  <c r="C226" i="6"/>
  <c r="C242" i="6"/>
  <c r="C60" i="6"/>
  <c r="C134" i="6"/>
  <c r="C135" i="6"/>
  <c r="C202" i="6"/>
  <c r="C203" i="6"/>
  <c r="C206" i="6"/>
  <c r="C262" i="6"/>
  <c r="C263" i="6"/>
  <c r="O264" i="6"/>
  <c r="G20" i="6"/>
  <c r="K54" i="6"/>
  <c r="K53" i="6" s="1"/>
  <c r="C82" i="6"/>
  <c r="C170" i="6"/>
  <c r="C172" i="6"/>
  <c r="G187" i="6"/>
  <c r="O238" i="6"/>
  <c r="O231" i="6" s="1"/>
  <c r="J291" i="6"/>
  <c r="C24" i="6"/>
  <c r="K26" i="6"/>
  <c r="K20" i="6" s="1"/>
  <c r="G54" i="6"/>
  <c r="G53" i="6" s="1"/>
  <c r="C146" i="6"/>
  <c r="C186" i="6"/>
  <c r="D187" i="6"/>
  <c r="N231" i="6"/>
  <c r="N230" i="6" s="1"/>
  <c r="L58" i="6"/>
  <c r="J259" i="6"/>
  <c r="C266" i="6"/>
  <c r="C57" i="6"/>
  <c r="N54" i="6"/>
  <c r="I76" i="6"/>
  <c r="O84" i="6"/>
  <c r="C102" i="6"/>
  <c r="C107" i="6"/>
  <c r="C118" i="6"/>
  <c r="C120" i="6"/>
  <c r="C177" i="6"/>
  <c r="O175" i="6"/>
  <c r="H174" i="6"/>
  <c r="H173" i="6" s="1"/>
  <c r="K204" i="6"/>
  <c r="K195" i="6" s="1"/>
  <c r="C218" i="6"/>
  <c r="C221" i="6"/>
  <c r="J231" i="6"/>
  <c r="C234" i="6"/>
  <c r="E231" i="6"/>
  <c r="C258" i="6"/>
  <c r="C275" i="6"/>
  <c r="C294" i="6"/>
  <c r="G130" i="6"/>
  <c r="K270" i="6"/>
  <c r="K269" i="6" s="1"/>
  <c r="E54" i="6"/>
  <c r="E53" i="6" s="1"/>
  <c r="J54" i="6"/>
  <c r="C68" i="6"/>
  <c r="C72" i="6"/>
  <c r="D76" i="6"/>
  <c r="H76" i="6"/>
  <c r="M76" i="6"/>
  <c r="C97" i="6"/>
  <c r="O112" i="6"/>
  <c r="D130" i="6"/>
  <c r="I141" i="6"/>
  <c r="I130" i="6" s="1"/>
  <c r="C150" i="6"/>
  <c r="C162" i="6"/>
  <c r="D174" i="6"/>
  <c r="D173" i="6" s="1"/>
  <c r="E187" i="6"/>
  <c r="N187" i="6"/>
  <c r="C250" i="6"/>
  <c r="J269" i="6"/>
  <c r="N269" i="6"/>
  <c r="D291" i="6"/>
  <c r="H54" i="6"/>
  <c r="H53" i="6" s="1"/>
  <c r="M54" i="6"/>
  <c r="M53" i="6" s="1"/>
  <c r="C86" i="6"/>
  <c r="C88" i="6"/>
  <c r="C90" i="6"/>
  <c r="C114" i="6"/>
  <c r="K130" i="6"/>
  <c r="G174" i="6"/>
  <c r="G173" i="6" s="1"/>
  <c r="M174" i="6"/>
  <c r="M173" i="6" s="1"/>
  <c r="L175" i="6"/>
  <c r="H204" i="6"/>
  <c r="G204" i="6"/>
  <c r="G195" i="6" s="1"/>
  <c r="M204" i="6"/>
  <c r="M195" i="6" s="1"/>
  <c r="C278" i="6"/>
  <c r="C279" i="6"/>
  <c r="C280" i="6"/>
  <c r="D269" i="6"/>
  <c r="C37" i="6"/>
  <c r="L36" i="6"/>
  <c r="C36" i="6" s="1"/>
  <c r="L272" i="6"/>
  <c r="C274" i="6"/>
  <c r="C282" i="6"/>
  <c r="F281" i="6"/>
  <c r="C281" i="6" s="1"/>
  <c r="C35" i="6"/>
  <c r="L33" i="6"/>
  <c r="C33" i="6" s="1"/>
  <c r="C59" i="6"/>
  <c r="I293" i="6"/>
  <c r="H292" i="6"/>
  <c r="H291" i="6" s="1"/>
  <c r="H20" i="6"/>
  <c r="J36" i="6"/>
  <c r="J26" i="6" s="1"/>
  <c r="J20" i="6" s="1"/>
  <c r="C44" i="6"/>
  <c r="C81" i="6"/>
  <c r="O80" i="6"/>
  <c r="O76" i="6" s="1"/>
  <c r="C111" i="6"/>
  <c r="C154" i="6"/>
  <c r="C156" i="6"/>
  <c r="C157" i="6"/>
  <c r="D195" i="6"/>
  <c r="C211" i="6"/>
  <c r="L252" i="6"/>
  <c r="L251" i="6" s="1"/>
  <c r="C56" i="6"/>
  <c r="F55" i="6"/>
  <c r="C55" i="6" s="1"/>
  <c r="L21" i="6"/>
  <c r="L292" i="6" s="1"/>
  <c r="L291" i="6" s="1"/>
  <c r="L54" i="6"/>
  <c r="D54" i="6"/>
  <c r="D53" i="6" s="1"/>
  <c r="C94" i="6"/>
  <c r="C138" i="6"/>
  <c r="C140" i="6"/>
  <c r="L188" i="6"/>
  <c r="L187" i="6" s="1"/>
  <c r="C190" i="6"/>
  <c r="C64" i="6"/>
  <c r="C65" i="6"/>
  <c r="C66" i="6"/>
  <c r="N53" i="6"/>
  <c r="L69" i="6"/>
  <c r="L67" i="6" s="1"/>
  <c r="E76" i="6"/>
  <c r="J76" i="6"/>
  <c r="N76" i="6"/>
  <c r="H83" i="6"/>
  <c r="C91" i="6"/>
  <c r="C101" i="6"/>
  <c r="O103" i="6"/>
  <c r="K83" i="6"/>
  <c r="K75" i="6" s="1"/>
  <c r="N130" i="6"/>
  <c r="C149" i="6"/>
  <c r="I173" i="6"/>
  <c r="C180" i="6"/>
  <c r="C181" i="6"/>
  <c r="O179" i="6"/>
  <c r="O174" i="6" s="1"/>
  <c r="J187" i="6"/>
  <c r="C189" i="6"/>
  <c r="O188" i="6"/>
  <c r="O187" i="6" s="1"/>
  <c r="C214" i="6"/>
  <c r="J53" i="6"/>
  <c r="C70" i="6"/>
  <c r="F69" i="6"/>
  <c r="F67" i="6" s="1"/>
  <c r="C71" i="6"/>
  <c r="L80" i="6"/>
  <c r="L76" i="6" s="1"/>
  <c r="E83" i="6"/>
  <c r="I84" i="6"/>
  <c r="D83" i="6"/>
  <c r="C110" i="6"/>
  <c r="G83" i="6"/>
  <c r="G75" i="6" s="1"/>
  <c r="C127" i="6"/>
  <c r="C133" i="6"/>
  <c r="O131" i="6"/>
  <c r="C143" i="6"/>
  <c r="C163" i="6"/>
  <c r="K187" i="6"/>
  <c r="C223" i="6"/>
  <c r="C224" i="6"/>
  <c r="C225" i="6"/>
  <c r="C228" i="6"/>
  <c r="C229" i="6"/>
  <c r="C254" i="6"/>
  <c r="I270" i="6"/>
  <c r="I269" i="6" s="1"/>
  <c r="C287" i="6"/>
  <c r="F292" i="6"/>
  <c r="K292" i="6"/>
  <c r="K291" i="6" s="1"/>
  <c r="C22" i="6"/>
  <c r="C23" i="6"/>
  <c r="D20" i="6"/>
  <c r="C43" i="6"/>
  <c r="C61" i="6"/>
  <c r="C62" i="6"/>
  <c r="C63" i="6"/>
  <c r="I69" i="6"/>
  <c r="I67" i="6" s="1"/>
  <c r="C73" i="6"/>
  <c r="C74" i="6"/>
  <c r="F76" i="6"/>
  <c r="C78" i="6"/>
  <c r="C79" i="6"/>
  <c r="C100" i="6"/>
  <c r="J83" i="6"/>
  <c r="C105" i="6"/>
  <c r="C109" i="6"/>
  <c r="O116" i="6"/>
  <c r="O122" i="6"/>
  <c r="C155" i="6"/>
  <c r="C159" i="6"/>
  <c r="C171" i="6"/>
  <c r="H187" i="6"/>
  <c r="C213" i="6"/>
  <c r="L216" i="6"/>
  <c r="D231" i="6"/>
  <c r="D230" i="6" s="1"/>
  <c r="H231" i="6"/>
  <c r="H230" i="6" s="1"/>
  <c r="G231" i="6"/>
  <c r="G230" i="6" s="1"/>
  <c r="C245" i="6"/>
  <c r="O252" i="6"/>
  <c r="O251" i="6" s="1"/>
  <c r="L260" i="6"/>
  <c r="I264" i="6"/>
  <c r="I259" i="6" s="1"/>
  <c r="L276" i="6"/>
  <c r="N83" i="6"/>
  <c r="C108" i="6"/>
  <c r="C115" i="6"/>
  <c r="C121" i="6"/>
  <c r="H130" i="6"/>
  <c r="C153" i="6"/>
  <c r="C158" i="6"/>
  <c r="C164" i="6"/>
  <c r="O166" i="6"/>
  <c r="O165" i="6" s="1"/>
  <c r="C201" i="6"/>
  <c r="H195" i="6"/>
  <c r="C207" i="6"/>
  <c r="C212" i="6"/>
  <c r="C215" i="6"/>
  <c r="J204" i="6"/>
  <c r="J195" i="6" s="1"/>
  <c r="N204" i="6"/>
  <c r="N195" i="6" s="1"/>
  <c r="L238" i="6"/>
  <c r="C244" i="6"/>
  <c r="C247" i="6"/>
  <c r="C257" i="6"/>
  <c r="E259" i="6"/>
  <c r="O260" i="6"/>
  <c r="O259" i="6" s="1"/>
  <c r="L264" i="6"/>
  <c r="M270" i="6"/>
  <c r="M269" i="6" s="1"/>
  <c r="O276" i="6"/>
  <c r="O270" i="6" s="1"/>
  <c r="O269" i="6" s="1"/>
  <c r="O292" i="6"/>
  <c r="I54" i="6"/>
  <c r="I20" i="6"/>
  <c r="O54" i="6"/>
  <c r="O67" i="6"/>
  <c r="L95" i="6"/>
  <c r="C99" i="6"/>
  <c r="C106" i="6"/>
  <c r="C126" i="6"/>
  <c r="I166" i="6"/>
  <c r="I165" i="6" s="1"/>
  <c r="M292" i="6"/>
  <c r="M291" i="6" s="1"/>
  <c r="C301" i="6"/>
  <c r="F41" i="6"/>
  <c r="C41" i="6" s="1"/>
  <c r="O45" i="6"/>
  <c r="F58" i="6"/>
  <c r="C77" i="6"/>
  <c r="C87" i="6"/>
  <c r="O95" i="6"/>
  <c r="F103" i="6"/>
  <c r="I103" i="6"/>
  <c r="C104" i="6"/>
  <c r="L112" i="6"/>
  <c r="C117" i="6"/>
  <c r="F116" i="6"/>
  <c r="C124" i="6"/>
  <c r="I122" i="6"/>
  <c r="J130" i="6"/>
  <c r="C132" i="6"/>
  <c r="M130" i="6"/>
  <c r="C148" i="6"/>
  <c r="L151" i="6"/>
  <c r="C167" i="6"/>
  <c r="L166" i="6"/>
  <c r="L165" i="6" s="1"/>
  <c r="N174" i="6"/>
  <c r="N173" i="6" s="1"/>
  <c r="F179" i="6"/>
  <c r="C200" i="6"/>
  <c r="I198" i="6"/>
  <c r="L27" i="6"/>
  <c r="C85" i="6"/>
  <c r="F84" i="6"/>
  <c r="C92" i="6"/>
  <c r="I89" i="6"/>
  <c r="E20" i="6"/>
  <c r="L31" i="6"/>
  <c r="C31" i="6" s="1"/>
  <c r="M83" i="6"/>
  <c r="L84" i="6"/>
  <c r="O89" i="6"/>
  <c r="I95" i="6"/>
  <c r="C96" i="6"/>
  <c r="L103" i="6"/>
  <c r="C123" i="6"/>
  <c r="L122" i="6"/>
  <c r="O136" i="6"/>
  <c r="L136" i="6"/>
  <c r="C139" i="6"/>
  <c r="O160" i="6"/>
  <c r="J174" i="6"/>
  <c r="J173" i="6" s="1"/>
  <c r="C176" i="6"/>
  <c r="L179" i="6"/>
  <c r="L174" i="6" s="1"/>
  <c r="L173" i="6" s="1"/>
  <c r="O184" i="6"/>
  <c r="C220" i="6"/>
  <c r="I216" i="6"/>
  <c r="C237" i="6"/>
  <c r="F235" i="6"/>
  <c r="C261" i="6"/>
  <c r="F260" i="6"/>
  <c r="L116" i="6"/>
  <c r="C119" i="6"/>
  <c r="C125" i="6"/>
  <c r="F122" i="6"/>
  <c r="C129" i="6"/>
  <c r="F128" i="6"/>
  <c r="C128" i="6" s="1"/>
  <c r="C145" i="6"/>
  <c r="F144" i="6"/>
  <c r="N20" i="6"/>
  <c r="C93" i="6"/>
  <c r="F89" i="6"/>
  <c r="C113" i="6"/>
  <c r="F112" i="6"/>
  <c r="L131" i="6"/>
  <c r="E130" i="6"/>
  <c r="C137" i="6"/>
  <c r="F136" i="6"/>
  <c r="O144" i="6"/>
  <c r="L144" i="6"/>
  <c r="C147" i="6"/>
  <c r="C152" i="6"/>
  <c r="O151" i="6"/>
  <c r="C161" i="6"/>
  <c r="F160" i="6"/>
  <c r="C168" i="6"/>
  <c r="C169" i="6"/>
  <c r="F166" i="6"/>
  <c r="C175" i="6"/>
  <c r="C185" i="6"/>
  <c r="F184" i="6"/>
  <c r="C208" i="6"/>
  <c r="I205" i="6"/>
  <c r="C256" i="6"/>
  <c r="I252" i="6"/>
  <c r="I251" i="6" s="1"/>
  <c r="C277" i="6"/>
  <c r="F276" i="6"/>
  <c r="C197" i="6"/>
  <c r="F196" i="6"/>
  <c r="L231" i="6"/>
  <c r="I235" i="6"/>
  <c r="C236" i="6"/>
  <c r="C249" i="6"/>
  <c r="F246" i="6"/>
  <c r="E270" i="6"/>
  <c r="E269" i="6" s="1"/>
  <c r="C285" i="6"/>
  <c r="F284" i="6"/>
  <c r="C288" i="6"/>
  <c r="I286" i="6"/>
  <c r="I292" i="6" s="1"/>
  <c r="O196" i="6"/>
  <c r="O205" i="6"/>
  <c r="C217" i="6"/>
  <c r="F216" i="6"/>
  <c r="O216" i="6"/>
  <c r="J230" i="6"/>
  <c r="C232" i="6"/>
  <c r="K231" i="6"/>
  <c r="K230" i="6" s="1"/>
  <c r="C239" i="6"/>
  <c r="C241" i="6"/>
  <c r="F238" i="6"/>
  <c r="C248" i="6"/>
  <c r="I246" i="6"/>
  <c r="E230" i="6"/>
  <c r="C253" i="6"/>
  <c r="F252" i="6"/>
  <c r="M259" i="6"/>
  <c r="M230" i="6" s="1"/>
  <c r="C265" i="6"/>
  <c r="F264" i="6"/>
  <c r="C271" i="6"/>
  <c r="C273" i="6"/>
  <c r="F272" i="6"/>
  <c r="O293" i="6"/>
  <c r="C193" i="6"/>
  <c r="F192" i="6"/>
  <c r="E195" i="6"/>
  <c r="L196" i="6"/>
  <c r="L205" i="6"/>
  <c r="C209" i="6"/>
  <c r="F205" i="6"/>
  <c r="C219" i="6"/>
  <c r="C227" i="6"/>
  <c r="C233" i="6"/>
  <c r="C240" i="6"/>
  <c r="I238" i="6"/>
  <c r="C243" i="6"/>
  <c r="C255" i="6"/>
  <c r="C267" i="6"/>
  <c r="C268" i="6"/>
  <c r="C295" i="6"/>
  <c r="C296" i="6"/>
  <c r="C297" i="6"/>
  <c r="F293" i="6"/>
  <c r="C199" i="6"/>
  <c r="O204" i="6" l="1"/>
  <c r="M75" i="6"/>
  <c r="C141" i="6"/>
  <c r="L270" i="6"/>
  <c r="L269" i="6" s="1"/>
  <c r="G194" i="6"/>
  <c r="F130" i="6"/>
  <c r="C112" i="6"/>
  <c r="C122" i="6"/>
  <c r="C89" i="6"/>
  <c r="D75" i="6"/>
  <c r="D52" i="6" s="1"/>
  <c r="K52" i="6"/>
  <c r="M52" i="6"/>
  <c r="C188" i="6"/>
  <c r="C116" i="6"/>
  <c r="M289" i="6"/>
  <c r="O83" i="6"/>
  <c r="J75" i="6"/>
  <c r="J52" i="6" s="1"/>
  <c r="O53" i="6"/>
  <c r="H75" i="6"/>
  <c r="H52" i="6" s="1"/>
  <c r="N75" i="6"/>
  <c r="N52" i="6" s="1"/>
  <c r="O230" i="6"/>
  <c r="K194" i="6"/>
  <c r="C292" i="6"/>
  <c r="C276" i="6"/>
  <c r="I83" i="6"/>
  <c r="I75" i="6" s="1"/>
  <c r="L259" i="6"/>
  <c r="L230" i="6" s="1"/>
  <c r="H194" i="6"/>
  <c r="C76" i="6"/>
  <c r="C80" i="6"/>
  <c r="N194" i="6"/>
  <c r="G289" i="6"/>
  <c r="G52" i="6"/>
  <c r="O173" i="6"/>
  <c r="L83" i="6"/>
  <c r="I231" i="6"/>
  <c r="I230" i="6" s="1"/>
  <c r="C184" i="6"/>
  <c r="D194" i="6"/>
  <c r="L204" i="6"/>
  <c r="L195" i="6" s="1"/>
  <c r="C264" i="6"/>
  <c r="L130" i="6"/>
  <c r="C95" i="6"/>
  <c r="C67" i="6"/>
  <c r="E194" i="6"/>
  <c r="E75" i="6"/>
  <c r="E52" i="6" s="1"/>
  <c r="C179" i="6"/>
  <c r="C151" i="6"/>
  <c r="C103" i="6"/>
  <c r="C69" i="6"/>
  <c r="C21" i="6"/>
  <c r="C160" i="6"/>
  <c r="L53" i="6"/>
  <c r="C293" i="6"/>
  <c r="J194" i="6"/>
  <c r="F174" i="6"/>
  <c r="C136" i="6"/>
  <c r="O130" i="6"/>
  <c r="L26" i="6"/>
  <c r="C27" i="6"/>
  <c r="C58" i="6"/>
  <c r="F54" i="6"/>
  <c r="F291" i="6"/>
  <c r="I53" i="6"/>
  <c r="C260" i="6"/>
  <c r="F259" i="6"/>
  <c r="C192" i="6"/>
  <c r="F191" i="6"/>
  <c r="F270" i="6"/>
  <c r="C272" i="6"/>
  <c r="C252" i="6"/>
  <c r="F251" i="6"/>
  <c r="C251" i="6" s="1"/>
  <c r="O195" i="6"/>
  <c r="O194" i="6" s="1"/>
  <c r="C238" i="6"/>
  <c r="C216" i="6"/>
  <c r="I291" i="6"/>
  <c r="F165" i="6"/>
  <c r="C165" i="6" s="1"/>
  <c r="C166" i="6"/>
  <c r="F20" i="6"/>
  <c r="C235" i="6"/>
  <c r="F231" i="6"/>
  <c r="C198" i="6"/>
  <c r="I196" i="6"/>
  <c r="C45" i="6"/>
  <c r="O20" i="6"/>
  <c r="C205" i="6"/>
  <c r="F204" i="6"/>
  <c r="M194" i="6"/>
  <c r="M51" i="6" s="1"/>
  <c r="C286" i="6"/>
  <c r="C284" i="6"/>
  <c r="F283" i="6"/>
  <c r="C283" i="6" s="1"/>
  <c r="C246" i="6"/>
  <c r="I204" i="6"/>
  <c r="C144" i="6"/>
  <c r="C131" i="6"/>
  <c r="C84" i="6"/>
  <c r="F83" i="6"/>
  <c r="K289" i="6"/>
  <c r="O291" i="6"/>
  <c r="G51" i="6" l="1"/>
  <c r="J289" i="6"/>
  <c r="J51" i="6"/>
  <c r="J290" i="6" s="1"/>
  <c r="N51" i="6"/>
  <c r="N50" i="6" s="1"/>
  <c r="K51" i="6"/>
  <c r="K50" i="6" s="1"/>
  <c r="N289" i="6"/>
  <c r="D51" i="6"/>
  <c r="D50" i="6" s="1"/>
  <c r="C259" i="6"/>
  <c r="C130" i="6"/>
  <c r="D289" i="6"/>
  <c r="H51" i="6"/>
  <c r="H290" i="6" s="1"/>
  <c r="H289" i="6"/>
  <c r="I52" i="6"/>
  <c r="H50" i="6"/>
  <c r="L194" i="6"/>
  <c r="N290" i="6"/>
  <c r="E289" i="6"/>
  <c r="C291" i="6"/>
  <c r="D290" i="6"/>
  <c r="G290" i="6"/>
  <c r="G50" i="6"/>
  <c r="C204" i="6"/>
  <c r="E51" i="6"/>
  <c r="I195" i="6"/>
  <c r="L75" i="6"/>
  <c r="L52" i="6" s="1"/>
  <c r="J50" i="6"/>
  <c r="M50" i="6"/>
  <c r="M290" i="6"/>
  <c r="C54" i="6"/>
  <c r="F53" i="6"/>
  <c r="C83" i="6"/>
  <c r="F75" i="6"/>
  <c r="F269" i="6"/>
  <c r="C270" i="6"/>
  <c r="F195" i="6"/>
  <c r="O75" i="6"/>
  <c r="F230" i="6"/>
  <c r="C230" i="6" s="1"/>
  <c r="C231" i="6"/>
  <c r="C191" i="6"/>
  <c r="F187" i="6"/>
  <c r="C187" i="6" s="1"/>
  <c r="F173" i="6"/>
  <c r="C173" i="6" s="1"/>
  <c r="C174" i="6"/>
  <c r="C196" i="6"/>
  <c r="C26" i="6"/>
  <c r="L20" i="6"/>
  <c r="C20" i="6" s="1"/>
  <c r="L51" i="6" l="1"/>
  <c r="K290" i="6"/>
  <c r="L50" i="6"/>
  <c r="L290" i="6"/>
  <c r="L289" i="6"/>
  <c r="E290" i="6"/>
  <c r="E50" i="6"/>
  <c r="I194" i="6"/>
  <c r="I51" i="6" s="1"/>
  <c r="I50" i="6" s="1"/>
  <c r="I289" i="6"/>
  <c r="F194" i="6"/>
  <c r="C195" i="6"/>
  <c r="C269" i="6"/>
  <c r="F289" i="6"/>
  <c r="F52" i="6"/>
  <c r="C53" i="6"/>
  <c r="O52" i="6"/>
  <c r="O51" i="6" s="1"/>
  <c r="O289" i="6"/>
  <c r="C75" i="6"/>
  <c r="I290" i="6" l="1"/>
  <c r="C194" i="6"/>
  <c r="F51" i="6"/>
  <c r="C52" i="6"/>
  <c r="C289" i="6"/>
  <c r="O50" i="6"/>
  <c r="O290" i="6"/>
  <c r="F290" i="6" l="1"/>
  <c r="C290" i="6" s="1"/>
  <c r="C51" i="6"/>
  <c r="F50" i="6"/>
  <c r="C50" i="6" s="1"/>
  <c r="O301" i="5" l="1"/>
  <c r="L301" i="5"/>
  <c r="I301" i="5"/>
  <c r="F301" i="5"/>
  <c r="O300" i="5"/>
  <c r="L300" i="5"/>
  <c r="I300" i="5"/>
  <c r="F300" i="5"/>
  <c r="O299" i="5"/>
  <c r="L299" i="5"/>
  <c r="I299" i="5"/>
  <c r="F299" i="5"/>
  <c r="O298" i="5"/>
  <c r="L298" i="5"/>
  <c r="I298" i="5"/>
  <c r="F298" i="5"/>
  <c r="O297" i="5"/>
  <c r="L297" i="5"/>
  <c r="I297" i="5"/>
  <c r="F297" i="5"/>
  <c r="O296" i="5"/>
  <c r="L296" i="5"/>
  <c r="I296" i="5"/>
  <c r="F296" i="5"/>
  <c r="O295" i="5"/>
  <c r="L295" i="5"/>
  <c r="I295" i="5"/>
  <c r="F295" i="5"/>
  <c r="O294" i="5"/>
  <c r="O293" i="5" s="1"/>
  <c r="L294" i="5"/>
  <c r="I294" i="5"/>
  <c r="F294" i="5"/>
  <c r="N293" i="5"/>
  <c r="M293" i="5"/>
  <c r="K293" i="5"/>
  <c r="J293" i="5"/>
  <c r="H293" i="5"/>
  <c r="G293" i="5"/>
  <c r="E293" i="5"/>
  <c r="D293" i="5"/>
  <c r="O288" i="5"/>
  <c r="L288" i="5"/>
  <c r="I288" i="5"/>
  <c r="F288" i="5"/>
  <c r="O287" i="5"/>
  <c r="L287" i="5"/>
  <c r="L286" i="5" s="1"/>
  <c r="I287" i="5"/>
  <c r="F287" i="5"/>
  <c r="O286" i="5"/>
  <c r="N286" i="5"/>
  <c r="M286" i="5"/>
  <c r="K286" i="5"/>
  <c r="J286" i="5"/>
  <c r="H286" i="5"/>
  <c r="G286" i="5"/>
  <c r="F286" i="5"/>
  <c r="E286" i="5"/>
  <c r="D286" i="5"/>
  <c r="O285" i="5"/>
  <c r="L285" i="5"/>
  <c r="L284" i="5" s="1"/>
  <c r="L283" i="5" s="1"/>
  <c r="I285" i="5"/>
  <c r="F285" i="5"/>
  <c r="O284" i="5"/>
  <c r="O283" i="5" s="1"/>
  <c r="N284" i="5"/>
  <c r="N283" i="5" s="1"/>
  <c r="M284" i="5"/>
  <c r="M283" i="5" s="1"/>
  <c r="K284" i="5"/>
  <c r="K283" i="5" s="1"/>
  <c r="J284" i="5"/>
  <c r="I284" i="5"/>
  <c r="I283" i="5" s="1"/>
  <c r="H284" i="5"/>
  <c r="H283" i="5" s="1"/>
  <c r="G284" i="5"/>
  <c r="G283" i="5" s="1"/>
  <c r="E284" i="5"/>
  <c r="E283" i="5" s="1"/>
  <c r="D284" i="5"/>
  <c r="D283" i="5" s="1"/>
  <c r="J283" i="5"/>
  <c r="O282" i="5"/>
  <c r="O281" i="5" s="1"/>
  <c r="L282" i="5"/>
  <c r="L281" i="5" s="1"/>
  <c r="I282" i="5"/>
  <c r="I281" i="5" s="1"/>
  <c r="F282" i="5"/>
  <c r="F281" i="5" s="1"/>
  <c r="N281" i="5"/>
  <c r="M281" i="5"/>
  <c r="K281" i="5"/>
  <c r="J281" i="5"/>
  <c r="H281" i="5"/>
  <c r="G281" i="5"/>
  <c r="E281" i="5"/>
  <c r="D281" i="5"/>
  <c r="O280" i="5"/>
  <c r="L280" i="5"/>
  <c r="I280" i="5"/>
  <c r="F280" i="5"/>
  <c r="O279" i="5"/>
  <c r="L279" i="5"/>
  <c r="I279" i="5"/>
  <c r="F279" i="5"/>
  <c r="O278" i="5"/>
  <c r="L278" i="5"/>
  <c r="I278" i="5"/>
  <c r="F278" i="5"/>
  <c r="O277" i="5"/>
  <c r="L277" i="5"/>
  <c r="I277" i="5"/>
  <c r="F277" i="5"/>
  <c r="N276" i="5"/>
  <c r="M276" i="5"/>
  <c r="K276" i="5"/>
  <c r="J276" i="5"/>
  <c r="H276" i="5"/>
  <c r="G276" i="5"/>
  <c r="E276" i="5"/>
  <c r="D276" i="5"/>
  <c r="O275" i="5"/>
  <c r="L275" i="5"/>
  <c r="I275" i="5"/>
  <c r="F275" i="5"/>
  <c r="O274" i="5"/>
  <c r="L274" i="5"/>
  <c r="I274" i="5"/>
  <c r="F274" i="5"/>
  <c r="O273" i="5"/>
  <c r="L273" i="5"/>
  <c r="L272" i="5" s="1"/>
  <c r="I273" i="5"/>
  <c r="I272" i="5" s="1"/>
  <c r="F273" i="5"/>
  <c r="N272" i="5"/>
  <c r="N270" i="5" s="1"/>
  <c r="M272" i="5"/>
  <c r="M270" i="5" s="1"/>
  <c r="M269" i="5" s="1"/>
  <c r="K272" i="5"/>
  <c r="J272" i="5"/>
  <c r="H272" i="5"/>
  <c r="H270" i="5" s="1"/>
  <c r="H269" i="5" s="1"/>
  <c r="G272" i="5"/>
  <c r="E272" i="5"/>
  <c r="D272" i="5"/>
  <c r="D270" i="5" s="1"/>
  <c r="O271" i="5"/>
  <c r="L271" i="5"/>
  <c r="I271" i="5"/>
  <c r="F271" i="5"/>
  <c r="J270" i="5"/>
  <c r="J269" i="5" s="1"/>
  <c r="O268" i="5"/>
  <c r="L268" i="5"/>
  <c r="I268" i="5"/>
  <c r="F268" i="5"/>
  <c r="O267" i="5"/>
  <c r="L267" i="5"/>
  <c r="I267" i="5"/>
  <c r="F267" i="5"/>
  <c r="O266" i="5"/>
  <c r="L266" i="5"/>
  <c r="I266" i="5"/>
  <c r="F266" i="5"/>
  <c r="O265" i="5"/>
  <c r="L265" i="5"/>
  <c r="I265" i="5"/>
  <c r="F265" i="5"/>
  <c r="N264" i="5"/>
  <c r="M264" i="5"/>
  <c r="K264" i="5"/>
  <c r="J264" i="5"/>
  <c r="H264" i="5"/>
  <c r="G264" i="5"/>
  <c r="E264" i="5"/>
  <c r="D264" i="5"/>
  <c r="O263" i="5"/>
  <c r="L263" i="5"/>
  <c r="I263" i="5"/>
  <c r="F263" i="5"/>
  <c r="O262" i="5"/>
  <c r="L262" i="5"/>
  <c r="I262" i="5"/>
  <c r="F262" i="5"/>
  <c r="O261" i="5"/>
  <c r="L261" i="5"/>
  <c r="I261" i="5"/>
  <c r="I260" i="5" s="1"/>
  <c r="F261" i="5"/>
  <c r="N260" i="5"/>
  <c r="M260" i="5"/>
  <c r="K260" i="5"/>
  <c r="K259" i="5" s="1"/>
  <c r="J260" i="5"/>
  <c r="H260" i="5"/>
  <c r="G260" i="5"/>
  <c r="G259" i="5" s="1"/>
  <c r="E260" i="5"/>
  <c r="E259" i="5" s="1"/>
  <c r="D260" i="5"/>
  <c r="D259" i="5" s="1"/>
  <c r="O258" i="5"/>
  <c r="L258" i="5"/>
  <c r="I258" i="5"/>
  <c r="F258" i="5"/>
  <c r="O257" i="5"/>
  <c r="L257" i="5"/>
  <c r="I257" i="5"/>
  <c r="F257" i="5"/>
  <c r="O256" i="5"/>
  <c r="L256" i="5"/>
  <c r="I256" i="5"/>
  <c r="F256" i="5"/>
  <c r="O255" i="5"/>
  <c r="L255" i="5"/>
  <c r="I255" i="5"/>
  <c r="F255" i="5"/>
  <c r="O254" i="5"/>
  <c r="L254" i="5"/>
  <c r="I254" i="5"/>
  <c r="F254" i="5"/>
  <c r="O253" i="5"/>
  <c r="L253" i="5"/>
  <c r="I253" i="5"/>
  <c r="F253" i="5"/>
  <c r="N252" i="5"/>
  <c r="M252" i="5"/>
  <c r="M251" i="5" s="1"/>
  <c r="K252" i="5"/>
  <c r="K251" i="5" s="1"/>
  <c r="J252" i="5"/>
  <c r="J251" i="5" s="1"/>
  <c r="H252" i="5"/>
  <c r="H251" i="5" s="1"/>
  <c r="G252" i="5"/>
  <c r="G251" i="5" s="1"/>
  <c r="E252" i="5"/>
  <c r="E251" i="5" s="1"/>
  <c r="D252" i="5"/>
  <c r="D251" i="5" s="1"/>
  <c r="N251" i="5"/>
  <c r="O250" i="5"/>
  <c r="L250" i="5"/>
  <c r="I250" i="5"/>
  <c r="F250" i="5"/>
  <c r="O249" i="5"/>
  <c r="L249" i="5"/>
  <c r="I249" i="5"/>
  <c r="F249" i="5"/>
  <c r="O248" i="5"/>
  <c r="L248" i="5"/>
  <c r="I248" i="5"/>
  <c r="F248" i="5"/>
  <c r="O247" i="5"/>
  <c r="L247" i="5"/>
  <c r="L246" i="5" s="1"/>
  <c r="I247" i="5"/>
  <c r="F247" i="5"/>
  <c r="N246" i="5"/>
  <c r="M246" i="5"/>
  <c r="K246" i="5"/>
  <c r="J246" i="5"/>
  <c r="H246" i="5"/>
  <c r="G246" i="5"/>
  <c r="E246" i="5"/>
  <c r="D246" i="5"/>
  <c r="O245" i="5"/>
  <c r="L245" i="5"/>
  <c r="I245" i="5"/>
  <c r="F245" i="5"/>
  <c r="O244" i="5"/>
  <c r="L244" i="5"/>
  <c r="I244" i="5"/>
  <c r="F244" i="5"/>
  <c r="O243" i="5"/>
  <c r="L243" i="5"/>
  <c r="I243" i="5"/>
  <c r="F243" i="5"/>
  <c r="O242" i="5"/>
  <c r="L242" i="5"/>
  <c r="I242" i="5"/>
  <c r="F242" i="5"/>
  <c r="O241" i="5"/>
  <c r="L241" i="5"/>
  <c r="I241" i="5"/>
  <c r="F241" i="5"/>
  <c r="O240" i="5"/>
  <c r="L240" i="5"/>
  <c r="I240" i="5"/>
  <c r="F240" i="5"/>
  <c r="O239" i="5"/>
  <c r="L239" i="5"/>
  <c r="L238" i="5" s="1"/>
  <c r="I239" i="5"/>
  <c r="F239" i="5"/>
  <c r="N238" i="5"/>
  <c r="M238" i="5"/>
  <c r="K238" i="5"/>
  <c r="J238" i="5"/>
  <c r="H238" i="5"/>
  <c r="G238" i="5"/>
  <c r="E238" i="5"/>
  <c r="D238" i="5"/>
  <c r="O237" i="5"/>
  <c r="L237" i="5"/>
  <c r="I237" i="5"/>
  <c r="F237" i="5"/>
  <c r="O236" i="5"/>
  <c r="O235" i="5" s="1"/>
  <c r="L236" i="5"/>
  <c r="L235" i="5" s="1"/>
  <c r="I236" i="5"/>
  <c r="I235" i="5" s="1"/>
  <c r="F236" i="5"/>
  <c r="F235" i="5" s="1"/>
  <c r="N235" i="5"/>
  <c r="M235" i="5"/>
  <c r="K235" i="5"/>
  <c r="J235" i="5"/>
  <c r="H235" i="5"/>
  <c r="G235" i="5"/>
  <c r="E235" i="5"/>
  <c r="D235" i="5"/>
  <c r="O234" i="5"/>
  <c r="O233" i="5" s="1"/>
  <c r="L234" i="5"/>
  <c r="L233" i="5" s="1"/>
  <c r="I234" i="5"/>
  <c r="I233" i="5" s="1"/>
  <c r="F234" i="5"/>
  <c r="N233" i="5"/>
  <c r="M233" i="5"/>
  <c r="K233" i="5"/>
  <c r="J233" i="5"/>
  <c r="H233" i="5"/>
  <c r="G233" i="5"/>
  <c r="E233" i="5"/>
  <c r="D233" i="5"/>
  <c r="O232" i="5"/>
  <c r="L232" i="5"/>
  <c r="I232" i="5"/>
  <c r="F232" i="5"/>
  <c r="O229" i="5"/>
  <c r="L229" i="5"/>
  <c r="I229" i="5"/>
  <c r="F229" i="5"/>
  <c r="O228" i="5"/>
  <c r="L228" i="5"/>
  <c r="L227" i="5" s="1"/>
  <c r="I228" i="5"/>
  <c r="F228" i="5"/>
  <c r="F227" i="5" s="1"/>
  <c r="O227" i="5"/>
  <c r="N227" i="5"/>
  <c r="M227" i="5"/>
  <c r="K227" i="5"/>
  <c r="J227" i="5"/>
  <c r="H227" i="5"/>
  <c r="G227" i="5"/>
  <c r="E227" i="5"/>
  <c r="D227" i="5"/>
  <c r="O226" i="5"/>
  <c r="L226" i="5"/>
  <c r="I226" i="5"/>
  <c r="F226" i="5"/>
  <c r="O225" i="5"/>
  <c r="L225" i="5"/>
  <c r="I225" i="5"/>
  <c r="F225" i="5"/>
  <c r="O224" i="5"/>
  <c r="L224" i="5"/>
  <c r="I224" i="5"/>
  <c r="F224" i="5"/>
  <c r="O223" i="5"/>
  <c r="L223" i="5"/>
  <c r="I223" i="5"/>
  <c r="F223" i="5"/>
  <c r="O222" i="5"/>
  <c r="L222" i="5"/>
  <c r="I222" i="5"/>
  <c r="F222" i="5"/>
  <c r="O221" i="5"/>
  <c r="L221" i="5"/>
  <c r="I221" i="5"/>
  <c r="F221" i="5"/>
  <c r="O220" i="5"/>
  <c r="L220" i="5"/>
  <c r="I220" i="5"/>
  <c r="F220" i="5"/>
  <c r="O219" i="5"/>
  <c r="L219" i="5"/>
  <c r="I219" i="5"/>
  <c r="F219" i="5"/>
  <c r="O218" i="5"/>
  <c r="L218" i="5"/>
  <c r="I218" i="5"/>
  <c r="F218" i="5"/>
  <c r="O217" i="5"/>
  <c r="L217" i="5"/>
  <c r="I217" i="5"/>
  <c r="I216" i="5" s="1"/>
  <c r="F217" i="5"/>
  <c r="N216" i="5"/>
  <c r="M216" i="5"/>
  <c r="K216" i="5"/>
  <c r="J216" i="5"/>
  <c r="H216" i="5"/>
  <c r="G216" i="5"/>
  <c r="E216" i="5"/>
  <c r="D216" i="5"/>
  <c r="O215" i="5"/>
  <c r="L215" i="5"/>
  <c r="I215" i="5"/>
  <c r="F215" i="5"/>
  <c r="O214" i="5"/>
  <c r="L214" i="5"/>
  <c r="I214" i="5"/>
  <c r="F214" i="5"/>
  <c r="O213" i="5"/>
  <c r="L213" i="5"/>
  <c r="I213" i="5"/>
  <c r="F213" i="5"/>
  <c r="O212" i="5"/>
  <c r="L212" i="5"/>
  <c r="I212" i="5"/>
  <c r="F212" i="5"/>
  <c r="O211" i="5"/>
  <c r="L211" i="5"/>
  <c r="I211" i="5"/>
  <c r="F211" i="5"/>
  <c r="O210" i="5"/>
  <c r="L210" i="5"/>
  <c r="I210" i="5"/>
  <c r="F210" i="5"/>
  <c r="O209" i="5"/>
  <c r="L209" i="5"/>
  <c r="I209" i="5"/>
  <c r="F209" i="5"/>
  <c r="O208" i="5"/>
  <c r="L208" i="5"/>
  <c r="I208" i="5"/>
  <c r="F208" i="5"/>
  <c r="O207" i="5"/>
  <c r="L207" i="5"/>
  <c r="I207" i="5"/>
  <c r="F207" i="5"/>
  <c r="O206" i="5"/>
  <c r="L206" i="5"/>
  <c r="I206" i="5"/>
  <c r="F206" i="5"/>
  <c r="N205" i="5"/>
  <c r="M205" i="5"/>
  <c r="K205" i="5"/>
  <c r="K204" i="5" s="1"/>
  <c r="J205" i="5"/>
  <c r="H205" i="5"/>
  <c r="G205" i="5"/>
  <c r="E205" i="5"/>
  <c r="D205" i="5"/>
  <c r="O203" i="5"/>
  <c r="L203" i="5"/>
  <c r="I203" i="5"/>
  <c r="F203" i="5"/>
  <c r="O202" i="5"/>
  <c r="L202" i="5"/>
  <c r="I202" i="5"/>
  <c r="F202" i="5"/>
  <c r="O201" i="5"/>
  <c r="L201" i="5"/>
  <c r="I201" i="5"/>
  <c r="F201" i="5"/>
  <c r="O200" i="5"/>
  <c r="L200" i="5"/>
  <c r="I200" i="5"/>
  <c r="F200" i="5"/>
  <c r="O199" i="5"/>
  <c r="L199" i="5"/>
  <c r="I199" i="5"/>
  <c r="F199" i="5"/>
  <c r="O198" i="5"/>
  <c r="N198" i="5"/>
  <c r="N196" i="5" s="1"/>
  <c r="M198" i="5"/>
  <c r="K198" i="5"/>
  <c r="K196" i="5" s="1"/>
  <c r="J198" i="5"/>
  <c r="J196" i="5" s="1"/>
  <c r="H198" i="5"/>
  <c r="H196" i="5" s="1"/>
  <c r="G198" i="5"/>
  <c r="G196" i="5" s="1"/>
  <c r="F198" i="5"/>
  <c r="E198" i="5"/>
  <c r="E196" i="5" s="1"/>
  <c r="D198" i="5"/>
  <c r="D196" i="5" s="1"/>
  <c r="O197" i="5"/>
  <c r="L197" i="5"/>
  <c r="I197" i="5"/>
  <c r="F197" i="5"/>
  <c r="M196" i="5"/>
  <c r="O193" i="5"/>
  <c r="O192" i="5" s="1"/>
  <c r="O191" i="5" s="1"/>
  <c r="L193" i="5"/>
  <c r="L192" i="5" s="1"/>
  <c r="L191" i="5" s="1"/>
  <c r="I193" i="5"/>
  <c r="I192" i="5" s="1"/>
  <c r="I191" i="5" s="1"/>
  <c r="F193" i="5"/>
  <c r="N192" i="5"/>
  <c r="N191" i="5" s="1"/>
  <c r="M192" i="5"/>
  <c r="M191" i="5" s="1"/>
  <c r="K192" i="5"/>
  <c r="K191" i="5" s="1"/>
  <c r="J192" i="5"/>
  <c r="J191" i="5" s="1"/>
  <c r="H192" i="5"/>
  <c r="G192" i="5"/>
  <c r="E192" i="5"/>
  <c r="E191" i="5" s="1"/>
  <c r="D192" i="5"/>
  <c r="D191" i="5" s="1"/>
  <c r="H191" i="5"/>
  <c r="G191" i="5"/>
  <c r="O190" i="5"/>
  <c r="L190" i="5"/>
  <c r="I190" i="5"/>
  <c r="F190" i="5"/>
  <c r="O189" i="5"/>
  <c r="L189" i="5"/>
  <c r="L188" i="5" s="1"/>
  <c r="I189" i="5"/>
  <c r="F189" i="5"/>
  <c r="N188" i="5"/>
  <c r="M188" i="5"/>
  <c r="M187" i="5" s="1"/>
  <c r="K188" i="5"/>
  <c r="J188" i="5"/>
  <c r="H188" i="5"/>
  <c r="G188" i="5"/>
  <c r="G187" i="5" s="1"/>
  <c r="E188" i="5"/>
  <c r="D188" i="5"/>
  <c r="K187" i="5"/>
  <c r="O186" i="5"/>
  <c r="L186" i="5"/>
  <c r="I186" i="5"/>
  <c r="F186" i="5"/>
  <c r="O185" i="5"/>
  <c r="O184" i="5" s="1"/>
  <c r="L185" i="5"/>
  <c r="I185" i="5"/>
  <c r="I184" i="5" s="1"/>
  <c r="F185" i="5"/>
  <c r="N184" i="5"/>
  <c r="M184" i="5"/>
  <c r="L184" i="5"/>
  <c r="K184" i="5"/>
  <c r="J184" i="5"/>
  <c r="H184" i="5"/>
  <c r="G184" i="5"/>
  <c r="E184" i="5"/>
  <c r="D184" i="5"/>
  <c r="O183" i="5"/>
  <c r="L183" i="5"/>
  <c r="I183" i="5"/>
  <c r="F183" i="5"/>
  <c r="O182" i="5"/>
  <c r="L182" i="5"/>
  <c r="I182" i="5"/>
  <c r="F182" i="5"/>
  <c r="O181" i="5"/>
  <c r="L181" i="5"/>
  <c r="I181" i="5"/>
  <c r="F181" i="5"/>
  <c r="O180" i="5"/>
  <c r="L180" i="5"/>
  <c r="I180" i="5"/>
  <c r="F180" i="5"/>
  <c r="N179" i="5"/>
  <c r="M179" i="5"/>
  <c r="K179" i="5"/>
  <c r="J179" i="5"/>
  <c r="H179" i="5"/>
  <c r="G179" i="5"/>
  <c r="E179" i="5"/>
  <c r="D179" i="5"/>
  <c r="O178" i="5"/>
  <c r="L178" i="5"/>
  <c r="I178" i="5"/>
  <c r="F178" i="5"/>
  <c r="O177" i="5"/>
  <c r="L177" i="5"/>
  <c r="I177" i="5"/>
  <c r="F177" i="5"/>
  <c r="O176" i="5"/>
  <c r="O175" i="5" s="1"/>
  <c r="L176" i="5"/>
  <c r="I176" i="5"/>
  <c r="I175" i="5" s="1"/>
  <c r="F176" i="5"/>
  <c r="N175" i="5"/>
  <c r="N174" i="5" s="1"/>
  <c r="M175" i="5"/>
  <c r="K175" i="5"/>
  <c r="J175" i="5"/>
  <c r="J174" i="5" s="1"/>
  <c r="J173" i="5" s="1"/>
  <c r="H175" i="5"/>
  <c r="G175" i="5"/>
  <c r="E175" i="5"/>
  <c r="D175" i="5"/>
  <c r="O172" i="5"/>
  <c r="L172" i="5"/>
  <c r="I172" i="5"/>
  <c r="F172" i="5"/>
  <c r="O171" i="5"/>
  <c r="L171" i="5"/>
  <c r="I171" i="5"/>
  <c r="F171" i="5"/>
  <c r="O170" i="5"/>
  <c r="L170" i="5"/>
  <c r="I170" i="5"/>
  <c r="F170" i="5"/>
  <c r="O169" i="5"/>
  <c r="L169" i="5"/>
  <c r="I169" i="5"/>
  <c r="F169" i="5"/>
  <c r="O168" i="5"/>
  <c r="L168" i="5"/>
  <c r="I168" i="5"/>
  <c r="F168" i="5"/>
  <c r="O167" i="5"/>
  <c r="L167" i="5"/>
  <c r="I167" i="5"/>
  <c r="I166" i="5" s="1"/>
  <c r="F167" i="5"/>
  <c r="N166" i="5"/>
  <c r="N165" i="5" s="1"/>
  <c r="M166" i="5"/>
  <c r="M165" i="5" s="1"/>
  <c r="K166" i="5"/>
  <c r="K165" i="5" s="1"/>
  <c r="J166" i="5"/>
  <c r="J165" i="5" s="1"/>
  <c r="H166" i="5"/>
  <c r="H165" i="5" s="1"/>
  <c r="G166" i="5"/>
  <c r="G165" i="5" s="1"/>
  <c r="E166" i="5"/>
  <c r="E165" i="5" s="1"/>
  <c r="D166" i="5"/>
  <c r="D165" i="5" s="1"/>
  <c r="O164" i="5"/>
  <c r="L164" i="5"/>
  <c r="I164" i="5"/>
  <c r="F164" i="5"/>
  <c r="O163" i="5"/>
  <c r="L163" i="5"/>
  <c r="I163" i="5"/>
  <c r="F163" i="5"/>
  <c r="O162" i="5"/>
  <c r="L162" i="5"/>
  <c r="I162" i="5"/>
  <c r="F162" i="5"/>
  <c r="O161" i="5"/>
  <c r="O160" i="5" s="1"/>
  <c r="L161" i="5"/>
  <c r="L160" i="5" s="1"/>
  <c r="I161" i="5"/>
  <c r="I160" i="5" s="1"/>
  <c r="F161" i="5"/>
  <c r="F160" i="5" s="1"/>
  <c r="N160" i="5"/>
  <c r="M160" i="5"/>
  <c r="K160" i="5"/>
  <c r="J160" i="5"/>
  <c r="H160" i="5"/>
  <c r="G160" i="5"/>
  <c r="E160" i="5"/>
  <c r="D160" i="5"/>
  <c r="O159" i="5"/>
  <c r="L159" i="5"/>
  <c r="I159" i="5"/>
  <c r="F159" i="5"/>
  <c r="O158" i="5"/>
  <c r="L158" i="5"/>
  <c r="I158" i="5"/>
  <c r="F158" i="5"/>
  <c r="O157" i="5"/>
  <c r="L157" i="5"/>
  <c r="I157" i="5"/>
  <c r="F157" i="5"/>
  <c r="O156" i="5"/>
  <c r="L156" i="5"/>
  <c r="I156" i="5"/>
  <c r="F156" i="5"/>
  <c r="O155" i="5"/>
  <c r="L155" i="5"/>
  <c r="I155" i="5"/>
  <c r="F155" i="5"/>
  <c r="O154" i="5"/>
  <c r="L154" i="5"/>
  <c r="I154" i="5"/>
  <c r="F154" i="5"/>
  <c r="O153" i="5"/>
  <c r="L153" i="5"/>
  <c r="I153" i="5"/>
  <c r="F153" i="5"/>
  <c r="O152" i="5"/>
  <c r="L152" i="5"/>
  <c r="I152" i="5"/>
  <c r="F152" i="5"/>
  <c r="N151" i="5"/>
  <c r="M151" i="5"/>
  <c r="K151" i="5"/>
  <c r="J151" i="5"/>
  <c r="H151" i="5"/>
  <c r="G151" i="5"/>
  <c r="E151" i="5"/>
  <c r="D151" i="5"/>
  <c r="O150" i="5"/>
  <c r="L150" i="5"/>
  <c r="I150" i="5"/>
  <c r="F150" i="5"/>
  <c r="O149" i="5"/>
  <c r="L149" i="5"/>
  <c r="I149" i="5"/>
  <c r="F149" i="5"/>
  <c r="O148" i="5"/>
  <c r="L148" i="5"/>
  <c r="I148" i="5"/>
  <c r="F148" i="5"/>
  <c r="O147" i="5"/>
  <c r="L147" i="5"/>
  <c r="I147" i="5"/>
  <c r="F147" i="5"/>
  <c r="O146" i="5"/>
  <c r="L146" i="5"/>
  <c r="I146" i="5"/>
  <c r="F146" i="5"/>
  <c r="O145" i="5"/>
  <c r="L145" i="5"/>
  <c r="L144" i="5" s="1"/>
  <c r="I145" i="5"/>
  <c r="F145" i="5"/>
  <c r="N144" i="5"/>
  <c r="M144" i="5"/>
  <c r="K144" i="5"/>
  <c r="J144" i="5"/>
  <c r="H144" i="5"/>
  <c r="G144" i="5"/>
  <c r="E144" i="5"/>
  <c r="D144" i="5"/>
  <c r="O143" i="5"/>
  <c r="L143" i="5"/>
  <c r="I143" i="5"/>
  <c r="F143" i="5"/>
  <c r="O142" i="5"/>
  <c r="O141" i="5" s="1"/>
  <c r="L142" i="5"/>
  <c r="L141" i="5" s="1"/>
  <c r="I142" i="5"/>
  <c r="I141" i="5" s="1"/>
  <c r="F142" i="5"/>
  <c r="N141" i="5"/>
  <c r="M141" i="5"/>
  <c r="K141" i="5"/>
  <c r="J141" i="5"/>
  <c r="H141" i="5"/>
  <c r="G141" i="5"/>
  <c r="F141" i="5"/>
  <c r="E141" i="5"/>
  <c r="D141" i="5"/>
  <c r="O140" i="5"/>
  <c r="L140" i="5"/>
  <c r="I140" i="5"/>
  <c r="F140" i="5"/>
  <c r="O139" i="5"/>
  <c r="L139" i="5"/>
  <c r="I139" i="5"/>
  <c r="F139" i="5"/>
  <c r="O138" i="5"/>
  <c r="L138" i="5"/>
  <c r="I138" i="5"/>
  <c r="F138" i="5"/>
  <c r="O137" i="5"/>
  <c r="O136" i="5" s="1"/>
  <c r="L137" i="5"/>
  <c r="L136" i="5" s="1"/>
  <c r="I137" i="5"/>
  <c r="F137" i="5"/>
  <c r="N136" i="5"/>
  <c r="M136" i="5"/>
  <c r="K136" i="5"/>
  <c r="J136" i="5"/>
  <c r="H136" i="5"/>
  <c r="G136" i="5"/>
  <c r="E136" i="5"/>
  <c r="D136" i="5"/>
  <c r="O135" i="5"/>
  <c r="L135" i="5"/>
  <c r="I135" i="5"/>
  <c r="F135" i="5"/>
  <c r="O134" i="5"/>
  <c r="L134" i="5"/>
  <c r="I134" i="5"/>
  <c r="F134" i="5"/>
  <c r="O133" i="5"/>
  <c r="L133" i="5"/>
  <c r="I133" i="5"/>
  <c r="F133" i="5"/>
  <c r="O132" i="5"/>
  <c r="L132" i="5"/>
  <c r="I132" i="5"/>
  <c r="F132" i="5"/>
  <c r="N131" i="5"/>
  <c r="M131" i="5"/>
  <c r="K131" i="5"/>
  <c r="J131" i="5"/>
  <c r="H131" i="5"/>
  <c r="G131" i="5"/>
  <c r="E131" i="5"/>
  <c r="D131" i="5"/>
  <c r="O129" i="5"/>
  <c r="O128" i="5" s="1"/>
  <c r="L129" i="5"/>
  <c r="L128" i="5" s="1"/>
  <c r="I129" i="5"/>
  <c r="I128" i="5" s="1"/>
  <c r="F129" i="5"/>
  <c r="F128" i="5" s="1"/>
  <c r="N128" i="5"/>
  <c r="M128" i="5"/>
  <c r="K128" i="5"/>
  <c r="J128" i="5"/>
  <c r="H128" i="5"/>
  <c r="G128" i="5"/>
  <c r="E128" i="5"/>
  <c r="D128" i="5"/>
  <c r="O127" i="5"/>
  <c r="L127" i="5"/>
  <c r="I127" i="5"/>
  <c r="F127" i="5"/>
  <c r="O126" i="5"/>
  <c r="L126" i="5"/>
  <c r="I126" i="5"/>
  <c r="F126" i="5"/>
  <c r="O125" i="5"/>
  <c r="L125" i="5"/>
  <c r="I125" i="5"/>
  <c r="F125" i="5"/>
  <c r="O124" i="5"/>
  <c r="L124" i="5"/>
  <c r="I124" i="5"/>
  <c r="F124" i="5"/>
  <c r="O123" i="5"/>
  <c r="L123" i="5"/>
  <c r="I123" i="5"/>
  <c r="F123" i="5"/>
  <c r="F122" i="5" s="1"/>
  <c r="N122" i="5"/>
  <c r="M122" i="5"/>
  <c r="K122" i="5"/>
  <c r="J122" i="5"/>
  <c r="H122" i="5"/>
  <c r="G122" i="5"/>
  <c r="E122" i="5"/>
  <c r="D122" i="5"/>
  <c r="O121" i="5"/>
  <c r="L121" i="5"/>
  <c r="I121" i="5"/>
  <c r="F121" i="5"/>
  <c r="O120" i="5"/>
  <c r="L120" i="5"/>
  <c r="I120" i="5"/>
  <c r="F120" i="5"/>
  <c r="O119" i="5"/>
  <c r="L119" i="5"/>
  <c r="I119" i="5"/>
  <c r="F119" i="5"/>
  <c r="O118" i="5"/>
  <c r="L118" i="5"/>
  <c r="I118" i="5"/>
  <c r="F118" i="5"/>
  <c r="O117" i="5"/>
  <c r="L117" i="5"/>
  <c r="I117" i="5"/>
  <c r="F117" i="5"/>
  <c r="N116" i="5"/>
  <c r="M116" i="5"/>
  <c r="K116" i="5"/>
  <c r="J116" i="5"/>
  <c r="H116" i="5"/>
  <c r="G116" i="5"/>
  <c r="E116" i="5"/>
  <c r="D116" i="5"/>
  <c r="O115" i="5"/>
  <c r="L115" i="5"/>
  <c r="I115" i="5"/>
  <c r="F115" i="5"/>
  <c r="O114" i="5"/>
  <c r="L114" i="5"/>
  <c r="I114" i="5"/>
  <c r="F114" i="5"/>
  <c r="O113" i="5"/>
  <c r="O112" i="5" s="1"/>
  <c r="L113" i="5"/>
  <c r="L112" i="5" s="1"/>
  <c r="I113" i="5"/>
  <c r="F113" i="5"/>
  <c r="N112" i="5"/>
  <c r="M112" i="5"/>
  <c r="K112" i="5"/>
  <c r="J112" i="5"/>
  <c r="H112" i="5"/>
  <c r="G112" i="5"/>
  <c r="E112" i="5"/>
  <c r="D112" i="5"/>
  <c r="O111" i="5"/>
  <c r="L111" i="5"/>
  <c r="I111" i="5"/>
  <c r="F111" i="5"/>
  <c r="O110" i="5"/>
  <c r="L110" i="5"/>
  <c r="I110" i="5"/>
  <c r="F110" i="5"/>
  <c r="O109" i="5"/>
  <c r="L109" i="5"/>
  <c r="I109" i="5"/>
  <c r="F109" i="5"/>
  <c r="O108" i="5"/>
  <c r="L108" i="5"/>
  <c r="I108" i="5"/>
  <c r="F108" i="5"/>
  <c r="O107" i="5"/>
  <c r="L107" i="5"/>
  <c r="I107" i="5"/>
  <c r="F107" i="5"/>
  <c r="O106" i="5"/>
  <c r="L106" i="5"/>
  <c r="I106" i="5"/>
  <c r="F106" i="5"/>
  <c r="O105" i="5"/>
  <c r="L105" i="5"/>
  <c r="I105" i="5"/>
  <c r="F105" i="5"/>
  <c r="O104" i="5"/>
  <c r="L104" i="5"/>
  <c r="L103" i="5" s="1"/>
  <c r="I104" i="5"/>
  <c r="F104" i="5"/>
  <c r="N103" i="5"/>
  <c r="M103" i="5"/>
  <c r="K103" i="5"/>
  <c r="J103" i="5"/>
  <c r="H103" i="5"/>
  <c r="G103" i="5"/>
  <c r="E103" i="5"/>
  <c r="D103" i="5"/>
  <c r="O102" i="5"/>
  <c r="L102" i="5"/>
  <c r="I102" i="5"/>
  <c r="F102" i="5"/>
  <c r="O101" i="5"/>
  <c r="L101" i="5"/>
  <c r="I101" i="5"/>
  <c r="F101" i="5"/>
  <c r="O100" i="5"/>
  <c r="L100" i="5"/>
  <c r="I100" i="5"/>
  <c r="F100" i="5"/>
  <c r="O99" i="5"/>
  <c r="L99" i="5"/>
  <c r="I99" i="5"/>
  <c r="F99" i="5"/>
  <c r="O98" i="5"/>
  <c r="L98" i="5"/>
  <c r="I98" i="5"/>
  <c r="F98" i="5"/>
  <c r="O97" i="5"/>
  <c r="L97" i="5"/>
  <c r="I97" i="5"/>
  <c r="F97" i="5"/>
  <c r="O96" i="5"/>
  <c r="L96" i="5"/>
  <c r="I96" i="5"/>
  <c r="F96" i="5"/>
  <c r="N95" i="5"/>
  <c r="M95" i="5"/>
  <c r="K95" i="5"/>
  <c r="J95" i="5"/>
  <c r="H95" i="5"/>
  <c r="G95" i="5"/>
  <c r="E95" i="5"/>
  <c r="D95" i="5"/>
  <c r="O94" i="5"/>
  <c r="L94" i="5"/>
  <c r="I94" i="5"/>
  <c r="F94" i="5"/>
  <c r="O93" i="5"/>
  <c r="L93" i="5"/>
  <c r="I93" i="5"/>
  <c r="F93" i="5"/>
  <c r="O92" i="5"/>
  <c r="L92" i="5"/>
  <c r="I92" i="5"/>
  <c r="F92" i="5"/>
  <c r="O91" i="5"/>
  <c r="L91" i="5"/>
  <c r="I91" i="5"/>
  <c r="F91" i="5"/>
  <c r="O90" i="5"/>
  <c r="L90" i="5"/>
  <c r="L89" i="5" s="1"/>
  <c r="I90" i="5"/>
  <c r="F90" i="5"/>
  <c r="O89" i="5"/>
  <c r="N89" i="5"/>
  <c r="M89" i="5"/>
  <c r="K89" i="5"/>
  <c r="J89" i="5"/>
  <c r="H89" i="5"/>
  <c r="G89" i="5"/>
  <c r="E89" i="5"/>
  <c r="D89" i="5"/>
  <c r="O88" i="5"/>
  <c r="L88" i="5"/>
  <c r="I88" i="5"/>
  <c r="F88" i="5"/>
  <c r="O87" i="5"/>
  <c r="L87" i="5"/>
  <c r="I87" i="5"/>
  <c r="F87" i="5"/>
  <c r="O86" i="5"/>
  <c r="L86" i="5"/>
  <c r="I86" i="5"/>
  <c r="F86" i="5"/>
  <c r="O85" i="5"/>
  <c r="O84" i="5" s="1"/>
  <c r="L85" i="5"/>
  <c r="L84" i="5" s="1"/>
  <c r="I85" i="5"/>
  <c r="F85" i="5"/>
  <c r="N84" i="5"/>
  <c r="M84" i="5"/>
  <c r="K84" i="5"/>
  <c r="J84" i="5"/>
  <c r="H84" i="5"/>
  <c r="G84" i="5"/>
  <c r="E84" i="5"/>
  <c r="D84" i="5"/>
  <c r="O82" i="5"/>
  <c r="L82" i="5"/>
  <c r="I82" i="5"/>
  <c r="F82" i="5"/>
  <c r="O81" i="5"/>
  <c r="O80" i="5" s="1"/>
  <c r="L81" i="5"/>
  <c r="L80" i="5" s="1"/>
  <c r="I81" i="5"/>
  <c r="I80" i="5" s="1"/>
  <c r="F81" i="5"/>
  <c r="F80" i="5" s="1"/>
  <c r="N80" i="5"/>
  <c r="M80" i="5"/>
  <c r="K80" i="5"/>
  <c r="J80" i="5"/>
  <c r="H80" i="5"/>
  <c r="G80" i="5"/>
  <c r="E80" i="5"/>
  <c r="D80" i="5"/>
  <c r="O79" i="5"/>
  <c r="L79" i="5"/>
  <c r="I79" i="5"/>
  <c r="F79" i="5"/>
  <c r="O78" i="5"/>
  <c r="O77" i="5" s="1"/>
  <c r="L78" i="5"/>
  <c r="L77" i="5" s="1"/>
  <c r="I78" i="5"/>
  <c r="I77" i="5" s="1"/>
  <c r="F78" i="5"/>
  <c r="N77" i="5"/>
  <c r="N76" i="5" s="1"/>
  <c r="M77" i="5"/>
  <c r="K77" i="5"/>
  <c r="J77" i="5"/>
  <c r="H77" i="5"/>
  <c r="G77" i="5"/>
  <c r="E77" i="5"/>
  <c r="D77" i="5"/>
  <c r="D76" i="5" s="1"/>
  <c r="O74" i="5"/>
  <c r="L74" i="5"/>
  <c r="I74" i="5"/>
  <c r="F74" i="5"/>
  <c r="O73" i="5"/>
  <c r="L73" i="5"/>
  <c r="I73" i="5"/>
  <c r="F73" i="5"/>
  <c r="O72" i="5"/>
  <c r="L72" i="5"/>
  <c r="I72" i="5"/>
  <c r="F72" i="5"/>
  <c r="O71" i="5"/>
  <c r="L71" i="5"/>
  <c r="I71" i="5"/>
  <c r="F71" i="5"/>
  <c r="O70" i="5"/>
  <c r="O69" i="5" s="1"/>
  <c r="L70" i="5"/>
  <c r="I70" i="5"/>
  <c r="F70" i="5"/>
  <c r="N69" i="5"/>
  <c r="M69" i="5"/>
  <c r="M67" i="5" s="1"/>
  <c r="K69" i="5"/>
  <c r="J69" i="5"/>
  <c r="J67" i="5" s="1"/>
  <c r="H69" i="5"/>
  <c r="H67" i="5" s="1"/>
  <c r="G69" i="5"/>
  <c r="G67" i="5" s="1"/>
  <c r="E69" i="5"/>
  <c r="E67" i="5" s="1"/>
  <c r="D69" i="5"/>
  <c r="D67" i="5" s="1"/>
  <c r="O68" i="5"/>
  <c r="L68" i="5"/>
  <c r="I68" i="5"/>
  <c r="F68" i="5"/>
  <c r="N67" i="5"/>
  <c r="K67" i="5"/>
  <c r="O66" i="5"/>
  <c r="L66" i="5"/>
  <c r="I66" i="5"/>
  <c r="F66" i="5"/>
  <c r="O65" i="5"/>
  <c r="L65" i="5"/>
  <c r="I65" i="5"/>
  <c r="F65" i="5"/>
  <c r="O64" i="5"/>
  <c r="L64" i="5"/>
  <c r="I64" i="5"/>
  <c r="F64" i="5"/>
  <c r="O63" i="5"/>
  <c r="L63" i="5"/>
  <c r="I63" i="5"/>
  <c r="F63" i="5"/>
  <c r="O62" i="5"/>
  <c r="L62" i="5"/>
  <c r="I62" i="5"/>
  <c r="F62" i="5"/>
  <c r="O61" i="5"/>
  <c r="L61" i="5"/>
  <c r="I61" i="5"/>
  <c r="F61" i="5"/>
  <c r="O60" i="5"/>
  <c r="L60" i="5"/>
  <c r="I60" i="5"/>
  <c r="F60" i="5"/>
  <c r="O59" i="5"/>
  <c r="L59" i="5"/>
  <c r="I59" i="5"/>
  <c r="I58" i="5" s="1"/>
  <c r="F59" i="5"/>
  <c r="N58" i="5"/>
  <c r="M58" i="5"/>
  <c r="K58" i="5"/>
  <c r="J58" i="5"/>
  <c r="H58" i="5"/>
  <c r="G58" i="5"/>
  <c r="E58" i="5"/>
  <c r="D58" i="5"/>
  <c r="O57" i="5"/>
  <c r="L57" i="5"/>
  <c r="I57" i="5"/>
  <c r="F57" i="5"/>
  <c r="O56" i="5"/>
  <c r="L56" i="5"/>
  <c r="I56" i="5"/>
  <c r="I55" i="5" s="1"/>
  <c r="F56" i="5"/>
  <c r="O55" i="5"/>
  <c r="N55" i="5"/>
  <c r="M55" i="5"/>
  <c r="K55" i="5"/>
  <c r="J55" i="5"/>
  <c r="H55" i="5"/>
  <c r="H54" i="5" s="1"/>
  <c r="G55" i="5"/>
  <c r="F55" i="5"/>
  <c r="E55" i="5"/>
  <c r="D55" i="5"/>
  <c r="O47" i="5"/>
  <c r="C47" i="5" s="1"/>
  <c r="O46" i="5"/>
  <c r="C46" i="5" s="1"/>
  <c r="N45" i="5"/>
  <c r="M45" i="5"/>
  <c r="L44" i="5"/>
  <c r="L43" i="5" s="1"/>
  <c r="I44" i="5"/>
  <c r="I43" i="5" s="1"/>
  <c r="F44" i="5"/>
  <c r="F43" i="5" s="1"/>
  <c r="K43" i="5"/>
  <c r="J43" i="5"/>
  <c r="H43" i="5"/>
  <c r="G43" i="5"/>
  <c r="E43" i="5"/>
  <c r="D43" i="5"/>
  <c r="F42" i="5"/>
  <c r="C42" i="5" s="1"/>
  <c r="E41" i="5"/>
  <c r="D41" i="5"/>
  <c r="L40" i="5"/>
  <c r="C40" i="5" s="1"/>
  <c r="L39" i="5"/>
  <c r="C39" i="5" s="1"/>
  <c r="L38" i="5"/>
  <c r="C38" i="5" s="1"/>
  <c r="L37" i="5"/>
  <c r="C37" i="5" s="1"/>
  <c r="K36" i="5"/>
  <c r="J36" i="5"/>
  <c r="L35" i="5"/>
  <c r="C35" i="5" s="1"/>
  <c r="L34" i="5"/>
  <c r="C34" i="5" s="1"/>
  <c r="K33" i="5"/>
  <c r="J33" i="5"/>
  <c r="L32" i="5"/>
  <c r="K31" i="5"/>
  <c r="J31" i="5"/>
  <c r="L30" i="5"/>
  <c r="C30" i="5" s="1"/>
  <c r="L29" i="5"/>
  <c r="C29" i="5" s="1"/>
  <c r="L28" i="5"/>
  <c r="C28" i="5" s="1"/>
  <c r="K27" i="5"/>
  <c r="J27" i="5"/>
  <c r="J26" i="5" s="1"/>
  <c r="F25" i="5"/>
  <c r="C25" i="5" s="1"/>
  <c r="I24" i="5"/>
  <c r="F24" i="5"/>
  <c r="O23" i="5"/>
  <c r="L23" i="5"/>
  <c r="I23" i="5"/>
  <c r="F23" i="5"/>
  <c r="O22" i="5"/>
  <c r="O21" i="5" s="1"/>
  <c r="L22" i="5"/>
  <c r="L21" i="5" s="1"/>
  <c r="L292" i="5" s="1"/>
  <c r="I22" i="5"/>
  <c r="F22" i="5"/>
  <c r="N21" i="5"/>
  <c r="N292" i="5" s="1"/>
  <c r="N291" i="5" s="1"/>
  <c r="M21" i="5"/>
  <c r="M292" i="5" s="1"/>
  <c r="M291" i="5" s="1"/>
  <c r="K21" i="5"/>
  <c r="J21" i="5"/>
  <c r="J292" i="5" s="1"/>
  <c r="H21" i="5"/>
  <c r="H292" i="5" s="1"/>
  <c r="H291" i="5" s="1"/>
  <c r="G21" i="5"/>
  <c r="G292" i="5" s="1"/>
  <c r="G291" i="5" s="1"/>
  <c r="E21" i="5"/>
  <c r="E292" i="5" s="1"/>
  <c r="E291" i="5" s="1"/>
  <c r="D21" i="5"/>
  <c r="C214" i="5" l="1"/>
  <c r="N173" i="5"/>
  <c r="E76" i="5"/>
  <c r="J76" i="5"/>
  <c r="C101" i="5"/>
  <c r="D54" i="5"/>
  <c r="I21" i="5"/>
  <c r="L55" i="5"/>
  <c r="M76" i="5"/>
  <c r="L76" i="5"/>
  <c r="C97" i="5"/>
  <c r="C100" i="5"/>
  <c r="D187" i="5"/>
  <c r="C298" i="5"/>
  <c r="C300" i="5"/>
  <c r="L58" i="5"/>
  <c r="C275" i="5"/>
  <c r="G76" i="5"/>
  <c r="N130" i="5"/>
  <c r="M20" i="5"/>
  <c r="C59" i="5"/>
  <c r="C60" i="5"/>
  <c r="C61" i="5"/>
  <c r="C62" i="5"/>
  <c r="C63" i="5"/>
  <c r="C121" i="5"/>
  <c r="C137" i="5"/>
  <c r="C169" i="5"/>
  <c r="C177" i="5"/>
  <c r="C266" i="5"/>
  <c r="O276" i="5"/>
  <c r="N54" i="5"/>
  <c r="C129" i="5"/>
  <c r="C145" i="5"/>
  <c r="C167" i="5"/>
  <c r="C168" i="5"/>
  <c r="D174" i="5"/>
  <c r="D173" i="5" s="1"/>
  <c r="K195" i="5"/>
  <c r="C229" i="5"/>
  <c r="D231" i="5"/>
  <c r="D230" i="5" s="1"/>
  <c r="J231" i="5"/>
  <c r="M231" i="5"/>
  <c r="J291" i="5"/>
  <c r="C24" i="5"/>
  <c r="J54" i="5"/>
  <c r="C157" i="5"/>
  <c r="L187" i="5"/>
  <c r="C210" i="5"/>
  <c r="C213" i="5"/>
  <c r="C278" i="5"/>
  <c r="L175" i="5"/>
  <c r="G231" i="5"/>
  <c r="G230" i="5" s="1"/>
  <c r="K292" i="5"/>
  <c r="K291" i="5" s="1"/>
  <c r="C23" i="5"/>
  <c r="I76" i="5"/>
  <c r="G83" i="5"/>
  <c r="M83" i="5"/>
  <c r="E83" i="5"/>
  <c r="C117" i="5"/>
  <c r="C120" i="5"/>
  <c r="C153" i="5"/>
  <c r="E187" i="5"/>
  <c r="J187" i="5"/>
  <c r="C206" i="5"/>
  <c r="N231" i="5"/>
  <c r="O246" i="5"/>
  <c r="C258" i="5"/>
  <c r="O260" i="5"/>
  <c r="N259" i="5"/>
  <c r="C271" i="5"/>
  <c r="N269" i="5"/>
  <c r="C282" i="5"/>
  <c r="C294" i="5"/>
  <c r="E54" i="5"/>
  <c r="E53" i="5" s="1"/>
  <c r="J53" i="5"/>
  <c r="I69" i="5"/>
  <c r="I67" i="5" s="1"/>
  <c r="C109" i="5"/>
  <c r="C113" i="5"/>
  <c r="I112" i="5"/>
  <c r="C133" i="5"/>
  <c r="K130" i="5"/>
  <c r="C149" i="5"/>
  <c r="C190" i="5"/>
  <c r="C202" i="5"/>
  <c r="G204" i="5"/>
  <c r="M204" i="5"/>
  <c r="M195" i="5" s="1"/>
  <c r="E204" i="5"/>
  <c r="E195" i="5" s="1"/>
  <c r="C226" i="5"/>
  <c r="E231" i="5"/>
  <c r="C250" i="5"/>
  <c r="C262" i="5"/>
  <c r="J259" i="5"/>
  <c r="J230" i="5" s="1"/>
  <c r="O264" i="5"/>
  <c r="L122" i="5"/>
  <c r="K54" i="5"/>
  <c r="K53" i="5" s="1"/>
  <c r="D83" i="5"/>
  <c r="C181" i="5"/>
  <c r="C186" i="5"/>
  <c r="H187" i="5"/>
  <c r="C201" i="5"/>
  <c r="K270" i="5"/>
  <c r="I276" i="5"/>
  <c r="I270" i="5" s="1"/>
  <c r="I269" i="5" s="1"/>
  <c r="C22" i="5"/>
  <c r="F21" i="5"/>
  <c r="F292" i="5" s="1"/>
  <c r="N53" i="5"/>
  <c r="C65" i="5"/>
  <c r="O67" i="5"/>
  <c r="L69" i="5"/>
  <c r="L67" i="5" s="1"/>
  <c r="K83" i="5"/>
  <c r="C85" i="5"/>
  <c r="C98" i="5"/>
  <c r="C172" i="5"/>
  <c r="C234" i="5"/>
  <c r="F233" i="5"/>
  <c r="C233" i="5" s="1"/>
  <c r="E20" i="5"/>
  <c r="K26" i="5"/>
  <c r="C70" i="5"/>
  <c r="C71" i="5"/>
  <c r="C79" i="5"/>
  <c r="C88" i="5"/>
  <c r="J83" i="5"/>
  <c r="C105" i="5"/>
  <c r="C108" i="5"/>
  <c r="L116" i="5"/>
  <c r="I131" i="5"/>
  <c r="L131" i="5"/>
  <c r="G130" i="5"/>
  <c r="C138" i="5"/>
  <c r="C140" i="5"/>
  <c r="C141" i="5"/>
  <c r="C146" i="5"/>
  <c r="C147" i="5"/>
  <c r="C148" i="5"/>
  <c r="C161" i="5"/>
  <c r="I188" i="5"/>
  <c r="I187" i="5" s="1"/>
  <c r="N187" i="5"/>
  <c r="H204" i="5"/>
  <c r="H195" i="5" s="1"/>
  <c r="C211" i="5"/>
  <c r="C222" i="5"/>
  <c r="C225" i="5"/>
  <c r="C247" i="5"/>
  <c r="H259" i="5"/>
  <c r="C295" i="5"/>
  <c r="C185" i="5"/>
  <c r="F184" i="5"/>
  <c r="C184" i="5" s="1"/>
  <c r="C64" i="5"/>
  <c r="C66" i="5"/>
  <c r="C68" i="5"/>
  <c r="N83" i="5"/>
  <c r="N75" i="5" s="1"/>
  <c r="C124" i="5"/>
  <c r="C125" i="5"/>
  <c r="C215" i="5"/>
  <c r="C32" i="5"/>
  <c r="L31" i="5"/>
  <c r="C31" i="5" s="1"/>
  <c r="C43" i="5"/>
  <c r="C56" i="5"/>
  <c r="C57" i="5"/>
  <c r="H76" i="5"/>
  <c r="C81" i="5"/>
  <c r="C82" i="5"/>
  <c r="C93" i="5"/>
  <c r="C96" i="5"/>
  <c r="L95" i="5"/>
  <c r="I103" i="5"/>
  <c r="C128" i="5"/>
  <c r="E130" i="5"/>
  <c r="J130" i="5"/>
  <c r="I136" i="5"/>
  <c r="I144" i="5"/>
  <c r="C154" i="5"/>
  <c r="C156" i="5"/>
  <c r="C162" i="5"/>
  <c r="C164" i="5"/>
  <c r="H174" i="5"/>
  <c r="M174" i="5"/>
  <c r="M173" i="5" s="1"/>
  <c r="I179" i="5"/>
  <c r="I174" i="5" s="1"/>
  <c r="I173" i="5" s="1"/>
  <c r="C182" i="5"/>
  <c r="C183" i="5"/>
  <c r="O196" i="5"/>
  <c r="D204" i="5"/>
  <c r="D195" i="5" s="1"/>
  <c r="O205" i="5"/>
  <c r="C218" i="5"/>
  <c r="H231" i="5"/>
  <c r="C242" i="5"/>
  <c r="C254" i="5"/>
  <c r="C257" i="5"/>
  <c r="O259" i="5"/>
  <c r="L264" i="5"/>
  <c r="G270" i="5"/>
  <c r="G269" i="5" s="1"/>
  <c r="C274" i="5"/>
  <c r="K269" i="5"/>
  <c r="C279" i="5"/>
  <c r="D269" i="5"/>
  <c r="O216" i="5"/>
  <c r="J204" i="5"/>
  <c r="J195" i="5" s="1"/>
  <c r="N204" i="5"/>
  <c r="N195" i="5" s="1"/>
  <c r="C236" i="5"/>
  <c r="C237" i="5"/>
  <c r="O238" i="5"/>
  <c r="O272" i="5"/>
  <c r="C280" i="5"/>
  <c r="C287" i="5"/>
  <c r="C299" i="5"/>
  <c r="C44" i="5"/>
  <c r="G54" i="5"/>
  <c r="G53" i="5" s="1"/>
  <c r="M54" i="5"/>
  <c r="O58" i="5"/>
  <c r="O54" i="5" s="1"/>
  <c r="O53" i="5" s="1"/>
  <c r="C72" i="5"/>
  <c r="C73" i="5"/>
  <c r="C74" i="5"/>
  <c r="G75" i="5"/>
  <c r="K76" i="5"/>
  <c r="C78" i="5"/>
  <c r="I84" i="5"/>
  <c r="C92" i="5"/>
  <c r="H83" i="5"/>
  <c r="F103" i="5"/>
  <c r="O116" i="5"/>
  <c r="I122" i="5"/>
  <c r="C127" i="5"/>
  <c r="I151" i="5"/>
  <c r="C158" i="5"/>
  <c r="C159" i="5"/>
  <c r="C160" i="5"/>
  <c r="L166" i="5"/>
  <c r="L165" i="5" s="1"/>
  <c r="G174" i="5"/>
  <c r="G173" i="5" s="1"/>
  <c r="K174" i="5"/>
  <c r="K173" i="5" s="1"/>
  <c r="L179" i="5"/>
  <c r="L174" i="5" s="1"/>
  <c r="L173" i="5" s="1"/>
  <c r="G195" i="5"/>
  <c r="G194" i="5" s="1"/>
  <c r="C221" i="5"/>
  <c r="K231" i="5"/>
  <c r="K230" i="5" s="1"/>
  <c r="I238" i="5"/>
  <c r="C245" i="5"/>
  <c r="I264" i="5"/>
  <c r="I259" i="5" s="1"/>
  <c r="L276" i="5"/>
  <c r="L270" i="5" s="1"/>
  <c r="L269" i="5" s="1"/>
  <c r="F293" i="5"/>
  <c r="C297" i="5"/>
  <c r="D292" i="5"/>
  <c r="D291" i="5" s="1"/>
  <c r="D20" i="5"/>
  <c r="D53" i="5"/>
  <c r="O76" i="5"/>
  <c r="C80" i="5"/>
  <c r="I20" i="5"/>
  <c r="O292" i="5"/>
  <c r="O291" i="5" s="1"/>
  <c r="H53" i="5"/>
  <c r="M53" i="5"/>
  <c r="C55" i="5"/>
  <c r="I54" i="5"/>
  <c r="C132" i="5"/>
  <c r="F131" i="5"/>
  <c r="C217" i="5"/>
  <c r="F216" i="5"/>
  <c r="C235" i="5"/>
  <c r="C256" i="5"/>
  <c r="I252" i="5"/>
  <c r="I251" i="5" s="1"/>
  <c r="C277" i="5"/>
  <c r="F276" i="5"/>
  <c r="C296" i="5"/>
  <c r="I293" i="5"/>
  <c r="C301" i="5"/>
  <c r="J20" i="5"/>
  <c r="N20" i="5"/>
  <c r="F69" i="5"/>
  <c r="F77" i="5"/>
  <c r="C86" i="5"/>
  <c r="C87" i="5"/>
  <c r="F84" i="5"/>
  <c r="F89" i="5"/>
  <c r="C90" i="5"/>
  <c r="C91" i="5"/>
  <c r="O95" i="5"/>
  <c r="C107" i="5"/>
  <c r="C119" i="5"/>
  <c r="C126" i="5"/>
  <c r="C134" i="5"/>
  <c r="C135" i="5"/>
  <c r="C150" i="5"/>
  <c r="O151" i="5"/>
  <c r="L151" i="5"/>
  <c r="F166" i="5"/>
  <c r="I165" i="5"/>
  <c r="C170" i="5"/>
  <c r="C171" i="5"/>
  <c r="E174" i="5"/>
  <c r="E173" i="5" s="1"/>
  <c r="C176" i="5"/>
  <c r="F175" i="5"/>
  <c r="C193" i="5"/>
  <c r="F192" i="5"/>
  <c r="G20" i="5"/>
  <c r="K20" i="5"/>
  <c r="L27" i="5"/>
  <c r="L33" i="5"/>
  <c r="C33" i="5" s="1"/>
  <c r="L36" i="5"/>
  <c r="C36" i="5" s="1"/>
  <c r="F41" i="5"/>
  <c r="C41" i="5" s="1"/>
  <c r="O45" i="5"/>
  <c r="F58" i="5"/>
  <c r="I89" i="5"/>
  <c r="F95" i="5"/>
  <c r="C102" i="5"/>
  <c r="C106" i="5"/>
  <c r="C118" i="5"/>
  <c r="O122" i="5"/>
  <c r="H130" i="5"/>
  <c r="H75" i="5" s="1"/>
  <c r="M130" i="5"/>
  <c r="M75" i="5" s="1"/>
  <c r="C142" i="5"/>
  <c r="C143" i="5"/>
  <c r="C152" i="5"/>
  <c r="F151" i="5"/>
  <c r="C178" i="5"/>
  <c r="O179" i="5"/>
  <c r="O174" i="5" s="1"/>
  <c r="O173" i="5" s="1"/>
  <c r="O270" i="5"/>
  <c r="O269" i="5" s="1"/>
  <c r="H20" i="5"/>
  <c r="C94" i="5"/>
  <c r="I95" i="5"/>
  <c r="C99" i="5"/>
  <c r="C104" i="5"/>
  <c r="O103" i="5"/>
  <c r="C110" i="5"/>
  <c r="C111" i="5"/>
  <c r="C114" i="5"/>
  <c r="C115" i="5"/>
  <c r="F112" i="5"/>
  <c r="C112" i="5" s="1"/>
  <c r="C123" i="5"/>
  <c r="D130" i="5"/>
  <c r="O131" i="5"/>
  <c r="C139" i="5"/>
  <c r="O144" i="5"/>
  <c r="C155" i="5"/>
  <c r="C163" i="5"/>
  <c r="O166" i="5"/>
  <c r="O165" i="5" s="1"/>
  <c r="H173" i="5"/>
  <c r="C180" i="5"/>
  <c r="F179" i="5"/>
  <c r="L205" i="5"/>
  <c r="C261" i="5"/>
  <c r="F260" i="5"/>
  <c r="I116" i="5"/>
  <c r="C207" i="5"/>
  <c r="C208" i="5"/>
  <c r="C209" i="5"/>
  <c r="F205" i="5"/>
  <c r="C219" i="5"/>
  <c r="C220" i="5"/>
  <c r="C249" i="5"/>
  <c r="F246" i="5"/>
  <c r="O252" i="5"/>
  <c r="O251" i="5" s="1"/>
  <c r="L252" i="5"/>
  <c r="L251" i="5" s="1"/>
  <c r="C255" i="5"/>
  <c r="E270" i="5"/>
  <c r="E269" i="5" s="1"/>
  <c r="C285" i="5"/>
  <c r="F284" i="5"/>
  <c r="C288" i="5"/>
  <c r="I286" i="5"/>
  <c r="F116" i="5"/>
  <c r="F136" i="5"/>
  <c r="F144" i="5"/>
  <c r="O188" i="5"/>
  <c r="O187" i="5" s="1"/>
  <c r="C197" i="5"/>
  <c r="F196" i="5"/>
  <c r="C200" i="5"/>
  <c r="I198" i="5"/>
  <c r="C203" i="5"/>
  <c r="I205" i="5"/>
  <c r="C212" i="5"/>
  <c r="C223" i="5"/>
  <c r="C224" i="5"/>
  <c r="L231" i="5"/>
  <c r="C239" i="5"/>
  <c r="C240" i="5"/>
  <c r="C241" i="5"/>
  <c r="F238" i="5"/>
  <c r="C248" i="5"/>
  <c r="I246" i="5"/>
  <c r="E230" i="5"/>
  <c r="C253" i="5"/>
  <c r="F252" i="5"/>
  <c r="M259" i="5"/>
  <c r="C265" i="5"/>
  <c r="F264" i="5"/>
  <c r="C273" i="5"/>
  <c r="F272" i="5"/>
  <c r="C189" i="5"/>
  <c r="F188" i="5"/>
  <c r="C199" i="5"/>
  <c r="L198" i="5"/>
  <c r="L196" i="5" s="1"/>
  <c r="L216" i="5"/>
  <c r="I227" i="5"/>
  <c r="C227" i="5" s="1"/>
  <c r="C228" i="5"/>
  <c r="C232" i="5"/>
  <c r="C243" i="5"/>
  <c r="C244" i="5"/>
  <c r="L260" i="5"/>
  <c r="C263" i="5"/>
  <c r="C267" i="5"/>
  <c r="C268" i="5"/>
  <c r="C281" i="5"/>
  <c r="L293" i="5"/>
  <c r="L291" i="5" s="1"/>
  <c r="L54" i="5" l="1"/>
  <c r="L53" i="5"/>
  <c r="C58" i="5"/>
  <c r="O231" i="5"/>
  <c r="O230" i="5" s="1"/>
  <c r="E75" i="5"/>
  <c r="E289" i="5" s="1"/>
  <c r="C122" i="5"/>
  <c r="K194" i="5"/>
  <c r="J75" i="5"/>
  <c r="J52" i="5" s="1"/>
  <c r="L83" i="5"/>
  <c r="M230" i="5"/>
  <c r="I231" i="5"/>
  <c r="I230" i="5" s="1"/>
  <c r="F291" i="5"/>
  <c r="J194" i="5"/>
  <c r="O204" i="5"/>
  <c r="O195" i="5" s="1"/>
  <c r="D75" i="5"/>
  <c r="D289" i="5" s="1"/>
  <c r="L130" i="5"/>
  <c r="C293" i="5"/>
  <c r="K75" i="5"/>
  <c r="K289" i="5" s="1"/>
  <c r="I130" i="5"/>
  <c r="N230" i="5"/>
  <c r="N194" i="5" s="1"/>
  <c r="K52" i="5"/>
  <c r="H230" i="5"/>
  <c r="H194" i="5" s="1"/>
  <c r="E194" i="5"/>
  <c r="G289" i="5"/>
  <c r="C103" i="5"/>
  <c r="L259" i="5"/>
  <c r="D194" i="5"/>
  <c r="C264" i="5"/>
  <c r="C238" i="5"/>
  <c r="I204" i="5"/>
  <c r="H289" i="5"/>
  <c r="C95" i="5"/>
  <c r="C89" i="5"/>
  <c r="I53" i="5"/>
  <c r="G52" i="5"/>
  <c r="G51" i="5" s="1"/>
  <c r="C136" i="5"/>
  <c r="O83" i="5"/>
  <c r="C276" i="5"/>
  <c r="F231" i="5"/>
  <c r="F54" i="5"/>
  <c r="C54" i="5" s="1"/>
  <c r="C21" i="5"/>
  <c r="N52" i="5"/>
  <c r="M289" i="5"/>
  <c r="M194" i="5"/>
  <c r="L204" i="5"/>
  <c r="L195" i="5" s="1"/>
  <c r="F165" i="5"/>
  <c r="C165" i="5" s="1"/>
  <c r="C166" i="5"/>
  <c r="F76" i="5"/>
  <c r="C77" i="5"/>
  <c r="C144" i="5"/>
  <c r="C205" i="5"/>
  <c r="F204" i="5"/>
  <c r="F195" i="5" s="1"/>
  <c r="F83" i="5"/>
  <c r="C84" i="5"/>
  <c r="F67" i="5"/>
  <c r="C67" i="5" s="1"/>
  <c r="C69" i="5"/>
  <c r="F20" i="5"/>
  <c r="H52" i="5"/>
  <c r="H51" i="5" s="1"/>
  <c r="C252" i="5"/>
  <c r="F251" i="5"/>
  <c r="C251" i="5" s="1"/>
  <c r="C198" i="5"/>
  <c r="I196" i="5"/>
  <c r="C45" i="5"/>
  <c r="C216" i="5"/>
  <c r="C131" i="5"/>
  <c r="F130" i="5"/>
  <c r="C286" i="5"/>
  <c r="C284" i="5"/>
  <c r="F283" i="5"/>
  <c r="C283" i="5" s="1"/>
  <c r="C260" i="5"/>
  <c r="F259" i="5"/>
  <c r="C179" i="5"/>
  <c r="I83" i="5"/>
  <c r="I75" i="5" s="1"/>
  <c r="C175" i="5"/>
  <c r="F174" i="5"/>
  <c r="M52" i="5"/>
  <c r="O20" i="5"/>
  <c r="D52" i="5"/>
  <c r="C188" i="5"/>
  <c r="C27" i="5"/>
  <c r="L26" i="5"/>
  <c r="C192" i="5"/>
  <c r="F191" i="5"/>
  <c r="C191" i="5" s="1"/>
  <c r="L230" i="5"/>
  <c r="F270" i="5"/>
  <c r="C272" i="5"/>
  <c r="C116" i="5"/>
  <c r="C246" i="5"/>
  <c r="O130" i="5"/>
  <c r="O75" i="5" s="1"/>
  <c r="C151" i="5"/>
  <c r="I292" i="5"/>
  <c r="O194" i="5" l="1"/>
  <c r="C259" i="5"/>
  <c r="C231" i="5"/>
  <c r="N289" i="5"/>
  <c r="J289" i="5"/>
  <c r="K51" i="5"/>
  <c r="K50" i="5" s="1"/>
  <c r="J51" i="5"/>
  <c r="J50" i="5" s="1"/>
  <c r="E52" i="5"/>
  <c r="E51" i="5" s="1"/>
  <c r="E290" i="5" s="1"/>
  <c r="I52" i="5"/>
  <c r="D51" i="5"/>
  <c r="D290" i="5" s="1"/>
  <c r="L75" i="5"/>
  <c r="L52" i="5" s="1"/>
  <c r="N51" i="5"/>
  <c r="N290" i="5" s="1"/>
  <c r="M51" i="5"/>
  <c r="M290" i="5" s="1"/>
  <c r="J290" i="5"/>
  <c r="L194" i="5"/>
  <c r="I195" i="5"/>
  <c r="I194" i="5" s="1"/>
  <c r="I51" i="5" s="1"/>
  <c r="F53" i="5"/>
  <c r="C53" i="5" s="1"/>
  <c r="C204" i="5"/>
  <c r="G290" i="5"/>
  <c r="G50" i="5"/>
  <c r="O52" i="5"/>
  <c r="O51" i="5" s="1"/>
  <c r="O289" i="5"/>
  <c r="F173" i="5"/>
  <c r="C173" i="5" s="1"/>
  <c r="C174" i="5"/>
  <c r="H290" i="5"/>
  <c r="H50" i="5"/>
  <c r="F75" i="5"/>
  <c r="C75" i="5" s="1"/>
  <c r="C76" i="5"/>
  <c r="F187" i="5"/>
  <c r="C187" i="5" s="1"/>
  <c r="C130" i="5"/>
  <c r="C83" i="5"/>
  <c r="F230" i="5"/>
  <c r="C230" i="5" s="1"/>
  <c r="F269" i="5"/>
  <c r="F194" i="5" s="1"/>
  <c r="C270" i="5"/>
  <c r="I291" i="5"/>
  <c r="C291" i="5" s="1"/>
  <c r="C292" i="5"/>
  <c r="L289" i="5"/>
  <c r="C26" i="5"/>
  <c r="L20" i="5"/>
  <c r="C20" i="5" s="1"/>
  <c r="C196" i="5"/>
  <c r="N50" i="5" l="1"/>
  <c r="E50" i="5"/>
  <c r="K290" i="5"/>
  <c r="D50" i="5"/>
  <c r="L51" i="5"/>
  <c r="L290" i="5" s="1"/>
  <c r="M50" i="5"/>
  <c r="I290" i="5"/>
  <c r="I50" i="5"/>
  <c r="L50" i="5"/>
  <c r="C194" i="5"/>
  <c r="I289" i="5"/>
  <c r="C195" i="5"/>
  <c r="C269" i="5"/>
  <c r="F289" i="5"/>
  <c r="O50" i="5"/>
  <c r="O290" i="5"/>
  <c r="F52" i="5"/>
  <c r="C289" i="5" l="1"/>
  <c r="F51" i="5"/>
  <c r="C52" i="5"/>
  <c r="F290" i="5" l="1"/>
  <c r="C290" i="5" s="1"/>
  <c r="F50" i="5"/>
  <c r="C50" i="5" s="1"/>
  <c r="C51" i="5"/>
  <c r="O301" i="4" l="1"/>
  <c r="L301" i="4"/>
  <c r="I301" i="4"/>
  <c r="F301" i="4"/>
  <c r="O300" i="4"/>
  <c r="L300" i="4"/>
  <c r="I300" i="4"/>
  <c r="F300" i="4"/>
  <c r="O299" i="4"/>
  <c r="L299" i="4"/>
  <c r="I299" i="4"/>
  <c r="F299" i="4"/>
  <c r="O298" i="4"/>
  <c r="L298" i="4"/>
  <c r="I298" i="4"/>
  <c r="F298" i="4"/>
  <c r="O297" i="4"/>
  <c r="L297" i="4"/>
  <c r="I297" i="4"/>
  <c r="F297" i="4"/>
  <c r="O296" i="4"/>
  <c r="L296" i="4"/>
  <c r="I296" i="4"/>
  <c r="F296" i="4"/>
  <c r="O295" i="4"/>
  <c r="L295" i="4"/>
  <c r="I295" i="4"/>
  <c r="F295" i="4"/>
  <c r="O294" i="4"/>
  <c r="L294" i="4"/>
  <c r="I294" i="4"/>
  <c r="I293" i="4" s="1"/>
  <c r="F294" i="4"/>
  <c r="N293" i="4"/>
  <c r="M293" i="4"/>
  <c r="K293" i="4"/>
  <c r="J293" i="4"/>
  <c r="H293" i="4"/>
  <c r="G293" i="4"/>
  <c r="E293" i="4"/>
  <c r="D293" i="4"/>
  <c r="O288" i="4"/>
  <c r="L288" i="4"/>
  <c r="I288" i="4"/>
  <c r="F288" i="4"/>
  <c r="O287" i="4"/>
  <c r="L287" i="4"/>
  <c r="L286" i="4" s="1"/>
  <c r="I287" i="4"/>
  <c r="F287" i="4"/>
  <c r="F286" i="4" s="1"/>
  <c r="O286" i="4"/>
  <c r="N286" i="4"/>
  <c r="M286" i="4"/>
  <c r="K286" i="4"/>
  <c r="J286" i="4"/>
  <c r="H286" i="4"/>
  <c r="G286" i="4"/>
  <c r="E286" i="4"/>
  <c r="D286" i="4"/>
  <c r="O285" i="4"/>
  <c r="L285" i="4"/>
  <c r="L284" i="4" s="1"/>
  <c r="L283" i="4" s="1"/>
  <c r="I285" i="4"/>
  <c r="I284" i="4" s="1"/>
  <c r="I283" i="4" s="1"/>
  <c r="F285" i="4"/>
  <c r="O284" i="4"/>
  <c r="O283" i="4" s="1"/>
  <c r="N284" i="4"/>
  <c r="N283" i="4" s="1"/>
  <c r="M284" i="4"/>
  <c r="M283" i="4" s="1"/>
  <c r="K284" i="4"/>
  <c r="K283" i="4" s="1"/>
  <c r="J284" i="4"/>
  <c r="J283" i="4" s="1"/>
  <c r="H284" i="4"/>
  <c r="G284" i="4"/>
  <c r="G283" i="4" s="1"/>
  <c r="E284" i="4"/>
  <c r="E283" i="4" s="1"/>
  <c r="D284" i="4"/>
  <c r="D283" i="4" s="1"/>
  <c r="H283" i="4"/>
  <c r="O282" i="4"/>
  <c r="O281" i="4" s="1"/>
  <c r="L282" i="4"/>
  <c r="L281" i="4" s="1"/>
  <c r="I282" i="4"/>
  <c r="I281" i="4" s="1"/>
  <c r="F282" i="4"/>
  <c r="N281" i="4"/>
  <c r="M281" i="4"/>
  <c r="K281" i="4"/>
  <c r="J281" i="4"/>
  <c r="H281" i="4"/>
  <c r="G281" i="4"/>
  <c r="E281" i="4"/>
  <c r="D281" i="4"/>
  <c r="O280" i="4"/>
  <c r="L280" i="4"/>
  <c r="I280" i="4"/>
  <c r="F280" i="4"/>
  <c r="O279" i="4"/>
  <c r="L279" i="4"/>
  <c r="I279" i="4"/>
  <c r="F279" i="4"/>
  <c r="O278" i="4"/>
  <c r="L278" i="4"/>
  <c r="I278" i="4"/>
  <c r="F278" i="4"/>
  <c r="O277" i="4"/>
  <c r="L277" i="4"/>
  <c r="I277" i="4"/>
  <c r="I276" i="4" s="1"/>
  <c r="F277" i="4"/>
  <c r="N276" i="4"/>
  <c r="M276" i="4"/>
  <c r="K276" i="4"/>
  <c r="J276" i="4"/>
  <c r="H276" i="4"/>
  <c r="G276" i="4"/>
  <c r="E276" i="4"/>
  <c r="D276" i="4"/>
  <c r="O275" i="4"/>
  <c r="L275" i="4"/>
  <c r="I275" i="4"/>
  <c r="F275" i="4"/>
  <c r="O274" i="4"/>
  <c r="L274" i="4"/>
  <c r="I274" i="4"/>
  <c r="F274" i="4"/>
  <c r="O273" i="4"/>
  <c r="L273" i="4"/>
  <c r="I273" i="4"/>
  <c r="F273" i="4"/>
  <c r="N272" i="4"/>
  <c r="N270" i="4" s="1"/>
  <c r="N269" i="4" s="1"/>
  <c r="M272" i="4"/>
  <c r="M270" i="4" s="1"/>
  <c r="K272" i="4"/>
  <c r="J272" i="4"/>
  <c r="J270" i="4" s="1"/>
  <c r="J269" i="4" s="1"/>
  <c r="I272" i="4"/>
  <c r="H272" i="4"/>
  <c r="G272" i="4"/>
  <c r="E272" i="4"/>
  <c r="D272" i="4"/>
  <c r="O271" i="4"/>
  <c r="L271" i="4"/>
  <c r="I271" i="4"/>
  <c r="F271" i="4"/>
  <c r="O268" i="4"/>
  <c r="L268" i="4"/>
  <c r="I268" i="4"/>
  <c r="F268" i="4"/>
  <c r="O267" i="4"/>
  <c r="L267" i="4"/>
  <c r="I267" i="4"/>
  <c r="F267" i="4"/>
  <c r="O266" i="4"/>
  <c r="L266" i="4"/>
  <c r="I266" i="4"/>
  <c r="F266" i="4"/>
  <c r="O265" i="4"/>
  <c r="L265" i="4"/>
  <c r="I265" i="4"/>
  <c r="F265" i="4"/>
  <c r="N264" i="4"/>
  <c r="M264" i="4"/>
  <c r="K264" i="4"/>
  <c r="J264" i="4"/>
  <c r="H264" i="4"/>
  <c r="G264" i="4"/>
  <c r="E264" i="4"/>
  <c r="D264" i="4"/>
  <c r="O263" i="4"/>
  <c r="L263" i="4"/>
  <c r="I263" i="4"/>
  <c r="F263" i="4"/>
  <c r="O262" i="4"/>
  <c r="L262" i="4"/>
  <c r="I262" i="4"/>
  <c r="F262" i="4"/>
  <c r="O261" i="4"/>
  <c r="L261" i="4"/>
  <c r="I261" i="4"/>
  <c r="F261" i="4"/>
  <c r="N260" i="4"/>
  <c r="N259" i="4" s="1"/>
  <c r="M260" i="4"/>
  <c r="K260" i="4"/>
  <c r="K259" i="4" s="1"/>
  <c r="J260" i="4"/>
  <c r="J259" i="4" s="1"/>
  <c r="I260" i="4"/>
  <c r="H260" i="4"/>
  <c r="G260" i="4"/>
  <c r="E260" i="4"/>
  <c r="E259" i="4" s="1"/>
  <c r="D260" i="4"/>
  <c r="D259" i="4" s="1"/>
  <c r="O258" i="4"/>
  <c r="L258" i="4"/>
  <c r="I258" i="4"/>
  <c r="F258" i="4"/>
  <c r="O257" i="4"/>
  <c r="L257" i="4"/>
  <c r="I257" i="4"/>
  <c r="F257" i="4"/>
  <c r="O256" i="4"/>
  <c r="L256" i="4"/>
  <c r="I256" i="4"/>
  <c r="F256" i="4"/>
  <c r="O255" i="4"/>
  <c r="L255" i="4"/>
  <c r="I255" i="4"/>
  <c r="F255" i="4"/>
  <c r="O254" i="4"/>
  <c r="L254" i="4"/>
  <c r="I254" i="4"/>
  <c r="F254" i="4"/>
  <c r="O253" i="4"/>
  <c r="L253" i="4"/>
  <c r="I253" i="4"/>
  <c r="F253" i="4"/>
  <c r="N252" i="4"/>
  <c r="M252" i="4"/>
  <c r="M251" i="4" s="1"/>
  <c r="K252" i="4"/>
  <c r="K251" i="4" s="1"/>
  <c r="J252" i="4"/>
  <c r="H252" i="4"/>
  <c r="H251" i="4" s="1"/>
  <c r="G252" i="4"/>
  <c r="G251" i="4" s="1"/>
  <c r="E252" i="4"/>
  <c r="E251" i="4" s="1"/>
  <c r="D252" i="4"/>
  <c r="N251" i="4"/>
  <c r="J251" i="4"/>
  <c r="D251" i="4"/>
  <c r="O250" i="4"/>
  <c r="L250" i="4"/>
  <c r="I250" i="4"/>
  <c r="F250" i="4"/>
  <c r="O249" i="4"/>
  <c r="L249" i="4"/>
  <c r="I249" i="4"/>
  <c r="F249" i="4"/>
  <c r="O248" i="4"/>
  <c r="L248" i="4"/>
  <c r="I248" i="4"/>
  <c r="F248" i="4"/>
  <c r="O247" i="4"/>
  <c r="L247" i="4"/>
  <c r="I247" i="4"/>
  <c r="F247" i="4"/>
  <c r="N246" i="4"/>
  <c r="M246" i="4"/>
  <c r="K246" i="4"/>
  <c r="J246" i="4"/>
  <c r="H246" i="4"/>
  <c r="G246" i="4"/>
  <c r="E246" i="4"/>
  <c r="D246" i="4"/>
  <c r="O245" i="4"/>
  <c r="L245" i="4"/>
  <c r="I245" i="4"/>
  <c r="F245" i="4"/>
  <c r="O244" i="4"/>
  <c r="L244" i="4"/>
  <c r="I244" i="4"/>
  <c r="F244" i="4"/>
  <c r="O243" i="4"/>
  <c r="L243" i="4"/>
  <c r="I243" i="4"/>
  <c r="F243" i="4"/>
  <c r="O242" i="4"/>
  <c r="L242" i="4"/>
  <c r="I242" i="4"/>
  <c r="F242" i="4"/>
  <c r="O241" i="4"/>
  <c r="L241" i="4"/>
  <c r="I241" i="4"/>
  <c r="F241" i="4"/>
  <c r="O240" i="4"/>
  <c r="L240" i="4"/>
  <c r="I240" i="4"/>
  <c r="F240" i="4"/>
  <c r="O239" i="4"/>
  <c r="L239" i="4"/>
  <c r="L238" i="4" s="1"/>
  <c r="I239" i="4"/>
  <c r="F239" i="4"/>
  <c r="N238" i="4"/>
  <c r="M238" i="4"/>
  <c r="K238" i="4"/>
  <c r="J238" i="4"/>
  <c r="H238" i="4"/>
  <c r="G238" i="4"/>
  <c r="E238" i="4"/>
  <c r="D238" i="4"/>
  <c r="O237" i="4"/>
  <c r="L237" i="4"/>
  <c r="I237" i="4"/>
  <c r="F237" i="4"/>
  <c r="O236" i="4"/>
  <c r="L236" i="4"/>
  <c r="L235" i="4" s="1"/>
  <c r="I236" i="4"/>
  <c r="I235" i="4" s="1"/>
  <c r="F236" i="4"/>
  <c r="O235" i="4"/>
  <c r="N235" i="4"/>
  <c r="M235" i="4"/>
  <c r="K235" i="4"/>
  <c r="J235" i="4"/>
  <c r="H235" i="4"/>
  <c r="G235" i="4"/>
  <c r="E235" i="4"/>
  <c r="D235" i="4"/>
  <c r="O234" i="4"/>
  <c r="O233" i="4" s="1"/>
  <c r="L234" i="4"/>
  <c r="L233" i="4" s="1"/>
  <c r="I234" i="4"/>
  <c r="F234" i="4"/>
  <c r="N233" i="4"/>
  <c r="M233" i="4"/>
  <c r="K233" i="4"/>
  <c r="J233" i="4"/>
  <c r="I233" i="4"/>
  <c r="H233" i="4"/>
  <c r="G233" i="4"/>
  <c r="E233" i="4"/>
  <c r="D233" i="4"/>
  <c r="O232" i="4"/>
  <c r="L232" i="4"/>
  <c r="I232" i="4"/>
  <c r="F232" i="4"/>
  <c r="O229" i="4"/>
  <c r="L229" i="4"/>
  <c r="I229" i="4"/>
  <c r="F229" i="4"/>
  <c r="O228" i="4"/>
  <c r="L228" i="4"/>
  <c r="L227" i="4" s="1"/>
  <c r="I228" i="4"/>
  <c r="F228" i="4"/>
  <c r="F227" i="4" s="1"/>
  <c r="O227" i="4"/>
  <c r="N227" i="4"/>
  <c r="M227" i="4"/>
  <c r="K227" i="4"/>
  <c r="J227" i="4"/>
  <c r="H227" i="4"/>
  <c r="G227" i="4"/>
  <c r="E227" i="4"/>
  <c r="D227" i="4"/>
  <c r="O226" i="4"/>
  <c r="L226" i="4"/>
  <c r="I226" i="4"/>
  <c r="F226" i="4"/>
  <c r="O225" i="4"/>
  <c r="L225" i="4"/>
  <c r="I225" i="4"/>
  <c r="F225" i="4"/>
  <c r="O224" i="4"/>
  <c r="L224" i="4"/>
  <c r="I224" i="4"/>
  <c r="F224" i="4"/>
  <c r="O223" i="4"/>
  <c r="L223" i="4"/>
  <c r="I223" i="4"/>
  <c r="F223" i="4"/>
  <c r="O222" i="4"/>
  <c r="L222" i="4"/>
  <c r="I222" i="4"/>
  <c r="F222" i="4"/>
  <c r="O221" i="4"/>
  <c r="L221" i="4"/>
  <c r="I221" i="4"/>
  <c r="F221" i="4"/>
  <c r="O220" i="4"/>
  <c r="L220" i="4"/>
  <c r="I220" i="4"/>
  <c r="F220" i="4"/>
  <c r="O219" i="4"/>
  <c r="L219" i="4"/>
  <c r="I219" i="4"/>
  <c r="F219" i="4"/>
  <c r="O218" i="4"/>
  <c r="L218" i="4"/>
  <c r="I218" i="4"/>
  <c r="F218" i="4"/>
  <c r="O217" i="4"/>
  <c r="L217" i="4"/>
  <c r="I217" i="4"/>
  <c r="F217" i="4"/>
  <c r="N216" i="4"/>
  <c r="M216" i="4"/>
  <c r="K216" i="4"/>
  <c r="J216" i="4"/>
  <c r="H216" i="4"/>
  <c r="G216" i="4"/>
  <c r="E216" i="4"/>
  <c r="D216" i="4"/>
  <c r="O215" i="4"/>
  <c r="L215" i="4"/>
  <c r="I215" i="4"/>
  <c r="F215" i="4"/>
  <c r="O214" i="4"/>
  <c r="L214" i="4"/>
  <c r="I214" i="4"/>
  <c r="F214" i="4"/>
  <c r="O213" i="4"/>
  <c r="L213" i="4"/>
  <c r="I213" i="4"/>
  <c r="F213" i="4"/>
  <c r="O212" i="4"/>
  <c r="L212" i="4"/>
  <c r="I212" i="4"/>
  <c r="F212" i="4"/>
  <c r="O211" i="4"/>
  <c r="L211" i="4"/>
  <c r="I211" i="4"/>
  <c r="F211" i="4"/>
  <c r="O210" i="4"/>
  <c r="L210" i="4"/>
  <c r="I210" i="4"/>
  <c r="F210" i="4"/>
  <c r="O209" i="4"/>
  <c r="L209" i="4"/>
  <c r="I209" i="4"/>
  <c r="F209" i="4"/>
  <c r="O208" i="4"/>
  <c r="L208" i="4"/>
  <c r="I208" i="4"/>
  <c r="F208" i="4"/>
  <c r="O207" i="4"/>
  <c r="L207" i="4"/>
  <c r="I207" i="4"/>
  <c r="F207" i="4"/>
  <c r="O206" i="4"/>
  <c r="L206" i="4"/>
  <c r="I206" i="4"/>
  <c r="F206" i="4"/>
  <c r="N205" i="4"/>
  <c r="M205" i="4"/>
  <c r="K205" i="4"/>
  <c r="K204" i="4" s="1"/>
  <c r="J205" i="4"/>
  <c r="H205" i="4"/>
  <c r="G205" i="4"/>
  <c r="G204" i="4" s="1"/>
  <c r="E205" i="4"/>
  <c r="E204" i="4" s="1"/>
  <c r="D205" i="4"/>
  <c r="O203" i="4"/>
  <c r="L203" i="4"/>
  <c r="I203" i="4"/>
  <c r="F203" i="4"/>
  <c r="O202" i="4"/>
  <c r="L202" i="4"/>
  <c r="I202" i="4"/>
  <c r="F202" i="4"/>
  <c r="O201" i="4"/>
  <c r="L201" i="4"/>
  <c r="I201" i="4"/>
  <c r="F201" i="4"/>
  <c r="O200" i="4"/>
  <c r="L200" i="4"/>
  <c r="I200" i="4"/>
  <c r="F200" i="4"/>
  <c r="O199" i="4"/>
  <c r="L199" i="4"/>
  <c r="L198" i="4" s="1"/>
  <c r="I199" i="4"/>
  <c r="F199" i="4"/>
  <c r="F198" i="4" s="1"/>
  <c r="O198" i="4"/>
  <c r="N198" i="4"/>
  <c r="M198" i="4"/>
  <c r="K198" i="4"/>
  <c r="K196" i="4" s="1"/>
  <c r="J198" i="4"/>
  <c r="H198" i="4"/>
  <c r="H196" i="4" s="1"/>
  <c r="G198" i="4"/>
  <c r="G196" i="4" s="1"/>
  <c r="E198" i="4"/>
  <c r="E196" i="4" s="1"/>
  <c r="D198" i="4"/>
  <c r="O197" i="4"/>
  <c r="L197" i="4"/>
  <c r="I197" i="4"/>
  <c r="F197" i="4"/>
  <c r="N196" i="4"/>
  <c r="M196" i="4"/>
  <c r="J196" i="4"/>
  <c r="D196" i="4"/>
  <c r="O193" i="4"/>
  <c r="L193" i="4"/>
  <c r="L192" i="4" s="1"/>
  <c r="L191" i="4" s="1"/>
  <c r="I193" i="4"/>
  <c r="F193" i="4"/>
  <c r="F192" i="4" s="1"/>
  <c r="O192" i="4"/>
  <c r="O191" i="4" s="1"/>
  <c r="N192" i="4"/>
  <c r="N191" i="4" s="1"/>
  <c r="M192" i="4"/>
  <c r="M191" i="4" s="1"/>
  <c r="K192" i="4"/>
  <c r="J192" i="4"/>
  <c r="J191" i="4" s="1"/>
  <c r="I192" i="4"/>
  <c r="I191" i="4" s="1"/>
  <c r="H192" i="4"/>
  <c r="H191" i="4" s="1"/>
  <c r="G192" i="4"/>
  <c r="G191" i="4" s="1"/>
  <c r="E192" i="4"/>
  <c r="E191" i="4" s="1"/>
  <c r="D192" i="4"/>
  <c r="D191" i="4" s="1"/>
  <c r="K191" i="4"/>
  <c r="O190" i="4"/>
  <c r="L190" i="4"/>
  <c r="I190" i="4"/>
  <c r="F190" i="4"/>
  <c r="O189" i="4"/>
  <c r="O188" i="4" s="1"/>
  <c r="L189" i="4"/>
  <c r="I189" i="4"/>
  <c r="I188" i="4" s="1"/>
  <c r="I187" i="4" s="1"/>
  <c r="F189" i="4"/>
  <c r="F188" i="4" s="1"/>
  <c r="N188" i="4"/>
  <c r="M188" i="4"/>
  <c r="K188" i="4"/>
  <c r="J188" i="4"/>
  <c r="J187" i="4" s="1"/>
  <c r="H188" i="4"/>
  <c r="G188" i="4"/>
  <c r="E188" i="4"/>
  <c r="D188" i="4"/>
  <c r="O186" i="4"/>
  <c r="L186" i="4"/>
  <c r="I186" i="4"/>
  <c r="F186" i="4"/>
  <c r="O185" i="4"/>
  <c r="O184" i="4" s="1"/>
  <c r="L185" i="4"/>
  <c r="I185" i="4"/>
  <c r="I184" i="4" s="1"/>
  <c r="F185" i="4"/>
  <c r="N184" i="4"/>
  <c r="M184" i="4"/>
  <c r="K184" i="4"/>
  <c r="J184" i="4"/>
  <c r="H184" i="4"/>
  <c r="G184" i="4"/>
  <c r="F184" i="4"/>
  <c r="E184" i="4"/>
  <c r="D184" i="4"/>
  <c r="O183" i="4"/>
  <c r="L183" i="4"/>
  <c r="I183" i="4"/>
  <c r="F183" i="4"/>
  <c r="O182" i="4"/>
  <c r="L182" i="4"/>
  <c r="I182" i="4"/>
  <c r="F182" i="4"/>
  <c r="O181" i="4"/>
  <c r="L181" i="4"/>
  <c r="I181" i="4"/>
  <c r="F181" i="4"/>
  <c r="O180" i="4"/>
  <c r="L180" i="4"/>
  <c r="I180" i="4"/>
  <c r="I179" i="4" s="1"/>
  <c r="F180" i="4"/>
  <c r="N179" i="4"/>
  <c r="M179" i="4"/>
  <c r="K179" i="4"/>
  <c r="J179" i="4"/>
  <c r="H179" i="4"/>
  <c r="G179" i="4"/>
  <c r="E179" i="4"/>
  <c r="D179" i="4"/>
  <c r="O178" i="4"/>
  <c r="L178" i="4"/>
  <c r="I178" i="4"/>
  <c r="F178" i="4"/>
  <c r="O177" i="4"/>
  <c r="L177" i="4"/>
  <c r="I177" i="4"/>
  <c r="F177" i="4"/>
  <c r="O176" i="4"/>
  <c r="L176" i="4"/>
  <c r="I176" i="4"/>
  <c r="F176" i="4"/>
  <c r="N175" i="4"/>
  <c r="N174" i="4" s="1"/>
  <c r="N173" i="4" s="1"/>
  <c r="M175" i="4"/>
  <c r="K175" i="4"/>
  <c r="J175" i="4"/>
  <c r="I175" i="4"/>
  <c r="H175" i="4"/>
  <c r="H174" i="4" s="1"/>
  <c r="G175" i="4"/>
  <c r="E175" i="4"/>
  <c r="D175" i="4"/>
  <c r="D174" i="4" s="1"/>
  <c r="O172" i="4"/>
  <c r="L172" i="4"/>
  <c r="I172" i="4"/>
  <c r="F172" i="4"/>
  <c r="O171" i="4"/>
  <c r="L171" i="4"/>
  <c r="I171" i="4"/>
  <c r="F171" i="4"/>
  <c r="O170" i="4"/>
  <c r="L170" i="4"/>
  <c r="I170" i="4"/>
  <c r="F170" i="4"/>
  <c r="O169" i="4"/>
  <c r="L169" i="4"/>
  <c r="I169" i="4"/>
  <c r="F169" i="4"/>
  <c r="O168" i="4"/>
  <c r="L168" i="4"/>
  <c r="I168" i="4"/>
  <c r="F168" i="4"/>
  <c r="O167" i="4"/>
  <c r="L167" i="4"/>
  <c r="I167" i="4"/>
  <c r="F167" i="4"/>
  <c r="N166" i="4"/>
  <c r="N165" i="4" s="1"/>
  <c r="M166" i="4"/>
  <c r="M165" i="4" s="1"/>
  <c r="K166" i="4"/>
  <c r="K165" i="4" s="1"/>
  <c r="J166" i="4"/>
  <c r="J165" i="4" s="1"/>
  <c r="H166" i="4"/>
  <c r="H165" i="4" s="1"/>
  <c r="G166" i="4"/>
  <c r="G165" i="4" s="1"/>
  <c r="E166" i="4"/>
  <c r="E165" i="4" s="1"/>
  <c r="D166" i="4"/>
  <c r="D165" i="4" s="1"/>
  <c r="O164" i="4"/>
  <c r="L164" i="4"/>
  <c r="I164" i="4"/>
  <c r="F164" i="4"/>
  <c r="O163" i="4"/>
  <c r="L163" i="4"/>
  <c r="I163" i="4"/>
  <c r="F163" i="4"/>
  <c r="O162" i="4"/>
  <c r="L162" i="4"/>
  <c r="I162" i="4"/>
  <c r="F162" i="4"/>
  <c r="O161" i="4"/>
  <c r="O160" i="4" s="1"/>
  <c r="L161" i="4"/>
  <c r="I161" i="4"/>
  <c r="I160" i="4" s="1"/>
  <c r="F161" i="4"/>
  <c r="F160" i="4" s="1"/>
  <c r="N160" i="4"/>
  <c r="M160" i="4"/>
  <c r="K160" i="4"/>
  <c r="J160" i="4"/>
  <c r="H160" i="4"/>
  <c r="G160" i="4"/>
  <c r="E160" i="4"/>
  <c r="D160" i="4"/>
  <c r="O159" i="4"/>
  <c r="L159" i="4"/>
  <c r="I159" i="4"/>
  <c r="F159" i="4"/>
  <c r="O158" i="4"/>
  <c r="L158" i="4"/>
  <c r="I158" i="4"/>
  <c r="F158" i="4"/>
  <c r="O157" i="4"/>
  <c r="L157" i="4"/>
  <c r="I157" i="4"/>
  <c r="F157" i="4"/>
  <c r="O156" i="4"/>
  <c r="L156" i="4"/>
  <c r="I156" i="4"/>
  <c r="F156" i="4"/>
  <c r="O155" i="4"/>
  <c r="L155" i="4"/>
  <c r="I155" i="4"/>
  <c r="F155" i="4"/>
  <c r="O154" i="4"/>
  <c r="L154" i="4"/>
  <c r="I154" i="4"/>
  <c r="F154" i="4"/>
  <c r="O153" i="4"/>
  <c r="L153" i="4"/>
  <c r="I153" i="4"/>
  <c r="F153" i="4"/>
  <c r="O152" i="4"/>
  <c r="L152" i="4"/>
  <c r="I152" i="4"/>
  <c r="F152" i="4"/>
  <c r="N151" i="4"/>
  <c r="M151" i="4"/>
  <c r="K151" i="4"/>
  <c r="J151" i="4"/>
  <c r="H151" i="4"/>
  <c r="G151" i="4"/>
  <c r="E151" i="4"/>
  <c r="D151" i="4"/>
  <c r="O150" i="4"/>
  <c r="L150" i="4"/>
  <c r="I150" i="4"/>
  <c r="F150" i="4"/>
  <c r="O149" i="4"/>
  <c r="L149" i="4"/>
  <c r="I149" i="4"/>
  <c r="F149" i="4"/>
  <c r="C149" i="4" s="1"/>
  <c r="O148" i="4"/>
  <c r="L148" i="4"/>
  <c r="I148" i="4"/>
  <c r="F148" i="4"/>
  <c r="O147" i="4"/>
  <c r="L147" i="4"/>
  <c r="I147" i="4"/>
  <c r="F147" i="4"/>
  <c r="O146" i="4"/>
  <c r="L146" i="4"/>
  <c r="I146" i="4"/>
  <c r="F146" i="4"/>
  <c r="O145" i="4"/>
  <c r="L145" i="4"/>
  <c r="I145" i="4"/>
  <c r="I144" i="4" s="1"/>
  <c r="F145" i="4"/>
  <c r="C145" i="4" s="1"/>
  <c r="N144" i="4"/>
  <c r="M144" i="4"/>
  <c r="K144" i="4"/>
  <c r="J144" i="4"/>
  <c r="H144" i="4"/>
  <c r="G144" i="4"/>
  <c r="E144" i="4"/>
  <c r="D144" i="4"/>
  <c r="O143" i="4"/>
  <c r="L143" i="4"/>
  <c r="I143" i="4"/>
  <c r="F143" i="4"/>
  <c r="O142" i="4"/>
  <c r="L142" i="4"/>
  <c r="L141" i="4" s="1"/>
  <c r="I142" i="4"/>
  <c r="F142" i="4"/>
  <c r="F141" i="4" s="1"/>
  <c r="O141" i="4"/>
  <c r="N141" i="4"/>
  <c r="M141" i="4"/>
  <c r="K141" i="4"/>
  <c r="J141" i="4"/>
  <c r="H141" i="4"/>
  <c r="G141" i="4"/>
  <c r="E141" i="4"/>
  <c r="D141" i="4"/>
  <c r="O140" i="4"/>
  <c r="L140" i="4"/>
  <c r="I140" i="4"/>
  <c r="F140" i="4"/>
  <c r="O139" i="4"/>
  <c r="L139" i="4"/>
  <c r="I139" i="4"/>
  <c r="C139" i="4" s="1"/>
  <c r="F139" i="4"/>
  <c r="O138" i="4"/>
  <c r="L138" i="4"/>
  <c r="I138" i="4"/>
  <c r="F138" i="4"/>
  <c r="O137" i="4"/>
  <c r="O136" i="4" s="1"/>
  <c r="L137" i="4"/>
  <c r="I137" i="4"/>
  <c r="F137" i="4"/>
  <c r="N136" i="4"/>
  <c r="M136" i="4"/>
  <c r="K136" i="4"/>
  <c r="J136" i="4"/>
  <c r="H136" i="4"/>
  <c r="G136" i="4"/>
  <c r="F136" i="4"/>
  <c r="E136" i="4"/>
  <c r="D136" i="4"/>
  <c r="O135" i="4"/>
  <c r="L135" i="4"/>
  <c r="I135" i="4"/>
  <c r="F135" i="4"/>
  <c r="O134" i="4"/>
  <c r="L134" i="4"/>
  <c r="I134" i="4"/>
  <c r="F134" i="4"/>
  <c r="O133" i="4"/>
  <c r="L133" i="4"/>
  <c r="I133" i="4"/>
  <c r="F133" i="4"/>
  <c r="O132" i="4"/>
  <c r="L132" i="4"/>
  <c r="I132" i="4"/>
  <c r="F132" i="4"/>
  <c r="O131" i="4"/>
  <c r="N131" i="4"/>
  <c r="M131" i="4"/>
  <c r="K131" i="4"/>
  <c r="J131" i="4"/>
  <c r="H131" i="4"/>
  <c r="G131" i="4"/>
  <c r="E131" i="4"/>
  <c r="D131" i="4"/>
  <c r="D130" i="4"/>
  <c r="O129" i="4"/>
  <c r="O128" i="4" s="1"/>
  <c r="L129" i="4"/>
  <c r="L128" i="4" s="1"/>
  <c r="I129" i="4"/>
  <c r="I128" i="4" s="1"/>
  <c r="F129" i="4"/>
  <c r="N128" i="4"/>
  <c r="M128" i="4"/>
  <c r="K128" i="4"/>
  <c r="J128" i="4"/>
  <c r="H128" i="4"/>
  <c r="G128" i="4"/>
  <c r="E128" i="4"/>
  <c r="D128" i="4"/>
  <c r="O127" i="4"/>
  <c r="L127" i="4"/>
  <c r="I127" i="4"/>
  <c r="F127" i="4"/>
  <c r="O126" i="4"/>
  <c r="L126" i="4"/>
  <c r="I126" i="4"/>
  <c r="F126" i="4"/>
  <c r="O125" i="4"/>
  <c r="L125" i="4"/>
  <c r="I125" i="4"/>
  <c r="F125" i="4"/>
  <c r="O124" i="4"/>
  <c r="L124" i="4"/>
  <c r="I124" i="4"/>
  <c r="F124" i="4"/>
  <c r="O123" i="4"/>
  <c r="L123" i="4"/>
  <c r="I123" i="4"/>
  <c r="F123" i="4"/>
  <c r="N122" i="4"/>
  <c r="M122" i="4"/>
  <c r="K122" i="4"/>
  <c r="J122" i="4"/>
  <c r="H122" i="4"/>
  <c r="G122" i="4"/>
  <c r="E122" i="4"/>
  <c r="D122" i="4"/>
  <c r="O121" i="4"/>
  <c r="L121" i="4"/>
  <c r="I121" i="4"/>
  <c r="F121" i="4"/>
  <c r="O120" i="4"/>
  <c r="L120" i="4"/>
  <c r="I120" i="4"/>
  <c r="F120" i="4"/>
  <c r="O119" i="4"/>
  <c r="L119" i="4"/>
  <c r="I119" i="4"/>
  <c r="F119" i="4"/>
  <c r="O118" i="4"/>
  <c r="L118" i="4"/>
  <c r="I118" i="4"/>
  <c r="F118" i="4"/>
  <c r="O117" i="4"/>
  <c r="L117" i="4"/>
  <c r="I117" i="4"/>
  <c r="F117" i="4"/>
  <c r="N116" i="4"/>
  <c r="M116" i="4"/>
  <c r="K116" i="4"/>
  <c r="J116" i="4"/>
  <c r="H116" i="4"/>
  <c r="G116" i="4"/>
  <c r="E116" i="4"/>
  <c r="D116" i="4"/>
  <c r="O115" i="4"/>
  <c r="L115" i="4"/>
  <c r="I115" i="4"/>
  <c r="F115" i="4"/>
  <c r="O114" i="4"/>
  <c r="L114" i="4"/>
  <c r="I114" i="4"/>
  <c r="F114" i="4"/>
  <c r="O113" i="4"/>
  <c r="L113" i="4"/>
  <c r="I113" i="4"/>
  <c r="F113" i="4"/>
  <c r="N112" i="4"/>
  <c r="M112" i="4"/>
  <c r="K112" i="4"/>
  <c r="J112" i="4"/>
  <c r="H112" i="4"/>
  <c r="G112" i="4"/>
  <c r="E112" i="4"/>
  <c r="D112" i="4"/>
  <c r="O111" i="4"/>
  <c r="L111" i="4"/>
  <c r="I111" i="4"/>
  <c r="F111" i="4"/>
  <c r="O110" i="4"/>
  <c r="L110" i="4"/>
  <c r="I110" i="4"/>
  <c r="F110" i="4"/>
  <c r="O109" i="4"/>
  <c r="L109" i="4"/>
  <c r="I109" i="4"/>
  <c r="F109" i="4"/>
  <c r="O108" i="4"/>
  <c r="L108" i="4"/>
  <c r="I108" i="4"/>
  <c r="F108" i="4"/>
  <c r="O107" i="4"/>
  <c r="L107" i="4"/>
  <c r="I107" i="4"/>
  <c r="F107" i="4"/>
  <c r="O106" i="4"/>
  <c r="L106" i="4"/>
  <c r="I106" i="4"/>
  <c r="F106" i="4"/>
  <c r="O105" i="4"/>
  <c r="L105" i="4"/>
  <c r="I105" i="4"/>
  <c r="F105" i="4"/>
  <c r="C105" i="4" s="1"/>
  <c r="O104" i="4"/>
  <c r="L104" i="4"/>
  <c r="I104" i="4"/>
  <c r="I103" i="4" s="1"/>
  <c r="F104" i="4"/>
  <c r="N103" i="4"/>
  <c r="M103" i="4"/>
  <c r="K103" i="4"/>
  <c r="J103" i="4"/>
  <c r="H103" i="4"/>
  <c r="G103" i="4"/>
  <c r="E103" i="4"/>
  <c r="D103" i="4"/>
  <c r="O102" i="4"/>
  <c r="L102" i="4"/>
  <c r="I102" i="4"/>
  <c r="F102" i="4"/>
  <c r="O101" i="4"/>
  <c r="L101" i="4"/>
  <c r="I101" i="4"/>
  <c r="F101" i="4"/>
  <c r="O100" i="4"/>
  <c r="L100" i="4"/>
  <c r="I100" i="4"/>
  <c r="F100" i="4"/>
  <c r="O99" i="4"/>
  <c r="L99" i="4"/>
  <c r="I99" i="4"/>
  <c r="F99" i="4"/>
  <c r="O98" i="4"/>
  <c r="L98" i="4"/>
  <c r="I98" i="4"/>
  <c r="F98" i="4"/>
  <c r="O97" i="4"/>
  <c r="L97" i="4"/>
  <c r="I97" i="4"/>
  <c r="F97" i="4"/>
  <c r="O96" i="4"/>
  <c r="O95" i="4" s="1"/>
  <c r="L96" i="4"/>
  <c r="I96" i="4"/>
  <c r="F96" i="4"/>
  <c r="C96" i="4" s="1"/>
  <c r="N95" i="4"/>
  <c r="M95" i="4"/>
  <c r="K95" i="4"/>
  <c r="J95" i="4"/>
  <c r="H95" i="4"/>
  <c r="G95" i="4"/>
  <c r="E95" i="4"/>
  <c r="D95" i="4"/>
  <c r="O94" i="4"/>
  <c r="L94" i="4"/>
  <c r="I94" i="4"/>
  <c r="F94" i="4"/>
  <c r="O93" i="4"/>
  <c r="L93" i="4"/>
  <c r="I93" i="4"/>
  <c r="F93" i="4"/>
  <c r="O92" i="4"/>
  <c r="L92" i="4"/>
  <c r="I92" i="4"/>
  <c r="F92" i="4"/>
  <c r="O91" i="4"/>
  <c r="L91" i="4"/>
  <c r="I91" i="4"/>
  <c r="F91" i="4"/>
  <c r="O90" i="4"/>
  <c r="L90" i="4"/>
  <c r="I90" i="4"/>
  <c r="I89" i="4" s="1"/>
  <c r="F90" i="4"/>
  <c r="N89" i="4"/>
  <c r="M89" i="4"/>
  <c r="K89" i="4"/>
  <c r="J89" i="4"/>
  <c r="H89" i="4"/>
  <c r="G89" i="4"/>
  <c r="E89" i="4"/>
  <c r="D89" i="4"/>
  <c r="O88" i="4"/>
  <c r="L88" i="4"/>
  <c r="I88" i="4"/>
  <c r="F88" i="4"/>
  <c r="O87" i="4"/>
  <c r="L87" i="4"/>
  <c r="I87" i="4"/>
  <c r="F87" i="4"/>
  <c r="O86" i="4"/>
  <c r="L86" i="4"/>
  <c r="I86" i="4"/>
  <c r="F86" i="4"/>
  <c r="O85" i="4"/>
  <c r="L85" i="4"/>
  <c r="L84" i="4" s="1"/>
  <c r="I85" i="4"/>
  <c r="I84" i="4" s="1"/>
  <c r="F85" i="4"/>
  <c r="N84" i="4"/>
  <c r="M84" i="4"/>
  <c r="M83" i="4" s="1"/>
  <c r="K84" i="4"/>
  <c r="J84" i="4"/>
  <c r="H84" i="4"/>
  <c r="G84" i="4"/>
  <c r="G83" i="4" s="1"/>
  <c r="E84" i="4"/>
  <c r="D84" i="4"/>
  <c r="N83" i="4"/>
  <c r="O82" i="4"/>
  <c r="L82" i="4"/>
  <c r="I82" i="4"/>
  <c r="F82" i="4"/>
  <c r="O81" i="4"/>
  <c r="L81" i="4"/>
  <c r="L80" i="4" s="1"/>
  <c r="I81" i="4"/>
  <c r="I80" i="4" s="1"/>
  <c r="F81" i="4"/>
  <c r="N80" i="4"/>
  <c r="M80" i="4"/>
  <c r="K80" i="4"/>
  <c r="J80" i="4"/>
  <c r="H80" i="4"/>
  <c r="G80" i="4"/>
  <c r="E80" i="4"/>
  <c r="D80" i="4"/>
  <c r="O79" i="4"/>
  <c r="L79" i="4"/>
  <c r="I79" i="4"/>
  <c r="F79" i="4"/>
  <c r="O78" i="4"/>
  <c r="O77" i="4" s="1"/>
  <c r="L78" i="4"/>
  <c r="L77" i="4" s="1"/>
  <c r="I78" i="4"/>
  <c r="I77" i="4" s="1"/>
  <c r="F78" i="4"/>
  <c r="N77" i="4"/>
  <c r="N76" i="4" s="1"/>
  <c r="M77" i="4"/>
  <c r="K77" i="4"/>
  <c r="K76" i="4" s="1"/>
  <c r="J77" i="4"/>
  <c r="H77" i="4"/>
  <c r="G77" i="4"/>
  <c r="F77" i="4"/>
  <c r="E77" i="4"/>
  <c r="E76" i="4" s="1"/>
  <c r="D77" i="4"/>
  <c r="D76" i="4" s="1"/>
  <c r="O74" i="4"/>
  <c r="L74" i="4"/>
  <c r="I74" i="4"/>
  <c r="F74" i="4"/>
  <c r="O73" i="4"/>
  <c r="L73" i="4"/>
  <c r="I73" i="4"/>
  <c r="F73" i="4"/>
  <c r="O72" i="4"/>
  <c r="L72" i="4"/>
  <c r="I72" i="4"/>
  <c r="F72" i="4"/>
  <c r="O71" i="4"/>
  <c r="L71" i="4"/>
  <c r="I71" i="4"/>
  <c r="F71" i="4"/>
  <c r="O70" i="4"/>
  <c r="O69" i="4" s="1"/>
  <c r="L70" i="4"/>
  <c r="L69" i="4" s="1"/>
  <c r="I70" i="4"/>
  <c r="F70" i="4"/>
  <c r="N69" i="4"/>
  <c r="N67" i="4" s="1"/>
  <c r="M69" i="4"/>
  <c r="M67" i="4" s="1"/>
  <c r="K69" i="4"/>
  <c r="K67" i="4" s="1"/>
  <c r="J69" i="4"/>
  <c r="J67" i="4" s="1"/>
  <c r="H69" i="4"/>
  <c r="H67" i="4" s="1"/>
  <c r="G69" i="4"/>
  <c r="G67" i="4" s="1"/>
  <c r="E69" i="4"/>
  <c r="E67" i="4" s="1"/>
  <c r="D69" i="4"/>
  <c r="D67" i="4" s="1"/>
  <c r="O68" i="4"/>
  <c r="L68" i="4"/>
  <c r="I68" i="4"/>
  <c r="F68" i="4"/>
  <c r="O66" i="4"/>
  <c r="L66" i="4"/>
  <c r="I66" i="4"/>
  <c r="F66" i="4"/>
  <c r="O65" i="4"/>
  <c r="L65" i="4"/>
  <c r="I65" i="4"/>
  <c r="F65" i="4"/>
  <c r="O64" i="4"/>
  <c r="L64" i="4"/>
  <c r="I64" i="4"/>
  <c r="F64" i="4"/>
  <c r="O63" i="4"/>
  <c r="L63" i="4"/>
  <c r="I63" i="4"/>
  <c r="F63" i="4"/>
  <c r="O62" i="4"/>
  <c r="L62" i="4"/>
  <c r="I62" i="4"/>
  <c r="F62" i="4"/>
  <c r="O61" i="4"/>
  <c r="L61" i="4"/>
  <c r="I61" i="4"/>
  <c r="F61" i="4"/>
  <c r="O60" i="4"/>
  <c r="L60" i="4"/>
  <c r="I60" i="4"/>
  <c r="F60" i="4"/>
  <c r="O59" i="4"/>
  <c r="O58" i="4" s="1"/>
  <c r="L59" i="4"/>
  <c r="L58" i="4" s="1"/>
  <c r="I59" i="4"/>
  <c r="F59" i="4"/>
  <c r="F58" i="4" s="1"/>
  <c r="N58" i="4"/>
  <c r="M58" i="4"/>
  <c r="K58" i="4"/>
  <c r="J58" i="4"/>
  <c r="H58" i="4"/>
  <c r="G58" i="4"/>
  <c r="E58" i="4"/>
  <c r="D58" i="4"/>
  <c r="O57" i="4"/>
  <c r="L57" i="4"/>
  <c r="I57" i="4"/>
  <c r="F57" i="4"/>
  <c r="O56" i="4"/>
  <c r="O55" i="4" s="1"/>
  <c r="L56" i="4"/>
  <c r="L55" i="4" s="1"/>
  <c r="I56" i="4"/>
  <c r="I55" i="4" s="1"/>
  <c r="F56" i="4"/>
  <c r="F55" i="4" s="1"/>
  <c r="F54" i="4" s="1"/>
  <c r="N55" i="4"/>
  <c r="N54" i="4" s="1"/>
  <c r="N53" i="4" s="1"/>
  <c r="M55" i="4"/>
  <c r="M54" i="4" s="1"/>
  <c r="K55" i="4"/>
  <c r="J55" i="4"/>
  <c r="H55" i="4"/>
  <c r="G55" i="4"/>
  <c r="E55" i="4"/>
  <c r="E54" i="4" s="1"/>
  <c r="D55" i="4"/>
  <c r="K54" i="4"/>
  <c r="K53" i="4" s="1"/>
  <c r="O47" i="4"/>
  <c r="C47" i="4" s="1"/>
  <c r="O46" i="4"/>
  <c r="N45" i="4"/>
  <c r="M45" i="4"/>
  <c r="L44" i="4"/>
  <c r="I44" i="4"/>
  <c r="I43" i="4" s="1"/>
  <c r="F44" i="4"/>
  <c r="F43" i="4" s="1"/>
  <c r="L43" i="4"/>
  <c r="K43" i="4"/>
  <c r="J43" i="4"/>
  <c r="H43" i="4"/>
  <c r="G43" i="4"/>
  <c r="E43" i="4"/>
  <c r="D43" i="4"/>
  <c r="F42" i="4"/>
  <c r="F41" i="4" s="1"/>
  <c r="C41" i="4" s="1"/>
  <c r="E41" i="4"/>
  <c r="D41" i="4"/>
  <c r="L40" i="4"/>
  <c r="C40" i="4" s="1"/>
  <c r="L39" i="4"/>
  <c r="C39" i="4" s="1"/>
  <c r="L38" i="4"/>
  <c r="C38" i="4" s="1"/>
  <c r="L37" i="4"/>
  <c r="C37" i="4" s="1"/>
  <c r="K36" i="4"/>
  <c r="J36" i="4"/>
  <c r="L35" i="4"/>
  <c r="C35" i="4" s="1"/>
  <c r="L34" i="4"/>
  <c r="K33" i="4"/>
  <c r="J33" i="4"/>
  <c r="L32" i="4"/>
  <c r="L31" i="4" s="1"/>
  <c r="K31" i="4"/>
  <c r="J31" i="4"/>
  <c r="L30" i="4"/>
  <c r="C30" i="4" s="1"/>
  <c r="L29" i="4"/>
  <c r="C29" i="4" s="1"/>
  <c r="L28" i="4"/>
  <c r="C28" i="4" s="1"/>
  <c r="K27" i="4"/>
  <c r="J27" i="4"/>
  <c r="F25" i="4"/>
  <c r="C25" i="4" s="1"/>
  <c r="I24" i="4"/>
  <c r="F24" i="4"/>
  <c r="O23" i="4"/>
  <c r="L23" i="4"/>
  <c r="I23" i="4"/>
  <c r="F23" i="4"/>
  <c r="O22" i="4"/>
  <c r="L22" i="4"/>
  <c r="L21" i="4" s="1"/>
  <c r="I22" i="4"/>
  <c r="F22" i="4"/>
  <c r="F21" i="4" s="1"/>
  <c r="O21" i="4"/>
  <c r="O292" i="4" s="1"/>
  <c r="N21" i="4"/>
  <c r="N292" i="4" s="1"/>
  <c r="N291" i="4" s="1"/>
  <c r="M21" i="4"/>
  <c r="M292" i="4" s="1"/>
  <c r="M291" i="4" s="1"/>
  <c r="K21" i="4"/>
  <c r="K292" i="4" s="1"/>
  <c r="K291" i="4" s="1"/>
  <c r="J21" i="4"/>
  <c r="J292" i="4" s="1"/>
  <c r="J291" i="4" s="1"/>
  <c r="H21" i="4"/>
  <c r="H292" i="4" s="1"/>
  <c r="H291" i="4" s="1"/>
  <c r="G21" i="4"/>
  <c r="G292" i="4" s="1"/>
  <c r="G291" i="4" s="1"/>
  <c r="E21" i="4"/>
  <c r="E292" i="4" s="1"/>
  <c r="E291" i="4" s="1"/>
  <c r="D21" i="4"/>
  <c r="D292" i="4" s="1"/>
  <c r="D291" i="4" s="1"/>
  <c r="N20" i="4"/>
  <c r="C157" i="4" l="1"/>
  <c r="C214" i="4"/>
  <c r="C262" i="4"/>
  <c r="E187" i="4"/>
  <c r="K26" i="4"/>
  <c r="C57" i="4"/>
  <c r="C127" i="4"/>
  <c r="K187" i="4"/>
  <c r="C296" i="4"/>
  <c r="C70" i="4"/>
  <c r="C78" i="4"/>
  <c r="C107" i="4"/>
  <c r="C171" i="4"/>
  <c r="C181" i="4"/>
  <c r="C202" i="4"/>
  <c r="C210" i="4"/>
  <c r="C212" i="4"/>
  <c r="C213" i="4"/>
  <c r="C250" i="4"/>
  <c r="G76" i="4"/>
  <c r="L27" i="4"/>
  <c r="C27" i="4" s="1"/>
  <c r="G54" i="4"/>
  <c r="G53" i="4" s="1"/>
  <c r="J83" i="4"/>
  <c r="C92" i="4"/>
  <c r="O187" i="4"/>
  <c r="H231" i="4"/>
  <c r="C244" i="4"/>
  <c r="D270" i="4"/>
  <c r="I270" i="4"/>
  <c r="H270" i="4"/>
  <c r="C24" i="4"/>
  <c r="L33" i="4"/>
  <c r="C33" i="4" s="1"/>
  <c r="C42" i="4"/>
  <c r="C74" i="4"/>
  <c r="M76" i="4"/>
  <c r="O84" i="4"/>
  <c r="O89" i="4"/>
  <c r="C121" i="4"/>
  <c r="I122" i="4"/>
  <c r="O179" i="4"/>
  <c r="C189" i="4"/>
  <c r="C218" i="4"/>
  <c r="C224" i="4"/>
  <c r="F246" i="4"/>
  <c r="C249" i="4"/>
  <c r="O246" i="4"/>
  <c r="G270" i="4"/>
  <c r="G269" i="4" s="1"/>
  <c r="C294" i="4"/>
  <c r="C298" i="4"/>
  <c r="C299" i="4"/>
  <c r="L112" i="4"/>
  <c r="L116" i="4"/>
  <c r="L160" i="4"/>
  <c r="J174" i="4"/>
  <c r="J173" i="4" s="1"/>
  <c r="E231" i="4"/>
  <c r="O276" i="4"/>
  <c r="J26" i="4"/>
  <c r="L67" i="4"/>
  <c r="J76" i="4"/>
  <c r="O80" i="4"/>
  <c r="O76" i="4" s="1"/>
  <c r="C88" i="4"/>
  <c r="C99" i="4"/>
  <c r="H130" i="4"/>
  <c r="N130" i="4"/>
  <c r="N231" i="4"/>
  <c r="N230" i="4" s="1"/>
  <c r="O260" i="4"/>
  <c r="H259" i="4"/>
  <c r="C278" i="4"/>
  <c r="C279" i="4"/>
  <c r="C43" i="4"/>
  <c r="C62" i="4"/>
  <c r="C66" i="4"/>
  <c r="C77" i="4"/>
  <c r="C82" i="4"/>
  <c r="I95" i="4"/>
  <c r="C101" i="4"/>
  <c r="C125" i="4"/>
  <c r="C126" i="4"/>
  <c r="C153" i="4"/>
  <c r="C155" i="4"/>
  <c r="C222" i="4"/>
  <c r="C226" i="4"/>
  <c r="J231" i="4"/>
  <c r="J230" i="4" s="1"/>
  <c r="K270" i="4"/>
  <c r="K269" i="4" s="1"/>
  <c r="C46" i="4"/>
  <c r="O45" i="4"/>
  <c r="C45" i="4" s="1"/>
  <c r="C129" i="4"/>
  <c r="F128" i="4"/>
  <c r="I136" i="4"/>
  <c r="C137" i="4"/>
  <c r="L184" i="4"/>
  <c r="C184" i="4" s="1"/>
  <c r="L36" i="4"/>
  <c r="C36" i="4" s="1"/>
  <c r="C234" i="4"/>
  <c r="F233" i="4"/>
  <c r="I269" i="4"/>
  <c r="H20" i="4"/>
  <c r="C23" i="4"/>
  <c r="C34" i="4"/>
  <c r="C64" i="4"/>
  <c r="N75" i="4"/>
  <c r="C86" i="4"/>
  <c r="C87" i="4"/>
  <c r="D83" i="4"/>
  <c r="C91" i="4"/>
  <c r="C97" i="4"/>
  <c r="L95" i="4"/>
  <c r="C161" i="4"/>
  <c r="C177" i="4"/>
  <c r="G187" i="4"/>
  <c r="M187" i="4"/>
  <c r="H230" i="4"/>
  <c r="C242" i="4"/>
  <c r="C258" i="4"/>
  <c r="D269" i="4"/>
  <c r="D20" i="4"/>
  <c r="C106" i="4"/>
  <c r="J130" i="4"/>
  <c r="J75" i="4" s="1"/>
  <c r="C44" i="4"/>
  <c r="E53" i="4"/>
  <c r="J54" i="4"/>
  <c r="J53" i="4" s="1"/>
  <c r="O54" i="4"/>
  <c r="K83" i="4"/>
  <c r="C169" i="4"/>
  <c r="C206" i="4"/>
  <c r="D231" i="4"/>
  <c r="D230" i="4" s="1"/>
  <c r="M231" i="4"/>
  <c r="C254" i="4"/>
  <c r="C266" i="4"/>
  <c r="H269" i="4"/>
  <c r="C274" i="4"/>
  <c r="C282" i="4"/>
  <c r="O103" i="4"/>
  <c r="E130" i="4"/>
  <c r="L136" i="4"/>
  <c r="C159" i="4"/>
  <c r="L166" i="4"/>
  <c r="L165" i="4" s="1"/>
  <c r="E174" i="4"/>
  <c r="E173" i="4" s="1"/>
  <c r="O175" i="4"/>
  <c r="O174" i="4" s="1"/>
  <c r="O173" i="4" s="1"/>
  <c r="C183" i="4"/>
  <c r="C185" i="4"/>
  <c r="D187" i="4"/>
  <c r="H187" i="4"/>
  <c r="N187" i="4"/>
  <c r="L188" i="4"/>
  <c r="L187" i="4" s="1"/>
  <c r="C192" i="4"/>
  <c r="O196" i="4"/>
  <c r="H204" i="4"/>
  <c r="H195" i="4" s="1"/>
  <c r="O216" i="4"/>
  <c r="C223" i="4"/>
  <c r="J204" i="4"/>
  <c r="J195" i="4" s="1"/>
  <c r="J194" i="4" s="1"/>
  <c r="N204" i="4"/>
  <c r="N195" i="4" s="1"/>
  <c r="N194" i="4" s="1"/>
  <c r="O252" i="4"/>
  <c r="O251" i="4" s="1"/>
  <c r="G259" i="4"/>
  <c r="O264" i="4"/>
  <c r="O259" i="4" s="1"/>
  <c r="O272" i="4"/>
  <c r="O270" i="4" s="1"/>
  <c r="C280" i="4"/>
  <c r="C32" i="4"/>
  <c r="M53" i="4"/>
  <c r="C61" i="4"/>
  <c r="C71" i="4"/>
  <c r="C73" i="4"/>
  <c r="C79" i="4"/>
  <c r="C93" i="4"/>
  <c r="C98" i="4"/>
  <c r="F112" i="4"/>
  <c r="F116" i="4"/>
  <c r="C120" i="4"/>
  <c r="L122" i="4"/>
  <c r="G130" i="4"/>
  <c r="G75" i="4" s="1"/>
  <c r="M130" i="4"/>
  <c r="M75" i="4" s="1"/>
  <c r="C133" i="4"/>
  <c r="I131" i="4"/>
  <c r="C147" i="4"/>
  <c r="C150" i="4"/>
  <c r="O151" i="4"/>
  <c r="C164" i="4"/>
  <c r="C168" i="4"/>
  <c r="G174" i="4"/>
  <c r="G173" i="4" s="1"/>
  <c r="K174" i="4"/>
  <c r="K173" i="4" s="1"/>
  <c r="C178" i="4"/>
  <c r="C193" i="4"/>
  <c r="K195" i="4"/>
  <c r="C201" i="4"/>
  <c r="D204" i="4"/>
  <c r="D195" i="4" s="1"/>
  <c r="D194" i="4" s="1"/>
  <c r="C211" i="4"/>
  <c r="C221" i="4"/>
  <c r="C236" i="4"/>
  <c r="O238" i="4"/>
  <c r="O231" i="4" s="1"/>
  <c r="L246" i="4"/>
  <c r="E230" i="4"/>
  <c r="C257" i="4"/>
  <c r="L260" i="4"/>
  <c r="C267" i="4"/>
  <c r="F281" i="4"/>
  <c r="C281" i="4" s="1"/>
  <c r="O293" i="4"/>
  <c r="L293" i="4"/>
  <c r="D54" i="4"/>
  <c r="H54" i="4"/>
  <c r="H53" i="4" s="1"/>
  <c r="C60" i="4"/>
  <c r="C63" i="4"/>
  <c r="C65" i="4"/>
  <c r="O67" i="4"/>
  <c r="I69" i="4"/>
  <c r="I67" i="4" s="1"/>
  <c r="C72" i="4"/>
  <c r="H76" i="4"/>
  <c r="I76" i="4"/>
  <c r="C81" i="4"/>
  <c r="E83" i="4"/>
  <c r="E75" i="4" s="1"/>
  <c r="C85" i="4"/>
  <c r="H83" i="4"/>
  <c r="C100" i="4"/>
  <c r="L103" i="4"/>
  <c r="C109" i="4"/>
  <c r="C111" i="4"/>
  <c r="C113" i="4"/>
  <c r="C115" i="4"/>
  <c r="C117" i="4"/>
  <c r="C119" i="4"/>
  <c r="C124" i="4"/>
  <c r="C140" i="4"/>
  <c r="L144" i="4"/>
  <c r="C156" i="4"/>
  <c r="C163" i="4"/>
  <c r="C172" i="4"/>
  <c r="G195" i="4"/>
  <c r="C203" i="4"/>
  <c r="C207" i="4"/>
  <c r="M204" i="4"/>
  <c r="C225" i="4"/>
  <c r="C229" i="4"/>
  <c r="K231" i="4"/>
  <c r="K230" i="4" s="1"/>
  <c r="C243" i="4"/>
  <c r="C245" i="4"/>
  <c r="L252" i="4"/>
  <c r="L251" i="4" s="1"/>
  <c r="C256" i="4"/>
  <c r="L264" i="4"/>
  <c r="M269" i="4"/>
  <c r="L272" i="4"/>
  <c r="C295" i="4"/>
  <c r="J20" i="4"/>
  <c r="F292" i="4"/>
  <c r="F20" i="4"/>
  <c r="L54" i="4"/>
  <c r="L53" i="4" s="1"/>
  <c r="L76" i="4"/>
  <c r="L292" i="4"/>
  <c r="L26" i="4"/>
  <c r="C31" i="4"/>
  <c r="D53" i="4"/>
  <c r="D75" i="4"/>
  <c r="C152" i="4"/>
  <c r="F151" i="4"/>
  <c r="C160" i="4"/>
  <c r="C188" i="4"/>
  <c r="C208" i="4"/>
  <c r="I205" i="4"/>
  <c r="C301" i="4"/>
  <c r="E20" i="4"/>
  <c r="M20" i="4"/>
  <c r="C22" i="4"/>
  <c r="C55" i="4"/>
  <c r="C59" i="4"/>
  <c r="F80" i="4"/>
  <c r="C80" i="4" s="1"/>
  <c r="F84" i="4"/>
  <c r="L89" i="4"/>
  <c r="L83" i="4" s="1"/>
  <c r="C108" i="4"/>
  <c r="O112" i="4"/>
  <c r="O116" i="4"/>
  <c r="K130" i="4"/>
  <c r="K75" i="4" s="1"/>
  <c r="C132" i="4"/>
  <c r="F131" i="4"/>
  <c r="C143" i="4"/>
  <c r="I141" i="4"/>
  <c r="C141" i="4" s="1"/>
  <c r="O144" i="4"/>
  <c r="O130" i="4" s="1"/>
  <c r="C154" i="4"/>
  <c r="C162" i="4"/>
  <c r="F166" i="4"/>
  <c r="I166" i="4"/>
  <c r="I165" i="4" s="1"/>
  <c r="C167" i="4"/>
  <c r="C170" i="4"/>
  <c r="D173" i="4"/>
  <c r="M174" i="4"/>
  <c r="M173" i="4" s="1"/>
  <c r="L175" i="4"/>
  <c r="C180" i="4"/>
  <c r="F179" i="4"/>
  <c r="C186" i="4"/>
  <c r="C190" i="4"/>
  <c r="H194" i="4"/>
  <c r="C268" i="4"/>
  <c r="I264" i="4"/>
  <c r="I259" i="4" s="1"/>
  <c r="F89" i="4"/>
  <c r="C94" i="4"/>
  <c r="C110" i="4"/>
  <c r="C114" i="4"/>
  <c r="C118" i="4"/>
  <c r="F122" i="4"/>
  <c r="C123" i="4"/>
  <c r="O122" i="4"/>
  <c r="C134" i="4"/>
  <c r="C135" i="4"/>
  <c r="C138" i="4"/>
  <c r="C146" i="4"/>
  <c r="C148" i="4"/>
  <c r="F144" i="4"/>
  <c r="L151" i="4"/>
  <c r="C158" i="4"/>
  <c r="I174" i="4"/>
  <c r="I173" i="4" s="1"/>
  <c r="C182" i="4"/>
  <c r="C200" i="4"/>
  <c r="I198" i="4"/>
  <c r="I196" i="4" s="1"/>
  <c r="C261" i="4"/>
  <c r="F260" i="4"/>
  <c r="I21" i="4"/>
  <c r="C56" i="4"/>
  <c r="I58" i="4"/>
  <c r="C58" i="4" s="1"/>
  <c r="C68" i="4"/>
  <c r="F69" i="4"/>
  <c r="G20" i="4"/>
  <c r="K20" i="4"/>
  <c r="O20" i="4"/>
  <c r="C90" i="4"/>
  <c r="F95" i="4"/>
  <c r="C95" i="4" s="1"/>
  <c r="C102" i="4"/>
  <c r="C104" i="4"/>
  <c r="F103" i="4"/>
  <c r="C103" i="4" s="1"/>
  <c r="I112" i="4"/>
  <c r="I116" i="4"/>
  <c r="C128" i="4"/>
  <c r="L131" i="4"/>
  <c r="I151" i="4"/>
  <c r="O166" i="4"/>
  <c r="O165" i="4" s="1"/>
  <c r="H173" i="4"/>
  <c r="C176" i="4"/>
  <c r="F175" i="4"/>
  <c r="L179" i="4"/>
  <c r="C220" i="4"/>
  <c r="I216" i="4"/>
  <c r="C237" i="4"/>
  <c r="F235" i="4"/>
  <c r="C253" i="4"/>
  <c r="F252" i="4"/>
  <c r="C142" i="4"/>
  <c r="F191" i="4"/>
  <c r="C191" i="4" s="1"/>
  <c r="C197" i="4"/>
  <c r="F196" i="4"/>
  <c r="C215" i="4"/>
  <c r="L216" i="4"/>
  <c r="C219" i="4"/>
  <c r="I227" i="4"/>
  <c r="C228" i="4"/>
  <c r="C232" i="4"/>
  <c r="C233" i="4"/>
  <c r="L231" i="4"/>
  <c r="C255" i="4"/>
  <c r="C263" i="4"/>
  <c r="E270" i="4"/>
  <c r="E269" i="4" s="1"/>
  <c r="C273" i="4"/>
  <c r="F272" i="4"/>
  <c r="L276" i="4"/>
  <c r="C288" i="4"/>
  <c r="I286" i="4"/>
  <c r="C286" i="4" s="1"/>
  <c r="C300" i="4"/>
  <c r="O205" i="4"/>
  <c r="C217" i="4"/>
  <c r="F216" i="4"/>
  <c r="C239" i="4"/>
  <c r="C241" i="4"/>
  <c r="F238" i="4"/>
  <c r="C248" i="4"/>
  <c r="I246" i="4"/>
  <c r="C246" i="4" s="1"/>
  <c r="M259" i="4"/>
  <c r="L259" i="4"/>
  <c r="C265" i="4"/>
  <c r="F264" i="4"/>
  <c r="C275" i="4"/>
  <c r="C285" i="4"/>
  <c r="F284" i="4"/>
  <c r="E195" i="4"/>
  <c r="M195" i="4"/>
  <c r="L196" i="4"/>
  <c r="L205" i="4"/>
  <c r="C209" i="4"/>
  <c r="F205" i="4"/>
  <c r="C227" i="4"/>
  <c r="G231" i="4"/>
  <c r="G230" i="4" s="1"/>
  <c r="G194" i="4" s="1"/>
  <c r="C240" i="4"/>
  <c r="I238" i="4"/>
  <c r="I252" i="4"/>
  <c r="I251" i="4" s="1"/>
  <c r="N289" i="4"/>
  <c r="O269" i="4"/>
  <c r="C277" i="4"/>
  <c r="F276" i="4"/>
  <c r="C297" i="4"/>
  <c r="F293" i="4"/>
  <c r="C293" i="4" s="1"/>
  <c r="O291" i="4"/>
  <c r="C199" i="4"/>
  <c r="C247" i="4"/>
  <c r="C271" i="4"/>
  <c r="C287" i="4"/>
  <c r="J289" i="4" l="1"/>
  <c r="K194" i="4"/>
  <c r="C136" i="4"/>
  <c r="C216" i="4"/>
  <c r="I83" i="4"/>
  <c r="L291" i="4"/>
  <c r="N52" i="4"/>
  <c r="N51" i="4" s="1"/>
  <c r="N50" i="4" s="1"/>
  <c r="C272" i="4"/>
  <c r="O83" i="4"/>
  <c r="O75" i="4" s="1"/>
  <c r="M230" i="4"/>
  <c r="M289" i="4" s="1"/>
  <c r="G52" i="4"/>
  <c r="G51" i="4" s="1"/>
  <c r="G290" i="4" s="1"/>
  <c r="L270" i="4"/>
  <c r="L269" i="4" s="1"/>
  <c r="O230" i="4"/>
  <c r="I130" i="4"/>
  <c r="M52" i="4"/>
  <c r="F291" i="4"/>
  <c r="L204" i="4"/>
  <c r="C264" i="4"/>
  <c r="O204" i="4"/>
  <c r="O195" i="4" s="1"/>
  <c r="G289" i="4"/>
  <c r="E289" i="4"/>
  <c r="L230" i="4"/>
  <c r="F187" i="4"/>
  <c r="C187" i="4" s="1"/>
  <c r="C116" i="4"/>
  <c r="C144" i="4"/>
  <c r="D289" i="4"/>
  <c r="F76" i="4"/>
  <c r="C76" i="4" s="1"/>
  <c r="I54" i="4"/>
  <c r="I53" i="4" s="1"/>
  <c r="H75" i="4"/>
  <c r="H52" i="4" s="1"/>
  <c r="H51" i="4" s="1"/>
  <c r="H290" i="4" s="1"/>
  <c r="J52" i="4"/>
  <c r="J51" i="4" s="1"/>
  <c r="E52" i="4"/>
  <c r="L195" i="4"/>
  <c r="C112" i="4"/>
  <c r="I231" i="4"/>
  <c r="I230" i="4" s="1"/>
  <c r="O53" i="4"/>
  <c r="K52" i="4"/>
  <c r="K51" i="4" s="1"/>
  <c r="K289" i="4"/>
  <c r="C69" i="4"/>
  <c r="F67" i="4"/>
  <c r="C205" i="4"/>
  <c r="F204" i="4"/>
  <c r="F195" i="4" s="1"/>
  <c r="C196" i="4"/>
  <c r="C235" i="4"/>
  <c r="F231" i="4"/>
  <c r="I292" i="4"/>
  <c r="I291" i="4" s="1"/>
  <c r="I20" i="4"/>
  <c r="L174" i="4"/>
  <c r="L173" i="4" s="1"/>
  <c r="H289" i="4"/>
  <c r="G50" i="4"/>
  <c r="E194" i="4"/>
  <c r="F270" i="4"/>
  <c r="C175" i="4"/>
  <c r="F174" i="4"/>
  <c r="C260" i="4"/>
  <c r="F259" i="4"/>
  <c r="C259" i="4" s="1"/>
  <c r="C122" i="4"/>
  <c r="C131" i="4"/>
  <c r="F130" i="4"/>
  <c r="I204" i="4"/>
  <c r="I195" i="4" s="1"/>
  <c r="D52" i="4"/>
  <c r="D51" i="4" s="1"/>
  <c r="C198" i="4"/>
  <c r="M194" i="4"/>
  <c r="C84" i="4"/>
  <c r="F83" i="4"/>
  <c r="C26" i="4"/>
  <c r="C276" i="4"/>
  <c r="C284" i="4"/>
  <c r="F283" i="4"/>
  <c r="C283" i="4" s="1"/>
  <c r="C238" i="4"/>
  <c r="C252" i="4"/>
  <c r="F251" i="4"/>
  <c r="C251" i="4" s="1"/>
  <c r="L130" i="4"/>
  <c r="L75" i="4" s="1"/>
  <c r="C89" i="4"/>
  <c r="C179" i="4"/>
  <c r="F165" i="4"/>
  <c r="C165" i="4" s="1"/>
  <c r="C166" i="4"/>
  <c r="C151" i="4"/>
  <c r="L20" i="4"/>
  <c r="C21" i="4"/>
  <c r="I75" i="4" l="1"/>
  <c r="M51" i="4"/>
  <c r="L194" i="4"/>
  <c r="C83" i="4"/>
  <c r="O289" i="4"/>
  <c r="O194" i="4"/>
  <c r="C292" i="4"/>
  <c r="N290" i="4"/>
  <c r="I52" i="4"/>
  <c r="C20" i="4"/>
  <c r="C54" i="4"/>
  <c r="L289" i="4"/>
  <c r="C291" i="4"/>
  <c r="H50" i="4"/>
  <c r="J50" i="4"/>
  <c r="J290" i="4"/>
  <c r="E51" i="4"/>
  <c r="E50" i="4" s="1"/>
  <c r="O52" i="4"/>
  <c r="O51" i="4" s="1"/>
  <c r="O50" i="4" s="1"/>
  <c r="I194" i="4"/>
  <c r="I51" i="4" s="1"/>
  <c r="I289" i="4"/>
  <c r="F269" i="4"/>
  <c r="C270" i="4"/>
  <c r="C67" i="4"/>
  <c r="F53" i="4"/>
  <c r="M50" i="4"/>
  <c r="M290" i="4"/>
  <c r="L52" i="4"/>
  <c r="L51" i="4" s="1"/>
  <c r="C130" i="4"/>
  <c r="F230" i="4"/>
  <c r="C230" i="4" s="1"/>
  <c r="C231" i="4"/>
  <c r="C204" i="4"/>
  <c r="F173" i="4"/>
  <c r="C173" i="4" s="1"/>
  <c r="C174" i="4"/>
  <c r="K50" i="4"/>
  <c r="K290" i="4"/>
  <c r="F75" i="4"/>
  <c r="C75" i="4" s="1"/>
  <c r="D290" i="4"/>
  <c r="D50" i="4"/>
  <c r="C195" i="4"/>
  <c r="F194" i="4" l="1"/>
  <c r="C194" i="4" s="1"/>
  <c r="E290" i="4"/>
  <c r="O290" i="4"/>
  <c r="C53" i="4"/>
  <c r="F52" i="4"/>
  <c r="I290" i="4"/>
  <c r="I50" i="4"/>
  <c r="L50" i="4"/>
  <c r="L290" i="4"/>
  <c r="C269" i="4"/>
  <c r="F289" i="4"/>
  <c r="C289" i="4" s="1"/>
  <c r="C52" i="4" l="1"/>
  <c r="F51" i="4"/>
  <c r="F290" i="4" l="1"/>
  <c r="C290" i="4" s="1"/>
  <c r="F50" i="4"/>
  <c r="C50" i="4" s="1"/>
  <c r="C51" i="4"/>
  <c r="O301" i="3" l="1"/>
  <c r="L301" i="3"/>
  <c r="I301" i="3"/>
  <c r="F301" i="3"/>
  <c r="O300" i="3"/>
  <c r="L300" i="3"/>
  <c r="I300" i="3"/>
  <c r="F300" i="3"/>
  <c r="O299" i="3"/>
  <c r="L299" i="3"/>
  <c r="I299" i="3"/>
  <c r="F299" i="3"/>
  <c r="O298" i="3"/>
  <c r="L298" i="3"/>
  <c r="I298" i="3"/>
  <c r="F298" i="3"/>
  <c r="O297" i="3"/>
  <c r="L297" i="3"/>
  <c r="I297" i="3"/>
  <c r="F297" i="3"/>
  <c r="O296" i="3"/>
  <c r="L296" i="3"/>
  <c r="I296" i="3"/>
  <c r="F296" i="3"/>
  <c r="O295" i="3"/>
  <c r="L295" i="3"/>
  <c r="I295" i="3"/>
  <c r="F295" i="3"/>
  <c r="O294" i="3"/>
  <c r="L294" i="3"/>
  <c r="L293" i="3" s="1"/>
  <c r="I294" i="3"/>
  <c r="I293" i="3" s="1"/>
  <c r="F294" i="3"/>
  <c r="N293" i="3"/>
  <c r="M293" i="3"/>
  <c r="K293" i="3"/>
  <c r="J293" i="3"/>
  <c r="H293" i="3"/>
  <c r="G293" i="3"/>
  <c r="E293" i="3"/>
  <c r="D293" i="3"/>
  <c r="O288" i="3"/>
  <c r="L288" i="3"/>
  <c r="I288" i="3"/>
  <c r="F288" i="3"/>
  <c r="O287" i="3"/>
  <c r="L287" i="3"/>
  <c r="L286" i="3" s="1"/>
  <c r="I287" i="3"/>
  <c r="F287" i="3"/>
  <c r="F286" i="3" s="1"/>
  <c r="O286" i="3"/>
  <c r="N286" i="3"/>
  <c r="M286" i="3"/>
  <c r="K286" i="3"/>
  <c r="J286" i="3"/>
  <c r="H286" i="3"/>
  <c r="G286" i="3"/>
  <c r="E286" i="3"/>
  <c r="D286" i="3"/>
  <c r="O285" i="3"/>
  <c r="L285" i="3"/>
  <c r="L284" i="3" s="1"/>
  <c r="L283" i="3" s="1"/>
  <c r="I285" i="3"/>
  <c r="I284" i="3" s="1"/>
  <c r="I283" i="3" s="1"/>
  <c r="F285" i="3"/>
  <c r="O284" i="3"/>
  <c r="O283" i="3" s="1"/>
  <c r="N284" i="3"/>
  <c r="M284" i="3"/>
  <c r="M283" i="3" s="1"/>
  <c r="K284" i="3"/>
  <c r="K283" i="3" s="1"/>
  <c r="J284" i="3"/>
  <c r="H284" i="3"/>
  <c r="H283" i="3" s="1"/>
  <c r="G284" i="3"/>
  <c r="G283" i="3" s="1"/>
  <c r="E284" i="3"/>
  <c r="E283" i="3" s="1"/>
  <c r="D284" i="3"/>
  <c r="D283" i="3" s="1"/>
  <c r="N283" i="3"/>
  <c r="J283" i="3"/>
  <c r="O282" i="3"/>
  <c r="O281" i="3" s="1"/>
  <c r="L282" i="3"/>
  <c r="L281" i="3" s="1"/>
  <c r="I282" i="3"/>
  <c r="I281" i="3" s="1"/>
  <c r="F282" i="3"/>
  <c r="N281" i="3"/>
  <c r="M281" i="3"/>
  <c r="K281" i="3"/>
  <c r="J281" i="3"/>
  <c r="H281" i="3"/>
  <c r="G281" i="3"/>
  <c r="F281" i="3"/>
  <c r="E281" i="3"/>
  <c r="D281" i="3"/>
  <c r="O280" i="3"/>
  <c r="L280" i="3"/>
  <c r="I280" i="3"/>
  <c r="F280" i="3"/>
  <c r="O279" i="3"/>
  <c r="L279" i="3"/>
  <c r="I279" i="3"/>
  <c r="F279" i="3"/>
  <c r="O278" i="3"/>
  <c r="L278" i="3"/>
  <c r="I278" i="3"/>
  <c r="F278" i="3"/>
  <c r="O277" i="3"/>
  <c r="L277" i="3"/>
  <c r="I277" i="3"/>
  <c r="I276" i="3" s="1"/>
  <c r="F277" i="3"/>
  <c r="N276" i="3"/>
  <c r="M276" i="3"/>
  <c r="K276" i="3"/>
  <c r="J276" i="3"/>
  <c r="H276" i="3"/>
  <c r="G276" i="3"/>
  <c r="E276" i="3"/>
  <c r="D276" i="3"/>
  <c r="O275" i="3"/>
  <c r="L275" i="3"/>
  <c r="I275" i="3"/>
  <c r="F275" i="3"/>
  <c r="O274" i="3"/>
  <c r="L274" i="3"/>
  <c r="I274" i="3"/>
  <c r="F274" i="3"/>
  <c r="O273" i="3"/>
  <c r="L273" i="3"/>
  <c r="L272" i="3" s="1"/>
  <c r="I273" i="3"/>
  <c r="I272" i="3" s="1"/>
  <c r="F273" i="3"/>
  <c r="N272" i="3"/>
  <c r="M272" i="3"/>
  <c r="M270" i="3" s="1"/>
  <c r="M269" i="3" s="1"/>
  <c r="K272" i="3"/>
  <c r="J272" i="3"/>
  <c r="H272" i="3"/>
  <c r="G272" i="3"/>
  <c r="G270" i="3" s="1"/>
  <c r="G269" i="3" s="1"/>
  <c r="E272" i="3"/>
  <c r="D272" i="3"/>
  <c r="O271" i="3"/>
  <c r="L271" i="3"/>
  <c r="I271" i="3"/>
  <c r="F271" i="3"/>
  <c r="N270" i="3"/>
  <c r="J270" i="3"/>
  <c r="J269" i="3" s="1"/>
  <c r="H270" i="3"/>
  <c r="O268" i="3"/>
  <c r="L268" i="3"/>
  <c r="I268" i="3"/>
  <c r="F268" i="3"/>
  <c r="O267" i="3"/>
  <c r="L267" i="3"/>
  <c r="I267" i="3"/>
  <c r="F267" i="3"/>
  <c r="O266" i="3"/>
  <c r="O264" i="3" s="1"/>
  <c r="L266" i="3"/>
  <c r="I266" i="3"/>
  <c r="C266" i="3" s="1"/>
  <c r="F266" i="3"/>
  <c r="O265" i="3"/>
  <c r="L265" i="3"/>
  <c r="L264" i="3" s="1"/>
  <c r="I265" i="3"/>
  <c r="F265" i="3"/>
  <c r="N264" i="3"/>
  <c r="M264" i="3"/>
  <c r="K264" i="3"/>
  <c r="J264" i="3"/>
  <c r="H264" i="3"/>
  <c r="G264" i="3"/>
  <c r="E264" i="3"/>
  <c r="D264" i="3"/>
  <c r="O263" i="3"/>
  <c r="L263" i="3"/>
  <c r="I263" i="3"/>
  <c r="F263" i="3"/>
  <c r="O262" i="3"/>
  <c r="L262" i="3"/>
  <c r="I262" i="3"/>
  <c r="F262" i="3"/>
  <c r="O261" i="3"/>
  <c r="L261" i="3"/>
  <c r="I261" i="3"/>
  <c r="I260" i="3" s="1"/>
  <c r="F261" i="3"/>
  <c r="N260" i="3"/>
  <c r="M260" i="3"/>
  <c r="K260" i="3"/>
  <c r="K259" i="3" s="1"/>
  <c r="J260" i="3"/>
  <c r="J259" i="3" s="1"/>
  <c r="H260" i="3"/>
  <c r="G260" i="3"/>
  <c r="G259" i="3" s="1"/>
  <c r="E260" i="3"/>
  <c r="E259" i="3" s="1"/>
  <c r="D260" i="3"/>
  <c r="N259" i="3"/>
  <c r="H259" i="3"/>
  <c r="O258" i="3"/>
  <c r="L258" i="3"/>
  <c r="I258" i="3"/>
  <c r="F258" i="3"/>
  <c r="O257" i="3"/>
  <c r="L257" i="3"/>
  <c r="I257" i="3"/>
  <c r="F257" i="3"/>
  <c r="O256" i="3"/>
  <c r="L256" i="3"/>
  <c r="I256" i="3"/>
  <c r="F256" i="3"/>
  <c r="O255" i="3"/>
  <c r="L255" i="3"/>
  <c r="I255" i="3"/>
  <c r="F255" i="3"/>
  <c r="O254" i="3"/>
  <c r="L254" i="3"/>
  <c r="I254" i="3"/>
  <c r="F254" i="3"/>
  <c r="C254" i="3" s="1"/>
  <c r="O253" i="3"/>
  <c r="L253" i="3"/>
  <c r="I253" i="3"/>
  <c r="I252" i="3" s="1"/>
  <c r="I251" i="3" s="1"/>
  <c r="F253" i="3"/>
  <c r="N252" i="3"/>
  <c r="M252" i="3"/>
  <c r="M251" i="3" s="1"/>
  <c r="K252" i="3"/>
  <c r="K251" i="3" s="1"/>
  <c r="J252" i="3"/>
  <c r="J251" i="3" s="1"/>
  <c r="H252" i="3"/>
  <c r="G252" i="3"/>
  <c r="E252" i="3"/>
  <c r="E251" i="3" s="1"/>
  <c r="D252" i="3"/>
  <c r="D251" i="3" s="1"/>
  <c r="N251" i="3"/>
  <c r="H251" i="3"/>
  <c r="G251" i="3"/>
  <c r="O250" i="3"/>
  <c r="L250" i="3"/>
  <c r="I250" i="3"/>
  <c r="F250" i="3"/>
  <c r="O249" i="3"/>
  <c r="L249" i="3"/>
  <c r="I249" i="3"/>
  <c r="F249" i="3"/>
  <c r="O248" i="3"/>
  <c r="L248" i="3"/>
  <c r="I248" i="3"/>
  <c r="F248" i="3"/>
  <c r="O247" i="3"/>
  <c r="L247" i="3"/>
  <c r="I247" i="3"/>
  <c r="F247" i="3"/>
  <c r="F246" i="3" s="1"/>
  <c r="N246" i="3"/>
  <c r="M246" i="3"/>
  <c r="K246" i="3"/>
  <c r="J246" i="3"/>
  <c r="H246" i="3"/>
  <c r="G246" i="3"/>
  <c r="E246" i="3"/>
  <c r="D246" i="3"/>
  <c r="O245" i="3"/>
  <c r="L245" i="3"/>
  <c r="I245" i="3"/>
  <c r="F245" i="3"/>
  <c r="O244" i="3"/>
  <c r="L244" i="3"/>
  <c r="I244" i="3"/>
  <c r="F244" i="3"/>
  <c r="O243" i="3"/>
  <c r="L243" i="3"/>
  <c r="I243" i="3"/>
  <c r="F243" i="3"/>
  <c r="O242" i="3"/>
  <c r="L242" i="3"/>
  <c r="I242" i="3"/>
  <c r="F242" i="3"/>
  <c r="O241" i="3"/>
  <c r="L241" i="3"/>
  <c r="I241" i="3"/>
  <c r="F241" i="3"/>
  <c r="O240" i="3"/>
  <c r="L240" i="3"/>
  <c r="I240" i="3"/>
  <c r="F240" i="3"/>
  <c r="O239" i="3"/>
  <c r="L239" i="3"/>
  <c r="I239" i="3"/>
  <c r="F239" i="3"/>
  <c r="N238" i="3"/>
  <c r="M238" i="3"/>
  <c r="K238" i="3"/>
  <c r="J238" i="3"/>
  <c r="H238" i="3"/>
  <c r="G238" i="3"/>
  <c r="E238" i="3"/>
  <c r="D238" i="3"/>
  <c r="O237" i="3"/>
  <c r="L237" i="3"/>
  <c r="I237" i="3"/>
  <c r="F237" i="3"/>
  <c r="O236" i="3"/>
  <c r="L236" i="3"/>
  <c r="I236" i="3"/>
  <c r="F236" i="3"/>
  <c r="O235" i="3"/>
  <c r="N235" i="3"/>
  <c r="M235" i="3"/>
  <c r="L235" i="3"/>
  <c r="K235" i="3"/>
  <c r="J235" i="3"/>
  <c r="H235" i="3"/>
  <c r="G235" i="3"/>
  <c r="F235" i="3"/>
  <c r="E235" i="3"/>
  <c r="D235" i="3"/>
  <c r="O234" i="3"/>
  <c r="O233" i="3" s="1"/>
  <c r="L234" i="3"/>
  <c r="L233" i="3" s="1"/>
  <c r="I234" i="3"/>
  <c r="F234" i="3"/>
  <c r="N233" i="3"/>
  <c r="M233" i="3"/>
  <c r="K233" i="3"/>
  <c r="J233" i="3"/>
  <c r="I233" i="3"/>
  <c r="H233" i="3"/>
  <c r="G233" i="3"/>
  <c r="E233" i="3"/>
  <c r="D233" i="3"/>
  <c r="D231" i="3" s="1"/>
  <c r="O232" i="3"/>
  <c r="L232" i="3"/>
  <c r="I232" i="3"/>
  <c r="F232" i="3"/>
  <c r="O229" i="3"/>
  <c r="L229" i="3"/>
  <c r="I229" i="3"/>
  <c r="F229" i="3"/>
  <c r="O228" i="3"/>
  <c r="L228" i="3"/>
  <c r="I228" i="3"/>
  <c r="I227" i="3" s="1"/>
  <c r="F228" i="3"/>
  <c r="F227" i="3" s="1"/>
  <c r="O227" i="3"/>
  <c r="N227" i="3"/>
  <c r="M227" i="3"/>
  <c r="L227" i="3"/>
  <c r="K227" i="3"/>
  <c r="J227" i="3"/>
  <c r="H227" i="3"/>
  <c r="G227" i="3"/>
  <c r="E227" i="3"/>
  <c r="D227" i="3"/>
  <c r="O226" i="3"/>
  <c r="L226" i="3"/>
  <c r="I226" i="3"/>
  <c r="F226" i="3"/>
  <c r="O225" i="3"/>
  <c r="L225" i="3"/>
  <c r="I225" i="3"/>
  <c r="F225" i="3"/>
  <c r="O224" i="3"/>
  <c r="L224" i="3"/>
  <c r="I224" i="3"/>
  <c r="F224" i="3"/>
  <c r="O223" i="3"/>
  <c r="L223" i="3"/>
  <c r="I223" i="3"/>
  <c r="F223" i="3"/>
  <c r="O222" i="3"/>
  <c r="L222" i="3"/>
  <c r="I222" i="3"/>
  <c r="F222" i="3"/>
  <c r="O221" i="3"/>
  <c r="L221" i="3"/>
  <c r="I221" i="3"/>
  <c r="F221" i="3"/>
  <c r="O220" i="3"/>
  <c r="L220" i="3"/>
  <c r="I220" i="3"/>
  <c r="F220" i="3"/>
  <c r="O219" i="3"/>
  <c r="L219" i="3"/>
  <c r="I219" i="3"/>
  <c r="F219" i="3"/>
  <c r="O218" i="3"/>
  <c r="L218" i="3"/>
  <c r="I218" i="3"/>
  <c r="F218" i="3"/>
  <c r="O217" i="3"/>
  <c r="L217" i="3"/>
  <c r="I217" i="3"/>
  <c r="F217" i="3"/>
  <c r="N216" i="3"/>
  <c r="M216" i="3"/>
  <c r="K216" i="3"/>
  <c r="J216" i="3"/>
  <c r="H216" i="3"/>
  <c r="G216" i="3"/>
  <c r="E216" i="3"/>
  <c r="D216" i="3"/>
  <c r="O215" i="3"/>
  <c r="L215" i="3"/>
  <c r="I215" i="3"/>
  <c r="F215" i="3"/>
  <c r="O214" i="3"/>
  <c r="L214" i="3"/>
  <c r="I214" i="3"/>
  <c r="C214" i="3" s="1"/>
  <c r="F214" i="3"/>
  <c r="O213" i="3"/>
  <c r="L213" i="3"/>
  <c r="I213" i="3"/>
  <c r="F213" i="3"/>
  <c r="O212" i="3"/>
  <c r="L212" i="3"/>
  <c r="I212" i="3"/>
  <c r="F212" i="3"/>
  <c r="O211" i="3"/>
  <c r="L211" i="3"/>
  <c r="I211" i="3"/>
  <c r="F211" i="3"/>
  <c r="O210" i="3"/>
  <c r="L210" i="3"/>
  <c r="I210" i="3"/>
  <c r="F210" i="3"/>
  <c r="C210" i="3" s="1"/>
  <c r="O209" i="3"/>
  <c r="L209" i="3"/>
  <c r="I209" i="3"/>
  <c r="F209" i="3"/>
  <c r="O208" i="3"/>
  <c r="L208" i="3"/>
  <c r="I208" i="3"/>
  <c r="F208" i="3"/>
  <c r="O207" i="3"/>
  <c r="L207" i="3"/>
  <c r="I207" i="3"/>
  <c r="F207" i="3"/>
  <c r="O206" i="3"/>
  <c r="L206" i="3"/>
  <c r="I206" i="3"/>
  <c r="F206" i="3"/>
  <c r="N205" i="3"/>
  <c r="M205" i="3"/>
  <c r="M204" i="3" s="1"/>
  <c r="K205" i="3"/>
  <c r="K204" i="3" s="1"/>
  <c r="J205" i="3"/>
  <c r="H205" i="3"/>
  <c r="G205" i="3"/>
  <c r="G204" i="3" s="1"/>
  <c r="E205" i="3"/>
  <c r="D205" i="3"/>
  <c r="D204" i="3" s="1"/>
  <c r="O203" i="3"/>
  <c r="L203" i="3"/>
  <c r="I203" i="3"/>
  <c r="F203" i="3"/>
  <c r="O202" i="3"/>
  <c r="L202" i="3"/>
  <c r="I202" i="3"/>
  <c r="F202" i="3"/>
  <c r="O201" i="3"/>
  <c r="L201" i="3"/>
  <c r="I201" i="3"/>
  <c r="F201" i="3"/>
  <c r="O200" i="3"/>
  <c r="L200" i="3"/>
  <c r="I200" i="3"/>
  <c r="F200" i="3"/>
  <c r="O199" i="3"/>
  <c r="L199" i="3"/>
  <c r="L198" i="3" s="1"/>
  <c r="I199" i="3"/>
  <c r="F199" i="3"/>
  <c r="F198" i="3" s="1"/>
  <c r="O198" i="3"/>
  <c r="N198" i="3"/>
  <c r="M198" i="3"/>
  <c r="K198" i="3"/>
  <c r="K196" i="3" s="1"/>
  <c r="J198" i="3"/>
  <c r="J196" i="3" s="1"/>
  <c r="H198" i="3"/>
  <c r="H196" i="3" s="1"/>
  <c r="G198" i="3"/>
  <c r="G196" i="3" s="1"/>
  <c r="E198" i="3"/>
  <c r="E196" i="3" s="1"/>
  <c r="D198" i="3"/>
  <c r="D196" i="3" s="1"/>
  <c r="O197" i="3"/>
  <c r="L197" i="3"/>
  <c r="I197" i="3"/>
  <c r="F197" i="3"/>
  <c r="N196" i="3"/>
  <c r="M196" i="3"/>
  <c r="D195" i="3"/>
  <c r="O193" i="3"/>
  <c r="O192" i="3" s="1"/>
  <c r="O191" i="3" s="1"/>
  <c r="L193" i="3"/>
  <c r="L192" i="3" s="1"/>
  <c r="L191" i="3" s="1"/>
  <c r="I193" i="3"/>
  <c r="I192" i="3" s="1"/>
  <c r="F193" i="3"/>
  <c r="C193" i="3" s="1"/>
  <c r="N192" i="3"/>
  <c r="N191" i="3" s="1"/>
  <c r="M192" i="3"/>
  <c r="M191" i="3" s="1"/>
  <c r="K192" i="3"/>
  <c r="K191" i="3" s="1"/>
  <c r="J192" i="3"/>
  <c r="J191" i="3" s="1"/>
  <c r="H192" i="3"/>
  <c r="H191" i="3" s="1"/>
  <c r="G192" i="3"/>
  <c r="G191" i="3" s="1"/>
  <c r="E192" i="3"/>
  <c r="E191" i="3" s="1"/>
  <c r="D192" i="3"/>
  <c r="D191" i="3" s="1"/>
  <c r="I191" i="3"/>
  <c r="O190" i="3"/>
  <c r="L190" i="3"/>
  <c r="I190" i="3"/>
  <c r="F190" i="3"/>
  <c r="O189" i="3"/>
  <c r="O188" i="3" s="1"/>
  <c r="O187" i="3" s="1"/>
  <c r="L189" i="3"/>
  <c r="L188" i="3" s="1"/>
  <c r="I189" i="3"/>
  <c r="F189" i="3"/>
  <c r="C189" i="3" s="1"/>
  <c r="N188" i="3"/>
  <c r="M188" i="3"/>
  <c r="K188" i="3"/>
  <c r="K187" i="3" s="1"/>
  <c r="J188" i="3"/>
  <c r="H188" i="3"/>
  <c r="H187" i="3" s="1"/>
  <c r="G188" i="3"/>
  <c r="F188" i="3"/>
  <c r="E188" i="3"/>
  <c r="D188" i="3"/>
  <c r="D187" i="3" s="1"/>
  <c r="O186" i="3"/>
  <c r="L186" i="3"/>
  <c r="I186" i="3"/>
  <c r="F186" i="3"/>
  <c r="O185" i="3"/>
  <c r="O184" i="3" s="1"/>
  <c r="L185" i="3"/>
  <c r="I185" i="3"/>
  <c r="F185" i="3"/>
  <c r="N184" i="3"/>
  <c r="M184" i="3"/>
  <c r="K184" i="3"/>
  <c r="J184" i="3"/>
  <c r="H184" i="3"/>
  <c r="G184" i="3"/>
  <c r="F184" i="3"/>
  <c r="E184" i="3"/>
  <c r="D184" i="3"/>
  <c r="O183" i="3"/>
  <c r="L183" i="3"/>
  <c r="I183" i="3"/>
  <c r="F183" i="3"/>
  <c r="O182" i="3"/>
  <c r="L182" i="3"/>
  <c r="I182" i="3"/>
  <c r="F182" i="3"/>
  <c r="O181" i="3"/>
  <c r="L181" i="3"/>
  <c r="I181" i="3"/>
  <c r="F181" i="3"/>
  <c r="C181" i="3" s="1"/>
  <c r="O180" i="3"/>
  <c r="L180" i="3"/>
  <c r="I180" i="3"/>
  <c r="F180" i="3"/>
  <c r="N179" i="3"/>
  <c r="M179" i="3"/>
  <c r="K179" i="3"/>
  <c r="J179" i="3"/>
  <c r="H179" i="3"/>
  <c r="G179" i="3"/>
  <c r="E179" i="3"/>
  <c r="D179" i="3"/>
  <c r="O178" i="3"/>
  <c r="L178" i="3"/>
  <c r="I178" i="3"/>
  <c r="F178" i="3"/>
  <c r="O177" i="3"/>
  <c r="L177" i="3"/>
  <c r="I177" i="3"/>
  <c r="F177" i="3"/>
  <c r="C177" i="3" s="1"/>
  <c r="O176" i="3"/>
  <c r="L176" i="3"/>
  <c r="I176" i="3"/>
  <c r="F176" i="3"/>
  <c r="N175" i="3"/>
  <c r="M175" i="3"/>
  <c r="K175" i="3"/>
  <c r="K174" i="3" s="1"/>
  <c r="J175" i="3"/>
  <c r="H175" i="3"/>
  <c r="G175" i="3"/>
  <c r="G174" i="3" s="1"/>
  <c r="G173" i="3" s="1"/>
  <c r="E175" i="3"/>
  <c r="E174" i="3" s="1"/>
  <c r="E173" i="3" s="1"/>
  <c r="D175" i="3"/>
  <c r="O172" i="3"/>
  <c r="L172" i="3"/>
  <c r="I172" i="3"/>
  <c r="F172" i="3"/>
  <c r="O171" i="3"/>
  <c r="L171" i="3"/>
  <c r="I171" i="3"/>
  <c r="F171" i="3"/>
  <c r="O170" i="3"/>
  <c r="L170" i="3"/>
  <c r="I170" i="3"/>
  <c r="F170" i="3"/>
  <c r="O169" i="3"/>
  <c r="L169" i="3"/>
  <c r="I169" i="3"/>
  <c r="F169" i="3"/>
  <c r="O168" i="3"/>
  <c r="L168" i="3"/>
  <c r="I168" i="3"/>
  <c r="F168" i="3"/>
  <c r="O167" i="3"/>
  <c r="L167" i="3"/>
  <c r="I167" i="3"/>
  <c r="I166" i="3" s="1"/>
  <c r="I165" i="3" s="1"/>
  <c r="F167" i="3"/>
  <c r="F166" i="3" s="1"/>
  <c r="N166" i="3"/>
  <c r="N165" i="3" s="1"/>
  <c r="M166" i="3"/>
  <c r="M165" i="3" s="1"/>
  <c r="K166" i="3"/>
  <c r="K165" i="3" s="1"/>
  <c r="J166" i="3"/>
  <c r="J165" i="3" s="1"/>
  <c r="H166" i="3"/>
  <c r="G166" i="3"/>
  <c r="G165" i="3" s="1"/>
  <c r="E166" i="3"/>
  <c r="E165" i="3" s="1"/>
  <c r="D166" i="3"/>
  <c r="H165" i="3"/>
  <c r="D165" i="3"/>
  <c r="O164" i="3"/>
  <c r="L164" i="3"/>
  <c r="I164" i="3"/>
  <c r="F164" i="3"/>
  <c r="O163" i="3"/>
  <c r="L163" i="3"/>
  <c r="I163" i="3"/>
  <c r="F163" i="3"/>
  <c r="O162" i="3"/>
  <c r="L162" i="3"/>
  <c r="I162" i="3"/>
  <c r="F162" i="3"/>
  <c r="O161" i="3"/>
  <c r="O160" i="3" s="1"/>
  <c r="L161" i="3"/>
  <c r="I161" i="3"/>
  <c r="F161" i="3"/>
  <c r="C161" i="3" s="1"/>
  <c r="N160" i="3"/>
  <c r="M160" i="3"/>
  <c r="K160" i="3"/>
  <c r="J160" i="3"/>
  <c r="H160" i="3"/>
  <c r="G160" i="3"/>
  <c r="E160" i="3"/>
  <c r="D160" i="3"/>
  <c r="O159" i="3"/>
  <c r="L159" i="3"/>
  <c r="I159" i="3"/>
  <c r="F159" i="3"/>
  <c r="O158" i="3"/>
  <c r="L158" i="3"/>
  <c r="I158" i="3"/>
  <c r="F158" i="3"/>
  <c r="O157" i="3"/>
  <c r="L157" i="3"/>
  <c r="I157" i="3"/>
  <c r="F157" i="3"/>
  <c r="O156" i="3"/>
  <c r="L156" i="3"/>
  <c r="I156" i="3"/>
  <c r="F156" i="3"/>
  <c r="O155" i="3"/>
  <c r="L155" i="3"/>
  <c r="I155" i="3"/>
  <c r="F155" i="3"/>
  <c r="O154" i="3"/>
  <c r="L154" i="3"/>
  <c r="I154" i="3"/>
  <c r="F154" i="3"/>
  <c r="O153" i="3"/>
  <c r="L153" i="3"/>
  <c r="I153" i="3"/>
  <c r="F153" i="3"/>
  <c r="O152" i="3"/>
  <c r="L152" i="3"/>
  <c r="I152" i="3"/>
  <c r="I151" i="3" s="1"/>
  <c r="F152" i="3"/>
  <c r="N151" i="3"/>
  <c r="M151" i="3"/>
  <c r="K151" i="3"/>
  <c r="J151" i="3"/>
  <c r="H151" i="3"/>
  <c r="G151" i="3"/>
  <c r="E151" i="3"/>
  <c r="D151" i="3"/>
  <c r="O150" i="3"/>
  <c r="L150" i="3"/>
  <c r="I150" i="3"/>
  <c r="F150" i="3"/>
  <c r="O149" i="3"/>
  <c r="L149" i="3"/>
  <c r="I149" i="3"/>
  <c r="F149" i="3"/>
  <c r="O148" i="3"/>
  <c r="L148" i="3"/>
  <c r="I148" i="3"/>
  <c r="F148" i="3"/>
  <c r="O147" i="3"/>
  <c r="L147" i="3"/>
  <c r="I147" i="3"/>
  <c r="F147" i="3"/>
  <c r="O146" i="3"/>
  <c r="L146" i="3"/>
  <c r="I146" i="3"/>
  <c r="F146" i="3"/>
  <c r="O145" i="3"/>
  <c r="O144" i="3" s="1"/>
  <c r="L145" i="3"/>
  <c r="I145" i="3"/>
  <c r="F145" i="3"/>
  <c r="N144" i="3"/>
  <c r="M144" i="3"/>
  <c r="K144" i="3"/>
  <c r="J144" i="3"/>
  <c r="H144" i="3"/>
  <c r="G144" i="3"/>
  <c r="E144" i="3"/>
  <c r="D144" i="3"/>
  <c r="O143" i="3"/>
  <c r="L143" i="3"/>
  <c r="I143" i="3"/>
  <c r="F143" i="3"/>
  <c r="O142" i="3"/>
  <c r="L142" i="3"/>
  <c r="L141" i="3" s="1"/>
  <c r="I142" i="3"/>
  <c r="I141" i="3" s="1"/>
  <c r="F142" i="3"/>
  <c r="O141" i="3"/>
  <c r="N141" i="3"/>
  <c r="M141" i="3"/>
  <c r="K141" i="3"/>
  <c r="J141" i="3"/>
  <c r="H141" i="3"/>
  <c r="G141" i="3"/>
  <c r="F141" i="3"/>
  <c r="E141" i="3"/>
  <c r="D141" i="3"/>
  <c r="O140" i="3"/>
  <c r="L140" i="3"/>
  <c r="I140" i="3"/>
  <c r="F140" i="3"/>
  <c r="O139" i="3"/>
  <c r="L139" i="3"/>
  <c r="I139" i="3"/>
  <c r="F139" i="3"/>
  <c r="O138" i="3"/>
  <c r="L138" i="3"/>
  <c r="I138" i="3"/>
  <c r="F138" i="3"/>
  <c r="O137" i="3"/>
  <c r="O136" i="3" s="1"/>
  <c r="L137" i="3"/>
  <c r="I137" i="3"/>
  <c r="F137" i="3"/>
  <c r="N136" i="3"/>
  <c r="M136" i="3"/>
  <c r="K136" i="3"/>
  <c r="J136" i="3"/>
  <c r="H136" i="3"/>
  <c r="G136" i="3"/>
  <c r="E136" i="3"/>
  <c r="D136" i="3"/>
  <c r="O135" i="3"/>
  <c r="L135" i="3"/>
  <c r="I135" i="3"/>
  <c r="F135" i="3"/>
  <c r="O134" i="3"/>
  <c r="L134" i="3"/>
  <c r="I134" i="3"/>
  <c r="F134" i="3"/>
  <c r="O133" i="3"/>
  <c r="L133" i="3"/>
  <c r="I133" i="3"/>
  <c r="F133" i="3"/>
  <c r="C133" i="3"/>
  <c r="O132" i="3"/>
  <c r="L132" i="3"/>
  <c r="I132" i="3"/>
  <c r="F132" i="3"/>
  <c r="N131" i="3"/>
  <c r="M131" i="3"/>
  <c r="K131" i="3"/>
  <c r="J131" i="3"/>
  <c r="J130" i="3" s="1"/>
  <c r="H131" i="3"/>
  <c r="G131" i="3"/>
  <c r="E131" i="3"/>
  <c r="E130" i="3" s="1"/>
  <c r="D131" i="3"/>
  <c r="O129" i="3"/>
  <c r="O128" i="3" s="1"/>
  <c r="L129" i="3"/>
  <c r="I129" i="3"/>
  <c r="I128" i="3" s="1"/>
  <c r="F129" i="3"/>
  <c r="F128" i="3" s="1"/>
  <c r="N128" i="3"/>
  <c r="M128" i="3"/>
  <c r="L128" i="3"/>
  <c r="K128" i="3"/>
  <c r="J128" i="3"/>
  <c r="H128" i="3"/>
  <c r="G128" i="3"/>
  <c r="E128" i="3"/>
  <c r="D128" i="3"/>
  <c r="O127" i="3"/>
  <c r="L127" i="3"/>
  <c r="I127" i="3"/>
  <c r="F127" i="3"/>
  <c r="O126" i="3"/>
  <c r="L126" i="3"/>
  <c r="I126" i="3"/>
  <c r="F126" i="3"/>
  <c r="O125" i="3"/>
  <c r="L125" i="3"/>
  <c r="C125" i="3" s="1"/>
  <c r="I125" i="3"/>
  <c r="F125" i="3"/>
  <c r="O124" i="3"/>
  <c r="L124" i="3"/>
  <c r="I124" i="3"/>
  <c r="F124" i="3"/>
  <c r="O123" i="3"/>
  <c r="L123" i="3"/>
  <c r="I123" i="3"/>
  <c r="F123" i="3"/>
  <c r="N122" i="3"/>
  <c r="M122" i="3"/>
  <c r="K122" i="3"/>
  <c r="J122" i="3"/>
  <c r="H122" i="3"/>
  <c r="G122" i="3"/>
  <c r="E122" i="3"/>
  <c r="D122" i="3"/>
  <c r="O121" i="3"/>
  <c r="L121" i="3"/>
  <c r="I121" i="3"/>
  <c r="F121" i="3"/>
  <c r="O120" i="3"/>
  <c r="L120" i="3"/>
  <c r="I120" i="3"/>
  <c r="F120" i="3"/>
  <c r="O119" i="3"/>
  <c r="L119" i="3"/>
  <c r="I119" i="3"/>
  <c r="F119" i="3"/>
  <c r="O118" i="3"/>
  <c r="L118" i="3"/>
  <c r="I118" i="3"/>
  <c r="F118" i="3"/>
  <c r="O117" i="3"/>
  <c r="L117" i="3"/>
  <c r="I117" i="3"/>
  <c r="F117" i="3"/>
  <c r="N116" i="3"/>
  <c r="M116" i="3"/>
  <c r="L116" i="3"/>
  <c r="K116" i="3"/>
  <c r="J116" i="3"/>
  <c r="H116" i="3"/>
  <c r="G116" i="3"/>
  <c r="E116" i="3"/>
  <c r="D116" i="3"/>
  <c r="O115" i="3"/>
  <c r="L115" i="3"/>
  <c r="I115" i="3"/>
  <c r="F115" i="3"/>
  <c r="O114" i="3"/>
  <c r="L114" i="3"/>
  <c r="I114" i="3"/>
  <c r="F114" i="3"/>
  <c r="O113" i="3"/>
  <c r="O112" i="3" s="1"/>
  <c r="L113" i="3"/>
  <c r="I113" i="3"/>
  <c r="F113" i="3"/>
  <c r="F112" i="3" s="1"/>
  <c r="N112" i="3"/>
  <c r="M112" i="3"/>
  <c r="K112" i="3"/>
  <c r="J112" i="3"/>
  <c r="H112" i="3"/>
  <c r="G112" i="3"/>
  <c r="E112" i="3"/>
  <c r="D112" i="3"/>
  <c r="O111" i="3"/>
  <c r="L111" i="3"/>
  <c r="I111" i="3"/>
  <c r="F111" i="3"/>
  <c r="O110" i="3"/>
  <c r="L110" i="3"/>
  <c r="I110" i="3"/>
  <c r="F110" i="3"/>
  <c r="O109" i="3"/>
  <c r="L109" i="3"/>
  <c r="I109" i="3"/>
  <c r="F109" i="3"/>
  <c r="O108" i="3"/>
  <c r="L108" i="3"/>
  <c r="I108" i="3"/>
  <c r="F108" i="3"/>
  <c r="O107" i="3"/>
  <c r="L107" i="3"/>
  <c r="I107" i="3"/>
  <c r="F107" i="3"/>
  <c r="O106" i="3"/>
  <c r="L106" i="3"/>
  <c r="I106" i="3"/>
  <c r="F106" i="3"/>
  <c r="O105" i="3"/>
  <c r="L105" i="3"/>
  <c r="I105" i="3"/>
  <c r="F105" i="3"/>
  <c r="O104" i="3"/>
  <c r="L104" i="3"/>
  <c r="I104" i="3"/>
  <c r="I103" i="3" s="1"/>
  <c r="F104" i="3"/>
  <c r="N103" i="3"/>
  <c r="M103" i="3"/>
  <c r="K103" i="3"/>
  <c r="J103" i="3"/>
  <c r="H103" i="3"/>
  <c r="G103" i="3"/>
  <c r="E103" i="3"/>
  <c r="D103" i="3"/>
  <c r="O102" i="3"/>
  <c r="L102" i="3"/>
  <c r="I102" i="3"/>
  <c r="F102" i="3"/>
  <c r="O101" i="3"/>
  <c r="L101" i="3"/>
  <c r="I101" i="3"/>
  <c r="F101" i="3"/>
  <c r="O100" i="3"/>
  <c r="L100" i="3"/>
  <c r="I100" i="3"/>
  <c r="F100" i="3"/>
  <c r="O99" i="3"/>
  <c r="L99" i="3"/>
  <c r="I99" i="3"/>
  <c r="F99" i="3"/>
  <c r="O98" i="3"/>
  <c r="L98" i="3"/>
  <c r="I98" i="3"/>
  <c r="F98" i="3"/>
  <c r="O97" i="3"/>
  <c r="L97" i="3"/>
  <c r="I97" i="3"/>
  <c r="F97" i="3"/>
  <c r="O96" i="3"/>
  <c r="L96" i="3"/>
  <c r="L95" i="3" s="1"/>
  <c r="I96" i="3"/>
  <c r="F96" i="3"/>
  <c r="N95" i="3"/>
  <c r="M95" i="3"/>
  <c r="K95" i="3"/>
  <c r="J95" i="3"/>
  <c r="H95" i="3"/>
  <c r="G95" i="3"/>
  <c r="E95" i="3"/>
  <c r="D95" i="3"/>
  <c r="O94" i="3"/>
  <c r="L94" i="3"/>
  <c r="I94" i="3"/>
  <c r="F94" i="3"/>
  <c r="O93" i="3"/>
  <c r="L93" i="3"/>
  <c r="I93" i="3"/>
  <c r="F93" i="3"/>
  <c r="O92" i="3"/>
  <c r="L92" i="3"/>
  <c r="I92" i="3"/>
  <c r="F92" i="3"/>
  <c r="O91" i="3"/>
  <c r="L91" i="3"/>
  <c r="I91" i="3"/>
  <c r="F91" i="3"/>
  <c r="O90" i="3"/>
  <c r="L90" i="3"/>
  <c r="I90" i="3"/>
  <c r="I89" i="3" s="1"/>
  <c r="F90" i="3"/>
  <c r="N89" i="3"/>
  <c r="M89" i="3"/>
  <c r="K89" i="3"/>
  <c r="J89" i="3"/>
  <c r="H89" i="3"/>
  <c r="G89" i="3"/>
  <c r="E89" i="3"/>
  <c r="D89" i="3"/>
  <c r="O88" i="3"/>
  <c r="L88" i="3"/>
  <c r="I88" i="3"/>
  <c r="F88" i="3"/>
  <c r="O87" i="3"/>
  <c r="L87" i="3"/>
  <c r="I87" i="3"/>
  <c r="F87" i="3"/>
  <c r="O86" i="3"/>
  <c r="L86" i="3"/>
  <c r="I86" i="3"/>
  <c r="F86" i="3"/>
  <c r="O85" i="3"/>
  <c r="L85" i="3"/>
  <c r="I85" i="3"/>
  <c r="F85" i="3"/>
  <c r="N84" i="3"/>
  <c r="M84" i="3"/>
  <c r="K84" i="3"/>
  <c r="K83" i="3" s="1"/>
  <c r="J84" i="3"/>
  <c r="H84" i="3"/>
  <c r="G84" i="3"/>
  <c r="F84" i="3"/>
  <c r="E84" i="3"/>
  <c r="D84" i="3"/>
  <c r="G83" i="3"/>
  <c r="O82" i="3"/>
  <c r="L82" i="3"/>
  <c r="I82" i="3"/>
  <c r="F82" i="3"/>
  <c r="O81" i="3"/>
  <c r="O80" i="3" s="1"/>
  <c r="L81" i="3"/>
  <c r="L80" i="3" s="1"/>
  <c r="I81" i="3"/>
  <c r="F81" i="3"/>
  <c r="F80" i="3" s="1"/>
  <c r="N80" i="3"/>
  <c r="M80" i="3"/>
  <c r="K80" i="3"/>
  <c r="J80" i="3"/>
  <c r="H80" i="3"/>
  <c r="G80" i="3"/>
  <c r="E80" i="3"/>
  <c r="D80" i="3"/>
  <c r="O79" i="3"/>
  <c r="L79" i="3"/>
  <c r="I79" i="3"/>
  <c r="F79" i="3"/>
  <c r="C79" i="3" s="1"/>
  <c r="O78" i="3"/>
  <c r="L78" i="3"/>
  <c r="I78" i="3"/>
  <c r="F78" i="3"/>
  <c r="N77" i="3"/>
  <c r="M77" i="3"/>
  <c r="M76" i="3" s="1"/>
  <c r="K77" i="3"/>
  <c r="J77" i="3"/>
  <c r="J76" i="3" s="1"/>
  <c r="I77" i="3"/>
  <c r="H77" i="3"/>
  <c r="G77" i="3"/>
  <c r="G76" i="3" s="1"/>
  <c r="E77" i="3"/>
  <c r="E76" i="3" s="1"/>
  <c r="D77" i="3"/>
  <c r="H76" i="3"/>
  <c r="D76" i="3"/>
  <c r="O74" i="3"/>
  <c r="L74" i="3"/>
  <c r="I74" i="3"/>
  <c r="F74" i="3"/>
  <c r="O73" i="3"/>
  <c r="L73" i="3"/>
  <c r="I73" i="3"/>
  <c r="F73" i="3"/>
  <c r="O72" i="3"/>
  <c r="L72" i="3"/>
  <c r="I72" i="3"/>
  <c r="F72" i="3"/>
  <c r="O71" i="3"/>
  <c r="L71" i="3"/>
  <c r="I71" i="3"/>
  <c r="F71" i="3"/>
  <c r="O70" i="3"/>
  <c r="L70" i="3"/>
  <c r="I70" i="3"/>
  <c r="I69" i="3" s="1"/>
  <c r="F70" i="3"/>
  <c r="N69" i="3"/>
  <c r="M69" i="3"/>
  <c r="M67" i="3" s="1"/>
  <c r="K69" i="3"/>
  <c r="J69" i="3"/>
  <c r="J67" i="3" s="1"/>
  <c r="H69" i="3"/>
  <c r="H67" i="3" s="1"/>
  <c r="G69" i="3"/>
  <c r="G67" i="3" s="1"/>
  <c r="E69" i="3"/>
  <c r="E67" i="3" s="1"/>
  <c r="D69" i="3"/>
  <c r="D67" i="3" s="1"/>
  <c r="O68" i="3"/>
  <c r="L68" i="3"/>
  <c r="I68" i="3"/>
  <c r="F68" i="3"/>
  <c r="N67" i="3"/>
  <c r="K67" i="3"/>
  <c r="O66" i="3"/>
  <c r="L66" i="3"/>
  <c r="I66" i="3"/>
  <c r="F66" i="3"/>
  <c r="O65" i="3"/>
  <c r="L65" i="3"/>
  <c r="I65" i="3"/>
  <c r="F65" i="3"/>
  <c r="O64" i="3"/>
  <c r="L64" i="3"/>
  <c r="I64" i="3"/>
  <c r="F64" i="3"/>
  <c r="O63" i="3"/>
  <c r="L63" i="3"/>
  <c r="I63" i="3"/>
  <c r="F63" i="3"/>
  <c r="O62" i="3"/>
  <c r="L62" i="3"/>
  <c r="I62" i="3"/>
  <c r="F62" i="3"/>
  <c r="O61" i="3"/>
  <c r="L61" i="3"/>
  <c r="I61" i="3"/>
  <c r="F61" i="3"/>
  <c r="O60" i="3"/>
  <c r="L60" i="3"/>
  <c r="I60" i="3"/>
  <c r="F60" i="3"/>
  <c r="O59" i="3"/>
  <c r="L59" i="3"/>
  <c r="L58" i="3" s="1"/>
  <c r="I59" i="3"/>
  <c r="F59" i="3"/>
  <c r="N58" i="3"/>
  <c r="M58" i="3"/>
  <c r="K58" i="3"/>
  <c r="J58" i="3"/>
  <c r="H58" i="3"/>
  <c r="G58" i="3"/>
  <c r="E58" i="3"/>
  <c r="D58" i="3"/>
  <c r="O57" i="3"/>
  <c r="L57" i="3"/>
  <c r="I57" i="3"/>
  <c r="F57" i="3"/>
  <c r="O56" i="3"/>
  <c r="L56" i="3"/>
  <c r="L55" i="3" s="1"/>
  <c r="I56" i="3"/>
  <c r="F56" i="3"/>
  <c r="F55" i="3" s="1"/>
  <c r="O55" i="3"/>
  <c r="N55" i="3"/>
  <c r="M55" i="3"/>
  <c r="M54" i="3" s="1"/>
  <c r="M53" i="3" s="1"/>
  <c r="K55" i="3"/>
  <c r="K54" i="3" s="1"/>
  <c r="J55" i="3"/>
  <c r="H55" i="3"/>
  <c r="G55" i="3"/>
  <c r="G54" i="3" s="1"/>
  <c r="E55" i="3"/>
  <c r="E54" i="3" s="1"/>
  <c r="E53" i="3" s="1"/>
  <c r="D55" i="3"/>
  <c r="O47" i="3"/>
  <c r="C47" i="3" s="1"/>
  <c r="O46" i="3"/>
  <c r="C46" i="3" s="1"/>
  <c r="N45" i="3"/>
  <c r="M45" i="3"/>
  <c r="L44" i="3"/>
  <c r="L43" i="3" s="1"/>
  <c r="I44" i="3"/>
  <c r="F44" i="3"/>
  <c r="F43" i="3" s="1"/>
  <c r="K43" i="3"/>
  <c r="J43" i="3"/>
  <c r="I43" i="3"/>
  <c r="H43" i="3"/>
  <c r="G43" i="3"/>
  <c r="E43" i="3"/>
  <c r="D43" i="3"/>
  <c r="F42" i="3"/>
  <c r="C42" i="3" s="1"/>
  <c r="E41" i="3"/>
  <c r="D41" i="3"/>
  <c r="L40" i="3"/>
  <c r="C40" i="3" s="1"/>
  <c r="L39" i="3"/>
  <c r="C39" i="3" s="1"/>
  <c r="L38" i="3"/>
  <c r="C38" i="3" s="1"/>
  <c r="L37" i="3"/>
  <c r="C37" i="3" s="1"/>
  <c r="K36" i="3"/>
  <c r="J36" i="3"/>
  <c r="L35" i="3"/>
  <c r="C35" i="3" s="1"/>
  <c r="L34" i="3"/>
  <c r="C34" i="3" s="1"/>
  <c r="L33" i="3"/>
  <c r="C33" i="3" s="1"/>
  <c r="K33" i="3"/>
  <c r="J33" i="3"/>
  <c r="L32" i="3"/>
  <c r="C32" i="3" s="1"/>
  <c r="L31" i="3"/>
  <c r="C31" i="3" s="1"/>
  <c r="K31" i="3"/>
  <c r="J31" i="3"/>
  <c r="L30" i="3"/>
  <c r="C30" i="3" s="1"/>
  <c r="L29" i="3"/>
  <c r="C29" i="3" s="1"/>
  <c r="L28" i="3"/>
  <c r="C28" i="3" s="1"/>
  <c r="K27" i="3"/>
  <c r="J27" i="3"/>
  <c r="J26" i="3" s="1"/>
  <c r="F25" i="3"/>
  <c r="C25" i="3" s="1"/>
  <c r="I24" i="3"/>
  <c r="F24" i="3"/>
  <c r="O23" i="3"/>
  <c r="L23" i="3"/>
  <c r="I23" i="3"/>
  <c r="F23" i="3"/>
  <c r="O22" i="3"/>
  <c r="O21" i="3" s="1"/>
  <c r="O292" i="3" s="1"/>
  <c r="L22" i="3"/>
  <c r="I22" i="3"/>
  <c r="I21" i="3" s="1"/>
  <c r="F22" i="3"/>
  <c r="N21" i="3"/>
  <c r="M21" i="3"/>
  <c r="M292" i="3" s="1"/>
  <c r="M291" i="3" s="1"/>
  <c r="K21" i="3"/>
  <c r="J21" i="3"/>
  <c r="H21" i="3"/>
  <c r="G21" i="3"/>
  <c r="G292" i="3" s="1"/>
  <c r="G291" i="3" s="1"/>
  <c r="E21" i="3"/>
  <c r="D21" i="3"/>
  <c r="E20" i="3"/>
  <c r="H54" i="3" l="1"/>
  <c r="H53" i="3" s="1"/>
  <c r="N54" i="3"/>
  <c r="N53" i="3" s="1"/>
  <c r="C113" i="3"/>
  <c r="C117" i="3"/>
  <c r="C121" i="3"/>
  <c r="C123" i="3"/>
  <c r="C124" i="3"/>
  <c r="O122" i="3"/>
  <c r="J187" i="3"/>
  <c r="C213" i="3"/>
  <c r="C226" i="3"/>
  <c r="C101" i="3"/>
  <c r="C102" i="3"/>
  <c r="C168" i="3"/>
  <c r="C250" i="3"/>
  <c r="C296" i="3"/>
  <c r="J174" i="3"/>
  <c r="J173" i="3" s="1"/>
  <c r="C262" i="3"/>
  <c r="C71" i="3"/>
  <c r="C74" i="3"/>
  <c r="N130" i="3"/>
  <c r="M187" i="3"/>
  <c r="O252" i="3"/>
  <c r="O251" i="3" s="1"/>
  <c r="C282" i="3"/>
  <c r="G20" i="3"/>
  <c r="N76" i="3"/>
  <c r="C87" i="3"/>
  <c r="C88" i="3"/>
  <c r="C105" i="3"/>
  <c r="C129" i="3"/>
  <c r="C137" i="3"/>
  <c r="K130" i="3"/>
  <c r="C149" i="3"/>
  <c r="C153" i="3"/>
  <c r="C155" i="3"/>
  <c r="C156" i="3"/>
  <c r="C169" i="3"/>
  <c r="D174" i="3"/>
  <c r="D173" i="3" s="1"/>
  <c r="N174" i="3"/>
  <c r="N173" i="3" s="1"/>
  <c r="F192" i="3"/>
  <c r="F191" i="3" s="1"/>
  <c r="F187" i="3" s="1"/>
  <c r="C229" i="3"/>
  <c r="H231" i="3"/>
  <c r="H230" i="3" s="1"/>
  <c r="L246" i="3"/>
  <c r="O260" i="3"/>
  <c r="O259" i="3" s="1"/>
  <c r="K270" i="3"/>
  <c r="K269" i="3" s="1"/>
  <c r="I270" i="3"/>
  <c r="I269" i="3" s="1"/>
  <c r="C294" i="3"/>
  <c r="C298" i="3"/>
  <c r="C299" i="3"/>
  <c r="C202" i="3"/>
  <c r="D259" i="3"/>
  <c r="D230" i="3" s="1"/>
  <c r="D54" i="3"/>
  <c r="D53" i="3" s="1"/>
  <c r="J54" i="3"/>
  <c r="J53" i="3" s="1"/>
  <c r="C59" i="3"/>
  <c r="I67" i="3"/>
  <c r="C82" i="3"/>
  <c r="C97" i="3"/>
  <c r="C109" i="3"/>
  <c r="I131" i="3"/>
  <c r="L144" i="3"/>
  <c r="F160" i="3"/>
  <c r="I175" i="3"/>
  <c r="C185" i="3"/>
  <c r="N187" i="3"/>
  <c r="C206" i="3"/>
  <c r="C222" i="3"/>
  <c r="C225" i="3"/>
  <c r="C242" i="3"/>
  <c r="C245" i="3"/>
  <c r="J231" i="3"/>
  <c r="J230" i="3" s="1"/>
  <c r="C249" i="3"/>
  <c r="O246" i="3"/>
  <c r="N269" i="3"/>
  <c r="C278" i="3"/>
  <c r="C93" i="3"/>
  <c r="C94" i="3"/>
  <c r="C111" i="3"/>
  <c r="C157" i="3"/>
  <c r="L179" i="3"/>
  <c r="K173" i="3"/>
  <c r="E187" i="3"/>
  <c r="G195" i="3"/>
  <c r="C218" i="3"/>
  <c r="C234" i="3"/>
  <c r="M231" i="3"/>
  <c r="E231" i="3"/>
  <c r="E230" i="3" s="1"/>
  <c r="K231" i="3"/>
  <c r="K230" i="3" s="1"/>
  <c r="C258" i="3"/>
  <c r="C274" i="3"/>
  <c r="D270" i="3"/>
  <c r="D269" i="3" s="1"/>
  <c r="C145" i="3"/>
  <c r="M20" i="3"/>
  <c r="G53" i="3"/>
  <c r="C63" i="3"/>
  <c r="C73" i="3"/>
  <c r="O77" i="3"/>
  <c r="O76" i="3" s="1"/>
  <c r="E83" i="3"/>
  <c r="E75" i="3" s="1"/>
  <c r="E52" i="3" s="1"/>
  <c r="C92" i="3"/>
  <c r="O89" i="3"/>
  <c r="C98" i="3"/>
  <c r="C135" i="3"/>
  <c r="D130" i="3"/>
  <c r="G130" i="3"/>
  <c r="G75" i="3" s="1"/>
  <c r="C146" i="3"/>
  <c r="C148" i="3"/>
  <c r="L160" i="3"/>
  <c r="C171" i="3"/>
  <c r="C172" i="3"/>
  <c r="I184" i="3"/>
  <c r="C190" i="3"/>
  <c r="O196" i="3"/>
  <c r="H204" i="3"/>
  <c r="H195" i="3" s="1"/>
  <c r="C207" i="3"/>
  <c r="C212" i="3"/>
  <c r="C215" i="3"/>
  <c r="I216" i="3"/>
  <c r="N231" i="3"/>
  <c r="N230" i="3" s="1"/>
  <c r="C244" i="3"/>
  <c r="C257" i="3"/>
  <c r="C267" i="3"/>
  <c r="O276" i="3"/>
  <c r="F21" i="3"/>
  <c r="C44" i="3"/>
  <c r="L54" i="3"/>
  <c r="C60" i="3"/>
  <c r="C66" i="3"/>
  <c r="K76" i="3"/>
  <c r="K75" i="3" s="1"/>
  <c r="D83" i="3"/>
  <c r="D75" i="3" s="1"/>
  <c r="D52" i="3" s="1"/>
  <c r="H83" i="3"/>
  <c r="N83" i="3"/>
  <c r="L84" i="3"/>
  <c r="C91" i="3"/>
  <c r="O95" i="3"/>
  <c r="C108" i="3"/>
  <c r="C126" i="3"/>
  <c r="C139" i="3"/>
  <c r="C140" i="3"/>
  <c r="I144" i="3"/>
  <c r="O151" i="3"/>
  <c r="L151" i="3"/>
  <c r="C158" i="3"/>
  <c r="H174" i="3"/>
  <c r="H173" i="3" s="1"/>
  <c r="C178" i="3"/>
  <c r="C182" i="3"/>
  <c r="L184" i="3"/>
  <c r="I188" i="3"/>
  <c r="K195" i="3"/>
  <c r="K194" i="3" s="1"/>
  <c r="C201" i="3"/>
  <c r="O205" i="3"/>
  <c r="C211" i="3"/>
  <c r="E204" i="3"/>
  <c r="O216" i="3"/>
  <c r="J204" i="3"/>
  <c r="J195" i="3" s="1"/>
  <c r="N204" i="3"/>
  <c r="N195" i="3" s="1"/>
  <c r="F233" i="3"/>
  <c r="C233" i="3" s="1"/>
  <c r="C256" i="3"/>
  <c r="C279" i="3"/>
  <c r="H269" i="3"/>
  <c r="L21" i="3"/>
  <c r="C21" i="3" s="1"/>
  <c r="L136" i="3"/>
  <c r="E292" i="3"/>
  <c r="E291" i="3" s="1"/>
  <c r="K292" i="3"/>
  <c r="K291" i="3" s="1"/>
  <c r="I20" i="3"/>
  <c r="K26" i="3"/>
  <c r="K20" i="3" s="1"/>
  <c r="F41" i="3"/>
  <c r="C41" i="3" s="1"/>
  <c r="C43" i="3"/>
  <c r="O45" i="3"/>
  <c r="C61" i="3"/>
  <c r="C65" i="3"/>
  <c r="O69" i="3"/>
  <c r="O67" i="3" s="1"/>
  <c r="L77" i="3"/>
  <c r="L76" i="3" s="1"/>
  <c r="J83" i="3"/>
  <c r="J75" i="3" s="1"/>
  <c r="C86" i="3"/>
  <c r="L89" i="3"/>
  <c r="C100" i="3"/>
  <c r="C107" i="3"/>
  <c r="C110" i="3"/>
  <c r="L112" i="3"/>
  <c r="C118" i="3"/>
  <c r="L122" i="3"/>
  <c r="O131" i="3"/>
  <c r="L131" i="3"/>
  <c r="L130" i="3" s="1"/>
  <c r="I136" i="3"/>
  <c r="C141" i="3"/>
  <c r="C163" i="3"/>
  <c r="C164" i="3"/>
  <c r="O166" i="3"/>
  <c r="O165" i="3" s="1"/>
  <c r="L166" i="3"/>
  <c r="L165" i="3" s="1"/>
  <c r="L175" i="3"/>
  <c r="I179" i="3"/>
  <c r="I174" i="3" s="1"/>
  <c r="I173" i="3" s="1"/>
  <c r="M195" i="3"/>
  <c r="C220" i="3"/>
  <c r="C221" i="3"/>
  <c r="C237" i="3"/>
  <c r="C239" i="3"/>
  <c r="O238" i="3"/>
  <c r="O231" i="3" s="1"/>
  <c r="O272" i="3"/>
  <c r="O270" i="3" s="1"/>
  <c r="O269" i="3" s="1"/>
  <c r="L276" i="3"/>
  <c r="C280" i="3"/>
  <c r="C295" i="3"/>
  <c r="L292" i="3"/>
  <c r="L291" i="3" s="1"/>
  <c r="F292" i="3"/>
  <c r="C22" i="3"/>
  <c r="L36" i="3"/>
  <c r="C36" i="3" s="1"/>
  <c r="I58" i="3"/>
  <c r="C64" i="3"/>
  <c r="C72" i="3"/>
  <c r="N75" i="3"/>
  <c r="N52" i="3" s="1"/>
  <c r="C90" i="3"/>
  <c r="F89" i="3"/>
  <c r="J292" i="3"/>
  <c r="J291" i="3" s="1"/>
  <c r="J20" i="3"/>
  <c r="C45" i="3"/>
  <c r="I84" i="3"/>
  <c r="C85" i="3"/>
  <c r="C99" i="3"/>
  <c r="I95" i="3"/>
  <c r="C176" i="3"/>
  <c r="F175" i="3"/>
  <c r="O20" i="3"/>
  <c r="C23" i="3"/>
  <c r="C24" i="3"/>
  <c r="L27" i="3"/>
  <c r="K53" i="3"/>
  <c r="L69" i="3"/>
  <c r="L67" i="3" s="1"/>
  <c r="L53" i="3" s="1"/>
  <c r="O84" i="3"/>
  <c r="N292" i="3"/>
  <c r="N291" i="3" s="1"/>
  <c r="N20" i="3"/>
  <c r="C62" i="3"/>
  <c r="F58" i="3"/>
  <c r="F54" i="3" s="1"/>
  <c r="C70" i="3"/>
  <c r="F69" i="3"/>
  <c r="D292" i="3"/>
  <c r="D291" i="3" s="1"/>
  <c r="D20" i="3"/>
  <c r="H292" i="3"/>
  <c r="H291" i="3" s="1"/>
  <c r="H20" i="3"/>
  <c r="C57" i="3"/>
  <c r="I55" i="3"/>
  <c r="O58" i="3"/>
  <c r="O54" i="3" s="1"/>
  <c r="F67" i="3"/>
  <c r="C78" i="3"/>
  <c r="F77" i="3"/>
  <c r="I80" i="3"/>
  <c r="C80" i="3" s="1"/>
  <c r="C81" i="3"/>
  <c r="M83" i="3"/>
  <c r="C120" i="3"/>
  <c r="F116" i="3"/>
  <c r="C217" i="3"/>
  <c r="F216" i="3"/>
  <c r="C268" i="3"/>
  <c r="I264" i="3"/>
  <c r="I259" i="3" s="1"/>
  <c r="C301" i="3"/>
  <c r="C56" i="3"/>
  <c r="C68" i="3"/>
  <c r="C104" i="3"/>
  <c r="F103" i="3"/>
  <c r="O103" i="3"/>
  <c r="C119" i="3"/>
  <c r="I116" i="3"/>
  <c r="M130" i="3"/>
  <c r="C134" i="3"/>
  <c r="C142" i="3"/>
  <c r="C143" i="3"/>
  <c r="C150" i="3"/>
  <c r="C152" i="3"/>
  <c r="F151" i="3"/>
  <c r="C167" i="3"/>
  <c r="O179" i="3"/>
  <c r="C191" i="3"/>
  <c r="C241" i="3"/>
  <c r="F238" i="3"/>
  <c r="C261" i="3"/>
  <c r="F260" i="3"/>
  <c r="C96" i="3"/>
  <c r="F95" i="3"/>
  <c r="C106" i="3"/>
  <c r="C114" i="3"/>
  <c r="C138" i="3"/>
  <c r="C154" i="3"/>
  <c r="F165" i="3"/>
  <c r="C166" i="3"/>
  <c r="M174" i="3"/>
  <c r="M173" i="3" s="1"/>
  <c r="C180" i="3"/>
  <c r="F179" i="3"/>
  <c r="C179" i="3" s="1"/>
  <c r="C186" i="3"/>
  <c r="C253" i="3"/>
  <c r="F252" i="3"/>
  <c r="L103" i="3"/>
  <c r="L83" i="3" s="1"/>
  <c r="C115" i="3"/>
  <c r="I112" i="3"/>
  <c r="O116" i="3"/>
  <c r="F122" i="3"/>
  <c r="C122" i="3" s="1"/>
  <c r="I122" i="3"/>
  <c r="C127" i="3"/>
  <c r="C128" i="3"/>
  <c r="C132" i="3"/>
  <c r="F131" i="3"/>
  <c r="H130" i="3"/>
  <c r="H75" i="3" s="1"/>
  <c r="H52" i="3" s="1"/>
  <c r="C147" i="3"/>
  <c r="C159" i="3"/>
  <c r="C162" i="3"/>
  <c r="C170" i="3"/>
  <c r="O175" i="3"/>
  <c r="O174" i="3" s="1"/>
  <c r="O173" i="3" s="1"/>
  <c r="C183" i="3"/>
  <c r="C184" i="3"/>
  <c r="G187" i="3"/>
  <c r="L187" i="3"/>
  <c r="C248" i="3"/>
  <c r="I246" i="3"/>
  <c r="C246" i="3" s="1"/>
  <c r="I160" i="3"/>
  <c r="C160" i="3" s="1"/>
  <c r="L196" i="3"/>
  <c r="L205" i="3"/>
  <c r="C209" i="3"/>
  <c r="F205" i="3"/>
  <c r="C219" i="3"/>
  <c r="C227" i="3"/>
  <c r="G231" i="3"/>
  <c r="G230" i="3" s="1"/>
  <c r="G194" i="3" s="1"/>
  <c r="C240" i="3"/>
  <c r="I238" i="3"/>
  <c r="C243" i="3"/>
  <c r="C255" i="3"/>
  <c r="C263" i="3"/>
  <c r="E270" i="3"/>
  <c r="E269" i="3" s="1"/>
  <c r="C273" i="3"/>
  <c r="F272" i="3"/>
  <c r="C288" i="3"/>
  <c r="I286" i="3"/>
  <c r="I292" i="3" s="1"/>
  <c r="I291" i="3" s="1"/>
  <c r="C300" i="3"/>
  <c r="F136" i="3"/>
  <c r="C136" i="3" s="1"/>
  <c r="F144" i="3"/>
  <c r="C144" i="3" s="1"/>
  <c r="E195" i="3"/>
  <c r="C200" i="3"/>
  <c r="I198" i="3"/>
  <c r="C203" i="3"/>
  <c r="C208" i="3"/>
  <c r="I205" i="3"/>
  <c r="I204" i="3" s="1"/>
  <c r="C223" i="3"/>
  <c r="C224" i="3"/>
  <c r="C228" i="3"/>
  <c r="L238" i="3"/>
  <c r="L252" i="3"/>
  <c r="L251" i="3" s="1"/>
  <c r="M259" i="3"/>
  <c r="M230" i="3" s="1"/>
  <c r="L260" i="3"/>
  <c r="L259" i="3" s="1"/>
  <c r="C265" i="3"/>
  <c r="F264" i="3"/>
  <c r="C264" i="3" s="1"/>
  <c r="L270" i="3"/>
  <c r="L269" i="3" s="1"/>
  <c r="C275" i="3"/>
  <c r="C281" i="3"/>
  <c r="C285" i="3"/>
  <c r="F284" i="3"/>
  <c r="O293" i="3"/>
  <c r="O291" i="3" s="1"/>
  <c r="C197" i="3"/>
  <c r="F196" i="3"/>
  <c r="L216" i="3"/>
  <c r="C232" i="3"/>
  <c r="L231" i="3"/>
  <c r="I235" i="3"/>
  <c r="C235" i="3" s="1"/>
  <c r="C236" i="3"/>
  <c r="C277" i="3"/>
  <c r="F276" i="3"/>
  <c r="C276" i="3" s="1"/>
  <c r="C297" i="3"/>
  <c r="F293" i="3"/>
  <c r="C199" i="3"/>
  <c r="C247" i="3"/>
  <c r="C271" i="3"/>
  <c r="C287" i="3"/>
  <c r="M75" i="3" l="1"/>
  <c r="L174" i="3"/>
  <c r="L173" i="3" s="1"/>
  <c r="D289" i="3"/>
  <c r="O53" i="3"/>
  <c r="O230" i="3"/>
  <c r="C192" i="3"/>
  <c r="L75" i="3"/>
  <c r="E194" i="3"/>
  <c r="E51" i="3" s="1"/>
  <c r="E290" i="3" s="1"/>
  <c r="C67" i="3"/>
  <c r="F291" i="3"/>
  <c r="J194" i="3"/>
  <c r="O204" i="3"/>
  <c r="C272" i="3"/>
  <c r="O130" i="3"/>
  <c r="H194" i="3"/>
  <c r="H51" i="3" s="1"/>
  <c r="C112" i="3"/>
  <c r="D194" i="3"/>
  <c r="N194" i="3"/>
  <c r="F20" i="3"/>
  <c r="O195" i="3"/>
  <c r="O194" i="3" s="1"/>
  <c r="D51" i="3"/>
  <c r="J52" i="3"/>
  <c r="J51" i="3" s="1"/>
  <c r="J289" i="3"/>
  <c r="G52" i="3"/>
  <c r="G51" i="3" s="1"/>
  <c r="G50" i="3" s="1"/>
  <c r="M52" i="3"/>
  <c r="K52" i="3"/>
  <c r="K51" i="3" s="1"/>
  <c r="K50" i="3" s="1"/>
  <c r="N51" i="3"/>
  <c r="C188" i="3"/>
  <c r="I187" i="3"/>
  <c r="C291" i="3"/>
  <c r="L230" i="3"/>
  <c r="C165" i="3"/>
  <c r="C293" i="3"/>
  <c r="N289" i="3"/>
  <c r="L204" i="3"/>
  <c r="L195" i="3" s="1"/>
  <c r="L194" i="3" s="1"/>
  <c r="I130" i="3"/>
  <c r="C69" i="3"/>
  <c r="G289" i="3"/>
  <c r="C187" i="3"/>
  <c r="C151" i="3"/>
  <c r="H289" i="3"/>
  <c r="C84" i="3"/>
  <c r="C89" i="3"/>
  <c r="M194" i="3"/>
  <c r="M51" i="3" s="1"/>
  <c r="M289" i="3"/>
  <c r="G290" i="3"/>
  <c r="C103" i="3"/>
  <c r="F270" i="3"/>
  <c r="C286" i="3"/>
  <c r="C260" i="3"/>
  <c r="F259" i="3"/>
  <c r="C259" i="3" s="1"/>
  <c r="C216" i="3"/>
  <c r="C77" i="3"/>
  <c r="F76" i="3"/>
  <c r="D290" i="3"/>
  <c r="D50" i="3"/>
  <c r="I76" i="3"/>
  <c r="E289" i="3"/>
  <c r="C116" i="3"/>
  <c r="L52" i="3"/>
  <c r="C198" i="3"/>
  <c r="I196" i="3"/>
  <c r="I195" i="3" s="1"/>
  <c r="C205" i="3"/>
  <c r="F204" i="3"/>
  <c r="I231" i="3"/>
  <c r="I230" i="3" s="1"/>
  <c r="C252" i="3"/>
  <c r="F251" i="3"/>
  <c r="C251" i="3" s="1"/>
  <c r="I54" i="3"/>
  <c r="I53" i="3" s="1"/>
  <c r="C55" i="3"/>
  <c r="C58" i="3"/>
  <c r="C27" i="3"/>
  <c r="L26" i="3"/>
  <c r="C175" i="3"/>
  <c r="F174" i="3"/>
  <c r="F83" i="3"/>
  <c r="F195" i="3"/>
  <c r="C284" i="3"/>
  <c r="F283" i="3"/>
  <c r="C283" i="3" s="1"/>
  <c r="C131" i="3"/>
  <c r="F130" i="3"/>
  <c r="C130" i="3" s="1"/>
  <c r="C95" i="3"/>
  <c r="K289" i="3"/>
  <c r="F231" i="3"/>
  <c r="C238" i="3"/>
  <c r="O83" i="3"/>
  <c r="O75" i="3" s="1"/>
  <c r="O289" i="3" s="1"/>
  <c r="C54" i="3"/>
  <c r="F53" i="3"/>
  <c r="I83" i="3"/>
  <c r="C292" i="3"/>
  <c r="H50" i="3" l="1"/>
  <c r="H290" i="3"/>
  <c r="C204" i="3"/>
  <c r="E50" i="3"/>
  <c r="K290" i="3"/>
  <c r="I194" i="3"/>
  <c r="N50" i="3"/>
  <c r="N290" i="3"/>
  <c r="J50" i="3"/>
  <c r="J290" i="3"/>
  <c r="C195" i="3"/>
  <c r="I75" i="3"/>
  <c r="I52" i="3" s="1"/>
  <c r="I51" i="3" s="1"/>
  <c r="C53" i="3"/>
  <c r="F230" i="3"/>
  <c r="C230" i="3" s="1"/>
  <c r="C231" i="3"/>
  <c r="C196" i="3"/>
  <c r="C26" i="3"/>
  <c r="L20" i="3"/>
  <c r="C20" i="3" s="1"/>
  <c r="C83" i="3"/>
  <c r="L51" i="3"/>
  <c r="L50" i="3" s="1"/>
  <c r="F269" i="3"/>
  <c r="C270" i="3"/>
  <c r="O52" i="3"/>
  <c r="O51" i="3" s="1"/>
  <c r="L289" i="3"/>
  <c r="F173" i="3"/>
  <c r="C173" i="3" s="1"/>
  <c r="C174" i="3"/>
  <c r="F75" i="3"/>
  <c r="C75" i="3" s="1"/>
  <c r="C76" i="3"/>
  <c r="M50" i="3"/>
  <c r="M290" i="3"/>
  <c r="I289" i="3" l="1"/>
  <c r="L290" i="3"/>
  <c r="O50" i="3"/>
  <c r="O290" i="3"/>
  <c r="I290" i="3"/>
  <c r="I50" i="3"/>
  <c r="C269" i="3"/>
  <c r="F289" i="3"/>
  <c r="C289" i="3" s="1"/>
  <c r="F52" i="3"/>
  <c r="F194" i="3"/>
  <c r="C194" i="3" s="1"/>
  <c r="F51" i="3" l="1"/>
  <c r="C52" i="3"/>
  <c r="F290" i="3" l="1"/>
  <c r="C290" i="3" s="1"/>
  <c r="F50" i="3"/>
  <c r="C50" i="3" s="1"/>
  <c r="C51" i="3"/>
  <c r="O301" i="2" l="1"/>
  <c r="L301" i="2"/>
  <c r="I301" i="2"/>
  <c r="F301" i="2"/>
  <c r="O300" i="2"/>
  <c r="L300" i="2"/>
  <c r="I300" i="2"/>
  <c r="F300" i="2"/>
  <c r="O299" i="2"/>
  <c r="L299" i="2"/>
  <c r="I299" i="2"/>
  <c r="F299" i="2"/>
  <c r="O298" i="2"/>
  <c r="L298" i="2"/>
  <c r="I298" i="2"/>
  <c r="F298" i="2"/>
  <c r="O297" i="2"/>
  <c r="L297" i="2"/>
  <c r="I297" i="2"/>
  <c r="F297" i="2"/>
  <c r="O296" i="2"/>
  <c r="L296" i="2"/>
  <c r="I296" i="2"/>
  <c r="F296" i="2"/>
  <c r="O295" i="2"/>
  <c r="L295" i="2"/>
  <c r="I295" i="2"/>
  <c r="F295" i="2"/>
  <c r="O294" i="2"/>
  <c r="L294" i="2"/>
  <c r="I294" i="2"/>
  <c r="I293" i="2" s="1"/>
  <c r="F294" i="2"/>
  <c r="N293" i="2"/>
  <c r="M293" i="2"/>
  <c r="K293" i="2"/>
  <c r="J293" i="2"/>
  <c r="H293" i="2"/>
  <c r="G293" i="2"/>
  <c r="E293" i="2"/>
  <c r="D293" i="2"/>
  <c r="O288" i="2"/>
  <c r="L288" i="2"/>
  <c r="I288" i="2"/>
  <c r="F288" i="2"/>
  <c r="O287" i="2"/>
  <c r="O286" i="2" s="1"/>
  <c r="L287" i="2"/>
  <c r="L286" i="2" s="1"/>
  <c r="I287" i="2"/>
  <c r="F287" i="2"/>
  <c r="F286" i="2" s="1"/>
  <c r="N286" i="2"/>
  <c r="M286" i="2"/>
  <c r="K286" i="2"/>
  <c r="J286" i="2"/>
  <c r="H286" i="2"/>
  <c r="G286" i="2"/>
  <c r="E286" i="2"/>
  <c r="D286" i="2"/>
  <c r="O285" i="2"/>
  <c r="L285" i="2"/>
  <c r="L284" i="2" s="1"/>
  <c r="L283" i="2" s="1"/>
  <c r="I285" i="2"/>
  <c r="I284" i="2" s="1"/>
  <c r="I283" i="2" s="1"/>
  <c r="F285" i="2"/>
  <c r="O284" i="2"/>
  <c r="O283" i="2" s="1"/>
  <c r="N284" i="2"/>
  <c r="N283" i="2" s="1"/>
  <c r="M284" i="2"/>
  <c r="M283" i="2" s="1"/>
  <c r="K284" i="2"/>
  <c r="K283" i="2" s="1"/>
  <c r="J284" i="2"/>
  <c r="J283" i="2" s="1"/>
  <c r="H284" i="2"/>
  <c r="H283" i="2" s="1"/>
  <c r="G284" i="2"/>
  <c r="G283" i="2" s="1"/>
  <c r="E284" i="2"/>
  <c r="E283" i="2" s="1"/>
  <c r="D284" i="2"/>
  <c r="D283" i="2" s="1"/>
  <c r="O282" i="2"/>
  <c r="O281" i="2" s="1"/>
  <c r="L282" i="2"/>
  <c r="L281" i="2" s="1"/>
  <c r="I282" i="2"/>
  <c r="I281" i="2" s="1"/>
  <c r="F282" i="2"/>
  <c r="N281" i="2"/>
  <c r="M281" i="2"/>
  <c r="K281" i="2"/>
  <c r="J281" i="2"/>
  <c r="H281" i="2"/>
  <c r="G281" i="2"/>
  <c r="E281" i="2"/>
  <c r="D281" i="2"/>
  <c r="O280" i="2"/>
  <c r="L280" i="2"/>
  <c r="I280" i="2"/>
  <c r="F280" i="2"/>
  <c r="O279" i="2"/>
  <c r="L279" i="2"/>
  <c r="I279" i="2"/>
  <c r="F279" i="2"/>
  <c r="O278" i="2"/>
  <c r="L278" i="2"/>
  <c r="I278" i="2"/>
  <c r="F278" i="2"/>
  <c r="O277" i="2"/>
  <c r="L277" i="2"/>
  <c r="L276" i="2" s="1"/>
  <c r="I277" i="2"/>
  <c r="I276" i="2" s="1"/>
  <c r="F277" i="2"/>
  <c r="N276" i="2"/>
  <c r="M276" i="2"/>
  <c r="K276" i="2"/>
  <c r="J276" i="2"/>
  <c r="H276" i="2"/>
  <c r="G276" i="2"/>
  <c r="E276" i="2"/>
  <c r="D276" i="2"/>
  <c r="O275" i="2"/>
  <c r="L275" i="2"/>
  <c r="I275" i="2"/>
  <c r="F275" i="2"/>
  <c r="O274" i="2"/>
  <c r="L274" i="2"/>
  <c r="I274" i="2"/>
  <c r="F274" i="2"/>
  <c r="O273" i="2"/>
  <c r="L273" i="2"/>
  <c r="L272" i="2" s="1"/>
  <c r="I273" i="2"/>
  <c r="F273" i="2"/>
  <c r="N272" i="2"/>
  <c r="M272" i="2"/>
  <c r="K272" i="2"/>
  <c r="J272" i="2"/>
  <c r="J270" i="2" s="1"/>
  <c r="J269" i="2" s="1"/>
  <c r="H272" i="2"/>
  <c r="G272" i="2"/>
  <c r="E272" i="2"/>
  <c r="D272" i="2"/>
  <c r="D270" i="2" s="1"/>
  <c r="O271" i="2"/>
  <c r="L271" i="2"/>
  <c r="I271" i="2"/>
  <c r="F271" i="2"/>
  <c r="O268" i="2"/>
  <c r="L268" i="2"/>
  <c r="I268" i="2"/>
  <c r="F268" i="2"/>
  <c r="O267" i="2"/>
  <c r="L267" i="2"/>
  <c r="I267" i="2"/>
  <c r="F267" i="2"/>
  <c r="O266" i="2"/>
  <c r="L266" i="2"/>
  <c r="I266" i="2"/>
  <c r="F266" i="2"/>
  <c r="O265" i="2"/>
  <c r="L265" i="2"/>
  <c r="I265" i="2"/>
  <c r="F265" i="2"/>
  <c r="N264" i="2"/>
  <c r="M264" i="2"/>
  <c r="K264" i="2"/>
  <c r="J264" i="2"/>
  <c r="H264" i="2"/>
  <c r="G264" i="2"/>
  <c r="E264" i="2"/>
  <c r="D264" i="2"/>
  <c r="O263" i="2"/>
  <c r="L263" i="2"/>
  <c r="I263" i="2"/>
  <c r="F263" i="2"/>
  <c r="O262" i="2"/>
  <c r="L262" i="2"/>
  <c r="I262" i="2"/>
  <c r="F262" i="2"/>
  <c r="O261" i="2"/>
  <c r="L261" i="2"/>
  <c r="I261" i="2"/>
  <c r="F261" i="2"/>
  <c r="N260" i="2"/>
  <c r="N259" i="2" s="1"/>
  <c r="M260" i="2"/>
  <c r="K260" i="2"/>
  <c r="K259" i="2" s="1"/>
  <c r="J260" i="2"/>
  <c r="J259" i="2" s="1"/>
  <c r="H260" i="2"/>
  <c r="H259" i="2" s="1"/>
  <c r="G260" i="2"/>
  <c r="G259" i="2" s="1"/>
  <c r="E260" i="2"/>
  <c r="E259" i="2" s="1"/>
  <c r="D260" i="2"/>
  <c r="O258" i="2"/>
  <c r="L258" i="2"/>
  <c r="I258" i="2"/>
  <c r="F258" i="2"/>
  <c r="O257" i="2"/>
  <c r="L257" i="2"/>
  <c r="I257" i="2"/>
  <c r="F257" i="2"/>
  <c r="O256" i="2"/>
  <c r="L256" i="2"/>
  <c r="I256" i="2"/>
  <c r="F256" i="2"/>
  <c r="O255" i="2"/>
  <c r="L255" i="2"/>
  <c r="I255" i="2"/>
  <c r="F255" i="2"/>
  <c r="O254" i="2"/>
  <c r="L254" i="2"/>
  <c r="I254" i="2"/>
  <c r="F254" i="2"/>
  <c r="O253" i="2"/>
  <c r="L253" i="2"/>
  <c r="I253" i="2"/>
  <c r="F253" i="2"/>
  <c r="N252" i="2"/>
  <c r="M252" i="2"/>
  <c r="M251" i="2" s="1"/>
  <c r="K252" i="2"/>
  <c r="K251" i="2" s="1"/>
  <c r="J252" i="2"/>
  <c r="J251" i="2" s="1"/>
  <c r="H252" i="2"/>
  <c r="H251" i="2" s="1"/>
  <c r="G252" i="2"/>
  <c r="E252" i="2"/>
  <c r="E251" i="2" s="1"/>
  <c r="D252" i="2"/>
  <c r="D251" i="2" s="1"/>
  <c r="N251" i="2"/>
  <c r="G251" i="2"/>
  <c r="O250" i="2"/>
  <c r="L250" i="2"/>
  <c r="I250" i="2"/>
  <c r="F250" i="2"/>
  <c r="O249" i="2"/>
  <c r="L249" i="2"/>
  <c r="I249" i="2"/>
  <c r="F249" i="2"/>
  <c r="O248" i="2"/>
  <c r="L248" i="2"/>
  <c r="I248" i="2"/>
  <c r="F248" i="2"/>
  <c r="O247" i="2"/>
  <c r="L247" i="2"/>
  <c r="I247" i="2"/>
  <c r="F247" i="2"/>
  <c r="N246" i="2"/>
  <c r="M246" i="2"/>
  <c r="K246" i="2"/>
  <c r="J246" i="2"/>
  <c r="H246" i="2"/>
  <c r="G246" i="2"/>
  <c r="E246" i="2"/>
  <c r="D246" i="2"/>
  <c r="O245" i="2"/>
  <c r="L245" i="2"/>
  <c r="I245" i="2"/>
  <c r="F245" i="2"/>
  <c r="O244" i="2"/>
  <c r="L244" i="2"/>
  <c r="I244" i="2"/>
  <c r="F244" i="2"/>
  <c r="O243" i="2"/>
  <c r="L243" i="2"/>
  <c r="I243" i="2"/>
  <c r="F243" i="2"/>
  <c r="O242" i="2"/>
  <c r="L242" i="2"/>
  <c r="I242" i="2"/>
  <c r="F242" i="2"/>
  <c r="O241" i="2"/>
  <c r="L241" i="2"/>
  <c r="I241" i="2"/>
  <c r="F241" i="2"/>
  <c r="O240" i="2"/>
  <c r="L240" i="2"/>
  <c r="I240" i="2"/>
  <c r="F240" i="2"/>
  <c r="O239" i="2"/>
  <c r="L239" i="2"/>
  <c r="I239" i="2"/>
  <c r="F239" i="2"/>
  <c r="N238" i="2"/>
  <c r="M238" i="2"/>
  <c r="K238" i="2"/>
  <c r="J238" i="2"/>
  <c r="H238" i="2"/>
  <c r="G238" i="2"/>
  <c r="E238" i="2"/>
  <c r="D238" i="2"/>
  <c r="O237" i="2"/>
  <c r="L237" i="2"/>
  <c r="I237" i="2"/>
  <c r="F237" i="2"/>
  <c r="O236" i="2"/>
  <c r="L236" i="2"/>
  <c r="L235" i="2" s="1"/>
  <c r="I236" i="2"/>
  <c r="F236" i="2"/>
  <c r="F235" i="2" s="1"/>
  <c r="O235" i="2"/>
  <c r="N235" i="2"/>
  <c r="M235" i="2"/>
  <c r="K235" i="2"/>
  <c r="J235" i="2"/>
  <c r="H235" i="2"/>
  <c r="G235" i="2"/>
  <c r="E235" i="2"/>
  <c r="D235" i="2"/>
  <c r="O234" i="2"/>
  <c r="O233" i="2" s="1"/>
  <c r="L234" i="2"/>
  <c r="L233" i="2" s="1"/>
  <c r="I234" i="2"/>
  <c r="F234" i="2"/>
  <c r="N233" i="2"/>
  <c r="M233" i="2"/>
  <c r="K233" i="2"/>
  <c r="J233" i="2"/>
  <c r="I233" i="2"/>
  <c r="H233" i="2"/>
  <c r="G233" i="2"/>
  <c r="E233" i="2"/>
  <c r="D233" i="2"/>
  <c r="O232" i="2"/>
  <c r="L232" i="2"/>
  <c r="I232" i="2"/>
  <c r="F232" i="2"/>
  <c r="O229" i="2"/>
  <c r="L229" i="2"/>
  <c r="I229" i="2"/>
  <c r="F229" i="2"/>
  <c r="O228" i="2"/>
  <c r="L228" i="2"/>
  <c r="I228" i="2"/>
  <c r="I227" i="2" s="1"/>
  <c r="F228" i="2"/>
  <c r="F227" i="2" s="1"/>
  <c r="O227" i="2"/>
  <c r="N227" i="2"/>
  <c r="M227" i="2"/>
  <c r="L227" i="2"/>
  <c r="K227" i="2"/>
  <c r="J227" i="2"/>
  <c r="H227" i="2"/>
  <c r="G227" i="2"/>
  <c r="E227" i="2"/>
  <c r="D227" i="2"/>
  <c r="O226" i="2"/>
  <c r="L226" i="2"/>
  <c r="I226" i="2"/>
  <c r="F226" i="2"/>
  <c r="O225" i="2"/>
  <c r="L225" i="2"/>
  <c r="I225" i="2"/>
  <c r="F225" i="2"/>
  <c r="O224" i="2"/>
  <c r="L224" i="2"/>
  <c r="I224" i="2"/>
  <c r="F224" i="2"/>
  <c r="O223" i="2"/>
  <c r="L223" i="2"/>
  <c r="I223" i="2"/>
  <c r="F223" i="2"/>
  <c r="O222" i="2"/>
  <c r="L222" i="2"/>
  <c r="I222" i="2"/>
  <c r="F222" i="2"/>
  <c r="O221" i="2"/>
  <c r="L221" i="2"/>
  <c r="I221" i="2"/>
  <c r="F221" i="2"/>
  <c r="O220" i="2"/>
  <c r="L220" i="2"/>
  <c r="I220" i="2"/>
  <c r="F220" i="2"/>
  <c r="O219" i="2"/>
  <c r="L219" i="2"/>
  <c r="I219" i="2"/>
  <c r="F219" i="2"/>
  <c r="O218" i="2"/>
  <c r="L218" i="2"/>
  <c r="I218" i="2"/>
  <c r="F218" i="2"/>
  <c r="O217" i="2"/>
  <c r="L217" i="2"/>
  <c r="I217" i="2"/>
  <c r="I216" i="2" s="1"/>
  <c r="F217" i="2"/>
  <c r="N216" i="2"/>
  <c r="M216" i="2"/>
  <c r="K216" i="2"/>
  <c r="J216" i="2"/>
  <c r="H216" i="2"/>
  <c r="G216" i="2"/>
  <c r="E216" i="2"/>
  <c r="D216" i="2"/>
  <c r="O215" i="2"/>
  <c r="L215" i="2"/>
  <c r="I215" i="2"/>
  <c r="F215" i="2"/>
  <c r="O214" i="2"/>
  <c r="L214" i="2"/>
  <c r="I214" i="2"/>
  <c r="F214" i="2"/>
  <c r="O213" i="2"/>
  <c r="L213" i="2"/>
  <c r="I213" i="2"/>
  <c r="F213" i="2"/>
  <c r="O212" i="2"/>
  <c r="L212" i="2"/>
  <c r="I212" i="2"/>
  <c r="F212" i="2"/>
  <c r="O211" i="2"/>
  <c r="L211" i="2"/>
  <c r="I211" i="2"/>
  <c r="F211" i="2"/>
  <c r="O210" i="2"/>
  <c r="L210" i="2"/>
  <c r="I210" i="2"/>
  <c r="F210" i="2"/>
  <c r="O209" i="2"/>
  <c r="L209" i="2"/>
  <c r="I209" i="2"/>
  <c r="F209" i="2"/>
  <c r="O208" i="2"/>
  <c r="L208" i="2"/>
  <c r="I208" i="2"/>
  <c r="F208" i="2"/>
  <c r="O207" i="2"/>
  <c r="L207" i="2"/>
  <c r="I207" i="2"/>
  <c r="F207" i="2"/>
  <c r="O206" i="2"/>
  <c r="L206" i="2"/>
  <c r="I206" i="2"/>
  <c r="F206" i="2"/>
  <c r="N205" i="2"/>
  <c r="M205" i="2"/>
  <c r="K205" i="2"/>
  <c r="J205" i="2"/>
  <c r="H205" i="2"/>
  <c r="G205" i="2"/>
  <c r="E205" i="2"/>
  <c r="D205" i="2"/>
  <c r="D204" i="2" s="1"/>
  <c r="K204" i="2"/>
  <c r="O203" i="2"/>
  <c r="L203" i="2"/>
  <c r="I203" i="2"/>
  <c r="F203" i="2"/>
  <c r="O202" i="2"/>
  <c r="L202" i="2"/>
  <c r="I202" i="2"/>
  <c r="F202" i="2"/>
  <c r="O201" i="2"/>
  <c r="L201" i="2"/>
  <c r="I201" i="2"/>
  <c r="F201" i="2"/>
  <c r="O200" i="2"/>
  <c r="L200" i="2"/>
  <c r="I200" i="2"/>
  <c r="F200" i="2"/>
  <c r="O199" i="2"/>
  <c r="L199" i="2"/>
  <c r="L198" i="2" s="1"/>
  <c r="I199" i="2"/>
  <c r="F199" i="2"/>
  <c r="F198" i="2" s="1"/>
  <c r="O198" i="2"/>
  <c r="N198" i="2"/>
  <c r="N196" i="2" s="1"/>
  <c r="M198" i="2"/>
  <c r="K198" i="2"/>
  <c r="K196" i="2" s="1"/>
  <c r="J198" i="2"/>
  <c r="J196" i="2" s="1"/>
  <c r="H198" i="2"/>
  <c r="H196" i="2" s="1"/>
  <c r="G198" i="2"/>
  <c r="G196" i="2" s="1"/>
  <c r="E198" i="2"/>
  <c r="E196" i="2" s="1"/>
  <c r="D198" i="2"/>
  <c r="D196" i="2" s="1"/>
  <c r="O197" i="2"/>
  <c r="L197" i="2"/>
  <c r="I197" i="2"/>
  <c r="F197" i="2"/>
  <c r="M196" i="2"/>
  <c r="O193" i="2"/>
  <c r="L193" i="2"/>
  <c r="L192" i="2" s="1"/>
  <c r="L191" i="2" s="1"/>
  <c r="I193" i="2"/>
  <c r="F193" i="2"/>
  <c r="O192" i="2"/>
  <c r="N192" i="2"/>
  <c r="N191" i="2" s="1"/>
  <c r="M192" i="2"/>
  <c r="M191" i="2" s="1"/>
  <c r="K192" i="2"/>
  <c r="J192" i="2"/>
  <c r="J191" i="2" s="1"/>
  <c r="I192" i="2"/>
  <c r="I191" i="2" s="1"/>
  <c r="H192" i="2"/>
  <c r="H191" i="2" s="1"/>
  <c r="G192" i="2"/>
  <c r="G191" i="2" s="1"/>
  <c r="E192" i="2"/>
  <c r="E191" i="2" s="1"/>
  <c r="D192" i="2"/>
  <c r="D191" i="2" s="1"/>
  <c r="O191" i="2"/>
  <c r="K191" i="2"/>
  <c r="O190" i="2"/>
  <c r="L190" i="2"/>
  <c r="I190" i="2"/>
  <c r="F190" i="2"/>
  <c r="O189" i="2"/>
  <c r="L189" i="2"/>
  <c r="L188" i="2" s="1"/>
  <c r="I189" i="2"/>
  <c r="I188" i="2" s="1"/>
  <c r="F189" i="2"/>
  <c r="O188" i="2"/>
  <c r="N188" i="2"/>
  <c r="M188" i="2"/>
  <c r="M187" i="2" s="1"/>
  <c r="K188" i="2"/>
  <c r="J188" i="2"/>
  <c r="H188" i="2"/>
  <c r="H187" i="2" s="1"/>
  <c r="G188" i="2"/>
  <c r="F188" i="2"/>
  <c r="E188" i="2"/>
  <c r="D188" i="2"/>
  <c r="O186" i="2"/>
  <c r="L186" i="2"/>
  <c r="I186" i="2"/>
  <c r="F186" i="2"/>
  <c r="O185" i="2"/>
  <c r="L185" i="2"/>
  <c r="L184" i="2" s="1"/>
  <c r="I185" i="2"/>
  <c r="I184" i="2" s="1"/>
  <c r="F185" i="2"/>
  <c r="O184" i="2"/>
  <c r="N184" i="2"/>
  <c r="M184" i="2"/>
  <c r="K184" i="2"/>
  <c r="J184" i="2"/>
  <c r="H184" i="2"/>
  <c r="G184" i="2"/>
  <c r="F184" i="2"/>
  <c r="E184" i="2"/>
  <c r="D184" i="2"/>
  <c r="O183" i="2"/>
  <c r="L183" i="2"/>
  <c r="I183" i="2"/>
  <c r="F183" i="2"/>
  <c r="O182" i="2"/>
  <c r="L182" i="2"/>
  <c r="I182" i="2"/>
  <c r="F182" i="2"/>
  <c r="O181" i="2"/>
  <c r="L181" i="2"/>
  <c r="I181" i="2"/>
  <c r="F181" i="2"/>
  <c r="O180" i="2"/>
  <c r="O179" i="2" s="1"/>
  <c r="L180" i="2"/>
  <c r="L179" i="2" s="1"/>
  <c r="I180" i="2"/>
  <c r="I179" i="2" s="1"/>
  <c r="F180" i="2"/>
  <c r="N179" i="2"/>
  <c r="M179" i="2"/>
  <c r="K179" i="2"/>
  <c r="J179" i="2"/>
  <c r="H179" i="2"/>
  <c r="G179" i="2"/>
  <c r="E179" i="2"/>
  <c r="D179" i="2"/>
  <c r="O178" i="2"/>
  <c r="L178" i="2"/>
  <c r="I178" i="2"/>
  <c r="F178" i="2"/>
  <c r="O177" i="2"/>
  <c r="L177" i="2"/>
  <c r="I177" i="2"/>
  <c r="F177" i="2"/>
  <c r="O176" i="2"/>
  <c r="O175" i="2" s="1"/>
  <c r="L176" i="2"/>
  <c r="I176" i="2"/>
  <c r="F176" i="2"/>
  <c r="N175" i="2"/>
  <c r="M175" i="2"/>
  <c r="K175" i="2"/>
  <c r="J175" i="2"/>
  <c r="J174" i="2" s="1"/>
  <c r="J173" i="2" s="1"/>
  <c r="H175" i="2"/>
  <c r="G175" i="2"/>
  <c r="G174" i="2" s="1"/>
  <c r="E175" i="2"/>
  <c r="D175" i="2"/>
  <c r="D174" i="2" s="1"/>
  <c r="N174" i="2"/>
  <c r="O172" i="2"/>
  <c r="L172" i="2"/>
  <c r="I172" i="2"/>
  <c r="F172" i="2"/>
  <c r="O171" i="2"/>
  <c r="L171" i="2"/>
  <c r="I171" i="2"/>
  <c r="F171" i="2"/>
  <c r="O170" i="2"/>
  <c r="L170" i="2"/>
  <c r="I170" i="2"/>
  <c r="F170" i="2"/>
  <c r="O169" i="2"/>
  <c r="L169" i="2"/>
  <c r="I169" i="2"/>
  <c r="F169" i="2"/>
  <c r="O168" i="2"/>
  <c r="L168" i="2"/>
  <c r="I168" i="2"/>
  <c r="F168" i="2"/>
  <c r="O167" i="2"/>
  <c r="L167" i="2"/>
  <c r="I167" i="2"/>
  <c r="F167" i="2"/>
  <c r="N166" i="2"/>
  <c r="M166" i="2"/>
  <c r="M165" i="2" s="1"/>
  <c r="K166" i="2"/>
  <c r="K165" i="2" s="1"/>
  <c r="J166" i="2"/>
  <c r="J165" i="2" s="1"/>
  <c r="H166" i="2"/>
  <c r="H165" i="2" s="1"/>
  <c r="G166" i="2"/>
  <c r="E166" i="2"/>
  <c r="E165" i="2" s="1"/>
  <c r="D166" i="2"/>
  <c r="D165" i="2" s="1"/>
  <c r="N165" i="2"/>
  <c r="G165" i="2"/>
  <c r="O164" i="2"/>
  <c r="L164" i="2"/>
  <c r="I164" i="2"/>
  <c r="F164" i="2"/>
  <c r="O163" i="2"/>
  <c r="L163" i="2"/>
  <c r="I163" i="2"/>
  <c r="F163" i="2"/>
  <c r="O162" i="2"/>
  <c r="L162" i="2"/>
  <c r="I162" i="2"/>
  <c r="F162" i="2"/>
  <c r="O161" i="2"/>
  <c r="L161" i="2"/>
  <c r="L160" i="2" s="1"/>
  <c r="I161" i="2"/>
  <c r="I160" i="2" s="1"/>
  <c r="F161" i="2"/>
  <c r="O160" i="2"/>
  <c r="N160" i="2"/>
  <c r="M160" i="2"/>
  <c r="K160" i="2"/>
  <c r="J160" i="2"/>
  <c r="H160" i="2"/>
  <c r="G160" i="2"/>
  <c r="F160" i="2"/>
  <c r="E160" i="2"/>
  <c r="D160" i="2"/>
  <c r="O159" i="2"/>
  <c r="L159" i="2"/>
  <c r="I159" i="2"/>
  <c r="F159" i="2"/>
  <c r="O158" i="2"/>
  <c r="L158" i="2"/>
  <c r="I158" i="2"/>
  <c r="F158" i="2"/>
  <c r="O157" i="2"/>
  <c r="L157" i="2"/>
  <c r="I157" i="2"/>
  <c r="F157" i="2"/>
  <c r="O156" i="2"/>
  <c r="L156" i="2"/>
  <c r="I156" i="2"/>
  <c r="F156" i="2"/>
  <c r="O155" i="2"/>
  <c r="L155" i="2"/>
  <c r="I155" i="2"/>
  <c r="F155" i="2"/>
  <c r="O154" i="2"/>
  <c r="L154" i="2"/>
  <c r="I154" i="2"/>
  <c r="F154" i="2"/>
  <c r="O153" i="2"/>
  <c r="L153" i="2"/>
  <c r="I153" i="2"/>
  <c r="F153" i="2"/>
  <c r="O152" i="2"/>
  <c r="L152" i="2"/>
  <c r="L151" i="2" s="1"/>
  <c r="I152" i="2"/>
  <c r="F152" i="2"/>
  <c r="N151" i="2"/>
  <c r="M151" i="2"/>
  <c r="K151" i="2"/>
  <c r="J151" i="2"/>
  <c r="H151" i="2"/>
  <c r="G151" i="2"/>
  <c r="E151" i="2"/>
  <c r="D151" i="2"/>
  <c r="O150" i="2"/>
  <c r="L150" i="2"/>
  <c r="I150" i="2"/>
  <c r="F150" i="2"/>
  <c r="O149" i="2"/>
  <c r="L149" i="2"/>
  <c r="I149" i="2"/>
  <c r="F149" i="2"/>
  <c r="O148" i="2"/>
  <c r="L148" i="2"/>
  <c r="I148" i="2"/>
  <c r="F148" i="2"/>
  <c r="O147" i="2"/>
  <c r="L147" i="2"/>
  <c r="I147" i="2"/>
  <c r="F147" i="2"/>
  <c r="O146" i="2"/>
  <c r="L146" i="2"/>
  <c r="I146" i="2"/>
  <c r="F146" i="2"/>
  <c r="O145" i="2"/>
  <c r="L145" i="2"/>
  <c r="I145" i="2"/>
  <c r="F145" i="2"/>
  <c r="N144" i="2"/>
  <c r="M144" i="2"/>
  <c r="K144" i="2"/>
  <c r="J144" i="2"/>
  <c r="H144" i="2"/>
  <c r="G144" i="2"/>
  <c r="E144" i="2"/>
  <c r="D144" i="2"/>
  <c r="O143" i="2"/>
  <c r="L143" i="2"/>
  <c r="I143" i="2"/>
  <c r="F143" i="2"/>
  <c r="O142" i="2"/>
  <c r="O141" i="2" s="1"/>
  <c r="L142" i="2"/>
  <c r="L141" i="2" s="1"/>
  <c r="I142" i="2"/>
  <c r="I141" i="2" s="1"/>
  <c r="F142" i="2"/>
  <c r="N141" i="2"/>
  <c r="M141" i="2"/>
  <c r="K141" i="2"/>
  <c r="J141" i="2"/>
  <c r="H141" i="2"/>
  <c r="G141" i="2"/>
  <c r="F141" i="2"/>
  <c r="E141" i="2"/>
  <c r="D141" i="2"/>
  <c r="O140" i="2"/>
  <c r="L140" i="2"/>
  <c r="I140" i="2"/>
  <c r="F140" i="2"/>
  <c r="O139" i="2"/>
  <c r="L139" i="2"/>
  <c r="I139" i="2"/>
  <c r="F139" i="2"/>
  <c r="O138" i="2"/>
  <c r="L138" i="2"/>
  <c r="I138" i="2"/>
  <c r="F138" i="2"/>
  <c r="O137" i="2"/>
  <c r="O136" i="2" s="1"/>
  <c r="L137" i="2"/>
  <c r="L136" i="2" s="1"/>
  <c r="I137" i="2"/>
  <c r="I136" i="2" s="1"/>
  <c r="F137" i="2"/>
  <c r="N136" i="2"/>
  <c r="M136" i="2"/>
  <c r="K136" i="2"/>
  <c r="J136" i="2"/>
  <c r="H136" i="2"/>
  <c r="G136" i="2"/>
  <c r="E136" i="2"/>
  <c r="D136" i="2"/>
  <c r="O135" i="2"/>
  <c r="L135" i="2"/>
  <c r="I135" i="2"/>
  <c r="F135" i="2"/>
  <c r="O134" i="2"/>
  <c r="L134" i="2"/>
  <c r="I134" i="2"/>
  <c r="F134" i="2"/>
  <c r="O133" i="2"/>
  <c r="L133" i="2"/>
  <c r="I133" i="2"/>
  <c r="F133" i="2"/>
  <c r="O132" i="2"/>
  <c r="O131" i="2" s="1"/>
  <c r="L132" i="2"/>
  <c r="I132" i="2"/>
  <c r="I131" i="2" s="1"/>
  <c r="F132" i="2"/>
  <c r="N131" i="2"/>
  <c r="M131" i="2"/>
  <c r="M130" i="2" s="1"/>
  <c r="K131" i="2"/>
  <c r="J131" i="2"/>
  <c r="H131" i="2"/>
  <c r="G131" i="2"/>
  <c r="E131" i="2"/>
  <c r="D131" i="2"/>
  <c r="O129" i="2"/>
  <c r="L129" i="2"/>
  <c r="L128" i="2" s="1"/>
  <c r="I129" i="2"/>
  <c r="I128" i="2" s="1"/>
  <c r="F129" i="2"/>
  <c r="O128" i="2"/>
  <c r="N128" i="2"/>
  <c r="M128" i="2"/>
  <c r="K128" i="2"/>
  <c r="J128" i="2"/>
  <c r="H128" i="2"/>
  <c r="G128" i="2"/>
  <c r="F128" i="2"/>
  <c r="E128" i="2"/>
  <c r="D128" i="2"/>
  <c r="O127" i="2"/>
  <c r="L127" i="2"/>
  <c r="I127" i="2"/>
  <c r="F127" i="2"/>
  <c r="O126" i="2"/>
  <c r="L126" i="2"/>
  <c r="I126" i="2"/>
  <c r="F126" i="2"/>
  <c r="O125" i="2"/>
  <c r="L125" i="2"/>
  <c r="I125" i="2"/>
  <c r="F125" i="2"/>
  <c r="O124" i="2"/>
  <c r="L124" i="2"/>
  <c r="I124" i="2"/>
  <c r="F124" i="2"/>
  <c r="O123" i="2"/>
  <c r="L123" i="2"/>
  <c r="I123" i="2"/>
  <c r="I122" i="2" s="1"/>
  <c r="F123" i="2"/>
  <c r="N122" i="2"/>
  <c r="M122" i="2"/>
  <c r="K122" i="2"/>
  <c r="J122" i="2"/>
  <c r="H122" i="2"/>
  <c r="G122" i="2"/>
  <c r="E122" i="2"/>
  <c r="D122" i="2"/>
  <c r="O121" i="2"/>
  <c r="L121" i="2"/>
  <c r="I121" i="2"/>
  <c r="F121" i="2"/>
  <c r="O120" i="2"/>
  <c r="L120" i="2"/>
  <c r="I120" i="2"/>
  <c r="F120" i="2"/>
  <c r="O119" i="2"/>
  <c r="L119" i="2"/>
  <c r="I119" i="2"/>
  <c r="F119" i="2"/>
  <c r="O118" i="2"/>
  <c r="L118" i="2"/>
  <c r="I118" i="2"/>
  <c r="F118" i="2"/>
  <c r="O117" i="2"/>
  <c r="L117" i="2"/>
  <c r="I117" i="2"/>
  <c r="F117" i="2"/>
  <c r="N116" i="2"/>
  <c r="M116" i="2"/>
  <c r="K116" i="2"/>
  <c r="J116" i="2"/>
  <c r="H116" i="2"/>
  <c r="G116" i="2"/>
  <c r="E116" i="2"/>
  <c r="D116" i="2"/>
  <c r="O115" i="2"/>
  <c r="L115" i="2"/>
  <c r="I115" i="2"/>
  <c r="F115" i="2"/>
  <c r="O114" i="2"/>
  <c r="L114" i="2"/>
  <c r="I114" i="2"/>
  <c r="F114" i="2"/>
  <c r="O113" i="2"/>
  <c r="L113" i="2"/>
  <c r="L112" i="2" s="1"/>
  <c r="I113" i="2"/>
  <c r="F113" i="2"/>
  <c r="O112" i="2"/>
  <c r="N112" i="2"/>
  <c r="M112" i="2"/>
  <c r="K112" i="2"/>
  <c r="J112" i="2"/>
  <c r="H112" i="2"/>
  <c r="G112" i="2"/>
  <c r="E112" i="2"/>
  <c r="D112" i="2"/>
  <c r="O111" i="2"/>
  <c r="L111" i="2"/>
  <c r="I111" i="2"/>
  <c r="F111" i="2"/>
  <c r="O110" i="2"/>
  <c r="L110" i="2"/>
  <c r="I110" i="2"/>
  <c r="F110" i="2"/>
  <c r="O109" i="2"/>
  <c r="L109" i="2"/>
  <c r="I109" i="2"/>
  <c r="F109" i="2"/>
  <c r="O108" i="2"/>
  <c r="L108" i="2"/>
  <c r="I108" i="2"/>
  <c r="F108" i="2"/>
  <c r="O107" i="2"/>
  <c r="L107" i="2"/>
  <c r="I107" i="2"/>
  <c r="F107" i="2"/>
  <c r="O106" i="2"/>
  <c r="L106" i="2"/>
  <c r="I106" i="2"/>
  <c r="F106" i="2"/>
  <c r="O105" i="2"/>
  <c r="L105" i="2"/>
  <c r="I105" i="2"/>
  <c r="F105" i="2"/>
  <c r="O104" i="2"/>
  <c r="O103" i="2" s="1"/>
  <c r="L104" i="2"/>
  <c r="I104" i="2"/>
  <c r="F104" i="2"/>
  <c r="N103" i="2"/>
  <c r="M103" i="2"/>
  <c r="K103" i="2"/>
  <c r="J103" i="2"/>
  <c r="H103" i="2"/>
  <c r="G103" i="2"/>
  <c r="E103" i="2"/>
  <c r="D103" i="2"/>
  <c r="O102" i="2"/>
  <c r="L102" i="2"/>
  <c r="I102" i="2"/>
  <c r="F102" i="2"/>
  <c r="O101" i="2"/>
  <c r="L101" i="2"/>
  <c r="I101" i="2"/>
  <c r="F101" i="2"/>
  <c r="O100" i="2"/>
  <c r="L100" i="2"/>
  <c r="I100" i="2"/>
  <c r="F100" i="2"/>
  <c r="O99" i="2"/>
  <c r="L99" i="2"/>
  <c r="I99" i="2"/>
  <c r="F99" i="2"/>
  <c r="O98" i="2"/>
  <c r="L98" i="2"/>
  <c r="I98" i="2"/>
  <c r="F98" i="2"/>
  <c r="O97" i="2"/>
  <c r="L97" i="2"/>
  <c r="I97" i="2"/>
  <c r="F97" i="2"/>
  <c r="O96" i="2"/>
  <c r="O95" i="2" s="1"/>
  <c r="L96" i="2"/>
  <c r="I96" i="2"/>
  <c r="I95" i="2" s="1"/>
  <c r="F96" i="2"/>
  <c r="N95" i="2"/>
  <c r="M95" i="2"/>
  <c r="K95" i="2"/>
  <c r="J95" i="2"/>
  <c r="H95" i="2"/>
  <c r="G95" i="2"/>
  <c r="E95" i="2"/>
  <c r="D95" i="2"/>
  <c r="O94" i="2"/>
  <c r="L94" i="2"/>
  <c r="I94" i="2"/>
  <c r="F94" i="2"/>
  <c r="O93" i="2"/>
  <c r="L93" i="2"/>
  <c r="I93" i="2"/>
  <c r="F93" i="2"/>
  <c r="O92" i="2"/>
  <c r="L92" i="2"/>
  <c r="I92" i="2"/>
  <c r="F92" i="2"/>
  <c r="O91" i="2"/>
  <c r="L91" i="2"/>
  <c r="I91" i="2"/>
  <c r="F91" i="2"/>
  <c r="O90" i="2"/>
  <c r="L90" i="2"/>
  <c r="I90" i="2"/>
  <c r="F90" i="2"/>
  <c r="N89" i="2"/>
  <c r="M89" i="2"/>
  <c r="K89" i="2"/>
  <c r="J89" i="2"/>
  <c r="H89" i="2"/>
  <c r="G89" i="2"/>
  <c r="E89" i="2"/>
  <c r="D89" i="2"/>
  <c r="O88" i="2"/>
  <c r="L88" i="2"/>
  <c r="I88" i="2"/>
  <c r="F88" i="2"/>
  <c r="O87" i="2"/>
  <c r="L87" i="2"/>
  <c r="I87" i="2"/>
  <c r="F87" i="2"/>
  <c r="O86" i="2"/>
  <c r="L86" i="2"/>
  <c r="I86" i="2"/>
  <c r="F86" i="2"/>
  <c r="O85" i="2"/>
  <c r="L85" i="2"/>
  <c r="L84" i="2" s="1"/>
  <c r="I85" i="2"/>
  <c r="F85" i="2"/>
  <c r="N84" i="2"/>
  <c r="M84" i="2"/>
  <c r="K84" i="2"/>
  <c r="J84" i="2"/>
  <c r="H84" i="2"/>
  <c r="G84" i="2"/>
  <c r="E84" i="2"/>
  <c r="D84" i="2"/>
  <c r="D83" i="2" s="1"/>
  <c r="O82" i="2"/>
  <c r="L82" i="2"/>
  <c r="I82" i="2"/>
  <c r="F82" i="2"/>
  <c r="O81" i="2"/>
  <c r="L81" i="2"/>
  <c r="L80" i="2" s="1"/>
  <c r="I81" i="2"/>
  <c r="I80" i="2" s="1"/>
  <c r="F81" i="2"/>
  <c r="O80" i="2"/>
  <c r="N80" i="2"/>
  <c r="M80" i="2"/>
  <c r="K80" i="2"/>
  <c r="J80" i="2"/>
  <c r="H80" i="2"/>
  <c r="G80" i="2"/>
  <c r="F80" i="2"/>
  <c r="E80" i="2"/>
  <c r="D80" i="2"/>
  <c r="O79" i="2"/>
  <c r="L79" i="2"/>
  <c r="I79" i="2"/>
  <c r="F79" i="2"/>
  <c r="O78" i="2"/>
  <c r="O77" i="2" s="1"/>
  <c r="L78" i="2"/>
  <c r="L77" i="2" s="1"/>
  <c r="L76" i="2" s="1"/>
  <c r="I78" i="2"/>
  <c r="I77" i="2" s="1"/>
  <c r="F78" i="2"/>
  <c r="F77" i="2" s="1"/>
  <c r="N77" i="2"/>
  <c r="N76" i="2" s="1"/>
  <c r="M77" i="2"/>
  <c r="K77" i="2"/>
  <c r="J77" i="2"/>
  <c r="H77" i="2"/>
  <c r="H76" i="2" s="1"/>
  <c r="G77" i="2"/>
  <c r="E77" i="2"/>
  <c r="E76" i="2" s="1"/>
  <c r="D77" i="2"/>
  <c r="D76" i="2" s="1"/>
  <c r="O74" i="2"/>
  <c r="L74" i="2"/>
  <c r="I74" i="2"/>
  <c r="F74" i="2"/>
  <c r="O73" i="2"/>
  <c r="L73" i="2"/>
  <c r="I73" i="2"/>
  <c r="F73" i="2"/>
  <c r="O72" i="2"/>
  <c r="L72" i="2"/>
  <c r="I72" i="2"/>
  <c r="F72" i="2"/>
  <c r="O71" i="2"/>
  <c r="L71" i="2"/>
  <c r="I71" i="2"/>
  <c r="F71" i="2"/>
  <c r="O70" i="2"/>
  <c r="L70" i="2"/>
  <c r="I70" i="2"/>
  <c r="I69" i="2" s="1"/>
  <c r="F70" i="2"/>
  <c r="N69" i="2"/>
  <c r="N67" i="2" s="1"/>
  <c r="M69" i="2"/>
  <c r="M67" i="2" s="1"/>
  <c r="K69" i="2"/>
  <c r="K67" i="2" s="1"/>
  <c r="J69" i="2"/>
  <c r="J67" i="2" s="1"/>
  <c r="H69" i="2"/>
  <c r="H67" i="2" s="1"/>
  <c r="G69" i="2"/>
  <c r="G67" i="2" s="1"/>
  <c r="E69" i="2"/>
  <c r="E67" i="2" s="1"/>
  <c r="D69" i="2"/>
  <c r="O68" i="2"/>
  <c r="L68" i="2"/>
  <c r="I68" i="2"/>
  <c r="F68" i="2"/>
  <c r="D67" i="2"/>
  <c r="O66" i="2"/>
  <c r="L66" i="2"/>
  <c r="I66" i="2"/>
  <c r="F66" i="2"/>
  <c r="O65" i="2"/>
  <c r="L65" i="2"/>
  <c r="I65" i="2"/>
  <c r="F65" i="2"/>
  <c r="O64" i="2"/>
  <c r="L64" i="2"/>
  <c r="I64" i="2"/>
  <c r="F64" i="2"/>
  <c r="O63" i="2"/>
  <c r="L63" i="2"/>
  <c r="I63" i="2"/>
  <c r="F63" i="2"/>
  <c r="O62" i="2"/>
  <c r="L62" i="2"/>
  <c r="I62" i="2"/>
  <c r="F62" i="2"/>
  <c r="O61" i="2"/>
  <c r="L61" i="2"/>
  <c r="I61" i="2"/>
  <c r="F61" i="2"/>
  <c r="O60" i="2"/>
  <c r="L60" i="2"/>
  <c r="I60" i="2"/>
  <c r="F60" i="2"/>
  <c r="O59" i="2"/>
  <c r="L59" i="2"/>
  <c r="L58" i="2" s="1"/>
  <c r="I59" i="2"/>
  <c r="F59" i="2"/>
  <c r="N58" i="2"/>
  <c r="M58" i="2"/>
  <c r="K58" i="2"/>
  <c r="J58" i="2"/>
  <c r="H58" i="2"/>
  <c r="G58" i="2"/>
  <c r="E58" i="2"/>
  <c r="D58" i="2"/>
  <c r="O57" i="2"/>
  <c r="L57" i="2"/>
  <c r="I57" i="2"/>
  <c r="F57" i="2"/>
  <c r="O56" i="2"/>
  <c r="O55" i="2" s="1"/>
  <c r="L56" i="2"/>
  <c r="L55" i="2" s="1"/>
  <c r="I56" i="2"/>
  <c r="I55" i="2" s="1"/>
  <c r="F56" i="2"/>
  <c r="N55" i="2"/>
  <c r="M55" i="2"/>
  <c r="K55" i="2"/>
  <c r="K54" i="2" s="1"/>
  <c r="J55" i="2"/>
  <c r="H55" i="2"/>
  <c r="G55" i="2"/>
  <c r="G54" i="2" s="1"/>
  <c r="E55" i="2"/>
  <c r="D55" i="2"/>
  <c r="O47" i="2"/>
  <c r="C47" i="2" s="1"/>
  <c r="O46" i="2"/>
  <c r="N45" i="2"/>
  <c r="M45" i="2"/>
  <c r="L44" i="2"/>
  <c r="L43" i="2" s="1"/>
  <c r="I44" i="2"/>
  <c r="I43" i="2" s="1"/>
  <c r="F44" i="2"/>
  <c r="F43" i="2" s="1"/>
  <c r="K43" i="2"/>
  <c r="J43" i="2"/>
  <c r="H43" i="2"/>
  <c r="G43" i="2"/>
  <c r="E43" i="2"/>
  <c r="D43" i="2"/>
  <c r="F42" i="2"/>
  <c r="E41" i="2"/>
  <c r="D41" i="2"/>
  <c r="L40" i="2"/>
  <c r="C40" i="2" s="1"/>
  <c r="L39" i="2"/>
  <c r="C39" i="2" s="1"/>
  <c r="L38" i="2"/>
  <c r="C38" i="2" s="1"/>
  <c r="L37" i="2"/>
  <c r="K36" i="2"/>
  <c r="J36" i="2"/>
  <c r="L35" i="2"/>
  <c r="C35" i="2" s="1"/>
  <c r="L34" i="2"/>
  <c r="K33" i="2"/>
  <c r="J33" i="2"/>
  <c r="L32" i="2"/>
  <c r="C32" i="2" s="1"/>
  <c r="K31" i="2"/>
  <c r="J31" i="2"/>
  <c r="L30" i="2"/>
  <c r="C30" i="2" s="1"/>
  <c r="L29" i="2"/>
  <c r="C29" i="2" s="1"/>
  <c r="L28" i="2"/>
  <c r="K27" i="2"/>
  <c r="J27" i="2"/>
  <c r="F25" i="2"/>
  <c r="C25" i="2" s="1"/>
  <c r="I24" i="2"/>
  <c r="F24" i="2"/>
  <c r="O23" i="2"/>
  <c r="L23" i="2"/>
  <c r="I23" i="2"/>
  <c r="F23" i="2"/>
  <c r="O22" i="2"/>
  <c r="L22" i="2"/>
  <c r="L21" i="2" s="1"/>
  <c r="I22" i="2"/>
  <c r="I21" i="2" s="1"/>
  <c r="F22" i="2"/>
  <c r="N21" i="2"/>
  <c r="M21" i="2"/>
  <c r="M20" i="2" s="1"/>
  <c r="K21" i="2"/>
  <c r="K292" i="2" s="1"/>
  <c r="K291" i="2" s="1"/>
  <c r="J21" i="2"/>
  <c r="H21" i="2"/>
  <c r="G21" i="2"/>
  <c r="G292" i="2" s="1"/>
  <c r="G291" i="2" s="1"/>
  <c r="E21" i="2"/>
  <c r="E292" i="2" s="1"/>
  <c r="E291" i="2" s="1"/>
  <c r="D21" i="2"/>
  <c r="N20" i="2"/>
  <c r="C56" i="2" l="1"/>
  <c r="J76" i="2"/>
  <c r="K76" i="2"/>
  <c r="C86" i="2"/>
  <c r="F55" i="2"/>
  <c r="C88" i="2"/>
  <c r="C172" i="2"/>
  <c r="C250" i="2"/>
  <c r="C140" i="2"/>
  <c r="C156" i="2"/>
  <c r="O84" i="2"/>
  <c r="C266" i="2"/>
  <c r="O272" i="2"/>
  <c r="E130" i="2"/>
  <c r="C137" i="2"/>
  <c r="C234" i="2"/>
  <c r="M231" i="2"/>
  <c r="E231" i="2"/>
  <c r="C298" i="2"/>
  <c r="C299" i="2"/>
  <c r="I252" i="2"/>
  <c r="I251" i="2" s="1"/>
  <c r="H270" i="2"/>
  <c r="H269" i="2" s="1"/>
  <c r="L31" i="2"/>
  <c r="C31" i="2" s="1"/>
  <c r="D20" i="2"/>
  <c r="D54" i="2"/>
  <c r="D53" i="2" s="1"/>
  <c r="C124" i="2"/>
  <c r="C176" i="2"/>
  <c r="E174" i="2"/>
  <c r="E173" i="2" s="1"/>
  <c r="N173" i="2"/>
  <c r="K187" i="2"/>
  <c r="C214" i="2"/>
  <c r="O252" i="2"/>
  <c r="O251" i="2" s="1"/>
  <c r="I272" i="2"/>
  <c r="I270" i="2" s="1"/>
  <c r="I269" i="2" s="1"/>
  <c r="K270" i="2"/>
  <c r="K269" i="2" s="1"/>
  <c r="C278" i="2"/>
  <c r="C280" i="2"/>
  <c r="H292" i="2"/>
  <c r="N292" i="2"/>
  <c r="N291" i="2" s="1"/>
  <c r="J54" i="2"/>
  <c r="J53" i="2" s="1"/>
  <c r="H54" i="2"/>
  <c r="C104" i="2"/>
  <c r="C168" i="2"/>
  <c r="C169" i="2"/>
  <c r="C171" i="2"/>
  <c r="C226" i="2"/>
  <c r="C254" i="2"/>
  <c r="I260" i="2"/>
  <c r="C64" i="2"/>
  <c r="L69" i="2"/>
  <c r="L67" i="2" s="1"/>
  <c r="G76" i="2"/>
  <c r="C92" i="2"/>
  <c r="C100" i="2"/>
  <c r="C101" i="2"/>
  <c r="C102" i="2"/>
  <c r="C160" i="2"/>
  <c r="I187" i="2"/>
  <c r="C202" i="2"/>
  <c r="C210" i="2"/>
  <c r="C213" i="2"/>
  <c r="O216" i="2"/>
  <c r="C229" i="2"/>
  <c r="H231" i="2"/>
  <c r="L246" i="2"/>
  <c r="C258" i="2"/>
  <c r="L264" i="2"/>
  <c r="N270" i="2"/>
  <c r="N269" i="2" s="1"/>
  <c r="G270" i="2"/>
  <c r="G269" i="2" s="1"/>
  <c r="C296" i="2"/>
  <c r="I116" i="2"/>
  <c r="C43" i="2"/>
  <c r="C60" i="2"/>
  <c r="I58" i="2"/>
  <c r="I54" i="2" s="1"/>
  <c r="C108" i="2"/>
  <c r="C129" i="2"/>
  <c r="C164" i="2"/>
  <c r="D173" i="2"/>
  <c r="M174" i="2"/>
  <c r="M173" i="2" s="1"/>
  <c r="C184" i="2"/>
  <c r="D187" i="2"/>
  <c r="C206" i="2"/>
  <c r="C222" i="2"/>
  <c r="C225" i="2"/>
  <c r="D231" i="2"/>
  <c r="C274" i="2"/>
  <c r="O276" i="2"/>
  <c r="O270" i="2" s="1"/>
  <c r="O269" i="2" s="1"/>
  <c r="L293" i="2"/>
  <c r="K231" i="2"/>
  <c r="K230" i="2" s="1"/>
  <c r="H20" i="2"/>
  <c r="N54" i="2"/>
  <c r="M54" i="2"/>
  <c r="M53" i="2" s="1"/>
  <c r="L54" i="2"/>
  <c r="C72" i="2"/>
  <c r="L89" i="2"/>
  <c r="C120" i="2"/>
  <c r="C121" i="2"/>
  <c r="C148" i="2"/>
  <c r="C152" i="2"/>
  <c r="G204" i="2"/>
  <c r="M204" i="2"/>
  <c r="M195" i="2" s="1"/>
  <c r="E204" i="2"/>
  <c r="C218" i="2"/>
  <c r="N204" i="2"/>
  <c r="C242" i="2"/>
  <c r="C245" i="2"/>
  <c r="J231" i="2"/>
  <c r="J230" i="2" s="1"/>
  <c r="C247" i="2"/>
  <c r="O246" i="2"/>
  <c r="C262" i="2"/>
  <c r="D259" i="2"/>
  <c r="O264" i="2"/>
  <c r="C282" i="2"/>
  <c r="J26" i="2"/>
  <c r="I112" i="2"/>
  <c r="L122" i="2"/>
  <c r="E230" i="2"/>
  <c r="H291" i="2"/>
  <c r="K26" i="2"/>
  <c r="K20" i="2" s="1"/>
  <c r="G53" i="2"/>
  <c r="C71" i="2"/>
  <c r="C78" i="2"/>
  <c r="C79" i="2"/>
  <c r="E83" i="2"/>
  <c r="K83" i="2"/>
  <c r="I84" i="2"/>
  <c r="C90" i="2"/>
  <c r="C91" i="2"/>
  <c r="H83" i="2"/>
  <c r="L116" i="2"/>
  <c r="L131" i="2"/>
  <c r="I166" i="2"/>
  <c r="I165" i="2" s="1"/>
  <c r="K174" i="2"/>
  <c r="K173" i="2" s="1"/>
  <c r="E187" i="2"/>
  <c r="J187" i="2"/>
  <c r="O187" i="2"/>
  <c r="O196" i="2"/>
  <c r="H204" i="2"/>
  <c r="H195" i="2" s="1"/>
  <c r="C215" i="2"/>
  <c r="N231" i="2"/>
  <c r="N230" i="2" s="1"/>
  <c r="C244" i="2"/>
  <c r="C257" i="2"/>
  <c r="C267" i="2"/>
  <c r="F281" i="2"/>
  <c r="C281" i="2" s="1"/>
  <c r="N187" i="2"/>
  <c r="H230" i="2"/>
  <c r="D292" i="2"/>
  <c r="D291" i="2" s="1"/>
  <c r="O21" i="2"/>
  <c r="L27" i="2"/>
  <c r="C27" i="2" s="1"/>
  <c r="E54" i="2"/>
  <c r="E53" i="2" s="1"/>
  <c r="C59" i="2"/>
  <c r="O76" i="2"/>
  <c r="G83" i="2"/>
  <c r="M83" i="2"/>
  <c r="C96" i="2"/>
  <c r="L95" i="2"/>
  <c r="C111" i="2"/>
  <c r="C127" i="2"/>
  <c r="C128" i="2"/>
  <c r="D130" i="2"/>
  <c r="D75" i="2" s="1"/>
  <c r="C132" i="2"/>
  <c r="N130" i="2"/>
  <c r="C155" i="2"/>
  <c r="C163" i="2"/>
  <c r="L166" i="2"/>
  <c r="L165" i="2" s="1"/>
  <c r="I175" i="2"/>
  <c r="I174" i="2" s="1"/>
  <c r="I173" i="2" s="1"/>
  <c r="C180" i="2"/>
  <c r="C185" i="2"/>
  <c r="L196" i="2"/>
  <c r="K195" i="2"/>
  <c r="C201" i="2"/>
  <c r="D195" i="2"/>
  <c r="O205" i="2"/>
  <c r="J204" i="2"/>
  <c r="J195" i="2" s="1"/>
  <c r="J194" i="2" s="1"/>
  <c r="N195" i="2"/>
  <c r="F233" i="2"/>
  <c r="C256" i="2"/>
  <c r="M270" i="2"/>
  <c r="M269" i="2" s="1"/>
  <c r="C294" i="2"/>
  <c r="K53" i="2"/>
  <c r="D230" i="2"/>
  <c r="J292" i="2"/>
  <c r="J291" i="2" s="1"/>
  <c r="C22" i="2"/>
  <c r="C24" i="2"/>
  <c r="C44" i="2"/>
  <c r="N53" i="2"/>
  <c r="C63" i="2"/>
  <c r="M76" i="2"/>
  <c r="N83" i="2"/>
  <c r="N75" i="2" s="1"/>
  <c r="C97" i="2"/>
  <c r="C99" i="2"/>
  <c r="C113" i="2"/>
  <c r="C114" i="2"/>
  <c r="O116" i="2"/>
  <c r="K130" i="2"/>
  <c r="C135" i="2"/>
  <c r="J130" i="2"/>
  <c r="C143" i="2"/>
  <c r="C145" i="2"/>
  <c r="C146" i="2"/>
  <c r="O144" i="2"/>
  <c r="C153" i="2"/>
  <c r="C158" i="2"/>
  <c r="C159" i="2"/>
  <c r="H174" i="2"/>
  <c r="H173" i="2" s="1"/>
  <c r="L175" i="2"/>
  <c r="L174" i="2" s="1"/>
  <c r="L173" i="2" s="1"/>
  <c r="C181" i="2"/>
  <c r="C182" i="2"/>
  <c r="C183" i="2"/>
  <c r="G187" i="2"/>
  <c r="E195" i="2"/>
  <c r="G195" i="2"/>
  <c r="C220" i="2"/>
  <c r="C221" i="2"/>
  <c r="C237" i="2"/>
  <c r="C239" i="2"/>
  <c r="O238" i="2"/>
  <c r="O260" i="2"/>
  <c r="O259" i="2" s="1"/>
  <c r="C279" i="2"/>
  <c r="D269" i="2"/>
  <c r="C295" i="2"/>
  <c r="J20" i="2"/>
  <c r="L292" i="2"/>
  <c r="L291" i="2" s="1"/>
  <c r="O292" i="2"/>
  <c r="C42" i="2"/>
  <c r="F41" i="2"/>
  <c r="C41" i="2" s="1"/>
  <c r="C147" i="2"/>
  <c r="F144" i="2"/>
  <c r="M292" i="2"/>
  <c r="M291" i="2" s="1"/>
  <c r="C301" i="2"/>
  <c r="G20" i="2"/>
  <c r="F21" i="2"/>
  <c r="C28" i="2"/>
  <c r="O58" i="2"/>
  <c r="O54" i="2" s="1"/>
  <c r="C65" i="2"/>
  <c r="C66" i="2"/>
  <c r="C73" i="2"/>
  <c r="C74" i="2"/>
  <c r="E75" i="2"/>
  <c r="C81" i="2"/>
  <c r="C82" i="2"/>
  <c r="J83" i="2"/>
  <c r="F89" i="2"/>
  <c r="I89" i="2"/>
  <c r="C93" i="2"/>
  <c r="C94" i="2"/>
  <c r="C217" i="2"/>
  <c r="F216" i="2"/>
  <c r="C268" i="2"/>
  <c r="I264" i="2"/>
  <c r="I259" i="2" s="1"/>
  <c r="C23" i="2"/>
  <c r="C37" i="2"/>
  <c r="L36" i="2"/>
  <c r="C36" i="2" s="1"/>
  <c r="C68" i="2"/>
  <c r="H53" i="2"/>
  <c r="C55" i="2"/>
  <c r="F58" i="2"/>
  <c r="I67" i="2"/>
  <c r="O69" i="2"/>
  <c r="O67" i="2" s="1"/>
  <c r="F76" i="2"/>
  <c r="C77" i="2"/>
  <c r="C80" i="2"/>
  <c r="C85" i="2"/>
  <c r="C87" i="2"/>
  <c r="F84" i="2"/>
  <c r="C123" i="2"/>
  <c r="F122" i="2"/>
  <c r="E20" i="2"/>
  <c r="I20" i="2"/>
  <c r="C34" i="2"/>
  <c r="L33" i="2"/>
  <c r="C33" i="2" s="1"/>
  <c r="C46" i="2"/>
  <c r="O45" i="2"/>
  <c r="O20" i="2" s="1"/>
  <c r="C57" i="2"/>
  <c r="C61" i="2"/>
  <c r="C62" i="2"/>
  <c r="F69" i="2"/>
  <c r="C70" i="2"/>
  <c r="I76" i="2"/>
  <c r="O89" i="2"/>
  <c r="C98" i="2"/>
  <c r="L103" i="2"/>
  <c r="C115" i="2"/>
  <c r="F112" i="2"/>
  <c r="C112" i="2" s="1"/>
  <c r="C188" i="2"/>
  <c r="C105" i="2"/>
  <c r="C106" i="2"/>
  <c r="C107" i="2"/>
  <c r="F103" i="2"/>
  <c r="C125" i="2"/>
  <c r="C126" i="2"/>
  <c r="G130" i="2"/>
  <c r="C133" i="2"/>
  <c r="C134" i="2"/>
  <c r="I144" i="2"/>
  <c r="C149" i="2"/>
  <c r="C150" i="2"/>
  <c r="C157" i="2"/>
  <c r="O166" i="2"/>
  <c r="O165" i="2" s="1"/>
  <c r="O174" i="2"/>
  <c r="O173" i="2" s="1"/>
  <c r="L187" i="2"/>
  <c r="C189" i="2"/>
  <c r="C190" i="2"/>
  <c r="C193" i="2"/>
  <c r="F192" i="2"/>
  <c r="C241" i="2"/>
  <c r="F238" i="2"/>
  <c r="C261" i="2"/>
  <c r="F260" i="2"/>
  <c r="F95" i="2"/>
  <c r="I103" i="2"/>
  <c r="I83" i="2" s="1"/>
  <c r="C109" i="2"/>
  <c r="C110" i="2"/>
  <c r="C117" i="2"/>
  <c r="C118" i="2"/>
  <c r="C119" i="2"/>
  <c r="F116" i="2"/>
  <c r="C116" i="2" s="1"/>
  <c r="H130" i="2"/>
  <c r="C141" i="2"/>
  <c r="C142" i="2"/>
  <c r="L144" i="2"/>
  <c r="L130" i="2" s="1"/>
  <c r="O151" i="2"/>
  <c r="C167" i="2"/>
  <c r="F166" i="2"/>
  <c r="G173" i="2"/>
  <c r="C177" i="2"/>
  <c r="C178" i="2"/>
  <c r="C253" i="2"/>
  <c r="F252" i="2"/>
  <c r="O122" i="2"/>
  <c r="C138" i="2"/>
  <c r="C139" i="2"/>
  <c r="F136" i="2"/>
  <c r="C136" i="2" s="1"/>
  <c r="C154" i="2"/>
  <c r="C162" i="2"/>
  <c r="C170" i="2"/>
  <c r="C186" i="2"/>
  <c r="L205" i="2"/>
  <c r="C232" i="2"/>
  <c r="C248" i="2"/>
  <c r="I246" i="2"/>
  <c r="I151" i="2"/>
  <c r="C161" i="2"/>
  <c r="C199" i="2"/>
  <c r="C207" i="2"/>
  <c r="C209" i="2"/>
  <c r="F205" i="2"/>
  <c r="C219" i="2"/>
  <c r="C227" i="2"/>
  <c r="C233" i="2"/>
  <c r="G231" i="2"/>
  <c r="G230" i="2" s="1"/>
  <c r="G194" i="2" s="1"/>
  <c r="C240" i="2"/>
  <c r="I238" i="2"/>
  <c r="C243" i="2"/>
  <c r="C255" i="2"/>
  <c r="C263" i="2"/>
  <c r="E270" i="2"/>
  <c r="E269" i="2" s="1"/>
  <c r="C273" i="2"/>
  <c r="F272" i="2"/>
  <c r="C272" i="2" s="1"/>
  <c r="C288" i="2"/>
  <c r="I286" i="2"/>
  <c r="C286" i="2" s="1"/>
  <c r="C300" i="2"/>
  <c r="F131" i="2"/>
  <c r="F151" i="2"/>
  <c r="F175" i="2"/>
  <c r="F179" i="2"/>
  <c r="C179" i="2" s="1"/>
  <c r="C197" i="2"/>
  <c r="F196" i="2"/>
  <c r="C200" i="2"/>
  <c r="I198" i="2"/>
  <c r="C203" i="2"/>
  <c r="H194" i="2"/>
  <c r="C208" i="2"/>
  <c r="I205" i="2"/>
  <c r="I204" i="2" s="1"/>
  <c r="C211" i="2"/>
  <c r="C212" i="2"/>
  <c r="C223" i="2"/>
  <c r="C224" i="2"/>
  <c r="C228" i="2"/>
  <c r="L238" i="2"/>
  <c r="L231" i="2" s="1"/>
  <c r="L252" i="2"/>
  <c r="L251" i="2" s="1"/>
  <c r="M259" i="2"/>
  <c r="M230" i="2" s="1"/>
  <c r="L260" i="2"/>
  <c r="L259" i="2" s="1"/>
  <c r="C265" i="2"/>
  <c r="F264" i="2"/>
  <c r="C264" i="2" s="1"/>
  <c r="L270" i="2"/>
  <c r="L269" i="2" s="1"/>
  <c r="C275" i="2"/>
  <c r="C285" i="2"/>
  <c r="F284" i="2"/>
  <c r="O293" i="2"/>
  <c r="L216" i="2"/>
  <c r="I235" i="2"/>
  <c r="C236" i="2"/>
  <c r="C249" i="2"/>
  <c r="F246" i="2"/>
  <c r="C277" i="2"/>
  <c r="F276" i="2"/>
  <c r="C276" i="2" s="1"/>
  <c r="C297" i="2"/>
  <c r="F293" i="2"/>
  <c r="C271" i="2"/>
  <c r="C287" i="2"/>
  <c r="N52" i="2" l="1"/>
  <c r="I231" i="2"/>
  <c r="N194" i="2"/>
  <c r="N51" i="2" s="1"/>
  <c r="K75" i="2"/>
  <c r="O231" i="2"/>
  <c r="O230" i="2" s="1"/>
  <c r="J75" i="2"/>
  <c r="J52" i="2" s="1"/>
  <c r="J51" i="2" s="1"/>
  <c r="E52" i="2"/>
  <c r="M75" i="2"/>
  <c r="M52" i="2" s="1"/>
  <c r="G75" i="2"/>
  <c r="I130" i="2"/>
  <c r="I75" i="2" s="1"/>
  <c r="L83" i="2"/>
  <c r="K194" i="2"/>
  <c r="L53" i="2"/>
  <c r="C293" i="2"/>
  <c r="N289" i="2"/>
  <c r="E194" i="2"/>
  <c r="C58" i="2"/>
  <c r="D194" i="2"/>
  <c r="O204" i="2"/>
  <c r="O195" i="2" s="1"/>
  <c r="M194" i="2"/>
  <c r="M51" i="2" s="1"/>
  <c r="M50" i="2" s="1"/>
  <c r="O83" i="2"/>
  <c r="O291" i="2"/>
  <c r="D289" i="2"/>
  <c r="D52" i="2"/>
  <c r="K52" i="2"/>
  <c r="K289" i="2"/>
  <c r="F270" i="2"/>
  <c r="C270" i="2" s="1"/>
  <c r="O53" i="2"/>
  <c r="C235" i="2"/>
  <c r="O130" i="2"/>
  <c r="O75" i="2" s="1"/>
  <c r="H75" i="2"/>
  <c r="H289" i="2" s="1"/>
  <c r="C95" i="2"/>
  <c r="G52" i="2"/>
  <c r="G51" i="2" s="1"/>
  <c r="I292" i="2"/>
  <c r="I291" i="2" s="1"/>
  <c r="L75" i="2"/>
  <c r="L52" i="2" s="1"/>
  <c r="C198" i="2"/>
  <c r="I196" i="2"/>
  <c r="I195" i="2" s="1"/>
  <c r="C205" i="2"/>
  <c r="F204" i="2"/>
  <c r="L204" i="2"/>
  <c r="L195" i="2" s="1"/>
  <c r="E289" i="2"/>
  <c r="F83" i="2"/>
  <c r="C84" i="2"/>
  <c r="C89" i="2"/>
  <c r="F54" i="2"/>
  <c r="C175" i="2"/>
  <c r="F174" i="2"/>
  <c r="G289" i="2"/>
  <c r="C260" i="2"/>
  <c r="F259" i="2"/>
  <c r="C259" i="2" s="1"/>
  <c r="C192" i="2"/>
  <c r="F191" i="2"/>
  <c r="C76" i="2"/>
  <c r="C144" i="2"/>
  <c r="C131" i="2"/>
  <c r="F130" i="2"/>
  <c r="I230" i="2"/>
  <c r="M289" i="2"/>
  <c r="C252" i="2"/>
  <c r="F251" i="2"/>
  <c r="C251" i="2" s="1"/>
  <c r="C246" i="2"/>
  <c r="L230" i="2"/>
  <c r="C284" i="2"/>
  <c r="F283" i="2"/>
  <c r="C283" i="2" s="1"/>
  <c r="C151" i="2"/>
  <c r="C166" i="2"/>
  <c r="F165" i="2"/>
  <c r="C165" i="2" s="1"/>
  <c r="F67" i="2"/>
  <c r="C67" i="2" s="1"/>
  <c r="C69" i="2"/>
  <c r="C45" i="2"/>
  <c r="C122" i="2"/>
  <c r="C216" i="2"/>
  <c r="I53" i="2"/>
  <c r="F231" i="2"/>
  <c r="C238" i="2"/>
  <c r="C103" i="2"/>
  <c r="F292" i="2"/>
  <c r="C21" i="2"/>
  <c r="F20" i="2"/>
  <c r="L26" i="2"/>
  <c r="J289" i="2" l="1"/>
  <c r="C196" i="2"/>
  <c r="N50" i="2"/>
  <c r="N290" i="2"/>
  <c r="F269" i="2"/>
  <c r="C269" i="2" s="1"/>
  <c r="E51" i="2"/>
  <c r="C83" i="2"/>
  <c r="H52" i="2"/>
  <c r="H51" i="2" s="1"/>
  <c r="H290" i="2" s="1"/>
  <c r="I289" i="2"/>
  <c r="D51" i="2"/>
  <c r="D50" i="2" s="1"/>
  <c r="O194" i="2"/>
  <c r="M290" i="2"/>
  <c r="O289" i="2"/>
  <c r="C130" i="2"/>
  <c r="L289" i="2"/>
  <c r="C204" i="2"/>
  <c r="K51" i="2"/>
  <c r="O52" i="2"/>
  <c r="I52" i="2"/>
  <c r="C191" i="2"/>
  <c r="F187" i="2"/>
  <c r="C187" i="2" s="1"/>
  <c r="I194" i="2"/>
  <c r="G290" i="2"/>
  <c r="G50" i="2"/>
  <c r="C292" i="2"/>
  <c r="F291" i="2"/>
  <c r="C291" i="2" s="1"/>
  <c r="H50" i="2"/>
  <c r="J50" i="2"/>
  <c r="J290" i="2"/>
  <c r="D290" i="2"/>
  <c r="F75" i="2"/>
  <c r="C75" i="2" s="1"/>
  <c r="C54" i="2"/>
  <c r="F53" i="2"/>
  <c r="F230" i="2"/>
  <c r="C230" i="2" s="1"/>
  <c r="C231" i="2"/>
  <c r="F195" i="2"/>
  <c r="C174" i="2"/>
  <c r="F173" i="2"/>
  <c r="C173" i="2" s="1"/>
  <c r="L194" i="2"/>
  <c r="L51" i="2" s="1"/>
  <c r="L50" i="2" s="1"/>
  <c r="C26" i="2"/>
  <c r="L20" i="2"/>
  <c r="C20" i="2" s="1"/>
  <c r="E290" i="2"/>
  <c r="E50" i="2"/>
  <c r="O51" i="2" l="1"/>
  <c r="O50" i="2" s="1"/>
  <c r="I51" i="2"/>
  <c r="I290" i="2" s="1"/>
  <c r="L290" i="2"/>
  <c r="K50" i="2"/>
  <c r="K290" i="2"/>
  <c r="F289" i="2"/>
  <c r="C289" i="2" s="1"/>
  <c r="F194" i="2"/>
  <c r="C194" i="2" s="1"/>
  <c r="C195" i="2"/>
  <c r="C53" i="2"/>
  <c r="F52" i="2"/>
  <c r="O290" i="2" l="1"/>
  <c r="I50" i="2"/>
  <c r="F51" i="2"/>
  <c r="C52" i="2"/>
  <c r="F290" i="2" l="1"/>
  <c r="C290" i="2" s="1"/>
  <c r="F50" i="2"/>
  <c r="C50" i="2" s="1"/>
  <c r="C51" i="2"/>
  <c r="O301" i="1" l="1"/>
  <c r="L301" i="1"/>
  <c r="I301" i="1"/>
  <c r="F301" i="1"/>
  <c r="O300" i="1"/>
  <c r="L300" i="1"/>
  <c r="I300" i="1"/>
  <c r="F300" i="1"/>
  <c r="O299" i="1"/>
  <c r="L299" i="1"/>
  <c r="I299" i="1"/>
  <c r="F299" i="1"/>
  <c r="O298" i="1"/>
  <c r="L298" i="1"/>
  <c r="I298" i="1"/>
  <c r="F298" i="1"/>
  <c r="O297" i="1"/>
  <c r="L297" i="1"/>
  <c r="I297" i="1"/>
  <c r="F297" i="1"/>
  <c r="O296" i="1"/>
  <c r="L296" i="1"/>
  <c r="I296" i="1"/>
  <c r="F296" i="1"/>
  <c r="O295" i="1"/>
  <c r="L295" i="1"/>
  <c r="I295" i="1"/>
  <c r="F295" i="1"/>
  <c r="O294" i="1"/>
  <c r="L294" i="1"/>
  <c r="L293" i="1" s="1"/>
  <c r="I294" i="1"/>
  <c r="I293" i="1" s="1"/>
  <c r="F294" i="1"/>
  <c r="F293" i="1" s="1"/>
  <c r="N293" i="1"/>
  <c r="M293" i="1"/>
  <c r="K293" i="1"/>
  <c r="J293" i="1"/>
  <c r="H293" i="1"/>
  <c r="G293" i="1"/>
  <c r="E293" i="1"/>
  <c r="D293" i="1"/>
  <c r="O288" i="1"/>
  <c r="L288" i="1"/>
  <c r="I288" i="1"/>
  <c r="F288" i="1"/>
  <c r="O287" i="1"/>
  <c r="O286" i="1" s="1"/>
  <c r="L287" i="1"/>
  <c r="L286" i="1" s="1"/>
  <c r="I287" i="1"/>
  <c r="F287" i="1"/>
  <c r="F286" i="1" s="1"/>
  <c r="N286" i="1"/>
  <c r="M286" i="1"/>
  <c r="K286" i="1"/>
  <c r="J286" i="1"/>
  <c r="I286" i="1"/>
  <c r="H286" i="1"/>
  <c r="G286" i="1"/>
  <c r="E286" i="1"/>
  <c r="D286" i="1"/>
  <c r="O285" i="1"/>
  <c r="L285" i="1"/>
  <c r="L284" i="1" s="1"/>
  <c r="L283" i="1" s="1"/>
  <c r="I285" i="1"/>
  <c r="I284" i="1" s="1"/>
  <c r="I283" i="1" s="1"/>
  <c r="F285" i="1"/>
  <c r="O284" i="1"/>
  <c r="O283" i="1" s="1"/>
  <c r="N284" i="1"/>
  <c r="N283" i="1" s="1"/>
  <c r="M284" i="1"/>
  <c r="K284" i="1"/>
  <c r="J284" i="1"/>
  <c r="J283" i="1" s="1"/>
  <c r="H284" i="1"/>
  <c r="H283" i="1" s="1"/>
  <c r="G284" i="1"/>
  <c r="G283" i="1" s="1"/>
  <c r="F284" i="1"/>
  <c r="E284" i="1"/>
  <c r="E283" i="1" s="1"/>
  <c r="D284" i="1"/>
  <c r="D283" i="1" s="1"/>
  <c r="M283" i="1"/>
  <c r="K283" i="1"/>
  <c r="O282" i="1"/>
  <c r="L282" i="1"/>
  <c r="L281" i="1" s="1"/>
  <c r="I282" i="1"/>
  <c r="I281" i="1" s="1"/>
  <c r="F282" i="1"/>
  <c r="F281" i="1" s="1"/>
  <c r="O281" i="1"/>
  <c r="N281" i="1"/>
  <c r="M281" i="1"/>
  <c r="K281" i="1"/>
  <c r="J281" i="1"/>
  <c r="H281" i="1"/>
  <c r="G281" i="1"/>
  <c r="E281" i="1"/>
  <c r="D281" i="1"/>
  <c r="O280" i="1"/>
  <c r="L280" i="1"/>
  <c r="I280" i="1"/>
  <c r="F280" i="1"/>
  <c r="O279" i="1"/>
  <c r="L279" i="1"/>
  <c r="I279" i="1"/>
  <c r="F279" i="1"/>
  <c r="O278" i="1"/>
  <c r="L278" i="1"/>
  <c r="I278" i="1"/>
  <c r="F278" i="1"/>
  <c r="O277" i="1"/>
  <c r="L277" i="1"/>
  <c r="L276" i="1" s="1"/>
  <c r="I277" i="1"/>
  <c r="I276" i="1" s="1"/>
  <c r="F277" i="1"/>
  <c r="N276" i="1"/>
  <c r="M276" i="1"/>
  <c r="K276" i="1"/>
  <c r="J276" i="1"/>
  <c r="H276" i="1"/>
  <c r="G276" i="1"/>
  <c r="F276" i="1"/>
  <c r="E276" i="1"/>
  <c r="D276" i="1"/>
  <c r="O275" i="1"/>
  <c r="J275" i="1"/>
  <c r="L275" i="1" s="1"/>
  <c r="I275" i="1"/>
  <c r="F275" i="1"/>
  <c r="O274" i="1"/>
  <c r="L274" i="1"/>
  <c r="I274" i="1"/>
  <c r="F274" i="1"/>
  <c r="O273" i="1"/>
  <c r="L273" i="1"/>
  <c r="I273" i="1"/>
  <c r="F273" i="1"/>
  <c r="O272" i="1"/>
  <c r="N272" i="1"/>
  <c r="M272" i="1"/>
  <c r="K272" i="1"/>
  <c r="J272" i="1"/>
  <c r="H272" i="1"/>
  <c r="G272" i="1"/>
  <c r="F272" i="1"/>
  <c r="E272" i="1"/>
  <c r="E270" i="1" s="1"/>
  <c r="E269" i="1" s="1"/>
  <c r="D272" i="1"/>
  <c r="O271" i="1"/>
  <c r="L271" i="1"/>
  <c r="I271" i="1"/>
  <c r="F271" i="1"/>
  <c r="O268" i="1"/>
  <c r="L268" i="1"/>
  <c r="I268" i="1"/>
  <c r="F268" i="1"/>
  <c r="O267" i="1"/>
  <c r="L267" i="1"/>
  <c r="I267" i="1"/>
  <c r="F267" i="1"/>
  <c r="O266" i="1"/>
  <c r="L266" i="1"/>
  <c r="I266" i="1"/>
  <c r="F266" i="1"/>
  <c r="O265" i="1"/>
  <c r="O264" i="1" s="1"/>
  <c r="L265" i="1"/>
  <c r="I265" i="1"/>
  <c r="F265" i="1"/>
  <c r="N264" i="1"/>
  <c r="M264" i="1"/>
  <c r="K264" i="1"/>
  <c r="J264" i="1"/>
  <c r="H264" i="1"/>
  <c r="G264" i="1"/>
  <c r="E264" i="1"/>
  <c r="D264" i="1"/>
  <c r="O263" i="1"/>
  <c r="L263" i="1"/>
  <c r="I263" i="1"/>
  <c r="F263" i="1"/>
  <c r="O262" i="1"/>
  <c r="L262" i="1"/>
  <c r="I262" i="1"/>
  <c r="F262" i="1"/>
  <c r="O261" i="1"/>
  <c r="L261" i="1"/>
  <c r="I261" i="1"/>
  <c r="F261" i="1"/>
  <c r="O260" i="1"/>
  <c r="N260" i="1"/>
  <c r="M260" i="1"/>
  <c r="K260" i="1"/>
  <c r="J260" i="1"/>
  <c r="J259" i="1" s="1"/>
  <c r="H260" i="1"/>
  <c r="G260" i="1"/>
  <c r="E260" i="1"/>
  <c r="D260" i="1"/>
  <c r="M259" i="1"/>
  <c r="O258" i="1"/>
  <c r="L258" i="1"/>
  <c r="I258" i="1"/>
  <c r="F258" i="1"/>
  <c r="O257" i="1"/>
  <c r="L257" i="1"/>
  <c r="I257" i="1"/>
  <c r="F257" i="1"/>
  <c r="O256" i="1"/>
  <c r="L256" i="1"/>
  <c r="I256" i="1"/>
  <c r="F256" i="1"/>
  <c r="O255" i="1"/>
  <c r="L255" i="1"/>
  <c r="I255" i="1"/>
  <c r="F255" i="1"/>
  <c r="O254" i="1"/>
  <c r="L254" i="1"/>
  <c r="I254" i="1"/>
  <c r="F254" i="1"/>
  <c r="O253" i="1"/>
  <c r="L253" i="1"/>
  <c r="I253" i="1"/>
  <c r="F253" i="1"/>
  <c r="O252" i="1"/>
  <c r="O251" i="1" s="1"/>
  <c r="N252" i="1"/>
  <c r="M252" i="1"/>
  <c r="K252" i="1"/>
  <c r="K251" i="1" s="1"/>
  <c r="J252" i="1"/>
  <c r="J251" i="1" s="1"/>
  <c r="H252" i="1"/>
  <c r="H251" i="1" s="1"/>
  <c r="G252" i="1"/>
  <c r="G251" i="1" s="1"/>
  <c r="E252" i="1"/>
  <c r="D252" i="1"/>
  <c r="D251" i="1" s="1"/>
  <c r="N251" i="1"/>
  <c r="M251" i="1"/>
  <c r="E251" i="1"/>
  <c r="O250" i="1"/>
  <c r="L250" i="1"/>
  <c r="I250" i="1"/>
  <c r="F250" i="1"/>
  <c r="O249" i="1"/>
  <c r="L249" i="1"/>
  <c r="I249" i="1"/>
  <c r="F249" i="1"/>
  <c r="O248" i="1"/>
  <c r="L248" i="1"/>
  <c r="I248" i="1"/>
  <c r="F248" i="1"/>
  <c r="O247" i="1"/>
  <c r="L247" i="1"/>
  <c r="I247" i="1"/>
  <c r="I246" i="1" s="1"/>
  <c r="F247" i="1"/>
  <c r="F246" i="1" s="1"/>
  <c r="N246" i="1"/>
  <c r="M246" i="1"/>
  <c r="K246" i="1"/>
  <c r="J246" i="1"/>
  <c r="H246" i="1"/>
  <c r="G246" i="1"/>
  <c r="E246" i="1"/>
  <c r="D246" i="1"/>
  <c r="O245" i="1"/>
  <c r="L245" i="1"/>
  <c r="I245" i="1"/>
  <c r="F245" i="1"/>
  <c r="O244" i="1"/>
  <c r="L244" i="1"/>
  <c r="I244" i="1"/>
  <c r="F244" i="1"/>
  <c r="O243" i="1"/>
  <c r="L243" i="1"/>
  <c r="I243" i="1"/>
  <c r="F243" i="1"/>
  <c r="O242" i="1"/>
  <c r="L242" i="1"/>
  <c r="I242" i="1"/>
  <c r="F242" i="1"/>
  <c r="O241" i="1"/>
  <c r="L241" i="1"/>
  <c r="I241" i="1"/>
  <c r="F241" i="1"/>
  <c r="O240" i="1"/>
  <c r="L240" i="1"/>
  <c r="I240" i="1"/>
  <c r="F240" i="1"/>
  <c r="O239" i="1"/>
  <c r="L239" i="1"/>
  <c r="I239" i="1"/>
  <c r="I238" i="1" s="1"/>
  <c r="F239" i="1"/>
  <c r="F238" i="1" s="1"/>
  <c r="N238" i="1"/>
  <c r="M238" i="1"/>
  <c r="K238" i="1"/>
  <c r="J238" i="1"/>
  <c r="H238" i="1"/>
  <c r="G238" i="1"/>
  <c r="E238" i="1"/>
  <c r="D238" i="1"/>
  <c r="O237" i="1"/>
  <c r="L237" i="1"/>
  <c r="I237" i="1"/>
  <c r="F237" i="1"/>
  <c r="O236" i="1"/>
  <c r="O235" i="1" s="1"/>
  <c r="L236" i="1"/>
  <c r="L235" i="1" s="1"/>
  <c r="I236" i="1"/>
  <c r="I235" i="1" s="1"/>
  <c r="F236" i="1"/>
  <c r="F235" i="1" s="1"/>
  <c r="N235" i="1"/>
  <c r="M235" i="1"/>
  <c r="K235" i="1"/>
  <c r="J235" i="1"/>
  <c r="H235" i="1"/>
  <c r="G235" i="1"/>
  <c r="E235" i="1"/>
  <c r="D235" i="1"/>
  <c r="O234" i="1"/>
  <c r="L234" i="1"/>
  <c r="I234" i="1"/>
  <c r="I233" i="1" s="1"/>
  <c r="F234" i="1"/>
  <c r="F233" i="1" s="1"/>
  <c r="O233" i="1"/>
  <c r="N233" i="1"/>
  <c r="M233" i="1"/>
  <c r="L233" i="1"/>
  <c r="K233" i="1"/>
  <c r="J233" i="1"/>
  <c r="H233" i="1"/>
  <c r="G233" i="1"/>
  <c r="G231" i="1" s="1"/>
  <c r="E233" i="1"/>
  <c r="D233" i="1"/>
  <c r="O232" i="1"/>
  <c r="L232" i="1"/>
  <c r="I232" i="1"/>
  <c r="F232" i="1"/>
  <c r="K231" i="1"/>
  <c r="O229" i="1"/>
  <c r="L229" i="1"/>
  <c r="I229" i="1"/>
  <c r="F229" i="1"/>
  <c r="O228" i="1"/>
  <c r="O227" i="1" s="1"/>
  <c r="L228" i="1"/>
  <c r="L227" i="1" s="1"/>
  <c r="I228" i="1"/>
  <c r="F228" i="1"/>
  <c r="N227" i="1"/>
  <c r="M227" i="1"/>
  <c r="K227" i="1"/>
  <c r="J227" i="1"/>
  <c r="I227" i="1"/>
  <c r="H227" i="1"/>
  <c r="G227" i="1"/>
  <c r="F227" i="1"/>
  <c r="E227" i="1"/>
  <c r="D227" i="1"/>
  <c r="O226" i="1"/>
  <c r="L226" i="1"/>
  <c r="I226" i="1"/>
  <c r="F226" i="1"/>
  <c r="O225" i="1"/>
  <c r="L225" i="1"/>
  <c r="I225" i="1"/>
  <c r="F225" i="1"/>
  <c r="O224" i="1"/>
  <c r="L224" i="1"/>
  <c r="I224" i="1"/>
  <c r="F224" i="1"/>
  <c r="O223" i="1"/>
  <c r="L223" i="1"/>
  <c r="I223" i="1"/>
  <c r="F223" i="1"/>
  <c r="O222" i="1"/>
  <c r="L222" i="1"/>
  <c r="I222" i="1"/>
  <c r="F222" i="1"/>
  <c r="O221" i="1"/>
  <c r="L221" i="1"/>
  <c r="I221" i="1"/>
  <c r="F221" i="1"/>
  <c r="O220" i="1"/>
  <c r="L220" i="1"/>
  <c r="I220" i="1"/>
  <c r="F220" i="1"/>
  <c r="O219" i="1"/>
  <c r="L219" i="1"/>
  <c r="I219" i="1"/>
  <c r="F219" i="1"/>
  <c r="O218" i="1"/>
  <c r="L218" i="1"/>
  <c r="I218" i="1"/>
  <c r="F218" i="1"/>
  <c r="O217" i="1"/>
  <c r="L217" i="1"/>
  <c r="I217" i="1"/>
  <c r="F217" i="1"/>
  <c r="O216" i="1"/>
  <c r="N216" i="1"/>
  <c r="M216" i="1"/>
  <c r="K216" i="1"/>
  <c r="J216" i="1"/>
  <c r="H216" i="1"/>
  <c r="G216" i="1"/>
  <c r="E216" i="1"/>
  <c r="D216" i="1"/>
  <c r="O215" i="1"/>
  <c r="L215" i="1"/>
  <c r="I215" i="1"/>
  <c r="F215" i="1"/>
  <c r="O214" i="1"/>
  <c r="L214" i="1"/>
  <c r="I214" i="1"/>
  <c r="F214" i="1"/>
  <c r="O213" i="1"/>
  <c r="L213" i="1"/>
  <c r="I213" i="1"/>
  <c r="F213" i="1"/>
  <c r="O212" i="1"/>
  <c r="L212" i="1"/>
  <c r="I212" i="1"/>
  <c r="F212" i="1"/>
  <c r="O211" i="1"/>
  <c r="L211" i="1"/>
  <c r="I211" i="1"/>
  <c r="F211" i="1"/>
  <c r="O210" i="1"/>
  <c r="L210" i="1"/>
  <c r="I210" i="1"/>
  <c r="F210" i="1"/>
  <c r="O209" i="1"/>
  <c r="L209" i="1"/>
  <c r="I209" i="1"/>
  <c r="F209" i="1"/>
  <c r="O208" i="1"/>
  <c r="L208" i="1"/>
  <c r="I208" i="1"/>
  <c r="F208" i="1"/>
  <c r="O207" i="1"/>
  <c r="L207" i="1"/>
  <c r="I207" i="1"/>
  <c r="F207" i="1"/>
  <c r="O206" i="1"/>
  <c r="L206" i="1"/>
  <c r="L205" i="1" s="1"/>
  <c r="I206" i="1"/>
  <c r="F206" i="1"/>
  <c r="N205" i="1"/>
  <c r="N204" i="1" s="1"/>
  <c r="M205" i="1"/>
  <c r="M204" i="1" s="1"/>
  <c r="K205" i="1"/>
  <c r="K204" i="1" s="1"/>
  <c r="J205" i="1"/>
  <c r="H205" i="1"/>
  <c r="G205" i="1"/>
  <c r="G204" i="1" s="1"/>
  <c r="E205" i="1"/>
  <c r="D205" i="1"/>
  <c r="O203" i="1"/>
  <c r="L203" i="1"/>
  <c r="I203" i="1"/>
  <c r="F203" i="1"/>
  <c r="O202" i="1"/>
  <c r="L202" i="1"/>
  <c r="I202" i="1"/>
  <c r="F202" i="1"/>
  <c r="O201" i="1"/>
  <c r="L201" i="1"/>
  <c r="I201" i="1"/>
  <c r="F201" i="1"/>
  <c r="O200" i="1"/>
  <c r="L200" i="1"/>
  <c r="I200" i="1"/>
  <c r="F200" i="1"/>
  <c r="O199" i="1"/>
  <c r="L199" i="1"/>
  <c r="I199" i="1"/>
  <c r="F199" i="1"/>
  <c r="N198" i="1"/>
  <c r="N196" i="1" s="1"/>
  <c r="M198" i="1"/>
  <c r="M196" i="1" s="1"/>
  <c r="K198" i="1"/>
  <c r="J198" i="1"/>
  <c r="I198" i="1"/>
  <c r="H198" i="1"/>
  <c r="H196" i="1" s="1"/>
  <c r="G198" i="1"/>
  <c r="E198" i="1"/>
  <c r="E196" i="1" s="1"/>
  <c r="D198" i="1"/>
  <c r="O197" i="1"/>
  <c r="L197" i="1"/>
  <c r="I197" i="1"/>
  <c r="F197" i="1"/>
  <c r="K196" i="1"/>
  <c r="J196" i="1"/>
  <c r="G196" i="1"/>
  <c r="D196" i="1"/>
  <c r="O193" i="1"/>
  <c r="L193" i="1"/>
  <c r="I193" i="1"/>
  <c r="I192" i="1" s="1"/>
  <c r="I191" i="1" s="1"/>
  <c r="F193" i="1"/>
  <c r="O192" i="1"/>
  <c r="O191" i="1" s="1"/>
  <c r="N192" i="1"/>
  <c r="N191" i="1" s="1"/>
  <c r="M192" i="1"/>
  <c r="M191" i="1" s="1"/>
  <c r="K192" i="1"/>
  <c r="K191" i="1" s="1"/>
  <c r="J192" i="1"/>
  <c r="J191" i="1" s="1"/>
  <c r="H192" i="1"/>
  <c r="G192" i="1"/>
  <c r="G191" i="1" s="1"/>
  <c r="F192" i="1"/>
  <c r="E192" i="1"/>
  <c r="E191" i="1" s="1"/>
  <c r="D192" i="1"/>
  <c r="H191" i="1"/>
  <c r="F191" i="1"/>
  <c r="D191" i="1"/>
  <c r="O190" i="1"/>
  <c r="L190" i="1"/>
  <c r="I190" i="1"/>
  <c r="F190" i="1"/>
  <c r="O189" i="1"/>
  <c r="O188" i="1" s="1"/>
  <c r="L189" i="1"/>
  <c r="L188" i="1" s="1"/>
  <c r="I189" i="1"/>
  <c r="I188" i="1" s="1"/>
  <c r="I187" i="1" s="1"/>
  <c r="F189" i="1"/>
  <c r="F188" i="1" s="1"/>
  <c r="N188" i="1"/>
  <c r="N187" i="1" s="1"/>
  <c r="M188" i="1"/>
  <c r="K188" i="1"/>
  <c r="J188" i="1"/>
  <c r="H188" i="1"/>
  <c r="G188" i="1"/>
  <c r="E188" i="1"/>
  <c r="D188" i="1"/>
  <c r="D187" i="1" s="1"/>
  <c r="O186" i="1"/>
  <c r="L186" i="1"/>
  <c r="I186" i="1"/>
  <c r="F186" i="1"/>
  <c r="O185" i="1"/>
  <c r="L185" i="1"/>
  <c r="L184" i="1" s="1"/>
  <c r="I185" i="1"/>
  <c r="I184" i="1" s="1"/>
  <c r="F185" i="1"/>
  <c r="N184" i="1"/>
  <c r="M184" i="1"/>
  <c r="K184" i="1"/>
  <c r="J184" i="1"/>
  <c r="H184" i="1"/>
  <c r="G184" i="1"/>
  <c r="E184" i="1"/>
  <c r="D184" i="1"/>
  <c r="O183" i="1"/>
  <c r="L183" i="1"/>
  <c r="I183" i="1"/>
  <c r="F183" i="1"/>
  <c r="O182" i="1"/>
  <c r="L182" i="1"/>
  <c r="I182" i="1"/>
  <c r="F182" i="1"/>
  <c r="O181" i="1"/>
  <c r="L181" i="1"/>
  <c r="I181" i="1"/>
  <c r="F181" i="1"/>
  <c r="O180" i="1"/>
  <c r="L180" i="1"/>
  <c r="I180" i="1"/>
  <c r="I179" i="1" s="1"/>
  <c r="F180" i="1"/>
  <c r="N179" i="1"/>
  <c r="M179" i="1"/>
  <c r="K179" i="1"/>
  <c r="J179" i="1"/>
  <c r="H179" i="1"/>
  <c r="G179" i="1"/>
  <c r="E179" i="1"/>
  <c r="D179" i="1"/>
  <c r="O178" i="1"/>
  <c r="L178" i="1"/>
  <c r="I178" i="1"/>
  <c r="F178" i="1"/>
  <c r="O177" i="1"/>
  <c r="L177" i="1"/>
  <c r="I177" i="1"/>
  <c r="F177" i="1"/>
  <c r="O176" i="1"/>
  <c r="L176" i="1"/>
  <c r="L175" i="1" s="1"/>
  <c r="I176" i="1"/>
  <c r="F176" i="1"/>
  <c r="N175" i="1"/>
  <c r="N174" i="1" s="1"/>
  <c r="N173" i="1" s="1"/>
  <c r="M175" i="1"/>
  <c r="M174" i="1" s="1"/>
  <c r="K175" i="1"/>
  <c r="K174" i="1" s="1"/>
  <c r="K173" i="1" s="1"/>
  <c r="J175" i="1"/>
  <c r="H175" i="1"/>
  <c r="H174" i="1" s="1"/>
  <c r="H173" i="1" s="1"/>
  <c r="G175" i="1"/>
  <c r="G174" i="1" s="1"/>
  <c r="G173" i="1" s="1"/>
  <c r="F175" i="1"/>
  <c r="E175" i="1"/>
  <c r="D175" i="1"/>
  <c r="D174" i="1" s="1"/>
  <c r="D173" i="1" s="1"/>
  <c r="O172" i="1"/>
  <c r="L172" i="1"/>
  <c r="I172" i="1"/>
  <c r="F172" i="1"/>
  <c r="O171" i="1"/>
  <c r="L171" i="1"/>
  <c r="I171" i="1"/>
  <c r="F171" i="1"/>
  <c r="O170" i="1"/>
  <c r="L170" i="1"/>
  <c r="I170" i="1"/>
  <c r="F170" i="1"/>
  <c r="O169" i="1"/>
  <c r="L169" i="1"/>
  <c r="I169" i="1"/>
  <c r="F169" i="1"/>
  <c r="O168" i="1"/>
  <c r="L168" i="1"/>
  <c r="I168" i="1"/>
  <c r="F168" i="1"/>
  <c r="O167" i="1"/>
  <c r="L167" i="1"/>
  <c r="I167" i="1"/>
  <c r="F167" i="1"/>
  <c r="O166" i="1"/>
  <c r="O165" i="1" s="1"/>
  <c r="N166" i="1"/>
  <c r="N165" i="1" s="1"/>
  <c r="M166" i="1"/>
  <c r="M165" i="1" s="1"/>
  <c r="K166" i="1"/>
  <c r="K165" i="1" s="1"/>
  <c r="J166" i="1"/>
  <c r="J165" i="1" s="1"/>
  <c r="H166" i="1"/>
  <c r="H165" i="1" s="1"/>
  <c r="G166" i="1"/>
  <c r="G165" i="1" s="1"/>
  <c r="E166" i="1"/>
  <c r="E165" i="1" s="1"/>
  <c r="D166" i="1"/>
  <c r="D165" i="1" s="1"/>
  <c r="O164" i="1"/>
  <c r="L164" i="1"/>
  <c r="I164" i="1"/>
  <c r="F164" i="1"/>
  <c r="O163" i="1"/>
  <c r="L163" i="1"/>
  <c r="I163" i="1"/>
  <c r="F163" i="1"/>
  <c r="O162" i="1"/>
  <c r="L162" i="1"/>
  <c r="I162" i="1"/>
  <c r="F162" i="1"/>
  <c r="O161" i="1"/>
  <c r="L161" i="1"/>
  <c r="I161" i="1"/>
  <c r="I160" i="1" s="1"/>
  <c r="F161" i="1"/>
  <c r="N160" i="1"/>
  <c r="M160" i="1"/>
  <c r="L160" i="1"/>
  <c r="K160" i="1"/>
  <c r="J160" i="1"/>
  <c r="H160" i="1"/>
  <c r="G160" i="1"/>
  <c r="E160" i="1"/>
  <c r="D160" i="1"/>
  <c r="O159" i="1"/>
  <c r="L159" i="1"/>
  <c r="I159" i="1"/>
  <c r="F159" i="1"/>
  <c r="O158" i="1"/>
  <c r="L158" i="1"/>
  <c r="I158" i="1"/>
  <c r="F158" i="1"/>
  <c r="O157" i="1"/>
  <c r="L157" i="1"/>
  <c r="I157" i="1"/>
  <c r="F157" i="1"/>
  <c r="O156" i="1"/>
  <c r="L156" i="1"/>
  <c r="I156" i="1"/>
  <c r="F156" i="1"/>
  <c r="O155" i="1"/>
  <c r="L155" i="1"/>
  <c r="I155" i="1"/>
  <c r="F155" i="1"/>
  <c r="O154" i="1"/>
  <c r="L154" i="1"/>
  <c r="I154" i="1"/>
  <c r="F154" i="1"/>
  <c r="O153" i="1"/>
  <c r="L153" i="1"/>
  <c r="I153" i="1"/>
  <c r="F153" i="1"/>
  <c r="O152" i="1"/>
  <c r="L152" i="1"/>
  <c r="I152" i="1"/>
  <c r="I151" i="1" s="1"/>
  <c r="F152" i="1"/>
  <c r="N151" i="1"/>
  <c r="M151" i="1"/>
  <c r="K151" i="1"/>
  <c r="J151" i="1"/>
  <c r="H151" i="1"/>
  <c r="G151" i="1"/>
  <c r="E151" i="1"/>
  <c r="D151" i="1"/>
  <c r="O150" i="1"/>
  <c r="L150" i="1"/>
  <c r="I150" i="1"/>
  <c r="F150" i="1"/>
  <c r="O149" i="1"/>
  <c r="L149" i="1"/>
  <c r="I149" i="1"/>
  <c r="F149" i="1"/>
  <c r="O148" i="1"/>
  <c r="L148" i="1"/>
  <c r="I148" i="1"/>
  <c r="F148" i="1"/>
  <c r="O147" i="1"/>
  <c r="L147" i="1"/>
  <c r="I147" i="1"/>
  <c r="F147" i="1"/>
  <c r="O146" i="1"/>
  <c r="J146" i="1"/>
  <c r="L146" i="1" s="1"/>
  <c r="I146" i="1"/>
  <c r="F146" i="1"/>
  <c r="O145" i="1"/>
  <c r="L145" i="1"/>
  <c r="I145" i="1"/>
  <c r="F145" i="1"/>
  <c r="N144" i="1"/>
  <c r="M144" i="1"/>
  <c r="K144" i="1"/>
  <c r="H144" i="1"/>
  <c r="G144" i="1"/>
  <c r="E144" i="1"/>
  <c r="D144" i="1"/>
  <c r="O143" i="1"/>
  <c r="L143" i="1"/>
  <c r="I143" i="1"/>
  <c r="F143" i="1"/>
  <c r="O142" i="1"/>
  <c r="L142" i="1"/>
  <c r="L141" i="1" s="1"/>
  <c r="I142" i="1"/>
  <c r="I141" i="1" s="1"/>
  <c r="F142" i="1"/>
  <c r="N141" i="1"/>
  <c r="M141" i="1"/>
  <c r="K141" i="1"/>
  <c r="J141" i="1"/>
  <c r="H141" i="1"/>
  <c r="G141" i="1"/>
  <c r="E141" i="1"/>
  <c r="D141" i="1"/>
  <c r="O140" i="1"/>
  <c r="L140" i="1"/>
  <c r="I140" i="1"/>
  <c r="F140" i="1"/>
  <c r="O139" i="1"/>
  <c r="L139" i="1"/>
  <c r="I139" i="1"/>
  <c r="F139" i="1"/>
  <c r="O138" i="1"/>
  <c r="L138" i="1"/>
  <c r="I138" i="1"/>
  <c r="F138" i="1"/>
  <c r="O137" i="1"/>
  <c r="L137" i="1"/>
  <c r="I137" i="1"/>
  <c r="F137" i="1"/>
  <c r="N136" i="1"/>
  <c r="M136" i="1"/>
  <c r="K136" i="1"/>
  <c r="J136" i="1"/>
  <c r="H136" i="1"/>
  <c r="G136" i="1"/>
  <c r="E136" i="1"/>
  <c r="D136" i="1"/>
  <c r="O135" i="1"/>
  <c r="L135" i="1"/>
  <c r="I135" i="1"/>
  <c r="F135" i="1"/>
  <c r="O134" i="1"/>
  <c r="L134" i="1"/>
  <c r="I134" i="1"/>
  <c r="F134" i="1"/>
  <c r="O133" i="1"/>
  <c r="J133" i="1"/>
  <c r="L133" i="1" s="1"/>
  <c r="I133" i="1"/>
  <c r="F133" i="1"/>
  <c r="O132" i="1"/>
  <c r="O131" i="1" s="1"/>
  <c r="L132" i="1"/>
  <c r="I132" i="1"/>
  <c r="F132" i="1"/>
  <c r="N131" i="1"/>
  <c r="M131" i="1"/>
  <c r="M130" i="1" s="1"/>
  <c r="K131" i="1"/>
  <c r="H131" i="1"/>
  <c r="G131" i="1"/>
  <c r="E131" i="1"/>
  <c r="D131" i="1"/>
  <c r="O129" i="1"/>
  <c r="L129" i="1"/>
  <c r="I129" i="1"/>
  <c r="I128" i="1" s="1"/>
  <c r="F129" i="1"/>
  <c r="O128" i="1"/>
  <c r="N128" i="1"/>
  <c r="M128" i="1"/>
  <c r="K128" i="1"/>
  <c r="J128" i="1"/>
  <c r="H128" i="1"/>
  <c r="G128" i="1"/>
  <c r="F128" i="1"/>
  <c r="E128" i="1"/>
  <c r="D128" i="1"/>
  <c r="O127" i="1"/>
  <c r="L127" i="1"/>
  <c r="I127" i="1"/>
  <c r="F127" i="1"/>
  <c r="O126" i="1"/>
  <c r="L126" i="1"/>
  <c r="I126" i="1"/>
  <c r="F126" i="1"/>
  <c r="O125" i="1"/>
  <c r="L125" i="1"/>
  <c r="I125" i="1"/>
  <c r="F125" i="1"/>
  <c r="O124" i="1"/>
  <c r="L124" i="1"/>
  <c r="I124" i="1"/>
  <c r="F124" i="1"/>
  <c r="O123" i="1"/>
  <c r="L123" i="1"/>
  <c r="I123" i="1"/>
  <c r="I122" i="1" s="1"/>
  <c r="F123" i="1"/>
  <c r="N122" i="1"/>
  <c r="M122" i="1"/>
  <c r="K122" i="1"/>
  <c r="J122" i="1"/>
  <c r="H122" i="1"/>
  <c r="G122" i="1"/>
  <c r="E122" i="1"/>
  <c r="D122" i="1"/>
  <c r="O121" i="1"/>
  <c r="L121" i="1"/>
  <c r="I121" i="1"/>
  <c r="F121" i="1"/>
  <c r="O120" i="1"/>
  <c r="L120" i="1"/>
  <c r="I120" i="1"/>
  <c r="F120" i="1"/>
  <c r="O119" i="1"/>
  <c r="L119" i="1"/>
  <c r="I119" i="1"/>
  <c r="F119" i="1"/>
  <c r="O118" i="1"/>
  <c r="L118" i="1"/>
  <c r="I118" i="1"/>
  <c r="F118" i="1"/>
  <c r="O117" i="1"/>
  <c r="L117" i="1"/>
  <c r="L116" i="1" s="1"/>
  <c r="I117" i="1"/>
  <c r="F117" i="1"/>
  <c r="O116" i="1"/>
  <c r="N116" i="1"/>
  <c r="M116" i="1"/>
  <c r="K116" i="1"/>
  <c r="J116" i="1"/>
  <c r="H116" i="1"/>
  <c r="G116" i="1"/>
  <c r="E116" i="1"/>
  <c r="D116" i="1"/>
  <c r="O115" i="1"/>
  <c r="L115" i="1"/>
  <c r="I115" i="1"/>
  <c r="F115" i="1"/>
  <c r="O114" i="1"/>
  <c r="L114" i="1"/>
  <c r="I114" i="1"/>
  <c r="F114" i="1"/>
  <c r="O113" i="1"/>
  <c r="L113" i="1"/>
  <c r="L112" i="1" s="1"/>
  <c r="I113" i="1"/>
  <c r="F113" i="1"/>
  <c r="O112" i="1"/>
  <c r="N112" i="1"/>
  <c r="M112" i="1"/>
  <c r="K112" i="1"/>
  <c r="J112" i="1"/>
  <c r="H112" i="1"/>
  <c r="G112" i="1"/>
  <c r="E112" i="1"/>
  <c r="D112" i="1"/>
  <c r="O111" i="1"/>
  <c r="L111" i="1"/>
  <c r="I111" i="1"/>
  <c r="F111" i="1"/>
  <c r="O110" i="1"/>
  <c r="L110" i="1"/>
  <c r="I110" i="1"/>
  <c r="F110" i="1"/>
  <c r="O109" i="1"/>
  <c r="L109" i="1"/>
  <c r="I109" i="1"/>
  <c r="F109" i="1"/>
  <c r="O108" i="1"/>
  <c r="L108" i="1"/>
  <c r="I108" i="1"/>
  <c r="F108" i="1"/>
  <c r="O107" i="1"/>
  <c r="L107" i="1"/>
  <c r="I107" i="1"/>
  <c r="D107" i="1"/>
  <c r="F107" i="1" s="1"/>
  <c r="O106" i="1"/>
  <c r="L106" i="1"/>
  <c r="I106" i="1"/>
  <c r="F106" i="1"/>
  <c r="O105" i="1"/>
  <c r="L105" i="1"/>
  <c r="I105" i="1"/>
  <c r="F105" i="1"/>
  <c r="O104" i="1"/>
  <c r="L104" i="1"/>
  <c r="I104" i="1"/>
  <c r="F104" i="1"/>
  <c r="N103" i="1"/>
  <c r="M103" i="1"/>
  <c r="K103" i="1"/>
  <c r="J103" i="1"/>
  <c r="H103" i="1"/>
  <c r="G103" i="1"/>
  <c r="E103" i="1"/>
  <c r="D103" i="1"/>
  <c r="O102" i="1"/>
  <c r="L102" i="1"/>
  <c r="I102" i="1"/>
  <c r="F102" i="1"/>
  <c r="O101" i="1"/>
  <c r="L101" i="1"/>
  <c r="I101" i="1"/>
  <c r="F101" i="1"/>
  <c r="C101" i="1" s="1"/>
  <c r="O100" i="1"/>
  <c r="L100" i="1"/>
  <c r="I100" i="1"/>
  <c r="F100" i="1"/>
  <c r="O99" i="1"/>
  <c r="L99" i="1"/>
  <c r="I99" i="1"/>
  <c r="F99" i="1"/>
  <c r="O98" i="1"/>
  <c r="L98" i="1"/>
  <c r="I98" i="1"/>
  <c r="F98" i="1"/>
  <c r="O97" i="1"/>
  <c r="L97" i="1"/>
  <c r="I97" i="1"/>
  <c r="F97" i="1"/>
  <c r="O96" i="1"/>
  <c r="L96" i="1"/>
  <c r="I96" i="1"/>
  <c r="I95" i="1" s="1"/>
  <c r="F96" i="1"/>
  <c r="N95" i="1"/>
  <c r="M95" i="1"/>
  <c r="K95" i="1"/>
  <c r="J95" i="1"/>
  <c r="H95" i="1"/>
  <c r="G95" i="1"/>
  <c r="E95" i="1"/>
  <c r="D95" i="1"/>
  <c r="O94" i="1"/>
  <c r="L94" i="1"/>
  <c r="I94" i="1"/>
  <c r="F94" i="1"/>
  <c r="O93" i="1"/>
  <c r="L93" i="1"/>
  <c r="I93" i="1"/>
  <c r="F93" i="1"/>
  <c r="O92" i="1"/>
  <c r="L92" i="1"/>
  <c r="I92" i="1"/>
  <c r="F92" i="1"/>
  <c r="O91" i="1"/>
  <c r="L91" i="1"/>
  <c r="I91" i="1"/>
  <c r="F91" i="1"/>
  <c r="O90" i="1"/>
  <c r="J90" i="1"/>
  <c r="J89" i="1" s="1"/>
  <c r="I90" i="1"/>
  <c r="F90" i="1"/>
  <c r="N89" i="1"/>
  <c r="M89" i="1"/>
  <c r="K89" i="1"/>
  <c r="H89" i="1"/>
  <c r="G89" i="1"/>
  <c r="E89" i="1"/>
  <c r="D89" i="1"/>
  <c r="O88" i="1"/>
  <c r="L88" i="1"/>
  <c r="I88" i="1"/>
  <c r="F88" i="1"/>
  <c r="O87" i="1"/>
  <c r="L87" i="1"/>
  <c r="I87" i="1"/>
  <c r="F87" i="1"/>
  <c r="O86" i="1"/>
  <c r="L86" i="1"/>
  <c r="I86" i="1"/>
  <c r="F86" i="1"/>
  <c r="O85" i="1"/>
  <c r="L85" i="1"/>
  <c r="I85" i="1"/>
  <c r="F85" i="1"/>
  <c r="N84" i="1"/>
  <c r="M84" i="1"/>
  <c r="K84" i="1"/>
  <c r="J84" i="1"/>
  <c r="H84" i="1"/>
  <c r="G84" i="1"/>
  <c r="E84" i="1"/>
  <c r="D84" i="1"/>
  <c r="O82" i="1"/>
  <c r="L82" i="1"/>
  <c r="I82" i="1"/>
  <c r="F82" i="1"/>
  <c r="O81" i="1"/>
  <c r="L81" i="1"/>
  <c r="I81" i="1"/>
  <c r="I80" i="1" s="1"/>
  <c r="F81" i="1"/>
  <c r="N80" i="1"/>
  <c r="M80" i="1"/>
  <c r="K80" i="1"/>
  <c r="J80" i="1"/>
  <c r="H80" i="1"/>
  <c r="G80" i="1"/>
  <c r="E80" i="1"/>
  <c r="D80" i="1"/>
  <c r="O79" i="1"/>
  <c r="L79" i="1"/>
  <c r="I79" i="1"/>
  <c r="F79" i="1"/>
  <c r="O78" i="1"/>
  <c r="O77" i="1" s="1"/>
  <c r="L78" i="1"/>
  <c r="L77" i="1" s="1"/>
  <c r="I78" i="1"/>
  <c r="F78" i="1"/>
  <c r="F77" i="1" s="1"/>
  <c r="N77" i="1"/>
  <c r="M77" i="1"/>
  <c r="M76" i="1" s="1"/>
  <c r="K77" i="1"/>
  <c r="K76" i="1" s="1"/>
  <c r="J77" i="1"/>
  <c r="H77" i="1"/>
  <c r="G77" i="1"/>
  <c r="E77" i="1"/>
  <c r="E76" i="1" s="1"/>
  <c r="D77" i="1"/>
  <c r="O74" i="1"/>
  <c r="L74" i="1"/>
  <c r="I74" i="1"/>
  <c r="F74" i="1"/>
  <c r="O73" i="1"/>
  <c r="L73" i="1"/>
  <c r="I73" i="1"/>
  <c r="F73" i="1"/>
  <c r="O72" i="1"/>
  <c r="L72" i="1"/>
  <c r="I72" i="1"/>
  <c r="F72" i="1"/>
  <c r="O71" i="1"/>
  <c r="L71" i="1"/>
  <c r="I71" i="1"/>
  <c r="F71" i="1"/>
  <c r="O70" i="1"/>
  <c r="O69" i="1" s="1"/>
  <c r="L70" i="1"/>
  <c r="I70" i="1"/>
  <c r="F70" i="1"/>
  <c r="N69" i="1"/>
  <c r="M69" i="1"/>
  <c r="K69" i="1"/>
  <c r="K67" i="1" s="1"/>
  <c r="J69" i="1"/>
  <c r="J67" i="1" s="1"/>
  <c r="H69" i="1"/>
  <c r="H67" i="1" s="1"/>
  <c r="G69" i="1"/>
  <c r="G67" i="1" s="1"/>
  <c r="E69" i="1"/>
  <c r="D69" i="1"/>
  <c r="D67" i="1" s="1"/>
  <c r="O68" i="1"/>
  <c r="L68" i="1"/>
  <c r="I68" i="1"/>
  <c r="F68" i="1"/>
  <c r="N67" i="1"/>
  <c r="M67" i="1"/>
  <c r="E67" i="1"/>
  <c r="O66" i="1"/>
  <c r="L66" i="1"/>
  <c r="I66" i="1"/>
  <c r="F66" i="1"/>
  <c r="O65" i="1"/>
  <c r="L65" i="1"/>
  <c r="I65" i="1"/>
  <c r="F65" i="1"/>
  <c r="O64" i="1"/>
  <c r="L64" i="1"/>
  <c r="I64" i="1"/>
  <c r="F64" i="1"/>
  <c r="O63" i="1"/>
  <c r="L63" i="1"/>
  <c r="I63" i="1"/>
  <c r="D63" i="1"/>
  <c r="F63" i="1" s="1"/>
  <c r="O62" i="1"/>
  <c r="L62" i="1"/>
  <c r="I62" i="1"/>
  <c r="F62" i="1"/>
  <c r="O61" i="1"/>
  <c r="L61" i="1"/>
  <c r="I61" i="1"/>
  <c r="F61" i="1"/>
  <c r="O60" i="1"/>
  <c r="L60" i="1"/>
  <c r="I60" i="1"/>
  <c r="F60" i="1"/>
  <c r="O59" i="1"/>
  <c r="L59" i="1"/>
  <c r="I59" i="1"/>
  <c r="F59" i="1"/>
  <c r="O58" i="1"/>
  <c r="N58" i="1"/>
  <c r="M58" i="1"/>
  <c r="K58" i="1"/>
  <c r="J58" i="1"/>
  <c r="H58" i="1"/>
  <c r="G58" i="1"/>
  <c r="E58" i="1"/>
  <c r="D58" i="1"/>
  <c r="O57" i="1"/>
  <c r="L57" i="1"/>
  <c r="I57" i="1"/>
  <c r="F57" i="1"/>
  <c r="O56" i="1"/>
  <c r="L56" i="1"/>
  <c r="L55" i="1" s="1"/>
  <c r="I56" i="1"/>
  <c r="I55" i="1" s="1"/>
  <c r="F56" i="1"/>
  <c r="O55" i="1"/>
  <c r="O54" i="1" s="1"/>
  <c r="N55" i="1"/>
  <c r="M55" i="1"/>
  <c r="K55" i="1"/>
  <c r="K54" i="1" s="1"/>
  <c r="J55" i="1"/>
  <c r="J54" i="1" s="1"/>
  <c r="J53" i="1" s="1"/>
  <c r="H55" i="1"/>
  <c r="G55" i="1"/>
  <c r="E55" i="1"/>
  <c r="D55" i="1"/>
  <c r="D54" i="1" s="1"/>
  <c r="D53" i="1" s="1"/>
  <c r="O47" i="1"/>
  <c r="C47" i="1" s="1"/>
  <c r="O46" i="1"/>
  <c r="C46" i="1" s="1"/>
  <c r="N45" i="1"/>
  <c r="M45" i="1"/>
  <c r="L44" i="1"/>
  <c r="L43" i="1" s="1"/>
  <c r="I44" i="1"/>
  <c r="F44" i="1"/>
  <c r="F43" i="1" s="1"/>
  <c r="K43" i="1"/>
  <c r="J43" i="1"/>
  <c r="I43" i="1"/>
  <c r="H43" i="1"/>
  <c r="G43" i="1"/>
  <c r="E43" i="1"/>
  <c r="D43" i="1"/>
  <c r="F42" i="1"/>
  <c r="F41" i="1" s="1"/>
  <c r="C41" i="1" s="1"/>
  <c r="E41" i="1"/>
  <c r="D41" i="1"/>
  <c r="L40" i="1"/>
  <c r="C40" i="1" s="1"/>
  <c r="L39" i="1"/>
  <c r="C39" i="1" s="1"/>
  <c r="L38" i="1"/>
  <c r="C38" i="1" s="1"/>
  <c r="L37" i="1"/>
  <c r="C37" i="1" s="1"/>
  <c r="K36" i="1"/>
  <c r="J36" i="1"/>
  <c r="L35" i="1"/>
  <c r="C35" i="1" s="1"/>
  <c r="L34" i="1"/>
  <c r="C34" i="1" s="1"/>
  <c r="K33" i="1"/>
  <c r="J33" i="1"/>
  <c r="L32" i="1"/>
  <c r="C32" i="1" s="1"/>
  <c r="K31" i="1"/>
  <c r="J31" i="1"/>
  <c r="L30" i="1"/>
  <c r="C30" i="1" s="1"/>
  <c r="L29" i="1"/>
  <c r="C29" i="1" s="1"/>
  <c r="L28" i="1"/>
  <c r="C28" i="1" s="1"/>
  <c r="K27" i="1"/>
  <c r="J27" i="1"/>
  <c r="F25" i="1"/>
  <c r="C25" i="1" s="1"/>
  <c r="I24" i="1"/>
  <c r="D24" i="1"/>
  <c r="F24" i="1" s="1"/>
  <c r="O23" i="1"/>
  <c r="J23" i="1"/>
  <c r="L23" i="1" s="1"/>
  <c r="I23" i="1"/>
  <c r="F23" i="1"/>
  <c r="O22" i="1"/>
  <c r="L22" i="1"/>
  <c r="I22" i="1"/>
  <c r="F22" i="1"/>
  <c r="F21" i="1" s="1"/>
  <c r="N21" i="1"/>
  <c r="N292" i="1" s="1"/>
  <c r="N291" i="1" s="1"/>
  <c r="M21" i="1"/>
  <c r="M292" i="1" s="1"/>
  <c r="M291" i="1" s="1"/>
  <c r="K21" i="1"/>
  <c r="J21" i="1"/>
  <c r="J292" i="1" s="1"/>
  <c r="J291" i="1" s="1"/>
  <c r="I21" i="1"/>
  <c r="I292" i="1" s="1"/>
  <c r="H21" i="1"/>
  <c r="H292" i="1" s="1"/>
  <c r="H291" i="1" s="1"/>
  <c r="G21" i="1"/>
  <c r="E21" i="1"/>
  <c r="E292" i="1" s="1"/>
  <c r="E291" i="1" s="1"/>
  <c r="D21" i="1"/>
  <c r="D292" i="1" s="1"/>
  <c r="D291" i="1" s="1"/>
  <c r="N20" i="1"/>
  <c r="G20" i="1"/>
  <c r="J144" i="1" l="1"/>
  <c r="C287" i="1"/>
  <c r="C24" i="1"/>
  <c r="H54" i="1"/>
  <c r="H53" i="1" s="1"/>
  <c r="C139" i="1"/>
  <c r="J204" i="1"/>
  <c r="N231" i="1"/>
  <c r="C240" i="1"/>
  <c r="C242" i="1"/>
  <c r="N259" i="1"/>
  <c r="F55" i="1"/>
  <c r="O187" i="1"/>
  <c r="C208" i="1"/>
  <c r="C213" i="1"/>
  <c r="C217" i="1"/>
  <c r="C218" i="1"/>
  <c r="C220" i="1"/>
  <c r="C222" i="1"/>
  <c r="C223" i="1"/>
  <c r="E259" i="1"/>
  <c r="K259" i="1"/>
  <c r="D270" i="1"/>
  <c r="H270" i="1"/>
  <c r="H269" i="1" s="1"/>
  <c r="C170" i="1"/>
  <c r="J187" i="1"/>
  <c r="C200" i="1"/>
  <c r="C201" i="1"/>
  <c r="M270" i="1"/>
  <c r="M269" i="1" s="1"/>
  <c r="E54" i="1"/>
  <c r="E53" i="1" s="1"/>
  <c r="I291" i="1"/>
  <c r="N54" i="1"/>
  <c r="N53" i="1" s="1"/>
  <c r="G54" i="1"/>
  <c r="G53" i="1" s="1"/>
  <c r="L80" i="1"/>
  <c r="C121" i="1"/>
  <c r="C143" i="1"/>
  <c r="C154" i="1"/>
  <c r="N230" i="1"/>
  <c r="C248" i="1"/>
  <c r="H259" i="1"/>
  <c r="C162" i="1"/>
  <c r="K195" i="1"/>
  <c r="H204" i="1"/>
  <c r="H195" i="1" s="1"/>
  <c r="C227" i="1"/>
  <c r="C132" i="1"/>
  <c r="C158" i="1"/>
  <c r="C159" i="1"/>
  <c r="C182" i="1"/>
  <c r="H231" i="1"/>
  <c r="C235" i="1"/>
  <c r="C65" i="1"/>
  <c r="C70" i="1"/>
  <c r="J83" i="1"/>
  <c r="C124" i="1"/>
  <c r="G187" i="1"/>
  <c r="C256" i="1"/>
  <c r="C258" i="1"/>
  <c r="C279" i="1"/>
  <c r="O293" i="1"/>
  <c r="C293" i="1" s="1"/>
  <c r="H20" i="1"/>
  <c r="G292" i="1"/>
  <c r="G291" i="1" s="1"/>
  <c r="K292" i="1"/>
  <c r="K291" i="1" s="1"/>
  <c r="J26" i="1"/>
  <c r="J20" i="1" s="1"/>
  <c r="K26" i="1"/>
  <c r="C44" i="1"/>
  <c r="K53" i="1"/>
  <c r="C55" i="1"/>
  <c r="C74" i="1"/>
  <c r="C82" i="1"/>
  <c r="M83" i="1"/>
  <c r="M75" i="1" s="1"/>
  <c r="L90" i="1"/>
  <c r="C93" i="1"/>
  <c r="C108" i="1"/>
  <c r="C111" i="1"/>
  <c r="G130" i="1"/>
  <c r="C150" i="1"/>
  <c r="C152" i="1"/>
  <c r="C153" i="1"/>
  <c r="O151" i="1"/>
  <c r="M173" i="1"/>
  <c r="C190" i="1"/>
  <c r="C232" i="1"/>
  <c r="D231" i="1"/>
  <c r="C253" i="1"/>
  <c r="C268" i="1"/>
  <c r="K270" i="1"/>
  <c r="K269" i="1" s="1"/>
  <c r="C274" i="1"/>
  <c r="C296" i="1"/>
  <c r="C299" i="1"/>
  <c r="M195" i="1"/>
  <c r="L31" i="1"/>
  <c r="C31" i="1" s="1"/>
  <c r="C66" i="1"/>
  <c r="N76" i="1"/>
  <c r="L76" i="1"/>
  <c r="C105" i="1"/>
  <c r="H130" i="1"/>
  <c r="C135" i="1"/>
  <c r="C137" i="1"/>
  <c r="C138" i="1"/>
  <c r="O136" i="1"/>
  <c r="C167" i="1"/>
  <c r="C186" i="1"/>
  <c r="D204" i="1"/>
  <c r="D195" i="1" s="1"/>
  <c r="C206" i="1"/>
  <c r="C207" i="1"/>
  <c r="C224" i="1"/>
  <c r="J231" i="1"/>
  <c r="J230" i="1" s="1"/>
  <c r="O238" i="1"/>
  <c r="C261" i="1"/>
  <c r="G270" i="1"/>
  <c r="G269" i="1" s="1"/>
  <c r="C280" i="1"/>
  <c r="C284" i="1"/>
  <c r="O21" i="1"/>
  <c r="L33" i="1"/>
  <c r="C33" i="1" s="1"/>
  <c r="C42" i="1"/>
  <c r="M54" i="1"/>
  <c r="M53" i="1" s="1"/>
  <c r="C62" i="1"/>
  <c r="C63" i="1"/>
  <c r="C64" i="1"/>
  <c r="C68" i="1"/>
  <c r="D76" i="1"/>
  <c r="J76" i="1"/>
  <c r="C78" i="1"/>
  <c r="C86" i="1"/>
  <c r="C88" i="1"/>
  <c r="C97" i="1"/>
  <c r="C99" i="1"/>
  <c r="C100" i="1"/>
  <c r="N83" i="1"/>
  <c r="C120" i="1"/>
  <c r="F122" i="1"/>
  <c r="D130" i="1"/>
  <c r="I131" i="1"/>
  <c r="E130" i="1"/>
  <c r="I136" i="1"/>
  <c r="C147" i="1"/>
  <c r="F160" i="1"/>
  <c r="C178" i="1"/>
  <c r="C180" i="1"/>
  <c r="C181" i="1"/>
  <c r="O179" i="1"/>
  <c r="E204" i="1"/>
  <c r="C212" i="1"/>
  <c r="C236" i="1"/>
  <c r="C244" i="1"/>
  <c r="C245" i="1"/>
  <c r="D259" i="1"/>
  <c r="O259" i="1"/>
  <c r="F270" i="1"/>
  <c r="D269" i="1"/>
  <c r="C277" i="1"/>
  <c r="C278" i="1"/>
  <c r="C288" i="1"/>
  <c r="C300" i="1"/>
  <c r="C301" i="1"/>
  <c r="D20" i="1"/>
  <c r="O67" i="1"/>
  <c r="O53" i="1" s="1"/>
  <c r="C23" i="1"/>
  <c r="C43" i="1"/>
  <c r="C73" i="1"/>
  <c r="C59" i="1"/>
  <c r="F89" i="1"/>
  <c r="C90" i="1"/>
  <c r="L27" i="1"/>
  <c r="L36" i="1"/>
  <c r="C36" i="1" s="1"/>
  <c r="O45" i="1"/>
  <c r="K83" i="1"/>
  <c r="H76" i="1"/>
  <c r="C79" i="1"/>
  <c r="O80" i="1"/>
  <c r="O76" i="1" s="1"/>
  <c r="L89" i="1"/>
  <c r="C94" i="1"/>
  <c r="C106" i="1"/>
  <c r="C107" i="1"/>
  <c r="C117" i="1"/>
  <c r="O122" i="1"/>
  <c r="L122" i="1"/>
  <c r="N130" i="1"/>
  <c r="C140" i="1"/>
  <c r="F141" i="1"/>
  <c r="L144" i="1"/>
  <c r="C155" i="1"/>
  <c r="O160" i="1"/>
  <c r="C163" i="1"/>
  <c r="I166" i="1"/>
  <c r="I165" i="1" s="1"/>
  <c r="C172" i="1"/>
  <c r="I175" i="1"/>
  <c r="I174" i="1" s="1"/>
  <c r="I173" i="1" s="1"/>
  <c r="C183" i="1"/>
  <c r="F184" i="1"/>
  <c r="M187" i="1"/>
  <c r="L198" i="1"/>
  <c r="C202" i="1"/>
  <c r="C209" i="1"/>
  <c r="C214" i="1"/>
  <c r="C215" i="1"/>
  <c r="C225" i="1"/>
  <c r="C229" i="1"/>
  <c r="I231" i="1"/>
  <c r="E231" i="1"/>
  <c r="E230" i="1" s="1"/>
  <c r="C254" i="1"/>
  <c r="G259" i="1"/>
  <c r="G230" i="1" s="1"/>
  <c r="I260" i="1"/>
  <c r="C266" i="1"/>
  <c r="C267" i="1"/>
  <c r="C285" i="1"/>
  <c r="C294" i="1"/>
  <c r="E187" i="1"/>
  <c r="I196" i="1"/>
  <c r="N195" i="1"/>
  <c r="C219" i="1"/>
  <c r="H230" i="1"/>
  <c r="C237" i="1"/>
  <c r="C243" i="1"/>
  <c r="C250" i="1"/>
  <c r="I264" i="1"/>
  <c r="C275" i="1"/>
  <c r="C298" i="1"/>
  <c r="C87" i="1"/>
  <c r="I84" i="1"/>
  <c r="C92" i="1"/>
  <c r="O89" i="1"/>
  <c r="I103" i="1"/>
  <c r="C114" i="1"/>
  <c r="C115" i="1"/>
  <c r="C126" i="1"/>
  <c r="C127" i="1"/>
  <c r="C129" i="1"/>
  <c r="F136" i="1"/>
  <c r="C145" i="1"/>
  <c r="C146" i="1"/>
  <c r="O144" i="1"/>
  <c r="F151" i="1"/>
  <c r="C156" i="1"/>
  <c r="C157" i="1"/>
  <c r="C164" i="1"/>
  <c r="C171" i="1"/>
  <c r="F179" i="1"/>
  <c r="E195" i="1"/>
  <c r="O198" i="1"/>
  <c r="O196" i="1" s="1"/>
  <c r="J195" i="1"/>
  <c r="O205" i="1"/>
  <c r="O204" i="1" s="1"/>
  <c r="I216" i="1"/>
  <c r="C228" i="1"/>
  <c r="M231" i="1"/>
  <c r="M230" i="1" s="1"/>
  <c r="M194" i="1" s="1"/>
  <c r="C249" i="1"/>
  <c r="C257" i="1"/>
  <c r="C265" i="1"/>
  <c r="I272" i="1"/>
  <c r="N270" i="1"/>
  <c r="N269" i="1" s="1"/>
  <c r="C297" i="1"/>
  <c r="F69" i="1"/>
  <c r="F67" i="1" s="1"/>
  <c r="C72" i="1"/>
  <c r="G76" i="1"/>
  <c r="H83" i="1"/>
  <c r="L84" i="1"/>
  <c r="G83" i="1"/>
  <c r="I89" i="1"/>
  <c r="C113" i="1"/>
  <c r="C118" i="1"/>
  <c r="C119" i="1"/>
  <c r="C125" i="1"/>
  <c r="K130" i="1"/>
  <c r="K75" i="1" s="1"/>
  <c r="F131" i="1"/>
  <c r="C134" i="1"/>
  <c r="L136" i="1"/>
  <c r="O141" i="1"/>
  <c r="F144" i="1"/>
  <c r="I144" i="1"/>
  <c r="I130" i="1" s="1"/>
  <c r="C148" i="1"/>
  <c r="C149" i="1"/>
  <c r="L151" i="1"/>
  <c r="C168" i="1"/>
  <c r="C169" i="1"/>
  <c r="E174" i="1"/>
  <c r="E173" i="1" s="1"/>
  <c r="J174" i="1"/>
  <c r="J173" i="1" s="1"/>
  <c r="C176" i="1"/>
  <c r="C177" i="1"/>
  <c r="O175" i="1"/>
  <c r="O174" i="1" s="1"/>
  <c r="L179" i="1"/>
  <c r="O184" i="1"/>
  <c r="H187" i="1"/>
  <c r="K187" i="1"/>
  <c r="G195" i="1"/>
  <c r="C203" i="1"/>
  <c r="F205" i="1"/>
  <c r="I205" i="1"/>
  <c r="I204" i="1" s="1"/>
  <c r="C210" i="1"/>
  <c r="C211" i="1"/>
  <c r="L216" i="1"/>
  <c r="C221" i="1"/>
  <c r="C226" i="1"/>
  <c r="C234" i="1"/>
  <c r="C241" i="1"/>
  <c r="O246" i="1"/>
  <c r="O231" i="1" s="1"/>
  <c r="K230" i="1"/>
  <c r="K194" i="1" s="1"/>
  <c r="C255" i="1"/>
  <c r="C262" i="1"/>
  <c r="C263" i="1"/>
  <c r="C273" i="1"/>
  <c r="J270" i="1"/>
  <c r="J269" i="1" s="1"/>
  <c r="O276" i="1"/>
  <c r="O270" i="1" s="1"/>
  <c r="O269" i="1" s="1"/>
  <c r="C281" i="1"/>
  <c r="C295" i="1"/>
  <c r="F292" i="1"/>
  <c r="F20" i="1"/>
  <c r="K20" i="1"/>
  <c r="L26" i="1"/>
  <c r="C27" i="1"/>
  <c r="C45" i="1"/>
  <c r="O292" i="1"/>
  <c r="O291" i="1" s="1"/>
  <c r="O20" i="1"/>
  <c r="C56" i="1"/>
  <c r="C57" i="1"/>
  <c r="C61" i="1"/>
  <c r="F58" i="1"/>
  <c r="F54" i="1" s="1"/>
  <c r="F80" i="1"/>
  <c r="C81" i="1"/>
  <c r="D83" i="1"/>
  <c r="O84" i="1"/>
  <c r="C91" i="1"/>
  <c r="C98" i="1"/>
  <c r="O103" i="1"/>
  <c r="L103" i="1"/>
  <c r="C110" i="1"/>
  <c r="C122" i="1"/>
  <c r="C133" i="1"/>
  <c r="L131" i="1"/>
  <c r="C160" i="1"/>
  <c r="L174" i="1"/>
  <c r="L173" i="1" s="1"/>
  <c r="E20" i="1"/>
  <c r="I20" i="1"/>
  <c r="M20" i="1"/>
  <c r="L21" i="1"/>
  <c r="C22" i="1"/>
  <c r="C60" i="1"/>
  <c r="I58" i="1"/>
  <c r="I54" i="1" s="1"/>
  <c r="L69" i="1"/>
  <c r="L67" i="1" s="1"/>
  <c r="E83" i="1"/>
  <c r="E75" i="1" s="1"/>
  <c r="E52" i="1" s="1"/>
  <c r="F84" i="1"/>
  <c r="C85" i="1"/>
  <c r="O95" i="1"/>
  <c r="L95" i="1"/>
  <c r="C102" i="1"/>
  <c r="F103" i="1"/>
  <c r="C104" i="1"/>
  <c r="C109" i="1"/>
  <c r="C136" i="1"/>
  <c r="C151" i="1"/>
  <c r="C179" i="1"/>
  <c r="F187" i="1"/>
  <c r="C188" i="1"/>
  <c r="F76" i="1"/>
  <c r="F95" i="1"/>
  <c r="C96" i="1"/>
  <c r="F130" i="1"/>
  <c r="L58" i="1"/>
  <c r="L54" i="1" s="1"/>
  <c r="C71" i="1"/>
  <c r="I69" i="1"/>
  <c r="C89" i="1"/>
  <c r="C184" i="1"/>
  <c r="I112" i="1"/>
  <c r="I116" i="1"/>
  <c r="J131" i="1"/>
  <c r="J130" i="1" s="1"/>
  <c r="J75" i="1" s="1"/>
  <c r="C193" i="1"/>
  <c r="L192" i="1"/>
  <c r="F112" i="1"/>
  <c r="F116" i="1"/>
  <c r="C123" i="1"/>
  <c r="C142" i="1"/>
  <c r="C161" i="1"/>
  <c r="F166" i="1"/>
  <c r="F174" i="1"/>
  <c r="C185" i="1"/>
  <c r="C189" i="1"/>
  <c r="F198" i="1"/>
  <c r="C199" i="1"/>
  <c r="J194" i="1"/>
  <c r="F231" i="1"/>
  <c r="I270" i="1"/>
  <c r="I269" i="1" s="1"/>
  <c r="C197" i="1"/>
  <c r="L196" i="1"/>
  <c r="F269" i="1"/>
  <c r="C286" i="1"/>
  <c r="I77" i="1"/>
  <c r="I76" i="1" s="1"/>
  <c r="L128" i="1"/>
  <c r="C128" i="1" s="1"/>
  <c r="L166" i="1"/>
  <c r="L165" i="1" s="1"/>
  <c r="L204" i="1"/>
  <c r="F216" i="1"/>
  <c r="F204" i="1" s="1"/>
  <c r="L238" i="1"/>
  <c r="C239" i="1"/>
  <c r="L246" i="1"/>
  <c r="C246" i="1" s="1"/>
  <c r="C247" i="1"/>
  <c r="F252" i="1"/>
  <c r="F260" i="1"/>
  <c r="F264" i="1"/>
  <c r="C271" i="1"/>
  <c r="C282" i="1"/>
  <c r="F283" i="1"/>
  <c r="C283" i="1" s="1"/>
  <c r="C233" i="1"/>
  <c r="L252" i="1"/>
  <c r="L251" i="1" s="1"/>
  <c r="L260" i="1"/>
  <c r="L264" i="1"/>
  <c r="L272" i="1"/>
  <c r="L270" i="1" s="1"/>
  <c r="L269" i="1" s="1"/>
  <c r="I252" i="1"/>
  <c r="I251" i="1" s="1"/>
  <c r="L53" i="1" l="1"/>
  <c r="O130" i="1"/>
  <c r="E194" i="1"/>
  <c r="E51" i="1" s="1"/>
  <c r="L130" i="1"/>
  <c r="D230" i="1"/>
  <c r="D194" i="1" s="1"/>
  <c r="C116" i="1"/>
  <c r="H194" i="1"/>
  <c r="N75" i="1"/>
  <c r="N289" i="1" s="1"/>
  <c r="C131" i="1"/>
  <c r="I195" i="1"/>
  <c r="K289" i="1"/>
  <c r="O173" i="1"/>
  <c r="K52" i="1"/>
  <c r="K51" i="1" s="1"/>
  <c r="K290" i="1" s="1"/>
  <c r="I259" i="1"/>
  <c r="I230" i="1" s="1"/>
  <c r="I194" i="1" s="1"/>
  <c r="M52" i="1"/>
  <c r="C276" i="1"/>
  <c r="C175" i="1"/>
  <c r="C80" i="1"/>
  <c r="C205" i="1"/>
  <c r="G75" i="1"/>
  <c r="G52" i="1" s="1"/>
  <c r="M289" i="1"/>
  <c r="C141" i="1"/>
  <c r="O230" i="1"/>
  <c r="C216" i="1"/>
  <c r="I83" i="1"/>
  <c r="I75" i="1" s="1"/>
  <c r="D75" i="1"/>
  <c r="D52" i="1" s="1"/>
  <c r="M51" i="1"/>
  <c r="L83" i="1"/>
  <c r="L75" i="1" s="1"/>
  <c r="N194" i="1"/>
  <c r="H75" i="1"/>
  <c r="C130" i="1"/>
  <c r="L231" i="1"/>
  <c r="C103" i="1"/>
  <c r="G194" i="1"/>
  <c r="C144" i="1"/>
  <c r="O195" i="1"/>
  <c r="J289" i="1"/>
  <c r="J52" i="1"/>
  <c r="J51" i="1" s="1"/>
  <c r="C238" i="1"/>
  <c r="C269" i="1"/>
  <c r="C198" i="1"/>
  <c r="F196" i="1"/>
  <c r="E289" i="1"/>
  <c r="C69" i="1"/>
  <c r="I67" i="1"/>
  <c r="C67" i="1" s="1"/>
  <c r="C95" i="1"/>
  <c r="L292" i="1"/>
  <c r="L291" i="1" s="1"/>
  <c r="L20" i="1"/>
  <c r="C20" i="1" s="1"/>
  <c r="C264" i="1"/>
  <c r="C204" i="1"/>
  <c r="C270" i="1"/>
  <c r="C231" i="1"/>
  <c r="C174" i="1"/>
  <c r="F173" i="1"/>
  <c r="C173" i="1" s="1"/>
  <c r="C77" i="1"/>
  <c r="O83" i="1"/>
  <c r="O75" i="1" s="1"/>
  <c r="C26" i="1"/>
  <c r="C272" i="1"/>
  <c r="C166" i="1"/>
  <c r="F165" i="1"/>
  <c r="C165" i="1" s="1"/>
  <c r="C192" i="1"/>
  <c r="L191" i="1"/>
  <c r="C76" i="1"/>
  <c r="C84" i="1"/>
  <c r="F83" i="1"/>
  <c r="C54" i="1"/>
  <c r="F53" i="1"/>
  <c r="C21" i="1"/>
  <c r="F259" i="1"/>
  <c r="C260" i="1"/>
  <c r="L259" i="1"/>
  <c r="L230" i="1" s="1"/>
  <c r="F251" i="1"/>
  <c r="C251" i="1" s="1"/>
  <c r="C252" i="1"/>
  <c r="L195" i="1"/>
  <c r="C112" i="1"/>
  <c r="C58" i="1"/>
  <c r="C292" i="1"/>
  <c r="F291" i="1"/>
  <c r="E50" i="1" l="1"/>
  <c r="E290" i="1"/>
  <c r="D51" i="1"/>
  <c r="N52" i="1"/>
  <c r="N51" i="1" s="1"/>
  <c r="K50" i="1"/>
  <c r="G51" i="1"/>
  <c r="G50" i="1" s="1"/>
  <c r="G289" i="1"/>
  <c r="D289" i="1"/>
  <c r="O194" i="1"/>
  <c r="C259" i="1"/>
  <c r="C83" i="1"/>
  <c r="G290" i="1"/>
  <c r="M50" i="1"/>
  <c r="M290" i="1"/>
  <c r="H52" i="1"/>
  <c r="H51" i="1" s="1"/>
  <c r="H289" i="1"/>
  <c r="C291" i="1"/>
  <c r="L194" i="1"/>
  <c r="F230" i="1"/>
  <c r="C230" i="1" s="1"/>
  <c r="O52" i="1"/>
  <c r="O289" i="1"/>
  <c r="D290" i="1"/>
  <c r="D50" i="1"/>
  <c r="C191" i="1"/>
  <c r="L187" i="1"/>
  <c r="I53" i="1"/>
  <c r="J50" i="1"/>
  <c r="J290" i="1"/>
  <c r="F195" i="1"/>
  <c r="C196" i="1"/>
  <c r="F75" i="1"/>
  <c r="C75" i="1" s="1"/>
  <c r="N290" i="1" l="1"/>
  <c r="N50" i="1"/>
  <c r="O51" i="1"/>
  <c r="H290" i="1"/>
  <c r="H50" i="1"/>
  <c r="F194" i="1"/>
  <c r="C194" i="1" s="1"/>
  <c r="C195" i="1"/>
  <c r="L289" i="1"/>
  <c r="L52" i="1"/>
  <c r="L51" i="1" s="1"/>
  <c r="C187" i="1"/>
  <c r="F289" i="1"/>
  <c r="F52" i="1"/>
  <c r="I52" i="1"/>
  <c r="I51" i="1" s="1"/>
  <c r="I289" i="1"/>
  <c r="O50" i="1"/>
  <c r="O290" i="1"/>
  <c r="C53" i="1"/>
  <c r="L50" i="1" l="1"/>
  <c r="L290" i="1"/>
  <c r="I290" i="1"/>
  <c r="I50" i="1"/>
  <c r="F51" i="1"/>
  <c r="C52" i="1"/>
  <c r="C289" i="1"/>
  <c r="F290" i="1" l="1"/>
  <c r="C290" i="1" s="1"/>
  <c r="C51" i="1"/>
  <c r="F50" i="1"/>
  <c r="C50" i="1" s="1"/>
</calcChain>
</file>

<file path=xl/comments1.xml><?xml version="1.0" encoding="utf-8"?>
<comments xmlns="http://schemas.openxmlformats.org/spreadsheetml/2006/main">
  <authors>
    <author>Vita Madjare</author>
  </authors>
  <commentList>
    <comment ref="C96" authorId="0" shapeId="0">
      <text>
        <r>
          <rPr>
            <b/>
            <sz val="9"/>
            <color indexed="81"/>
            <rFont val="Tahoma"/>
            <family val="2"/>
            <charset val="186"/>
          </rPr>
          <t>Vita Madjare:</t>
        </r>
        <r>
          <rPr>
            <sz val="9"/>
            <color indexed="81"/>
            <rFont val="Tahoma"/>
            <family val="2"/>
            <charset val="186"/>
          </rPr>
          <t xml:space="preserve">
Saskaņā ar 13.05.2016. grozījumiem</t>
        </r>
      </text>
    </comment>
  </commentList>
</comments>
</file>

<file path=xl/sharedStrings.xml><?xml version="1.0" encoding="utf-8"?>
<sst xmlns="http://schemas.openxmlformats.org/spreadsheetml/2006/main" count="40475" uniqueCount="2402">
  <si>
    <t>Tāme Nr.06.1.1.</t>
  </si>
  <si>
    <t>IEŅĒMUMU UN IZDEVUMU TĀME 2019.GADAM</t>
  </si>
  <si>
    <t>Budžeta finansēta institūcija</t>
  </si>
  <si>
    <t>Jūrmalas pilsētas dome</t>
  </si>
  <si>
    <t>Reģistrācijas Nr.</t>
  </si>
  <si>
    <t>90000056357</t>
  </si>
  <si>
    <t>Adrese</t>
  </si>
  <si>
    <t>Jūrmala, Jomas iela 1/5</t>
  </si>
  <si>
    <t>Funkcionālās klasifikācijas kods</t>
  </si>
  <si>
    <t>06.600</t>
  </si>
  <si>
    <t>Programma</t>
  </si>
  <si>
    <t>Iestādes uzturēšana</t>
  </si>
  <si>
    <t>Konta Nr.</t>
  </si>
  <si>
    <t>pamatbudžetam</t>
  </si>
  <si>
    <t>LV57PARX0002484572002</t>
  </si>
  <si>
    <t>Valsts budžeta transfertiem</t>
  </si>
  <si>
    <t>projektiem</t>
  </si>
  <si>
    <t>maksas pakalpojumiem</t>
  </si>
  <si>
    <t>LV81PARX0002484577002</t>
  </si>
  <si>
    <t>ziedojumiem, dāvinājumiem</t>
  </si>
  <si>
    <t>Budžeta klasifikācijas                                                         kods</t>
  </si>
  <si>
    <t>Rādītāju nosaukumi</t>
  </si>
  <si>
    <t>Izdevumu tāme 2019.gadam</t>
  </si>
  <si>
    <t>Kopā</t>
  </si>
  <si>
    <t>Pamatbudžets pirms priekšlikumiem</t>
  </si>
  <si>
    <t>Priekšlikumi izmaiņām pamatbudž. (+/-)</t>
  </si>
  <si>
    <t>Pamatbudžets</t>
  </si>
  <si>
    <t>Valsts un citu pašvaldību (iestāžu) budžeta transferti pirms priekšlikumiem</t>
  </si>
  <si>
    <t>Priekšlikumi izmaiņām Valsts u.c. pašvaldību (iestāžu) budž.transf. (+/-)</t>
  </si>
  <si>
    <t>Valsts un citu pašvaldību (iestāžu) budžeta transferti</t>
  </si>
  <si>
    <t>Maksas pakalpojumi pirms priekšlikumiem</t>
  </si>
  <si>
    <t>Priekšlikumi izmaiņām maksas pakalpojumi (+/-)</t>
  </si>
  <si>
    <t>Maksas pakalpojumi</t>
  </si>
  <si>
    <t>Ziedojumi, dāvinājumi pirms priekšlikumiem</t>
  </si>
  <si>
    <t>Priekšlikumi izmaiņām ziedojumi, dāvinājumi (+/-)</t>
  </si>
  <si>
    <t>Ziedojumi, dāvinājumi</t>
  </si>
  <si>
    <t>Finanšu līdzekļu nepieciešamības pamatojums, aprēķini, atšifrējumi, ekonomijas vai samazinājuma iemesli</t>
  </si>
  <si>
    <t>1</t>
  </si>
  <si>
    <t xml:space="preserve">  I   IEŅĒMUMI</t>
  </si>
  <si>
    <t>Ieņēmumi pavisam kopā, t.sk.:</t>
  </si>
  <si>
    <t>Atlikums gada sākumā, t.sk:</t>
  </si>
  <si>
    <t>F21010000   kasē</t>
  </si>
  <si>
    <t>F22010000 bankā</t>
  </si>
  <si>
    <t>Pašvaldības un tās iestāžu savstarpējie transferti</t>
  </si>
  <si>
    <t>X</t>
  </si>
  <si>
    <t>Ieņēmumi no citiem avotiem saskaņā ar noslēgtajiem līgumiem</t>
  </si>
  <si>
    <t>Ieņēmumi no iestāžu sniegtajiem maksas pakalpojumiem un citi pašu ieņēmumi</t>
  </si>
  <si>
    <t>Maksa par izglītības pakalpojumiem</t>
  </si>
  <si>
    <t>Mācību maksa</t>
  </si>
  <si>
    <t>Ieņēmumi no vecāku maksām</t>
  </si>
  <si>
    <t>Pārējie ieņēmumi par izglītības pakalpojumiem</t>
  </si>
  <si>
    <t>Ieņēmumi par dokumentu izsniegšanu un kancelejas pakalpojumiem</t>
  </si>
  <si>
    <t>Ieņēmumi par pārējo dokumentu izsniegšanu un pārēejiem kancelejas pakalpojumiem</t>
  </si>
  <si>
    <t>Ieņēmumi par nomu un īri</t>
  </si>
  <si>
    <t>Ieņēmumi par telpu nomu</t>
  </si>
  <si>
    <t>Ieņēmumi no kustamā īpašuma iznomāšanas</t>
  </si>
  <si>
    <t>Ieņēmumi par pārējiem sniegtajiem maksas pakalpojumiem</t>
  </si>
  <si>
    <t>Maksa par personu uzturēšanos sociālās aprūpes iestādēs</t>
  </si>
  <si>
    <t>Ieņēmumi par biļešu realizāciju</t>
  </si>
  <si>
    <t>Ieņēmumi par projektu realizāciju</t>
  </si>
  <si>
    <t>Citi ieņēmumi par maksas pakalpojumiem</t>
  </si>
  <si>
    <t>Pārējie šajā klasifikācijā iepriekš neklasificētie ieņēmumi</t>
  </si>
  <si>
    <t>Pārējie iepriekš neklasificētie īpašiem mērķiem noteiktie ieņēmumi</t>
  </si>
  <si>
    <t>Citi iepriekš neklasificētie pašu ieņēmumi</t>
  </si>
  <si>
    <t>Pārējie iepriekš neklasificētie pašu ieņēmumi</t>
  </si>
  <si>
    <t>Saņemtie ziedojumi un dāvinājumi</t>
  </si>
  <si>
    <t>Juridisku personu ziedojumi un dāvinājumi naudā</t>
  </si>
  <si>
    <t>Fizisko personu ziedojumi un dāvinājumi naudā</t>
  </si>
  <si>
    <t xml:space="preserve">  I I     IZDEVUMI</t>
  </si>
  <si>
    <t>Izdevumi pavisam kopā, t.sk.</t>
  </si>
  <si>
    <t>Izdevumi (uzturēšanas izdevumi+izdevumi kapitālieguldījumiem)</t>
  </si>
  <si>
    <t>Uzturēšanas izdevumi kopā (1000; 2000; 3000; 4000)</t>
  </si>
  <si>
    <t>Atlīdzība</t>
  </si>
  <si>
    <t xml:space="preserve">Atalgojums  </t>
  </si>
  <si>
    <t>Mēnešalga</t>
  </si>
  <si>
    <t>Deputātu mēnešalga</t>
  </si>
  <si>
    <t>Pārējo darbinieku mēnešalga (darba alga)</t>
  </si>
  <si>
    <t>Piemaksas, prēmijas un naudas balvas</t>
  </si>
  <si>
    <t>Piemaksa par nakts darbu</t>
  </si>
  <si>
    <t>Samaksa par virsstundu darbu un darbu svētku dienās</t>
  </si>
  <si>
    <t>Piemaksa par darbu īpašos apstākļos, speciālās piemaksas</t>
  </si>
  <si>
    <t>Piemaksa par personisko darba ieguldījumu un darba kvalitāti</t>
  </si>
  <si>
    <t>Piemaksa par papildu darbu</t>
  </si>
  <si>
    <t>Prēmijas un naudas balvas</t>
  </si>
  <si>
    <t>Citas normatīvajos aktos noteiktās piemaksas, kas nav iepriekš klasificētas</t>
  </si>
  <si>
    <t>Atalgojums fiziskajām personām uz tiesiskās attiecības regulējošu dokumentu pamata</t>
  </si>
  <si>
    <t>Darba devēja valsts soc. apdroš. obl. iemaksas, pabalsti un kompensācijas</t>
  </si>
  <si>
    <t>Darba devēja valsts sociālās apdrošin. obligātās iemaksas</t>
  </si>
  <si>
    <t>Darba devēja pabalsti, kompensācijas un citi maksājumi</t>
  </si>
  <si>
    <t>Darba devēja pabalsti un kompensācijas, no kuriem aprēķina iedzīvotāju ienākuma nodokli un valsts soc. apdroš. obl. iemaksas</t>
  </si>
  <si>
    <t>Mācību maksas kompensācija</t>
  </si>
  <si>
    <t>Darba devēja uzturdevas kompensācija</t>
  </si>
  <si>
    <t>Darba devēja izdevumi veselības, dzīvības un nelaimes gadījumu apdrošināšanai</t>
  </si>
  <si>
    <t>Darba devēja pabalsti un kompensācijas, no kā neaprēķina iedzīvotāju ienākuma nodokli un valsts soc. apdroš. obl. Iemaksas</t>
  </si>
  <si>
    <t>Preces un pakalpojumi</t>
  </si>
  <si>
    <t>Mācību, darba un dienesta komandējumi, darba braucieni</t>
  </si>
  <si>
    <t>Iekšzemes mācību, darba un dienesta komandējumi, darba braucieni</t>
  </si>
  <si>
    <t>Dienas nauda</t>
  </si>
  <si>
    <t>Pārējie komandējumu un darba braucienu izdevumi</t>
  </si>
  <si>
    <t xml:space="preserve">Ārvalstu mācību, darba un dienesta komandējumi, darba braucieni </t>
  </si>
  <si>
    <t>Pakalpojumi</t>
  </si>
  <si>
    <t>Izdevumi par sakaru pakalpojumiem</t>
  </si>
  <si>
    <t>Valsts nozīmes datu pārraides tīkla pakalpojumi</t>
  </si>
  <si>
    <t>Telefona abonēšanas maksa, vietējo un tālsarunu apmaksa, interneta pakalpojumu sniedzēju apmaksa</t>
  </si>
  <si>
    <t>Mobilā telefona abonēšanas maksas un sarunu apmaksa</t>
  </si>
  <si>
    <t>Pārējie sakaru pakalpojumi</t>
  </si>
  <si>
    <t>Izdevumi par komunālajiem pakalpojumiem</t>
  </si>
  <si>
    <t>Izdevumi par siltumenerģiju, tai skaitā apkuri</t>
  </si>
  <si>
    <t>Izdevumi par ūdeni un kanalizāciju</t>
  </si>
  <si>
    <t>Izdevumi par elektroenerģiju</t>
  </si>
  <si>
    <t>Izdevumi par atkritumu savākšanu, izvešanu no apdzīvotām vietām un teritorijām ārpus apdzīvotām vietām un atkritumu utilizāciju</t>
  </si>
  <si>
    <t>Izdevumi par pārējiem komunālajiem pakalpojumiem</t>
  </si>
  <si>
    <t>Iestādes administratīvie izdevumi un ar iestādes darbības nodrošināšanu saistītie izdevumi</t>
  </si>
  <si>
    <t>Administratīvie izdevumi un sabiedriskās attiecības</t>
  </si>
  <si>
    <t>Auditoru, tulku pakalpojumi, izdevumi par iestāžu pasūtītajiem pētījumiem</t>
  </si>
  <si>
    <t>Izdevumi par transporta pakalpojumiem</t>
  </si>
  <si>
    <t>Normatīvajos aktos noteiktie darba devēja veselības izdevumi darba ņēmējiem</t>
  </si>
  <si>
    <t>Izdevumi par saņemtajiem mācību pakalpojumiem</t>
  </si>
  <si>
    <t>Maksājumu pakalpojumi un komisijas</t>
  </si>
  <si>
    <t xml:space="preserve">Pārējie iestādes administratīvie izdevumi </t>
  </si>
  <si>
    <t>Remontdarbi un iestāžu uzturēšanas pakalpojumi (izņemot kapitālo remontu)</t>
  </si>
  <si>
    <t>Ēku, būvju un telpu kārtējais remonts</t>
  </si>
  <si>
    <t>Transportlīdzekļu uzturēšana un remonts</t>
  </si>
  <si>
    <t>Iekārtas, inventāra un aparatūras remonts, tehniskā apkalpošana</t>
  </si>
  <si>
    <t>Nekustamā īpašuma uzturēšana</t>
  </si>
  <si>
    <t>Autoceļu un ielu pārvaldīšana un uzturēšana</t>
  </si>
  <si>
    <t>Apdrošināšanas izdevumi</t>
  </si>
  <si>
    <t>Profesionālās darbības civiltiesiskās atbildības apdrošināšanas izdevumi</t>
  </si>
  <si>
    <t>Pārējie remontdarbu un iestāžu uzturēšanas pakalpojumi</t>
  </si>
  <si>
    <t>Informācijas tehnoloģijas pakalpojumi</t>
  </si>
  <si>
    <t>Informācijas sistēmas uzturēšana</t>
  </si>
  <si>
    <t>Informācijas sistēmas licenču nomas izdevumi</t>
  </si>
  <si>
    <t>Pārējie informācijas tehnoloģiju pakalpojumi</t>
  </si>
  <si>
    <t>Īre un noma</t>
  </si>
  <si>
    <t>Ēku, telpu īre un noma</t>
  </si>
  <si>
    <t>Transportlīdzekļu noma</t>
  </si>
  <si>
    <t>Zemes noma</t>
  </si>
  <si>
    <t>Iekārtu, aparatūras un inventāra īre un noma</t>
  </si>
  <si>
    <t>Pārējā noma</t>
  </si>
  <si>
    <t>Citi pakalpojumi</t>
  </si>
  <si>
    <t>Izdevumi par tiesvedības darbiem</t>
  </si>
  <si>
    <t>Ar brīvprātīgā darba veikšanu saistītie izdevumi</t>
  </si>
  <si>
    <t>Pašvaldību līdzekļi neparedzētiem gadījumiem</t>
  </si>
  <si>
    <t>Izdevumi juridiskās palīdzības sniedzējiem un zvērinātiem tiesu izpildītājiem</t>
  </si>
  <si>
    <t>Pārējie iepriekš neklasificētie pakalpojumu veidi</t>
  </si>
  <si>
    <t>Maksājumi par parāda apkalpošanu un komisijas maksas par izmantotajiem atsavinātajiem finanšu instrumentiem</t>
  </si>
  <si>
    <t>Maksājumi par pašvaldību parāda apkalpošanu</t>
  </si>
  <si>
    <t>Krājumi, materiāli, energoresursi, preces, biroja preces un inventārs, kurus neuzskaita kodā 5000</t>
  </si>
  <si>
    <t>Izdevumi par precēm iestādes darbības nodrošināšanai</t>
  </si>
  <si>
    <t xml:space="preserve">Biroja preces </t>
  </si>
  <si>
    <t>Inventārs</t>
  </si>
  <si>
    <t>Spectērpi</t>
  </si>
  <si>
    <t>Izdevumi par precēm iestādes administratīvās darbības nodrošināšanai un sabiedrisko attiecību īstenošanai</t>
  </si>
  <si>
    <t>Kurināmais un enerģētiskie  materiāli</t>
  </si>
  <si>
    <t>Kurināmais</t>
  </si>
  <si>
    <t>Degviela</t>
  </si>
  <si>
    <t>Pārējie enerģētiskie materiāli</t>
  </si>
  <si>
    <t>Materiāli un izejvielas palīgražošanai</t>
  </si>
  <si>
    <t>Zāles, ķimikālijas, laboratorijas preces, medicīniskās ierīces, medicīniskie instrumenti, laboratorijas dzīvnieki un to uzturēšana</t>
  </si>
  <si>
    <t>Zāles, ķimikālijas, laboratorijas preces</t>
  </si>
  <si>
    <t>Medicīnas instrumenti, laboratorijas dzīvnieki un to uzturēšana</t>
  </si>
  <si>
    <t>Kārtējā remonta un iestāžu uzturēšanas materiāli</t>
  </si>
  <si>
    <t>Remontmateriāli</t>
  </si>
  <si>
    <t>Saimniecības materiāli</t>
  </si>
  <si>
    <t>Elektroiekārtu remonta un uzturēšanas materiāli</t>
  </si>
  <si>
    <t>Transportlīdzekļu uzturēšana un remontmateriāli</t>
  </si>
  <si>
    <t>Datortehnikas remonta un uzturēšanas materiāli</t>
  </si>
  <si>
    <t>Pārējās kārtējo remontu materiālu izmaksas</t>
  </si>
  <si>
    <t>Valsts un pašvaldību aprūpē un apgādē esošo personu uzturēšana</t>
  </si>
  <si>
    <t>Mīkstais inventārs</t>
  </si>
  <si>
    <t>Virtuves inventārs, trauki un galda piederumi</t>
  </si>
  <si>
    <t>Ēdināšanas izdevumi</t>
  </si>
  <si>
    <t>Formas tērpi un speciālais apģērbs</t>
  </si>
  <si>
    <t>Uzturdevas kompensācija</t>
  </si>
  <si>
    <t>Apdrošināšanas izdevumi veselības, dzīvības un nelaimes gadījumu apdrošināšanai</t>
  </si>
  <si>
    <t>Pārējie valsts un pašvaldību aprūpē un apgādē esošo personu uzturēšanas izdevumi, kuri nav minēti citos koda 2360 apakškodos</t>
  </si>
  <si>
    <t>Mācību līdzekļi un materiāli</t>
  </si>
  <si>
    <t>Specifiskie materiāli un inventārs</t>
  </si>
  <si>
    <t>Munīcija un sprāgstvielas</t>
  </si>
  <si>
    <t>Pārējie specifiskas lietošanas materiāli un inventārs</t>
  </si>
  <si>
    <t>Pārējās preces</t>
  </si>
  <si>
    <t>Izdevumi periodikas iegādei</t>
  </si>
  <si>
    <t>Budžeta iestāžu nodokļu, nodevu un sankciju maksājumi</t>
  </si>
  <si>
    <t>Budžeta iestāžu nodokļu un nodevu maksājumi</t>
  </si>
  <si>
    <t>Budžeta iestāžu pievienotās vērtības nodokļa maksājumi</t>
  </si>
  <si>
    <t>Budžeta iestāžu nekustamā īpašuma nodokļa (t.sk. zemes nodokļa parāda) maksājumi budžetā</t>
  </si>
  <si>
    <t>Budžeta iestāžu dabas resursu nodokļa maksājumi</t>
  </si>
  <si>
    <t>Pārējie budžeta iestāžu pārskaitītie nodokļi un nodevas</t>
  </si>
  <si>
    <t>Maksājumi par budžeta iestādēm piemērotajām sankcijām</t>
  </si>
  <si>
    <t>Pakalpojumi, kurus budžeta iestādes apmaksā noteikto funkciju ietvaros, kas nav iestādes administratīvie izdevumi</t>
  </si>
  <si>
    <t>Subsīdijas un dotācijas</t>
  </si>
  <si>
    <t>Subsīdijas un dotācijas komersantiem, biedrībām un nodibinājumiem</t>
  </si>
  <si>
    <t>Valsts un pašvaldību budžeta dotācija komersantiem, biedrībām un nodibinājumiem un fiziskām personām</t>
  </si>
  <si>
    <t>Valsts un pašvaldību budžeta dotācija valsts un pašvaldību komersantiem</t>
  </si>
  <si>
    <t>Valsts un pašvaldību budžeta dotācija komersantiem, ostām un speciālajām ekonomiskajām zonām</t>
  </si>
  <si>
    <t>Valsts un pašvaldību budžeta dotācija biedrībām un nodibinājumiem</t>
  </si>
  <si>
    <t>Subsīdijas un dotācijas komersantiem, biedrībām un nodibinājumiem, ostām un speciālajām ekonomiskajām zonām Eiropas Savienības politiku instrumentu un pārējās ārvalstu finanšu palīdzības līdzfinansēto projektu un (vai) pasākumu ietvaros</t>
  </si>
  <si>
    <t>Subsīdijas un dotācijas biedrībām un nodibinājumiem Eiropas Savienības politiku instrumentu un pārējās ārvalstu finanšu palīdzības līdzfinansētajiem projektiem (pasākumiem)</t>
  </si>
  <si>
    <t>Subsīdijas un dotācijas komersantiem, ostām un speciālajām ekonomiskajām zonām Eiropas Savienības politiku instrumentu un pārējās ārvalstu finanšu palīdzības līdzfinansētajiem projektiem (pasākumiem)</t>
  </si>
  <si>
    <t>Atmaksa komersantiem, ostām un speciālajām ekonomiskajām zonām par Eiropas Savienības politiku instrumentu un pārējās ārvalstu finanšu palīdzības projektu (pasākumu) īstenošanu</t>
  </si>
  <si>
    <t>Atmaksa biedrībām un nodibinājumiem par Eiropas Savienības politiku instrumentu un pārējās ārvalstu finanšu palīdzības projektu (pasākumu) īstenošanu</t>
  </si>
  <si>
    <t>Subsīdijas komersantiem sabiedriskā transporta pakalpojumu nodrošināšanai (par pasažieru regulārajiem pārvadājumiem)</t>
  </si>
  <si>
    <t>Produktu supsīdijas komersantiem sabiedriskā transporta pakalpojumu nodrošināšanai (par pasažieru regulārajiem pārvadājumiem)</t>
  </si>
  <si>
    <t>Citas ražošanas subsīdijas komersantiem sabiedriskā transporta pakalpojumu nodrošināšanai (par pasažieru regulārajiem pārvadājumiem)</t>
  </si>
  <si>
    <t>Procentu izdevumi</t>
  </si>
  <si>
    <t>Procentu maksājumi iekšzemes kredītiestādēm</t>
  </si>
  <si>
    <t>Procentu maksājumi iekšzemes finanšu institūcijām par aizņēmumiem un vērtspapīriem</t>
  </si>
  <si>
    <t>Budžeta iestāžu līzinga procentu maksājumi</t>
  </si>
  <si>
    <t>Pārējie procentu maksājumi</t>
  </si>
  <si>
    <t>Budžeta iestāžu procentu maksājumi Valsts kasei</t>
  </si>
  <si>
    <t>Budžeta iestāžu procenta maksājumi Valsts kasei, izņemot valsts sociālās apdrošināšanas speciālo budžetu</t>
  </si>
  <si>
    <t>Izdevumi kapitālieguldījumiem - kopā</t>
  </si>
  <si>
    <t>Pamatkapitāla veidošana</t>
  </si>
  <si>
    <t>Nemateriālie ieguldījumi</t>
  </si>
  <si>
    <t>Attīstības pasākumi un programmas</t>
  </si>
  <si>
    <t>Licences, koncesijas un patenti, preču zīmes un līdzīgas tiesības</t>
  </si>
  <si>
    <t>Datorprogrammas</t>
  </si>
  <si>
    <t>Pārējās licences, koncesijas un patenti, preču zīmes un tamlīdzīgas tiesības</t>
  </si>
  <si>
    <t>Pārējie nemateriālie ieguldījumi</t>
  </si>
  <si>
    <t>Nemateriālo ieguldījumu izveidošana</t>
  </si>
  <si>
    <t>Kapitālsabiedrību iegādes rezultātā iegūtā nemateriālā vērtība</t>
  </si>
  <si>
    <t>Pamatlīdzekļi</t>
  </si>
  <si>
    <t>Zeme un būves</t>
  </si>
  <si>
    <t>Dzīvojamās ēkas</t>
  </si>
  <si>
    <t>Nedzīvojamās ēkas</t>
  </si>
  <si>
    <t>Transporta būves</t>
  </si>
  <si>
    <t>Zeme zem būvēm</t>
  </si>
  <si>
    <t>Kultivētā zeme</t>
  </si>
  <si>
    <t>Atpūtai un izklaidei izmantojamā zeme</t>
  </si>
  <si>
    <t>Pārējā zeme</t>
  </si>
  <si>
    <t>Inženierbūves</t>
  </si>
  <si>
    <t>Pārējais nekustamais īpašums</t>
  </si>
  <si>
    <t>Tehnoloģiskās iekārtas un mašīnas</t>
  </si>
  <si>
    <t>Pārējie pamatlīdzekļi</t>
  </si>
  <si>
    <t>Transportlīdzekļi</t>
  </si>
  <si>
    <t>Saimniecības pamatlīdzekļi</t>
  </si>
  <si>
    <t>Bibliotēku krājumi</t>
  </si>
  <si>
    <t>Izklaides, literārie un mākslas oriģināldarbi</t>
  </si>
  <si>
    <t>Antīkie un citi mākslas priekšmeti</t>
  </si>
  <si>
    <t>Citas vērtslietas</t>
  </si>
  <si>
    <t>Datortehnika, sakaru un cita biroja tehnika</t>
  </si>
  <si>
    <t>Pārējie iepriekš neklasificētie pamatlīdzekļi</t>
  </si>
  <si>
    <t>Pamatlīdzekļu izveidošana un nepabeigtā būvniecība</t>
  </si>
  <si>
    <t>Kapitālais remonts un rekonstrukcija</t>
  </si>
  <si>
    <t>Bioloģiskie un pazemes aktīvi</t>
  </si>
  <si>
    <t>Pārējie bioloģiskie un lauksaimniecības aktīvi</t>
  </si>
  <si>
    <t>Ilgtermiņa ieguldījumi nomātajos pamatlīdzekļos</t>
  </si>
  <si>
    <t>Sociālie pabalsti</t>
  </si>
  <si>
    <t>Pensijas un sociālie pabalsti naudā</t>
  </si>
  <si>
    <t>Valsts sociālās apdrošināšanas pabalsti naudā</t>
  </si>
  <si>
    <t>Valsts sociālie pabalsti naudā</t>
  </si>
  <si>
    <t>Pārējie valsts pabalsti un kompensācijas</t>
  </si>
  <si>
    <t>Valsts un pašvaldību nodarbinātības pabalsti naudā</t>
  </si>
  <si>
    <t>Bezdarbnieku pabalsts</t>
  </si>
  <si>
    <t>Bezdarbnieku stipendija</t>
  </si>
  <si>
    <t>Pašvaldību sociālā palīdzība iedzīvotājiem naudā</t>
  </si>
  <si>
    <t>Pabalsti veselības aprūpei naudā</t>
  </si>
  <si>
    <t>Pabalsti ēdināšanai naudā</t>
  </si>
  <si>
    <t>Pašvaldību pabalsti naudā krīzes situācijā</t>
  </si>
  <si>
    <t>Sociālās garantijas bāreņiem un audžuģimenēm naudā</t>
  </si>
  <si>
    <t>Pārējā sociālā palīdzība  naudā</t>
  </si>
  <si>
    <t>Pabalsts garantētā minimālā ienākumu līmeņa nodrošināšanai naudā</t>
  </si>
  <si>
    <t>Dzīvokļa pabalsti naudā</t>
  </si>
  <si>
    <t>Valsts un pašvaldību budžeta maksājumi</t>
  </si>
  <si>
    <t>Stipendijas</t>
  </si>
  <si>
    <t>Transporta izdevumu kompensācijas</t>
  </si>
  <si>
    <t>Ilgstošas sociālās aprūpes un sociālās rehabilitācijas institūciju veiktie maksājumi klientiem personiskiem izdevumiem no normatīvajos aktos noteiktajiem klientu ienākumiem, kas izmaksāti no valsts budžeta līdzekļiem</t>
  </si>
  <si>
    <t>Pārējie klasifikācijā neminētie no valsts un pašvaldību budžeta veiktie maksājumi iedzīvotājiem naudā</t>
  </si>
  <si>
    <t>Sociālie pabalsti natūrā</t>
  </si>
  <si>
    <t>Pašvaldību sociālā palīdzība iedzīvotājiem natūrā</t>
  </si>
  <si>
    <t>Pabalsti ēdināšanai natūrā</t>
  </si>
  <si>
    <t>Pašvaldības pabalsti natūrā krīzes situācijā</t>
  </si>
  <si>
    <t>Sociālās garantijas bāreņiem un audžuģimenēm natūrā</t>
  </si>
  <si>
    <t>Pārējā sociālā palīdzība  natūrā</t>
  </si>
  <si>
    <t>Atbalsta pasākumi un kompensācijas natūrā</t>
  </si>
  <si>
    <t>Dzīvokļa pabalsti natūrā</t>
  </si>
  <si>
    <t>Pārējie klasifikācijā neminētie maksājumi iedzīvotājiem natūrā un kompensācijas</t>
  </si>
  <si>
    <t>Pašvaldības pirktie sociālie pakalpojumi  iedzīvotājiem</t>
  </si>
  <si>
    <t>Samaksa par aprūpi mājās</t>
  </si>
  <si>
    <t>Samaksa par ilgstošas sociālās aprūpes un sociālās rehabilitācijas institūciju sniegtajiem pakalpojumiem</t>
  </si>
  <si>
    <t>Samaksa par pārējiem sociālajiem pakalpojumiem saskaņā ar pašvaldību saistošajiem noteikumiem</t>
  </si>
  <si>
    <t>Izdevumi par piešķīrumiem iedzīvotājiem natūrā, naudas balvas, izdevumi pašvaldību brīvprātīgo iniciatīvu izpildei</t>
  </si>
  <si>
    <t>Izdevumi par piešķīrumiem iedzīvotājiem natūrā brīvprātīgo iniciatīvu izpildei</t>
  </si>
  <si>
    <t>Naudas balvas</t>
  </si>
  <si>
    <t>Izdevumi brīvprātīgo iniciatīvu izpildei</t>
  </si>
  <si>
    <t>Izsoles nodrošinājuma un citu maksājumu, kas saistīti ar dalību izsolēs, atmaksa</t>
  </si>
  <si>
    <t>Transferti, uzturēšanas izdevumu transferti, pašu resursu maksājumi, starptautiskā sadarbība</t>
  </si>
  <si>
    <t>Pašvaldību transferti un uzturēšanas izdevumu transferti</t>
  </si>
  <si>
    <t>Pašvaldību  uzturēšanas izdevumu transferti citām pašvaldībām</t>
  </si>
  <si>
    <t>Pašvaldību izdevumu iekšējie tranferti starp pašvaldības budžeta veidiem</t>
  </si>
  <si>
    <t>Pašvaldības pamatbudžeta uzturēšanas izdevumu transferts uz pašvaldības speciālo budžetu</t>
  </si>
  <si>
    <t>Pašvaldības speciālā budžeta uzturēšanas izdevumu transferts uz pašvaldības pamatbudžetu</t>
  </si>
  <si>
    <t>Pašvaldības un tās iestāžu savstarpējie uzturēšanas izdevumu transferti</t>
  </si>
  <si>
    <t>Pašvaldības  uzturēšanas izdevumu transferti uz valsts budžetu</t>
  </si>
  <si>
    <t>Pašvaldību atmaksa valsts budžetam par iepriekšējos gados saņemto, bet neizlietoto valsts budžeta transfertu uzturēšanas izdevumiem</t>
  </si>
  <si>
    <t>Pašvaldību atmaksa valsts budžetam par iepriekšējos gados saņemtajiem valsts budžeta transfertiem uzturēšanas izdevumiem Eiropas Savienības politiku instrumentu un pārējās ārvalstu finanšu palīdzības līdzfinansētajos projektos (pasākumos)</t>
  </si>
  <si>
    <t>Pašvaldību uzturēšanas izdevumu transferti (izņemot atmaksas) uz valsts budžetu</t>
  </si>
  <si>
    <t>Pašvaldības iemaksa pašvaldību finanšu izlīdzināšanas fondā</t>
  </si>
  <si>
    <t>Starptautiskā sadarbība</t>
  </si>
  <si>
    <t>Pārējie pārskaitījumi ārvalstīm</t>
  </si>
  <si>
    <t>Kapitālo izdevumu transferti</t>
  </si>
  <si>
    <t>Pašvaldību kapitālo izdevumu transferti</t>
  </si>
  <si>
    <t>Pašvaldību kapitālo izdevumu transferti citām pašvaldībām</t>
  </si>
  <si>
    <t>Atlikums perioda beigās bankā, t.sk</t>
  </si>
  <si>
    <t>F22 01 00 00</t>
  </si>
  <si>
    <t>kases apgrozības līdzekļi</t>
  </si>
  <si>
    <t>F22 01 00 20</t>
  </si>
  <si>
    <t>atgriežamie līdzekļi pašvaldības budžetam</t>
  </si>
  <si>
    <t>Kontrolsumma</t>
  </si>
  <si>
    <t>Ieņēmumu pārsniegums (+) vai deficīts (-)</t>
  </si>
  <si>
    <t>Finansēšana</t>
  </si>
  <si>
    <t>F21 01 00 00</t>
  </si>
  <si>
    <t>Naudas līdzekļi</t>
  </si>
  <si>
    <t>F40 02 00 00</t>
  </si>
  <si>
    <t>Aizņēmumi</t>
  </si>
  <si>
    <t>F40 12 00 10</t>
  </si>
  <si>
    <t>Saņemtie īstermiņa aizņēmumi</t>
  </si>
  <si>
    <t>F40 12 00 20</t>
  </si>
  <si>
    <t>Saņemto īstermiņu aizņēmumu atmaksa</t>
  </si>
  <si>
    <t>F40 22 00 10</t>
  </si>
  <si>
    <t>Saņemtie vidēja termiņa aizņēmumi</t>
  </si>
  <si>
    <t>F40 22 00 20</t>
  </si>
  <si>
    <t>Saņemto vidēja termiņa aizņēmumu atmaksa</t>
  </si>
  <si>
    <t>F40 32 00 10</t>
  </si>
  <si>
    <t>Saņemtie ilgtermiņa aizņēmumi</t>
  </si>
  <si>
    <t>F40 32 00 20</t>
  </si>
  <si>
    <t>Saņemto ilgtermiņa aizņēmumu atmaksa</t>
  </si>
  <si>
    <t>F40 01 00 00</t>
  </si>
  <si>
    <t>Aizdevumi</t>
  </si>
  <si>
    <t>F55 01 00 00</t>
  </si>
  <si>
    <t>Akcijas un cita līdzdalība komersantu pašu kapitālā neskaitot kopieguldījuma fonda akcijas</t>
  </si>
  <si>
    <t>Tāme Nr.10.5.1.</t>
  </si>
  <si>
    <t>Jūrmalas pilsētas bāriņtiesa</t>
  </si>
  <si>
    <t>90000091456</t>
  </si>
  <si>
    <t>Dubultu prospekts 1, Jūrmala</t>
  </si>
  <si>
    <t>10.400.</t>
  </si>
  <si>
    <t>Bērnu tiesību aizsardzības nodrošināšana</t>
  </si>
  <si>
    <t>LV45PARX0002484572024</t>
  </si>
  <si>
    <t>LV35PARX0002484577054</t>
  </si>
  <si>
    <t>Ieņēmumu palielināšana par EUR 272.00. Ieturējumi no darbinieka, darba devējam (bāriņtiesai) radītie zaudējumi.</t>
  </si>
  <si>
    <t>Nepieciešams papildus finansējums ūdens un kanalizācijas izdevumiem līdz š.g. beigām. Vidēji mēnesī izdevumi sastāda 14.00 EUR x 5 mēneši = 70.00 EUR, tāmes atlikums uz 26.07.19. sastāda 53.00 EUR, papildus nepieciešams 17.00.</t>
  </si>
  <si>
    <t>Līdzekļu ekonomija no apdrošināšanas iegādes iestādes īpašumā esošajam transportlīdzeklim. Līdzekļi novirzīti ūdens un kanalizācijas izdevumiem.</t>
  </si>
  <si>
    <t xml:space="preserve">EKK precizējums. Skat. EKK 5239 skaidrojumu.  </t>
  </si>
  <si>
    <t>Līdzekļu ekonomija. 2019.gadā krājums (aptieciņa) iegādāta lētāk nekā tika ieplānots. Līdzekļi novirzīti ūdens un kanalizācijas izdevumiem.</t>
  </si>
  <si>
    <t xml:space="preserve">Ar š.g. janvāri ilgstošas lietošanas inventārā uzskaita materiālās vērtības, kuru vērtība nepārsniedz 500.00 EUR. 2019.gada budžetā ieplānots diktofons (skaņas ierakstam) 280.00 EUR vērtībā, kas uzskaitāms EKK 2312. </t>
  </si>
  <si>
    <t xml:space="preserve">Līdzekļi, kas atgriežami pašvaldībai (ieturējumi no darbinieka, darba devējam (bāriņtiesai) radītie zaudējumi). </t>
  </si>
  <si>
    <t>Tāme Nr. 10.3.3.</t>
  </si>
  <si>
    <t>Jūrmalas pilsētas pašvaldības iestāde "Jūrmalas veselības veicināšanas un sociālo pakalpojumu centrs"</t>
  </si>
  <si>
    <t>90010991438</t>
  </si>
  <si>
    <t>Strēlnieku prospekts 38</t>
  </si>
  <si>
    <t>10.200</t>
  </si>
  <si>
    <t>Dienas centrs pensijas vecuma personām un invalīdiem</t>
  </si>
  <si>
    <t>LV81PARX0002484572152</t>
  </si>
  <si>
    <t>Papildus finansējums nepieciešams sakarā ar siltumenerģijas izmaksu pieagumu, palielinoties tarifam par 12,5% un mainoties uzskaites metodikai (no MWh uz m2).</t>
  </si>
  <si>
    <t>Trūkstošie finanšu līdzekļi siltumenerģijas apmaksai. Aprēķins pielikumā.</t>
  </si>
  <si>
    <t>Tāme Nr. 10.3.6.</t>
  </si>
  <si>
    <t>Finanšu līdzekļu ekonomija.</t>
  </si>
  <si>
    <t>Finanšu līdzekļi nepieciešami somu uz riteņiem iegādei. 7 gab.*14,90 = 104,30 EUR. Pamatojums pielikumā.</t>
  </si>
  <si>
    <t>Finanšu līdzekļi nepieciešami lietusmēteļu (plēves) iegādei. 38 gab.*1,20 = 45,60 EUR. Pamatojums pielikumā.</t>
  </si>
  <si>
    <t>Tāme Nr. 10.3.5.</t>
  </si>
  <si>
    <t>10.700</t>
  </si>
  <si>
    <t>Nakts patversme</t>
  </si>
  <si>
    <t>Atalgojums fiziskai personai par sētnieka darba veikšanu uz līguma pamata 430 EUR x 3 mēn.x 0,3 slodze = 387 EUR</t>
  </si>
  <si>
    <t xml:space="preserve"> Fiziskai personai -sētnieka darba veicējam 387 EUR x 24,09% = 93,23 EUR</t>
  </si>
  <si>
    <t>Papildus finansējums nepieciešams sakarā ar tarifa palielināšanos par 12%. Aprēķins pielikumā.</t>
  </si>
  <si>
    <t>Izpilde uz 01.07.2019. 33.15 EUR. Nepieciešamie finanšu līdzekļi 7 EUR/mēn.*3 mēn.= 21 EUR (Jūrmalas namsaimniekam). No 01.09.2019. atkritumu izvešanu nodrošinās Clean R (pielikums līgumam JUR01607) Plānotie atkritumu izvešanas finanšu līdzekļi 50 kg*4 reizes*3 mēn.= 600kg*113,41 EUR/tonna= 68,05 EUR. Kopā 21+68,05 = 89,05 EUR. 50-33,15 = 16,85 EUR/līdz gada beigām. 89,05-16,85 = 72,20 EUR.</t>
  </si>
  <si>
    <t>Finanšu līdzekļu ekonomija sakarā ar apsaimniekotāja maiņu no 01.09.2019. "Jūrmalas namsaimnieka" vietā apkārtnes uzkopšanu veiks fiziska persona, kas veiks teritorijas uzkopšanas darbus uz līguma pamata. EKK 2221 palielināts par 426 EUR siltumenerģijas izdevumu apmaksai.                                                                     EKK 2352 palielināts par 204 EUR, EKK 2312 palielināts par 46 EUR, EKK 2313 palielināts par 125 EUR, EKK 2269 - par summu 3 EUR, EKK 2224 par summu 73 EUR, EKK 1150 - par summu 387 EUR, EKK 1210 par summu 94 EUR. Kopā: 426+204+46+125+3+73+387+94 = 1358 EUR</t>
  </si>
  <si>
    <t>Atkritumu konteinera noma 240 l      4 mēneši x 0,51 EUR= 2,04 EUR. Pielikums līgumam JUR01607.</t>
  </si>
  <si>
    <t>Papildus finanšu līdzekļi nepieciešami cinkotas ķerras iegādei 78l, kas nepieciešama teritorijas uzkopšanas darbiem (lapām, smiltīm u.c. atkritumu savākšanai). 1 gab.x45,39 EUR.</t>
  </si>
  <si>
    <t>Papildus finanšu līdzekļi nepieciešami darba apģērbu iegādei teritorejas uzkopšanai, ko veiks persona, kas strādā uz līguma pamata, jo Jūrmalas namsaimnieks izbeigs pakalpojuma sniegšanu no 01.09.2019. (Vienošanās ar JPD). Nepieciešami: 1 siltināta darba jaka x 49,07 = 49,07 EUR; darba apavi ziemai, rudenim 1 pārsi x 18,88 EUR = 18,88 EUR; gumijas zābaki 1 pārsi x 7,74 = 7,74 EUR; darba cimdi siltie 2 x 1,69 = 3,38 EUR; darba cimdi 2 x 1,63 = 3,26 EUR; vasaras darba jaka 1 x 42,35 = 42,35 EUR. Kopā 49,07+18,88+7,74+3,38+3,26+42,35 = 124,68 EUR. Preces tiks iegādātas sakaņā ar noslēgtajiem līgumiem par darba apģērbu piegādi ar SIA "Miora" un SIA "Prāna Ko".</t>
  </si>
  <si>
    <t xml:space="preserve">Sakarā ar apsaimniekotāja maiņu,papildus nepieciešami finanšu līdzekļi apkārtnes uzkopšanas saimniecības materiālu iegādei: sāls maisījums 5 spaiņi x 6 EUR, sētnieka liekšķere 1 gab.*25,39 EUR, lapu grābeklis ar kātu 1 gab.*23 EUR, metāla grābeklis ar kātu 1 gab.*5,50 EUR, ielas slota Mery ar kātu 1 gab.*11,33 = 11,33 EUR, alumīnija sniega lāpsta 500x65x375/1505mm 1gab.*24,09 EUR, sniega lāpsta Alpinus 550x385mm 1gab.*14,90 EUR, sniega stūmējs/šķūris 1gab.*31,90 EUR, leduscirtnis 1gab.*37,13 EUR. Kopā 30+25,39+23+5,50+11,33+24,09+14,90+31,90+37,13 = 203,24 EUR </t>
  </si>
  <si>
    <t>Finanšu līdzekļu ekonomija</t>
  </si>
  <si>
    <t>Dators tiks iegādāts komplektā ar programmu.</t>
  </si>
  <si>
    <t>Tāme Nr. 10.3.1.</t>
  </si>
  <si>
    <t>Pansionāta pakalpojumu sniegšana</t>
  </si>
  <si>
    <t>LV09PARX0002484577037</t>
  </si>
  <si>
    <t>LV43PARX0002484576037</t>
  </si>
  <si>
    <t>Samazināti pašvaldības finansējuma līdzekļi par summu 5924 EUR, sakarā ar Rīgas pašvaldības klientu skaita un finansējuma palielināšanos.</t>
  </si>
  <si>
    <t>Samazināti maksas pakalpojuma līdzekļi par summu 8477 EUR, sakarā ar Rīgas pašvaldības klientu skaita un finansējuma palielināšanos.</t>
  </si>
  <si>
    <t>Samazināti pašvaldības finansējuma līdzekļi 2377 EUR apmērā, jo faktiskais Rīgas pašvaldības klientu skaits ir par 3 personām lielāks kā plānots.                                                   Finanšu līdzekļi 1647 EUR apmērā pārlikti uz EKK 1148 naudas balvas saņemšanai saimniecības daļas vadītājam.</t>
  </si>
  <si>
    <t>Samazināti finanšu līdzekļi 161 EUR apmērā, sakarā ar Rīgas pašvaldības klientu un attiecīgi finansējuma palielināšanos.</t>
  </si>
  <si>
    <t>Naudas balva 1647 EUR apmērā Saimniecības daļas vadītājam Igoram Strokinam apaļā jubilejā. Pamatojums pielikumā.</t>
  </si>
  <si>
    <t>Samazināti pašvaldības finansējuma līdzekļi par summu EUR 3242, sakarā ar Rīgas pašvaldības klientu un attiecīgi finansējuma palielināšanos.</t>
  </si>
  <si>
    <t>Samazināti pašvaldības finansējuma līdzekļi par summu EUR 305, sakarā ar Rīgas pašvaldības klientu un attiecīgi finansējuma palielināšanos.</t>
  </si>
  <si>
    <t>Samazināti finanšu līdzekļi 1458 EUR apmērā, sakarā ar Rīgas pašvaldības klientu un attiecīgi finansējuma palielināšanos.</t>
  </si>
  <si>
    <t>Samazināti finanšu līdzekļi 537 EUR apmērā, sakarā ar Rīgas pašvaldības klientu un attiecīgi finansējuma palielināšanos.</t>
  </si>
  <si>
    <t>Samazināti finanšu līdzekļi 714 EUR apmērā, sakarā ar Rīgas pašvaldības klientu un attiecīgi finansējuma palielināšanos.</t>
  </si>
  <si>
    <t>Samazināti finanšu līdzekļi 68 EUR apmērā, sakarā ar Rīgas pašvaldības klientu un attiecīgi finansējuma palielināšanos.</t>
  </si>
  <si>
    <t>Samazināti finanšu līdzekļi 172 EUR apmērā, sakarā ar Rīgas pašvaldības klientu un attiecīgi finansējuma palielināšanos.</t>
  </si>
  <si>
    <t>Samazināti finanšu līdzekļi 129 EUR apmērā, sakarā ar Rīgas pašvaldības klientu un attiecīgi finansējuma palielināšanos.</t>
  </si>
  <si>
    <t>Samazināti finanšu līdzekļi 127 EUR apmērā, sakarā ar Rīgas pašvaldības klientu un attiecīgi finansējuma palielināšanos.                                   No EKK 5232 atbilstoši jaunajiem MK noteikumiem Nr.87 pārlikti finanšu līdzekļi 2407 EUR.</t>
  </si>
  <si>
    <t>Samazināti finanšu līdzekļi 229 EUR apmērā, sakarā ar Rīgas pašvaldības klientu un attiecīgi finansējuma palielināšanos.</t>
  </si>
  <si>
    <t>Samazināti finanšu līdzekļi 200 EUR apmērā, sakarā ar Rīgas pašvaldības klientu un attiecīgi finansējuma palielināšanos.</t>
  </si>
  <si>
    <t>Samazināti finanšu līdzekļi 114 EUR apmērā, sakarā ar Rīgas pašvaldības klientu un attiecīgi finansējuma palielināšanos.</t>
  </si>
  <si>
    <t>Samazināti finanšu līdzekļi 3154 EUR apmērā, sakarā ar Rīgas pašvaldības klientu un attiecīgi finansējuma palielināšanos.</t>
  </si>
  <si>
    <t>Samazināti finanšu līdzekļi 468 EUR apmērā, sakarā ar Rīgas pašvaldības klientu un attiecīgi finansējuma palielināšanos.</t>
  </si>
  <si>
    <t xml:space="preserve">Samazināti finanšu līdzekļi 305 EUR apmērā, sakarā ar Rīgas pašvaldības klientu un attiecīgi finansējuma palielināšanos.                                          MK noteikumi Nr.87 "Grāmatvedības uzskaites kārtība budžeta iestādēs" (jaunie noteikumi) nosaka, ka inventāra cena noteikta līdz 500 EUR bijušo 214 EUR vietā. PVD (protokola Nr.01-19-14262) pieprasa nomainīt noliktavu plauktus 1gabx459,80 EUR un 2gabx296,45 EUR = 1052,70 EUR; nerūsējošā tērauda galdus 1*356,95 EUR+1-332,75 EUR+2*496,10= 1185,80 EUR un roku žāvētājus 3gab.*55,90 = 167,70 EUR. Kopā 1052,70+1185,80+167,70 = 2406,20 EUR.     </t>
  </si>
  <si>
    <t>Datrors tiks iegādāts komplektā ar programmu.</t>
  </si>
  <si>
    <t>Samazināti finanšu līdzekļi 641 EUR apmērā, sakarā ar Rīgas pašvaldības klientu un attiecīgi finansējuma palielināšanos.</t>
  </si>
  <si>
    <t>Tāme Nr. 10.3.2.</t>
  </si>
  <si>
    <t>LV57PARX0002484572099</t>
  </si>
  <si>
    <t>Fianšu līdzekļu palielinājums par 14401 EUR, sakarā ar to, ka plānots 2019.gadā 12 Rīgas pašvaldības personas, faktiski vidējais Rīgas pašvaldības klientu skaits ir 15 personas. Vienam klientam Rīgas pašvaldība finansē 13.15 EUR/dienā. Papildus finansējums no Rīgas pašvaldības sastādīs (15-12)*13,15 EUR*365dienas = 14401 EUR</t>
  </si>
  <si>
    <t>Saskaņā ar aprēķinātajām izmaksām, uzturēšanās Pansionātā vienam Rīgas pašvaldības klientam dienā izmaksā EUR 2,17*3 klienti*365 dienas= 2377 (EUR)/gadā</t>
  </si>
  <si>
    <t>Saskaņā ar aprēķinātajām izmaksām, uzturēšanās Pansionātā vienam Rīgas pašvaldības klientam dienā izmaksā EUR 0,147*3 klienti*365 dienas= 161 (EUR)</t>
  </si>
  <si>
    <t>Saskaņā ar aprēķinātajām izmaksām, uzturēšanās Pansionātā vienam Rīgas pašvaldības klientam dienā izmaksā EUR 2,96*3 klienti*365 dienas= 3242 (EUR)/gadā</t>
  </si>
  <si>
    <t>Saskaņā ar aprēķinātajām izmaksām, uzturēšanās Pansionātā vienam Rīgas pašvaldības klientam dienā izmaksā EUR 0,278*3 klienti*365 dienas= 305 (EUR)/gadā</t>
  </si>
  <si>
    <t>Saskaņā ar aprēķinātajām izmaksām, uzturēšanās Pansionātā vienam Rīgas pašvaldības klientam dienā izmaksā EUR 1,331*3 klienti*365 dienas= 1458 (EUR)/gadā</t>
  </si>
  <si>
    <t>Saskaņā ar aprēķinātajām izmaksām, uzturēšanās Pansionātā vienam Rīgas pašvaldības klientam dienā izmaksā EUR 0,49*3 klienti*365 dienas= 537 (EUR)</t>
  </si>
  <si>
    <t>Saskaņā ar aprēķinātajām izmaksām, uzturēšanās Pansionātā vienam Rīgas pašvaldības klientam dienā izmaksā EUR 0,652*3 klienti*365 dienas= 714 (EUR)</t>
  </si>
  <si>
    <t>Saskaņā ar aprēķinātajām izmaksām, uzturēšanās Pansionātā vienam Rīgas pašvaldības klientam dienā izmaksā EUR 0,062*3 klienti*365 dienas= 68 (EUR)</t>
  </si>
  <si>
    <t>Saskaņā ar aprēķinātajām izmaksām, uzturēšanās Pansionātā vienam Rīgas pašvaldības klientam dienā izmaksā EUR 0,157*3 klienti*365 dienas= 172 (EUR)</t>
  </si>
  <si>
    <t>Saskaņā ar aprēķinātajām izmaksām, uzturēšanās Pansionātā vienam Rīgas pašvaldības klientam dienā izmaksā EUR 0,117*3 klienti*365 dienas= 129 (EUR)</t>
  </si>
  <si>
    <t>Saskaņā ar aprēķinātajām izmaksām, uzturēšanās Pansionātā vienam Rīgas pašvaldības klientam dienā izmaksā EUR 0,116*3 klienti*365 dienas= 127 (EUR)</t>
  </si>
  <si>
    <t>Saskaņā ar aprēķinātajām izmaksām, uzturēšanās Pansionātā vienam Rīgas pašvaldības klientam dienā izmaksā EUR 0,209*3 klienti*365 dienas= 229 (EUR)</t>
  </si>
  <si>
    <t>Saskaņā ar aprēķinātajām izmaksām, uzturēšanās Pansionātā vienam Rīgas pašvaldības klientam dienā izmaksā EUR 0,182*3 klienti*365 dienas= 200 (EUR)</t>
  </si>
  <si>
    <t>Saskaņā ar aprēķinātajām izmaksām, uzturēšanās Pansionātā vienam Rīgas pašvaldības klientam dienā izmaksā EUR 0,104*3 klienti*365 dienas= 114 (EUR)</t>
  </si>
  <si>
    <t>Saskaņā ar aprēķinātajām izmaksām, uzturēšanās Pansionātā vienam Rīgas pašvaldības klientam dienā izmaksā EUR 2,88*3 klienti*365 dienas= 3154 (EUR)</t>
  </si>
  <si>
    <t>Saskaņā ar aprēķinātajām izmaksām, uzturēšanās Pansionātā vienam Rīgas pašvaldības klientam dienā izmaksā EUR 0,427*3 klienti*365 dienas= 468 (EUR)</t>
  </si>
  <si>
    <t>Saskaņā ar aprēķinātajām izmaksām, uzturēšanās Pansionātā vienam Rīgas pašvaldības klientam dienā izmaksā EUR 0,278*3 klienti*365 dienas= 305 (EUR)</t>
  </si>
  <si>
    <t>Saskaņā ar aprēķiniem, pensija Pansionātā vienam Rīgas pašvaldības klientam dienā tiek izmaksāta vidēji EUR 0,585*3 klienti*365 dienas= 641 (EUR)</t>
  </si>
  <si>
    <t>Mājas aprūpes un pavadoņu pakalpojuma nodrošināšana</t>
  </si>
  <si>
    <t>Jūrmalas pilsētas domes Labklājības pārvalde</t>
  </si>
  <si>
    <t>90000594245</t>
  </si>
  <si>
    <t>Mellužu pr.83, Jūrmala, LV-2008</t>
  </si>
  <si>
    <t>10.120</t>
  </si>
  <si>
    <t>Sociālā aizsardzība invaliditātes gadījumā</t>
  </si>
  <si>
    <t>LV72PARX0002484572023</t>
  </si>
  <si>
    <t>Lai nodrošinātu asistentu pakalpojumu sniegšanu nepieciešams lielāks finanšu apjoms kā plānots.</t>
  </si>
  <si>
    <t>VSAOI par palielinājumu</t>
  </si>
  <si>
    <t>Lai nodrošinātu asistentu pakalpojumu sniegšanai degvielas izdevumus nepieciešams lielāks finanšu apjoms kā plānots.</t>
  </si>
  <si>
    <t>Pabalsts personām ar funkcionālajiem traucējumiem tiek izmantots lielākā apjomā kā plānots, kā arī personu skaits, kuriem nepieciešams šis pabalsta veids ir palielinājies (uz 1.augustu gandrīz visi finanšu līdzekļi ir apgūti)</t>
  </si>
  <si>
    <t>Tāme Nr.10.2.2.</t>
  </si>
  <si>
    <t>.</t>
  </si>
  <si>
    <t>10.400</t>
  </si>
  <si>
    <t>Atbalsts ģimenēm ar bērniem</t>
  </si>
  <si>
    <t>LV91TREL9812180130000</t>
  </si>
  <si>
    <t>Pabalsts veselības aprūpei ģimenēm ar bērniem nepieciešams lielākā apjomā</t>
  </si>
  <si>
    <t>pabalsta apguvē pirmajā pusgadā radusies finanšu līdzekļu ekonomija</t>
  </si>
  <si>
    <t>Tāme Nr.10.2.4.</t>
  </si>
  <si>
    <t>07.410</t>
  </si>
  <si>
    <t>Atkarību profilakses programmu finansējums</t>
  </si>
  <si>
    <t>maksa par elektrību palielinājusies</t>
  </si>
  <si>
    <t>palielinājušies apsaimniekošanas izdevumi 1.8 reizes, bija 14.68 EUR /mēn, no 2019.gada janv. ir 26.79 EUR/mēn</t>
  </si>
  <si>
    <t>Tāme Nr.07.1.2.</t>
  </si>
  <si>
    <t>07.620</t>
  </si>
  <si>
    <t>Pārējo veselības aprūpes pakalpojumu līdzfinansējums</t>
  </si>
  <si>
    <t xml:space="preserve">Pieprasījums pēc psihologu pakalpojuma ir pieaudzis, 80% no piešķirtā finansējuma jau ir apgūta. Lai netiktu pārtraukts pakalpojums, tā nodrošināšanai ir nepieciešams papildus finansējums </t>
  </si>
  <si>
    <t>Tāme Nr.07.1.3.</t>
  </si>
  <si>
    <t>08.620</t>
  </si>
  <si>
    <t>Nacionālo vērtību stiprināšana</t>
  </si>
  <si>
    <t>Kalendāru izmaksas (reprezentācijas izdevumi) novirzītas uz EKK 2314</t>
  </si>
  <si>
    <t>Kalendāru izmaksas no EKK 2279</t>
  </si>
  <si>
    <t>Tāme Nr.08.2.2.</t>
  </si>
  <si>
    <t>Integrācija kultūras aspektā</t>
  </si>
  <si>
    <t xml:space="preserve">Budžeta ekonomija no Lieldienu pasākuma izdevumiem </t>
  </si>
  <si>
    <t>Tāme Nr.08.2.4.</t>
  </si>
  <si>
    <t>Sociālā integrācija</t>
  </si>
  <si>
    <t>Nepieciešami līdzekļi reprezentatīvajiem izdevumiem -ielūgumiem - 170 EUR, atzinības rakstu un apbalvojumu noformējumam - 35 EUR un ziediem - 195 EUR. Kopā reprezentatīvajiem izdevumiem ir nepieciešami papildus 400 EUR.</t>
  </si>
  <si>
    <t>Tāme Nr.08.2.5.</t>
  </si>
  <si>
    <t>10.910</t>
  </si>
  <si>
    <t>LV16PARX0002484573031</t>
  </si>
  <si>
    <t>LV96PARX0002484577023</t>
  </si>
  <si>
    <t>Naudas balvas par bērnu piedzimšanu 4 darbiniecēm</t>
  </si>
  <si>
    <t>VSAOI par naudas balvām</t>
  </si>
  <si>
    <t>ekonomija pirmajā pusgadā</t>
  </si>
  <si>
    <t>elektroenerģijas cena ir pieaugusi vairāk kā plānots</t>
  </si>
  <si>
    <t>Saskaņā ar rīkojumu par autotransporta izmantošanu uz visām pārvaldes automašīnām ir jābūt GPS uzstādījumiem (arī automašīnai, kuru vairs neizmanto braukšanai), tāpēc GPS papildus izmaksas ~2 mēneši, līdz notiks automašīnas izsole.</t>
  </si>
  <si>
    <t>sakarā ar pārcelšanos uz jaunām telpām, apkures degvielas iegāde vairs nebūs nepieciešama</t>
  </si>
  <si>
    <t>papildus nepieciešami izdevumi saimniecības precēm, jo pie 2019.gada budžeta nebija paredzēti saimniecības preču izdevumi par telpām Nometņu 2a (Integrācijas nod. un NUN), kā arī Skolas 11 klientu apkalpošanas centrā</t>
  </si>
  <si>
    <t>valsts nodeva par izpildrīkojuma nodošanu izpildei 16*3 EUR=48 EUR, atlikums EKK ir 18 EUR   
Ekspluatācijas nodoklis a/m Toyota Corolla bija plānots 93 EUR, bet faktiskās izmaksas 120 EUR</t>
  </si>
  <si>
    <t>Tāme Nr.10.2.1.</t>
  </si>
  <si>
    <t>Atbalsts gados veciem cilvēkiem</t>
  </si>
  <si>
    <t xml:space="preserve">Pabalsts tiek izmantots lielākā apjomā kā plānots, kā arī personu skaits, kuriem nepieciešams šis pabalsta veids ir palielinājies </t>
  </si>
  <si>
    <t xml:space="preserve">Pansionāts ''Dzimtene'' - Līguma grozījumi par maksājumu 435 EUR/mēnesī, saskaņā ar Ministru kabineta noteikumiem </t>
  </si>
  <si>
    <t xml:space="preserve">personu skaits, kuriem nepieciešams veselības uzlabošanas pabalsts , ir palielinājies </t>
  </si>
  <si>
    <t>Tāme Nr.10.2.3.</t>
  </si>
  <si>
    <t>10.600</t>
  </si>
  <si>
    <t>Mājokļa atbalsts</t>
  </si>
  <si>
    <t>Pabalsts tiek izmantots lielākā apjomā kā plānots, kā arī personu skaits, kuriem nepieciešams šis pabalsta veids ir palielinājies (uz 1.augustu gandrīz visi finanšu līdzekļi ir apgūti)</t>
  </si>
  <si>
    <t>komunālo maksājumu pieauguma rezultātā, nepieciešams paredzēt lielāku finansējumu Sociālo dzivojamo platību kompensējamās daļas segšanai</t>
  </si>
  <si>
    <t>Tāme Nr.10.2.5.</t>
  </si>
  <si>
    <t>10.920</t>
  </si>
  <si>
    <t>2019.gadā vairākas personas, kuras iekļautas pabalsta saņēmējos ir mirušas, tādēļ rodas finanšu līdzekļu ekonomija</t>
  </si>
  <si>
    <t>Tāme Nr.10.2.6.</t>
  </si>
  <si>
    <t>Pārējais citur nekvalificēts atbalsts sociāli atstumtām personām</t>
  </si>
  <si>
    <t>2019.gadā pabalstam aizgādnībā esošām personām pieteikušās 14 personas, (t.i. 14 x 72 x 12 = 12096 EUR), bet plānots pabalsts uz 12 personām</t>
  </si>
  <si>
    <t>Tāme Nr.10.2.7.</t>
  </si>
  <si>
    <t>Dienas aprūpes centru bērniem pakalpojuma nodrošināšana</t>
  </si>
  <si>
    <t>Izdevumi par apkuri ir lielāki kā plānots.</t>
  </si>
  <si>
    <t>ūdensskaitītāja nekorektas uzstādīšanas rezultātā maksa par ūdens izlietojumu Bērnu centrā Skolas 44 tiek prasīta arī par ūdeni, ko izlieto SAC Dienas centrā pensionāriem. Jautājums tiek risināts ar JPD un apsaimniekotāju.</t>
  </si>
  <si>
    <t>izdevumi par elektroenerģiju palielinājušies, sakarā ar cenu pieaugumu.</t>
  </si>
  <si>
    <t>palielinājušies apsaimniekošanas izdevumi 1.8 reizes, bija Skolas 44 - 189.41EUR/mēn un Nomenņu 2a (117) 70.85 EUR/mēn, no 2019.gada janv. ir Skolas 44 - 352.16 EUR/mēn un Nometņu 2a (117) - 129.25 EUR/mēn</t>
  </si>
  <si>
    <t>Tāme Nr.10.2.8.</t>
  </si>
  <si>
    <r>
      <rPr>
        <b/>
        <sz val="9"/>
        <rFont val="Times New Roman"/>
        <family val="1"/>
        <charset val="186"/>
      </rPr>
      <t>29.pielikums</t>
    </r>
    <r>
      <rPr>
        <sz val="9"/>
        <rFont val="Times New Roman"/>
        <family val="1"/>
        <charset val="186"/>
      </rPr>
      <t xml:space="preserve"> Jūrmalas pilsētas domes</t>
    </r>
  </si>
  <si>
    <t>2018.gada 18.decembra saistošajiem noteikumiem Nr.44</t>
  </si>
  <si>
    <t>Jūrmalas pilsētas Labklājības pārvalde</t>
  </si>
  <si>
    <t xml:space="preserve">2019.gada budžeta atšifrējums pa programmām </t>
  </si>
  <si>
    <t>Struktūrvienība:</t>
  </si>
  <si>
    <t>Sociālā darba daļa</t>
  </si>
  <si>
    <t>Programma:</t>
  </si>
  <si>
    <t>Funkcionālās klasifikācijas kods:</t>
  </si>
  <si>
    <t>Nr.</t>
  </si>
  <si>
    <t>Pasākums/ aktivitāte/ projekts/ pakalpojuma nosaukums/ objekts</t>
  </si>
  <si>
    <t>Ekonomiskās klasifikācijas kodi</t>
  </si>
  <si>
    <t>2019.gada budžets pirms priekšlikumiem</t>
  </si>
  <si>
    <t>Priekšlikumi izmaiņām (+/-)</t>
  </si>
  <si>
    <t>2019.gada budžets apstiprināts pēc izmaiņām</t>
  </si>
  <si>
    <t xml:space="preserve">Attīstības plānošanas dokumenta nosaukums/ Rīcības virziens un aktiv.numurs* </t>
  </si>
  <si>
    <t>KOPĀ:</t>
  </si>
  <si>
    <t>Pabalsts audžu  ģimenei</t>
  </si>
  <si>
    <t xml:space="preserve">JPAS_J10 JPAP_P3.5_R3.5.1._216 </t>
  </si>
  <si>
    <t>Atlīdzība audžu  ģimenes vecākam</t>
  </si>
  <si>
    <t xml:space="preserve">Pabalsts jaundzimušā aprūpei </t>
  </si>
  <si>
    <t>JPAS_J10 JPAP_P3.5__R3.5.1._223</t>
  </si>
  <si>
    <t>Pabalsts aizbildņiem</t>
  </si>
  <si>
    <t xml:space="preserve">JPAS_J10 JPAP_P3.5__R3.5.1._216 </t>
  </si>
  <si>
    <t>Pabalsts kultūras pasākumu apmeklēšanai daudzbērnu ģimenēm</t>
  </si>
  <si>
    <t>JPAS_J10 JPAP_P3.5_R3.5.1._217</t>
  </si>
  <si>
    <t>Ziemassvētku apsveikums aizbildnībā esošiem bērniem un bērniem no sociālā riska ģimenēm</t>
  </si>
  <si>
    <t>Sociālās rehabilitācijas pakalpojumu nodrošināšana bērnam invalīdam VSAC''Rīga'' filiālē ''Rīga''</t>
  </si>
  <si>
    <t>JPAS_J10 JPAP_P3.5_R3.5.1._220</t>
  </si>
  <si>
    <t>10.600.</t>
  </si>
  <si>
    <t>Īres maksa par īrētiem dzīvokļiem bāreņiem un bez vecāku gādības palikušiem bērniem pēc ārpusģimenes aprūpes beigšanās, līdz pašvaldība nodrošina ar dzīvojamo platību</t>
  </si>
  <si>
    <t>JPAS_J10 JPAP_P3.5_R3.5.1._224</t>
  </si>
  <si>
    <t xml:space="preserve">Pārējais citur nekvalificēts atbalsts sociāli atstumtām personām </t>
  </si>
  <si>
    <t>10.700.</t>
  </si>
  <si>
    <t>Pabalsts garā slimo rīcības nespējīgo personu aizgādnim</t>
  </si>
  <si>
    <t>2019.gadā pabalstam pieteikušās 14 personas, t.t. 14 x 72 x 12 = 12096 EUR, bija 12 personas</t>
  </si>
  <si>
    <t>JPAS_J10 JPAP_P3.5_R3.5.1._223</t>
  </si>
  <si>
    <t>Pabalsts sociālās rehabilitācijas mērķu sasniegšanai</t>
  </si>
  <si>
    <t>pabalsts bāreņiem un bez vecāku gādības palikušiem bērniem pēc ārpusģimenes aprūpes beigšanās (vsk mācību laikā)</t>
  </si>
  <si>
    <t xml:space="preserve">Bērnu namu audzēkņiem un aizbildnībā esošiem bērniem sasniedzot pilngadību </t>
  </si>
  <si>
    <t>Sociālās rehabilitācijas pakalpojumu sniegšana no vardarbības cietušām un vardarbību veikušām pilngadīgām personām</t>
  </si>
  <si>
    <t xml:space="preserve"> </t>
  </si>
  <si>
    <t>*Informatīvi</t>
  </si>
  <si>
    <t>Jūrmalas pilsētas attīstības stratēģija 2010-2030 (JPAS)</t>
  </si>
  <si>
    <t>Aktivitāte: J10 sociāli drošas vides nodrošināšana</t>
  </si>
  <si>
    <t>Jūrmalas pilsētas attīstības programma 2014.-2020.gadam (JPAP)</t>
  </si>
  <si>
    <t>Prioritāte P3.5. “kvalitatīvs sociālais atbalsts”</t>
  </si>
  <si>
    <t>Rīcības virziens: R3.5.1. Sociālo pakalpojumu attīstība</t>
  </si>
  <si>
    <t>Aktivitāte: Nr.216 Sociālā atbalsta infrastruktūras attīstība</t>
  </si>
  <si>
    <t>Aktivitāte: Nr.217 Daudzbērnu ģimeņu atbalsta pasākumi</t>
  </si>
  <si>
    <t>Aktivitāte: Nr.220 Sociālās aprūpes un sociālās rehabilitācijas pakalpojumu pieejamība</t>
  </si>
  <si>
    <t>Aktivitāte: Nr.223 Kvalitatīva sociālās palīdzības nodrošināšana un sociālā atbalsta sniegšana</t>
  </si>
  <si>
    <t>Aktivitāte: Nr.224 Kvalitatīva sociālā atbalsta sniegšana mazaizsargātām personām mājokļa nodrošināšanai</t>
  </si>
  <si>
    <r>
      <rPr>
        <b/>
        <sz val="9"/>
        <rFont val="Times New Roman"/>
        <family val="1"/>
        <charset val="186"/>
      </rPr>
      <t>30.pielikums</t>
    </r>
    <r>
      <rPr>
        <sz val="9"/>
        <rFont val="Times New Roman"/>
        <family val="1"/>
        <charset val="186"/>
      </rPr>
      <t xml:space="preserve"> Jūrmalas pilsētas domes</t>
    </r>
  </si>
  <si>
    <t>Struktūrvienība</t>
  </si>
  <si>
    <t>Sociālās palīdzības daļa</t>
  </si>
  <si>
    <t>10.120.</t>
  </si>
  <si>
    <t>KOPĀ</t>
  </si>
  <si>
    <t>Pabalsts personām ar funkcionālajiem traucūjumiem</t>
  </si>
  <si>
    <t>JPAS_J10; JPAP_P3.5_R3.5.1 - 223</t>
  </si>
  <si>
    <t>Veselības uzlabošanas pabalsts pensijas vecuma cilvēkiem</t>
  </si>
  <si>
    <t>10.200.</t>
  </si>
  <si>
    <t xml:space="preserve">Veselības aprūpes pabalsts </t>
  </si>
  <si>
    <t>uz šo pabalstu pirmajā pusgadā ir pieteikušies par 18% vairāk pensionāru nekā 2018.gadā. 2018.gada pirmajā pusgadā pabalstu saņēma 5193 personas (63% no visām 2018.gadā pabalstu saņēmušām personām) 2019.gadā pabalstu pirmajā pusgadā saņēma 6146 personas. (pieņemot, ka tas ir 63% no visiem pabalstu saņēmējiem, tad 2019.gada otrajā pusgadā pabalstu varētu saņemt 3633 personas, kam būs nepieciešami 181605 euro) Izpilde uz 01.07.19 ir 306145 euro</t>
  </si>
  <si>
    <t xml:space="preserve">Pabalsts garentētā minimālā ienākumu GMI līmeņa nodrošināšanai </t>
  </si>
  <si>
    <t>Pabalsts ģimenēm, kurās bērns uzsāk mācības pirmajā klasē</t>
  </si>
  <si>
    <t>Pabalsts skolas piederumu iegādei daudzbērnu ģimenēm</t>
  </si>
  <si>
    <t>JPAS_J10; JPAP_P3.5_R3.5.1 - 217</t>
  </si>
  <si>
    <t>Pabalsts izglītības ieguves atbalstam</t>
  </si>
  <si>
    <t>Dzīvokļa pabalsts</t>
  </si>
  <si>
    <t>Apbedīšanas pabalsts</t>
  </si>
  <si>
    <t xml:space="preserve">Vienreizējie pabalsti krīzes situācijās, kā arī stihiskas nelaimes gadījumiem un ugunsgrēka gadījumiem   </t>
  </si>
  <si>
    <t>Pārējie citur neklasificētie sociālās aizsardzības pasākumi</t>
  </si>
  <si>
    <t>10.920.</t>
  </si>
  <si>
    <t>Jūrmalas pašvaldības pabalsts politiski represētām personām</t>
  </si>
  <si>
    <t>Pabalsts ilgdzīvotājiem</t>
  </si>
  <si>
    <t>Pabalsts personām ar izcilu mūža ieguldījumu Jūrmalas pilsētas attīstībā</t>
  </si>
  <si>
    <t>Pabalsts Černobiļas atomelektrostacijas avārijas seku likvidēšanas dalībniekiem</t>
  </si>
  <si>
    <t>* Informatīvi -</t>
  </si>
  <si>
    <r>
      <rPr>
        <b/>
        <sz val="9"/>
        <rFont val="Times New Roman"/>
        <family val="1"/>
        <charset val="186"/>
      </rPr>
      <t>31.pielikums</t>
    </r>
    <r>
      <rPr>
        <sz val="9"/>
        <rFont val="Times New Roman"/>
        <family val="1"/>
        <charset val="186"/>
      </rPr>
      <t xml:space="preserve"> Jūrmalas pilsētas domes</t>
    </r>
  </si>
  <si>
    <t>Sociālo pakalpojumu daļa</t>
  </si>
  <si>
    <t>KOPĀ (Euro):</t>
  </si>
  <si>
    <t xml:space="preserve">Pabalsts mājokļa vides pieejamības nodrošināšanai    </t>
  </si>
  <si>
    <t>JPAS_J6 JPAP_P3.5_R3.5.1._216</t>
  </si>
  <si>
    <t>Ergoterapeita vides novērtējumam, ja prasītājs ir trūcīga persona</t>
  </si>
  <si>
    <t>Ergoterapeita novērtējuma nodrošināšan</t>
  </si>
  <si>
    <t>Asistenta pakalpojuma nodrošināšana (Valsts atmaksāts)</t>
  </si>
  <si>
    <t>Lai nodrošinātu asistentu pakalpojumu sniegšanu nepieciešams lielāks finanšu apjoms kā plānots. (2019.gadā asistentu pakalpojumu saņem 240 klienti)</t>
  </si>
  <si>
    <t xml:space="preserve">Veselības un sociālās aprūpes centrs - Sloka -sociālās aprūpes nodaļa SAN   </t>
  </si>
  <si>
    <t>SIA''Pansionāts Dzimtene'' līdz 1998.gada 1.janvārim ievietotajiem iemītniekiem paredzētie līdzekļi</t>
  </si>
  <si>
    <t xml:space="preserve">Līguma grozījumi par maksājumu 435 EUR/mēnesī, saskaņā ar Ministru kabineta noteikumiem </t>
  </si>
  <si>
    <t xml:space="preserve">Pārējais citur nekvalificēts atbalsts sociāli atstumtām personām  </t>
  </si>
  <si>
    <t xml:space="preserve">Veselības un sociālās aprūpes centrs - Sloka -īslaicīga sociālās aprūpes un sociālās rehabilitācijas nodaļa SASRN    </t>
  </si>
  <si>
    <t xml:space="preserve">Veselības un sociālās aprūpes centrs - Sloka - Veselības un sociālās aprūpes nodaļa   </t>
  </si>
  <si>
    <t xml:space="preserve">Pabalsts aprūpes mājās nodrošināšanai </t>
  </si>
  <si>
    <t>Higiēnas un sociālo iemaņu apgūšanas pakalpojumu nodrošinājums sociāli mazaizsargātiem pašvaldības iedzīvotājiem</t>
  </si>
  <si>
    <t>Aktivitāte: J5 droša pilsēta</t>
  </si>
  <si>
    <t>Aktivitāte: J6 labs mājoklis</t>
  </si>
  <si>
    <t>Aktivitāte: Nr.225 Iestādes ''Jūrmalas kapi'' sniegto pakalpojumu pilnveide</t>
  </si>
  <si>
    <r>
      <rPr>
        <b/>
        <sz val="9"/>
        <rFont val="Times New Roman"/>
        <family val="1"/>
        <charset val="186"/>
      </rPr>
      <t>32.pielikums</t>
    </r>
    <r>
      <rPr>
        <sz val="9"/>
        <rFont val="Times New Roman"/>
        <family val="1"/>
        <charset val="186"/>
      </rPr>
      <t xml:space="preserve"> Jūrmalas pilsētas domes</t>
    </r>
  </si>
  <si>
    <t>Veselības aprūpes nodaļa</t>
  </si>
  <si>
    <t>Specializēto medicīnisko pakalpjumu līdzfinansējums</t>
  </si>
  <si>
    <t>07.220.</t>
  </si>
  <si>
    <t>Bērnu ortodontija un sakodiena anomāliju izdevumu segšana</t>
  </si>
  <si>
    <t>JPAS_8   JPAP_P3.6_R3.6.1._226 VVP_2.3.4._1_1.3</t>
  </si>
  <si>
    <t>Eksperta-ortodonta novērtējuma apmaksa</t>
  </si>
  <si>
    <t>07.410.</t>
  </si>
  <si>
    <t>JPAS_8   JPAP_P3.6_R3.6.2._227 VVP_2.3.3._4_4.3,_5_5.8</t>
  </si>
  <si>
    <t>Atkarību profilakses centra darba nodrašinājums, tajā skaitā pa klasifikācijas kodiem:</t>
  </si>
  <si>
    <t>ECAD projektiem</t>
  </si>
  <si>
    <t>Dalības maksa ECAD (Eiropas pilsētu kustība pret narkotikām)</t>
  </si>
  <si>
    <t>Informatīvas aktivitātes pret atkarību izraisošu vielu lietošanu iedzīvotāju vidū personām darbspējas vecumā</t>
  </si>
  <si>
    <t>JPAS_8   JPAP_P3.6_R3.6.2._227 VVP_2.3.3._5_5.1</t>
  </si>
  <si>
    <t>07.620.</t>
  </si>
  <si>
    <t>Protezēšanas izdevumi</t>
  </si>
  <si>
    <t>JPAS_J8   JPAP_P3.6_R3.6.1._226,  VVP 2.3.4_3_3.2</t>
  </si>
  <si>
    <t>Zobu ekstrakcija bezpajumtniekiem</t>
  </si>
  <si>
    <t>JPAS_J8   JPAP_P3.6_R3.6.1._226, VVP 2.3.4</t>
  </si>
  <si>
    <t>Starptautiski projekti(dalības maksa)</t>
  </si>
  <si>
    <t>JPAS_J8   JPAP_P3.6_R3.6.1._226</t>
  </si>
  <si>
    <t xml:space="preserve">Psihologu/psihoterapeitu pakalpojumi   </t>
  </si>
  <si>
    <t>JPAS_J8   JPAP_P3.6_R3.6.1._226, VVP 2.4.4_3_3.3</t>
  </si>
  <si>
    <t>Veselību veicinošu pasākumu kopuma senioriem nodrošināšana</t>
  </si>
  <si>
    <t>JPAS_J8   JPAP_P3.6_R3.6.1._227, VVP 2.3.2_4._4.1</t>
  </si>
  <si>
    <t>Grūtnieču un jauno māmiņu fizisko aktivitāšu uzlabošana (veicināšana)</t>
  </si>
  <si>
    <t>JPAS_J8   JPAP_P3.6_R3.6.1._227, VVP 2.3.2_3_3.1</t>
  </si>
  <si>
    <t>Cigun nodarbības</t>
  </si>
  <si>
    <t>JPAS_J8   JPAP_P3.6_R3.6.2._226, VVP 2.3.2_2._2.3</t>
  </si>
  <si>
    <t>Jogas nodarbības</t>
  </si>
  <si>
    <t>JPAS_J8   JPAP_P3.6_R3.6.2._227, VVP 2.3.2_2._2.3</t>
  </si>
  <si>
    <t>Ielu vingrošanas nodarbības</t>
  </si>
  <si>
    <t>Līdzfinansējums jaunu veselības aprūpes projektu īstenošanā</t>
  </si>
  <si>
    <t>JPAS_J8   JPAP_P3.6_R3.6.1._227, VVP 2.5_1_1.6</t>
  </si>
  <si>
    <t>Veselības nedēļa</t>
  </si>
  <si>
    <t>JPAS_J8   JPAP_P3.6_R3.6.1._227, VVP_2.5._1_1.3</t>
  </si>
  <si>
    <t>Starptautiska un nacionāla mēroga Veselīgo pilsētu stratēģisko virzienu pieredzes apmaiņas semināri</t>
  </si>
  <si>
    <t>Zīdīšanas apmācība</t>
  </si>
  <si>
    <t>JPAS_J8   JPAP_P3.6_R3.6.1._227, VVP_2.3.1._3._3.1</t>
  </si>
  <si>
    <t>Aktivitāte: J8 iedzīvotāju veselība</t>
  </si>
  <si>
    <t>Prioritāte P3.6 "Kvalitatīvi veselības aprūpes pakalpojumi"</t>
  </si>
  <si>
    <t>Rīcības virziens: R3.6.1. Veselības aprūpes pakalpojumu attīstība</t>
  </si>
  <si>
    <t>Aktivitāte: Nr.226 Veselības pakalpojumu attīstība</t>
  </si>
  <si>
    <t>Rīcības virziens: R3.6.2. Veselīga dzīvasveida veicināšana</t>
  </si>
  <si>
    <t>Aktivitāte: Nr.227 Veselīga dzīvasveida veicināšana</t>
  </si>
  <si>
    <t>Veselības veicināšanas plāns Jūrmalas pilsētai 2013.- 2020.gadam (VVP)</t>
  </si>
  <si>
    <t>2.3.1.  mērķa "Veselīga uztura veicināšana, uztura paradumu uzlabošana", 3.uzdevuma "Zīdīšana", 3.1.pasākums "Veicināt bērna zīdīšanu."</t>
  </si>
  <si>
    <t xml:space="preserve">2.3.2.mērķa "Fiziskās aktivitātes veicināšana", 2.uzdevuma "Izglītības pasākumu organizēšana un fizisko aktivitāšu iespēju paplašināšana iedzīvotājiem darbaspējīgā vecumā", </t>
  </si>
  <si>
    <t xml:space="preserve">   2.3.pasākums "Radīt iespējas pašvaldībā, kad speciālista vadībā ir iespējas nodarboties ar fiziskām aktivitātēm, gan brīvā dabā, gan telpās (nūjošana, vingrošana ūdenī, vingrošana u.c.). </t>
  </si>
  <si>
    <t xml:space="preserve">   Attīstīt pakalpojumus skeleto muskulārās sistēmas stiprināšanai, muguras sāpju mazināšanai un gaitas korekcijai." </t>
  </si>
  <si>
    <t xml:space="preserve">2.3.2.mērķa "Fiziskās aktivitātes veicināšana", 3.uzdevumaGrūtnieču un jauno māmiņu fizisko aktivitāšu uzlabošana (veicināšana)", </t>
  </si>
  <si>
    <t xml:space="preserve">   3.1.pasākums "Organizēt vingrošanas, peldēšanas, nūjošanas grupas grūtniecēm."</t>
  </si>
  <si>
    <t>2.3.2.mērķa "Fiziskās aktivitātes veicināšana", 4.uzdevuma "Fiziskās aktivitātes kā sociālās iekļaušanās iespēja; izglītības pasākumi un infrastruktūras nodrošināšana fiziskām aktivitātēm</t>
  </si>
  <si>
    <t xml:space="preserve">pieaugušajiem iedzīvotājiem vecumā virs 65 gadiem", </t>
  </si>
  <si>
    <t xml:space="preserve">   4.1.pasākums "Radīt iespējas pašvaldībā, kad speciālista vadībā ir iespējas nodarboties ar fiziskām aktivitātēm, gan brīvā dabā, gan telpās (nūjošana, vingrošana ūdenī, vingrošana u.c.) </t>
  </si>
  <si>
    <t xml:space="preserve">   bezmaksas, vai nelielu līdzmaksājumu noteiktām mērķgrupām"</t>
  </si>
  <si>
    <t xml:space="preserve">2.3.3. mērķa "Atkarības vielu ietekmes mazināšana", 2.uzdevuma "Vispārējās profilakses pasākumu plānošana, organizēšana un realizēšana atkarību mazināšanas un kontroles jomā", </t>
  </si>
  <si>
    <t xml:space="preserve">   2.1.pasākums "Aizkavēt legālo un nelegālo atkarības vielu lietošanas uzsākšanu jauniešiem paaugstinot dzīves prasmes skolās."</t>
  </si>
  <si>
    <t>2.3.3. mērķa "Atkarības vielu ietekmes mazināšana", 4.uzdevuma "Indicētā profilakse",</t>
  </si>
  <si>
    <t xml:space="preserve">   4.3.pasākums "HIV profilakses punktā veikt šļirču apmaiņu, sniegt individuālas konsultācijas par atkarību mazināšanas un pārtraukšanas iespējām, veikt HIV eksprestestus"</t>
  </si>
  <si>
    <t xml:space="preserve">2.3.3. mērķa "Atkarības vielu ietekmes mazināšana", 5.uzdevuma "Atkarību profilakses pasākumu veikšana dažādās iedzīvotāju mērķgrupās ", </t>
  </si>
  <si>
    <t xml:space="preserve">   5.1.pasākums "(darbaspējīgais vecums) Veidot interaktīvu sazināšanos ar sabiedrību, lai vērstu mītu kliedēšanu „par vieglajām un smagajām” narkotikām, </t>
  </si>
  <si>
    <t xml:space="preserve">   ūdens pīpes pīpēšanu un īslaicīgu narkotiku lietošanu. "</t>
  </si>
  <si>
    <t xml:space="preserve">   5.8.pasākums "(jaunās māmiņas un jaunās ģimenes) HIV profilakses punktā sniegt individuālas konsultācijas
grūtniecēm, kuras lieto narkotikas. </t>
  </si>
  <si>
    <t>2.3.4.mērķa "Mutes dobuma veselība", 1.uzdevuma "Pakalpojumu nodrošināšana un pieejamības veicināšana",</t>
  </si>
  <si>
    <t xml:space="preserve">   1.3.pasākums "Nodrošināt ortodontijas pakalpojumu sniegšanu pilsētā ar pašvaldības finansiālu atbalstu Jūrmalas pašvaldībā deklarētiem bērniem"</t>
  </si>
  <si>
    <t xml:space="preserve">2.3.4.mērķa "Mutes dobuma veselība", 3.uzdevuma "Nevienlīdzības mazināšana", </t>
  </si>
  <si>
    <t xml:space="preserve">   3.1.pasākums "Iekļaut ar zobārstniecību saistīto izdevumu segšanu pašvaldības sociālo pabalstu veselības aprūpei ietvaros trūcīgām un maznodrošinātām personām", </t>
  </si>
  <si>
    <t xml:space="preserve">   3.2.pasākums "Nodrošināt zobu protezēšanu ar 25 % -50% atlaidi Jūrmalas pilsētā deklarētiem pensionāriem"</t>
  </si>
  <si>
    <t xml:space="preserve">2.4.4.mērķa "Garīgā veselība", 3.uzdevuma "Informēšanas pasākumi; psiholoģiskās palīdzības nodrošināšana - iedzīvotājiem darbaspējīgā vecumā", </t>
  </si>
  <si>
    <t xml:space="preserve">   3.3.pasākums "Izveidot pašvaldībā psiholoģiskās palīdzības dienestu, lai nodrošinātu iespēju saņemt kvalificētu speciālistu atbalstu tuvu dzīves vietai, un izstrādāt pakalpojuma apmaksas sistēmu, </t>
  </si>
  <si>
    <t xml:space="preserve">   nosakot atvieglojumus personām tuvinieka zaudējuma, darba zaudējuma gadījumā, kā arī trūcīgām un maznodrošinātām personām."</t>
  </si>
  <si>
    <t>2.5. mērķa "Veselības veicināšanas sistēmas stiprināšana, starpsektoru sadarbība", 1.uzdevuma "Nodrošināt pašvaldības dažādu sektoru ietekmi uz veselības sociālajām determinantēm.",</t>
  </si>
  <si>
    <t xml:space="preserve">   1.6.pasākums "Plašāk iesaistīt sabiedrību dažādu programmu/ projektu plānošanā, īstenošanā un izvērtēšanā." </t>
  </si>
  <si>
    <r>
      <rPr>
        <b/>
        <sz val="9"/>
        <rFont val="Times New Roman"/>
        <family val="1"/>
        <charset val="186"/>
      </rPr>
      <t>33.pielikums</t>
    </r>
    <r>
      <rPr>
        <sz val="9"/>
        <rFont val="Times New Roman"/>
        <family val="1"/>
        <charset val="186"/>
      </rPr>
      <t xml:space="preserve"> Jūrmalas pilsētas domes</t>
    </r>
  </si>
  <si>
    <t>2018.gada 18decembra saistošajiem noteikumiem Nr.44</t>
  </si>
  <si>
    <t>Jūrmalas pilsēas Labklājības pārvalde</t>
  </si>
  <si>
    <t>Sabiedrības integrācijas nodaļa</t>
  </si>
  <si>
    <t>Integrācijas projektu īstenošana</t>
  </si>
  <si>
    <t>8.400.</t>
  </si>
  <si>
    <t>Sabiedrības integrācijas programmas realizācija, pašvaldības iedzīvotāju iniciatīvas integrācijas projekti</t>
  </si>
  <si>
    <t>JPAS_J14 JPAP_P3.1_R3.1.3._133 JPAP_P3.5_R3.5.1._222</t>
  </si>
  <si>
    <t>8.620.</t>
  </si>
  <si>
    <t>JPAS_J15 JPAP_P3.5_R3.5.1._222</t>
  </si>
  <si>
    <t>Fotoklubs "Jaunais fokuss"</t>
  </si>
  <si>
    <t xml:space="preserve">Tā kā izgatavotie kalendāri ir prece, ko Labklājības pārvalde izdala kā reprezentatīvos materiālus, tad ar kalendāru izgatavošanu saistītās izmaksas 750 EUR ir jānovirza attiecīgajā EEK </t>
  </si>
  <si>
    <t>Latviskās identitātes stiprināšanas programma latviešu nacionālo vērtību stiprināšanai</t>
  </si>
  <si>
    <t>Etniskā integrācija</t>
  </si>
  <si>
    <t>Valsts valodas apmācība mazākumtautību pārstāvjiem un nepilsoņiem</t>
  </si>
  <si>
    <t>Romu kopienas dienas</t>
  </si>
  <si>
    <t>Jaunatnes Dzejas dienas "Vienotā valodā"</t>
  </si>
  <si>
    <t>Ekumeniskas Lieldienas</t>
  </si>
  <si>
    <t>Budžeta ekonomija no pasākuma izdevumiem</t>
  </si>
  <si>
    <t>Starptautiskā veco ļaužu diena</t>
  </si>
  <si>
    <t>Ziemassvētku sveicieni sociāli neaizsargātām iedzīvotāju grupām</t>
  </si>
  <si>
    <t>Invalīdu sporta attīstība</t>
  </si>
  <si>
    <t>Sociālā integrācijas programma ilgstošiem bezdarbniekiem</t>
  </si>
  <si>
    <t>Radošās spēles vecvecākiem un mazbērniem "Mūsu mazā zemīte"</t>
  </si>
  <si>
    <t>Dienas nometne bērniem ar īpašām vajadzībām</t>
  </si>
  <si>
    <t>Atzinības izteikšana par paveikto un sasniegto NVO un sociālajā darbā</t>
  </si>
  <si>
    <t>JPAS_J15 JPAP_P3.5_R3.1.3._133</t>
  </si>
  <si>
    <t>Lai varētu nodrošināt Sabiedriskā labuma balvas ceremonijas norisi augstā kvalitātē, 2019.gada budžetā ir nepieciešami līdzekļi reprezentatīvajiem izdevumiem. Lai aicinātu pasākuma viesus un nominantus uz svinīgo pasākumu ir nepieciešams sagatavot ielūgumus. Svinīgajā ceremonijā, pasniedzot atzinības rakstus vai apbalvojumu nominantiem, tie ir jāievieto rāmītī vai vākā, kā arī pasniedzot balvu, katram laureātam ir nepieciešams pasniegt ziedus, kas ir neatņemama svinīgās ceremonijas sastāvdaļa. Ņemot vērā to, ka līdz šim reprezentatīvie materiāli tika nodrošināti no Jūrmalas pilsētas domes Administratīvas pārvaldes resursiem, turpmāk Labklājības pārvaldes budžetā ir nepieciešams paredzēt finanšu līdzekļus: ielūgumiem - 170 EUR, atzinības rakstu un apbalvojumu noformējumam - 35 EUR un ziediem - 195 EUR. Kopā reprezentatīvajiem izdevumiem ir nepieciešami papildus 400 EUR.</t>
  </si>
  <si>
    <t>Sociālo darbinieku konference</t>
  </si>
  <si>
    <t>Sociālā integrācija - šūšanas darbnīca pirmspensijas un pensijas vecuma personām, bezdarbniekiem un invalīdiem</t>
  </si>
  <si>
    <t>Integrācijas rīcības virzieni izglītības jomā</t>
  </si>
  <si>
    <t>Naturalizācijas veicināšanas pasākumi sadarbībā ar PMLP paplašinot pakalpojumu pieejamību</t>
  </si>
  <si>
    <t>Pilsoniskās sabiedrības stiprināšana</t>
  </si>
  <si>
    <t>Starppilsētu konference Jūrmalā</t>
  </si>
  <si>
    <t>JPAS_J14 JPAP_P3.1_R3.1.3._133</t>
  </si>
  <si>
    <t>Jūrmalas NVO izstāde</t>
  </si>
  <si>
    <t>Izglītojoši semināri NVO pārstāvjiem (4 semināri)</t>
  </si>
  <si>
    <t>Aktivitāte: J14 sabiedrības līdzdalības uzlabošana pilsētas dzīves veidošanā un efektīvai pilsētas pārvaldei</t>
  </si>
  <si>
    <t>Aktivitāte: J15 jūrmalnieka piederības sajūtas veidošana</t>
  </si>
  <si>
    <t>Prioritāte P3.1 Uz nākotni orientēta pilsētas pārvaldība, kas atbalsta pilsonisko iniciatīvu</t>
  </si>
  <si>
    <t>Rīcības virziens: R3.1.3. Nevalstiskā sektora attīstības atbalsts</t>
  </si>
  <si>
    <t>Aktivitāte: Nr. 133 Sadarbība ar nevalstiskajām organizācijām</t>
  </si>
  <si>
    <t>Prioritāte P3.5 Kvalitatīvs sociālais atbalsts</t>
  </si>
  <si>
    <t>Aktivitāte: Nr.222 Sabiedrības integrācijas veicināšana</t>
  </si>
  <si>
    <t>Pārējie citur nekvalificētie sociālās aizsardzības pasākumi</t>
  </si>
  <si>
    <t>Tāme Nr. 10.4.1.</t>
  </si>
  <si>
    <t>Jūrmalas pilsētas pašvaldības iestāde "Sprīdītis"</t>
  </si>
  <si>
    <t>90001868844</t>
  </si>
  <si>
    <t>Sēravotu iela 9, Jūrmala, LV-2012</t>
  </si>
  <si>
    <t>Aprūpe pašvaldības sociālās aprūpes institūcijās</t>
  </si>
  <si>
    <t>LV74PARX0002484577031</t>
  </si>
  <si>
    <t>LV11PARX0002484576031</t>
  </si>
  <si>
    <t>Ir atslēgti fiksētie tālruņi, un tiek izmantoti tikai mobilie telefoni,  98 EUR tiek pārkārtoti uz 2235, 593 EUR tiek pārkārtoti uz 2242</t>
  </si>
  <si>
    <t>Pasta pakalpojumi tiek izmantoti maz, tādēļ veidojas pārpalikums, un tiek pārkārtots 20 EUR uz 2249, lūdzam 30 EUR pārkārtot uz EKK2235</t>
  </si>
  <si>
    <t>Tiek pārkārtoti 98 EUR no 2212, nepieciešami papildus līdzekļi 1. palīdzības kursiem (17x18.15=308.55 EUR), no EKK 2219 lūdzam pārkārtot 30 EUR, Lūdzam piešķirt 145 EUR darba aizsardzības kursiem, un 215 EUR ugusndrošības kursiem, lai nodrošinātu LR likumu izpildi un nebūtu jāpiesaista ārpaklapojums.</t>
  </si>
  <si>
    <t xml:space="preserve">Sakarā ar iestādes direktora maiņu, bija nepieciešams mainīt SEB bankā paraksta paraugu kartiņu (kvīts Nr. 561929, 10.00 EUR) un saņemt digipasu (kvīts Nr. 561928, 9.00 EUR), SEB bankā ir atvērts algu konts. </t>
  </si>
  <si>
    <t>jaunā auto KASKO un OCTA polises, OCTA 122.25 + KASKO 470.62 = 592.87 EUR (AS BALTA lētākais no 3. pretendentiem) Pārkārtot no 2212 - 593 EUR</t>
  </si>
  <si>
    <t>Lūdzam piešķirt papildus līdzekļus Rēķina Nr. 116/2019 apmaksai (durvju slēdzeņu remonts, pielikumā tāme un rēķins) šo tāmi parakstija Ē.L. Trauberga, un rēķinu saņēma jau E. Melnis, redzot, ka nav paredzēta nauda šādam remontam rēķina apmaksa atlikta līdz budžeta grozīšanai</t>
  </si>
  <si>
    <t>55 EUR nepieciešami vecā VW Transporter vērtēšanai, , lūdzam pārkārtot no 2219 - 20 EUR</t>
  </si>
  <si>
    <t>Lūdzam pārkārtot uz 2279 62 EUR, lūdzam pārkārtot 476 EUR uz EKK2312</t>
  </si>
  <si>
    <t>Lūdzam piešķirt papildus līdzekļus Rēķina Nr. 34-2019 611 EUR apmērā par DD un UD instrukciju izstrādi un 3 mēnešu iestādes uzraudzības,  + 62 EUR T. Kravcova baskatebola nometnei lūdzam pārkārtot no ziedojumu konta 2275</t>
  </si>
  <si>
    <t>Sakarā ar to, ka vecā veļas mašīna salūza un ir saņemts defektācijas akts, kurā norādīts, ka to vairāk nevar saremontēt, ir nepieciešami pārkārtot līdzekļus veļas mašīnas iegādei ACB "Paspārne" vajadzībām, Electrolux EWF1697CDC - aptuvenā cena 490 EUR bērnu pamatvajadzību nodrošināšanai.</t>
  </si>
  <si>
    <t>Budžeta ekonomija, lūdzu pārkārtot 100 EUR uz EKK 2352</t>
  </si>
  <si>
    <t>iekārtojoties Ventspils šosejā 20a, Jūrmalā ir bijuši papildus izdevumi saimniecības precēm. No 2351 pārkārtot 100 EUR, no 2369 lūdzam pārkārtot 250 EUR, no 2515 lūdzam pārkārtot 150 EUR</t>
  </si>
  <si>
    <t xml:space="preserve">radusies individuālo hig. Preču ekonomija, jo tiek izmantoti šampūnu un dušas želeju dozatori dušās un vannās, lai nodrošinātu nepārtrauktu pieeju šampūniem visiem bērniem, kā arī tas ir ekonomiski izdevīgāk, lūdzam pārkārtot 250 EUR uz 2352
</t>
  </si>
  <si>
    <t>Budžeta līdzekļu ekonomija. Tika aprēķināts mazāks DRN.</t>
  </si>
  <si>
    <t>08.100</t>
  </si>
  <si>
    <t>Sporta pasākumi</t>
  </si>
  <si>
    <r>
      <t>25</t>
    </r>
    <r>
      <rPr>
        <b/>
        <sz val="9"/>
        <rFont val="Times New Roman"/>
        <family val="1"/>
        <charset val="186"/>
      </rPr>
      <t>.pielikums</t>
    </r>
    <r>
      <rPr>
        <sz val="9"/>
        <rFont val="Times New Roman"/>
        <family val="1"/>
        <charset val="186"/>
      </rPr>
      <t xml:space="preserve"> Jūrmalas pilsētas domes</t>
    </r>
  </si>
  <si>
    <t>Jūrmalas Sporta servisa centrs</t>
  </si>
  <si>
    <t>JPAP_MI_P1.6_R1.6.3_41                                           JPSAAS                            Mērķi Nr.1,Nr.3, Nr.4</t>
  </si>
  <si>
    <t>Jūrmalas čempionāts basketbolā vīriešiem</t>
  </si>
  <si>
    <t>Jūrmalas atklātais amatieru čempionāts  hokejā</t>
  </si>
  <si>
    <t>Jūrmalas domes kauss pludmales futbolā</t>
  </si>
  <si>
    <t>Jūrmalas čempionāts pludmales volejbolā</t>
  </si>
  <si>
    <t xml:space="preserve">Jūrmalas gada balva sportā </t>
  </si>
  <si>
    <t>CEV/FIVB starptautiskās pludmales volejbola sacensības</t>
  </si>
  <si>
    <t>Jūrmalas skriešanas svētki</t>
  </si>
  <si>
    <t>Iepirkumu rezultātā radās finanšu ekonomija</t>
  </si>
  <si>
    <t>Neatkarības dienas velobrauciens</t>
  </si>
  <si>
    <t>Jūrmalas velomaratons</t>
  </si>
  <si>
    <t>Jūrmalas krāsu skrējiens</t>
  </si>
  <si>
    <t>Electric Run Jūrmala</t>
  </si>
  <si>
    <t>Jūrmalas MTB velomaratons</t>
  </si>
  <si>
    <t>Latvijas čempionāts pludmales volejbolā</t>
  </si>
  <si>
    <t>Pasaules kausa posms ielu vingrošanā</t>
  </si>
  <si>
    <t>Ielu dejošanas pasākums "Ghetto dance"</t>
  </si>
  <si>
    <t>24. starptautiskās sacensības mākslas vingrošanā "Mazā un lielā grācija"</t>
  </si>
  <si>
    <t>"Jurmala Cup" ūdens motosporta sacensības</t>
  </si>
  <si>
    <t>Jāņa Roviča kauss boksā</t>
  </si>
  <si>
    <t>Starptautiskais pludmales handbola turnīrs "Jūrmala"</t>
  </si>
  <si>
    <t>Latvijas senioru atklātais čempionāts tenisā</t>
  </si>
  <si>
    <t>Starptautiskās karatē sacensības "Jūrmalas kauss "</t>
  </si>
  <si>
    <t>LAF organizētās sacensības airēšanā</t>
  </si>
  <si>
    <t>Jūrmalas Rogainings</t>
  </si>
  <si>
    <t xml:space="preserve">Jūrmalas domes atklātais futbola kauss </t>
  </si>
  <si>
    <t>Džudo turnīrs "Young Stars Jurmala"</t>
  </si>
  <si>
    <t>Jūrmalas kauss Pludmales Regbijā-5</t>
  </si>
  <si>
    <t>Skriešanas seriāls "Dzintaru apļi"</t>
  </si>
  <si>
    <t>Orientēšanās spēles "Ķemeri 181/41"</t>
  </si>
  <si>
    <t>Starptautiskais bērnu un jauniešu šaha turnīrs Rudaga-Kaissa vasara/ziema</t>
  </si>
  <si>
    <t>Projektu konkurss sporta pasākumiem</t>
  </si>
  <si>
    <t>Latvijas čempionāts zolīte - A fināls</t>
  </si>
  <si>
    <t>4. maija Sporta svētki Jūrmalā</t>
  </si>
  <si>
    <t xml:space="preserve">SSB Sporta spēles </t>
  </si>
  <si>
    <t>Budžeta grozījumi nepieciešami, jo tehniskas kļūdas dēļ šī pozīcija netika iekļauta saistošo noteikumu projektā, neskatoties uz pozitīvu komitejas atzinumu</t>
  </si>
  <si>
    <t>Sporta veidu attīstība</t>
  </si>
  <si>
    <t>Līdzfinansējums biedrībai "Jūrmalai un sportam"</t>
  </si>
  <si>
    <t>JPAP_M3_P3.3_R3.3.3. 207 JPAP_M3_P3.1_R3.1.3. 133 JPAP_M1_P1.6._R1.6.3._41  JPSAAAS Mērķi Nr 1;Nr.4.</t>
  </si>
  <si>
    <t>Biedrība "Jūrmalas Sports" handbola komandas līdzfinansēšana</t>
  </si>
  <si>
    <t>Aleksandra Samoilova atbalstam</t>
  </si>
  <si>
    <t>Pludmales volejbolistes Tīnas Lauras Graudiņas atbalstam</t>
  </si>
  <si>
    <t>Gargabalnieces Jeļenas Čelnovas - Prokopčukas attīstībai</t>
  </si>
  <si>
    <t>Ratiņtenisistes Žanetes Vasaraudzes - Gailītes attīstībai</t>
  </si>
  <si>
    <t xml:space="preserve">Alvila Branta atbalstam Pasaules kausā parabobslejā </t>
  </si>
  <si>
    <t>Mihaila Samoilova atbalstam</t>
  </si>
  <si>
    <t>Karatistes Marijas Luīzes Muižnieces atbalstam</t>
  </si>
  <si>
    <t>Loka šāvējas Anetes Kreicbergas atbalstam</t>
  </si>
  <si>
    <t>Dambretista Gunta Valnera atbalstam</t>
  </si>
  <si>
    <t>Biedrības PAPA'S sacīkšu komandas atbalstam</t>
  </si>
  <si>
    <t>Jurmala Racing Team</t>
  </si>
  <si>
    <t>Biedrība "Skolas sporta klubs "Neguss""</t>
  </si>
  <si>
    <t>Jāņa Roviča boksa klubs</t>
  </si>
  <si>
    <t>Florbola klubs Jūrmala</t>
  </si>
  <si>
    <t>Karatista Leonīda Vorožeikina atbalstam</t>
  </si>
  <si>
    <t>Airētāja Ģirta Sokolova atbalstam</t>
  </si>
  <si>
    <t>Airētājas Jelizavetes Simačevas atbalstam</t>
  </si>
  <si>
    <t>Airētājas Zanes Putniņas atbalstam</t>
  </si>
  <si>
    <t>Airētāja Oskara Anša Ruģeļa atbalstam</t>
  </si>
  <si>
    <t>Airētāja Markusa Imanta Saulītes atbalstam</t>
  </si>
  <si>
    <t>Airētāja Valtera Dirnēna atbalstam</t>
  </si>
  <si>
    <t>Airētāja Krišjāņa Strautiņa atbalstam</t>
  </si>
  <si>
    <t>Airētāja Krista Tomasa Krūmiņa atbalstam</t>
  </si>
  <si>
    <t>Par burāšanas sporta vienības fonda "Collatis viribus" līdzfinansēšanu</t>
  </si>
  <si>
    <t>Olivera Ritenieka atbalstam</t>
  </si>
  <si>
    <t xml:space="preserve">Veterānu futbola kluba "Devro Jūrmala" atbalstam </t>
  </si>
  <si>
    <t>Senioru sporta biedrības Jūrmala galda tenisistu atbalstam</t>
  </si>
  <si>
    <t>Pašvaldības atzinības izteikšana par īpašiem sasniegumiem un rezultātiem</t>
  </si>
  <si>
    <t>Jūrmalas komandas dalība Latvijas Jaunatnes Olimpiādē</t>
  </si>
  <si>
    <t>Sporta attīstības un publicitātes pasākumi</t>
  </si>
  <si>
    <t>Grāmata''Jūrmalas sporta vēsture''</t>
  </si>
  <si>
    <t>JPAP_P1.6._R1.6.3._41</t>
  </si>
  <si>
    <t>Attīstības plānošanas dokumenta nosaukums un rīcības virzienu atšifrējums.</t>
  </si>
  <si>
    <t>Jūrmalas pilsētas attīstības programma 2014. – 2020.gadam (JPAP)</t>
  </si>
  <si>
    <t>Prioritāte 1.6. Aktīvā un dabas tūrisma attīstība</t>
  </si>
  <si>
    <t>Rīcības virziens: R.1.6.3. Sporta pasākumu un pakalpojumu attīstība</t>
  </si>
  <si>
    <t>Aktivitāte 41 Sporta infrastruktūras un pasākumu un pakalpojumu attīstība</t>
  </si>
  <si>
    <t>Prioritāte 3.1. Uz nākotni orientēta pilsētas pārvaldība, kas atbalsta pilsonisko iniciatīvu</t>
  </si>
  <si>
    <t>Rīcības virziens: R.3.1.3. Nevalstiskā sektora attīstības atbalsts</t>
  </si>
  <si>
    <t>Aktivitāte 133 Sadarbība ar nevalstiskajām organizācijām</t>
  </si>
  <si>
    <t>Prioritāte 3.3. Daudzveidīga kultūras un sporta vide</t>
  </si>
  <si>
    <t>Rīcības virziens: R.3.3.3.: Sporta sektora attīstība</t>
  </si>
  <si>
    <t>Aktivitāte 207 Valsts vadošo sporta speciālistu piesaiste</t>
  </si>
  <si>
    <t>Mērķi no JPAAAS - Jūrmalas pilsētas aktīvās atpūtas attīstības stratēģija</t>
  </si>
  <si>
    <t>Mērķis Nr. 1 Fiziskās aktivitātēs iesaistīto Jūrmalas pilsētas iedzīvotāju, īpaši bērnu un jauniešu skaita pieaugums.</t>
  </si>
  <si>
    <t>Mērķis Nr.2 Cilvēku ar invaliditāti dalības sporta un aktīvās atpūtas aktivitātēs pieaugums</t>
  </si>
  <si>
    <t>Mērķis Nr. 3 Starptautiska, nacionāla un vietēja mēroga sporta sacensību un aktīvās atpūtas norišu skaita pieaugums.</t>
  </si>
  <si>
    <t>Mērķis Nr. 4 .Jūrmalas pilsētas iedzīvotāju veselības rādītāju uzlabošanās.</t>
  </si>
  <si>
    <t>Tāme Nr.09.4.4.</t>
  </si>
  <si>
    <t>Jūrmalas Bērnu un jauniešu interešu centrs</t>
  </si>
  <si>
    <t>90009226256</t>
  </si>
  <si>
    <t>Zemgales iela 4, Jūrmala</t>
  </si>
  <si>
    <t>09.510.</t>
  </si>
  <si>
    <t>Projekts "Me.You.Personality"/"Es.Tu.Personība."</t>
  </si>
  <si>
    <t>LV32TREL981376900200B</t>
  </si>
  <si>
    <t>Iesniedzot gala atskaiti, saņemtais finansējums 3655.40EUR</t>
  </si>
  <si>
    <t>1.00 EUR papildus līdzekļi projekta fotoatskaites sagatavošanai</t>
  </si>
  <si>
    <t>Iesniedzot gala atskaiti, precizēts saņemtā finansējuma sadalījums.</t>
  </si>
  <si>
    <t>Tāme Nr.09.10.1.</t>
  </si>
  <si>
    <t>90000053670</t>
  </si>
  <si>
    <t>Strēlnieku pr.30 lit.1, Jūrmala</t>
  </si>
  <si>
    <t>09.510</t>
  </si>
  <si>
    <t>LV62PARX0002484572009</t>
  </si>
  <si>
    <t>LV28PARX0002484573009</t>
  </si>
  <si>
    <t>LV86PARX0002484577009</t>
  </si>
  <si>
    <r>
      <t>Ieņēmumi saskaņā ar līgumu Nr.4-1/5 no 28.05.19 starp Mākslas skolu un Valsts SIA"Latvijas Koncerti" EUR</t>
    </r>
    <r>
      <rPr>
        <b/>
        <sz val="9"/>
        <rFont val="Times New Roman"/>
        <family val="1"/>
        <charset val="186"/>
      </rPr>
      <t xml:space="preserve"> 447,56:,</t>
    </r>
    <r>
      <rPr>
        <sz val="9"/>
        <rFont val="Times New Roman"/>
        <family val="1"/>
        <charset val="186"/>
      </rPr>
      <t xml:space="preserve">t.sk. telpu uztur., saimn.līdz., Pl noliet. EUR </t>
    </r>
    <r>
      <rPr>
        <b/>
        <sz val="9"/>
        <rFont val="Times New Roman"/>
        <family val="1"/>
        <charset val="186"/>
      </rPr>
      <t>415,53+</t>
    </r>
    <r>
      <rPr>
        <sz val="9"/>
        <rFont val="Times New Roman"/>
        <family val="1"/>
        <charset val="186"/>
      </rPr>
      <t xml:space="preserve"> ūdens EUR </t>
    </r>
    <r>
      <rPr>
        <b/>
        <sz val="9"/>
        <rFont val="Times New Roman"/>
        <family val="1"/>
        <charset val="186"/>
      </rPr>
      <t xml:space="preserve">1,65 + </t>
    </r>
    <r>
      <rPr>
        <sz val="9"/>
        <rFont val="Times New Roman"/>
        <family val="1"/>
        <charset val="186"/>
      </rPr>
      <t xml:space="preserve">elektroenerģija EUR </t>
    </r>
    <r>
      <rPr>
        <b/>
        <sz val="9"/>
        <rFont val="Times New Roman"/>
        <family val="1"/>
        <charset val="186"/>
      </rPr>
      <t xml:space="preserve"> 27,79 + </t>
    </r>
    <r>
      <rPr>
        <sz val="9"/>
        <rFont val="Times New Roman"/>
        <family val="1"/>
        <charset val="186"/>
      </rPr>
      <t>atkr. izveš.EUR</t>
    </r>
    <r>
      <rPr>
        <b/>
        <sz val="9"/>
        <rFont val="Times New Roman"/>
        <family val="1"/>
        <charset val="186"/>
      </rPr>
      <t xml:space="preserve"> 2,59</t>
    </r>
  </si>
  <si>
    <t>2 dienu seminārs izglītības iestāžu vadītājiem Rēzeknē 2019.gada 19.-20.augustā.</t>
  </si>
  <si>
    <t xml:space="preserve">Izdevumi  siltuma nodrošināšanai .  Plānojot cena  bija 65.51 euro par vienību, bet no februāra 2019g. cena mainījusies uz 73.65 euro. </t>
  </si>
  <si>
    <r>
      <t xml:space="preserve">Izdevumi  par ūdeni un kanalizāciju saskaņā ar līgumu Nr.4-1/5 no 28.05.19 starp Mākslas skolu un Valsts SIA"Latvijas Koncerti" EUR </t>
    </r>
    <r>
      <rPr>
        <b/>
        <sz val="9"/>
        <rFont val="Times New Roman"/>
        <family val="1"/>
        <charset val="186"/>
      </rPr>
      <t>1,65</t>
    </r>
    <r>
      <rPr>
        <sz val="9"/>
        <rFont val="Times New Roman"/>
        <family val="1"/>
        <charset val="186"/>
      </rPr>
      <t xml:space="preserve"> </t>
    </r>
  </si>
  <si>
    <r>
      <t xml:space="preserve">Izdevumi  par elektroenerģiju saskaņā ar līgumu Nr.4-1/5 no 28.05.19 starp Mākslas skolu un Valsts SIA"Latvijas Koncerti" EUR </t>
    </r>
    <r>
      <rPr>
        <b/>
        <sz val="9"/>
        <rFont val="Times New Roman"/>
        <family val="1"/>
        <charset val="186"/>
      </rPr>
      <t>27,79</t>
    </r>
  </si>
  <si>
    <r>
      <t xml:space="preserve">Izdevumi  par atkritumu savākšanu saskaņā ar līgumu Nr.4-1/5 no 28.05.19 starp Mākslas skolu un Valsts SIA"Latvijas Koncerti" EUR </t>
    </r>
    <r>
      <rPr>
        <b/>
        <sz val="9"/>
        <rFont val="Times New Roman"/>
        <family val="1"/>
        <charset val="186"/>
      </rPr>
      <t xml:space="preserve">2,59 </t>
    </r>
    <r>
      <rPr>
        <sz val="9"/>
        <rFont val="Times New Roman"/>
        <family val="1"/>
        <charset val="186"/>
      </rPr>
      <t/>
    </r>
  </si>
  <si>
    <t>Saskaņā ar MK noteikumiem Nr.87 ar 01.01.2019. pamatlīdzekļa atzīšanas slieksnis ir 500 eiro. Līdz ar to summa 300 eiro (plānots pirkt putekļsūcēju)   pārnesta no koda 5232 "Samn. PL"uz  kodu 2312" Inventārs"</t>
  </si>
  <si>
    <t>Saskaņā ar MK noteikumiem Nr.87 ar 01.01.2019. pamatlīdzekļa atzīšanas slieksnis ir 500 eiro. Līdz ar to summa 300 eiro (plānots pirkt putekļsūcēju)   pārnesta uz kodu 2312" Inventārs"</t>
  </si>
  <si>
    <t>Iestādes uzturēšana, interešu un profesionālās ievirzes izglītības nodrošināšana</t>
  </si>
  <si>
    <t>Tāme Nr.09.9.1</t>
  </si>
  <si>
    <t>Majoru vidusskola</t>
  </si>
  <si>
    <t>90000051627</t>
  </si>
  <si>
    <t>Rīgas iela 3, Jūrmala</t>
  </si>
  <si>
    <t>09.210</t>
  </si>
  <si>
    <t>LV78PARX0002484572012</t>
  </si>
  <si>
    <t>LV44PARX0002484573012</t>
  </si>
  <si>
    <t>LV02TREL981377100200B</t>
  </si>
  <si>
    <t>LV05PARX0002484577012</t>
  </si>
  <si>
    <t>LV39PARX0002484576012</t>
  </si>
  <si>
    <t>Atgriezta pārmaksa par Lattelekom sakaru pakalpojumiem</t>
  </si>
  <si>
    <t>Iztrūkst līdzekļi ārštata darba līguma noslēgšanai ar vakarskolas grāmatvedi uz vienu mēnesi 2019.g. septembrī  vakarskolas slēguma pārskatu sagatavošanai</t>
  </si>
  <si>
    <t>Skolas direktores 2 dienu darba brauciens uz semināru Rēzeknē 2019.g. 19.-20.augustā</t>
  </si>
  <si>
    <t>Līdzekļi nepieciešami dienas naudas izmaksai iestādes direktorei (dienesta brauciens uz Rēzekni)</t>
  </si>
  <si>
    <t>Atgriežamie līdzekļi Jūrmalas pašvaldības domei</t>
  </si>
  <si>
    <t>Iestādes uzturēšana un vispārējās izglītības  nodrošināšana</t>
  </si>
  <si>
    <t>Tāme Nr.09.31.1.</t>
  </si>
  <si>
    <t>Jūrmalas vakara vidusskola</t>
  </si>
  <si>
    <t>90000051646</t>
  </si>
  <si>
    <t>Lielupes-21,Jūrmala</t>
  </si>
  <si>
    <t>Iestādes uzturēšana un vispārējās izglītības nodrošināšana</t>
  </si>
  <si>
    <t>LV08PARX0002484572011</t>
  </si>
  <si>
    <t>LV71PARX0002484573011</t>
  </si>
  <si>
    <t>LV32PARX0002484577011</t>
  </si>
  <si>
    <t>JPD 2018.g.18.10.lēmums Nr.513 "Par 'Jūrmalas vakara vidusskolas likvidēšanu".</t>
  </si>
  <si>
    <t>JPD 2018.g.18.10.lēmums Nr.513 "Par 'Jūrmalas vakara vidusskolas likvidēšanu".Kompensācija par neizmantoto atvaļinājumu 17 pedagogiem par kopējo summu EUR 6207.</t>
  </si>
  <si>
    <t>JPD 2018.g.18.10.lēmums Nr.513 "Par 'Jūrmalas vakara vidusskolas likvidēšanu".VSAOI par kompensāciju par neizmantotājiem atvaļinājumiem un atlaišānas pabalstiem.</t>
  </si>
  <si>
    <t>JPD 2018.g.18.10.lēmums Nr.513 "Par 'Jūrmalas vakara vidusskolas likvidēšanu".Atlaišānas pabalsti 17 pedagogiem ( pielikumā tabula Nr.1) - 27714 EUR un slimības lapas A apmaksai  357 EUR ( 11 dienas par martu-aprīli 3 pedagogiem ).Atlaišānas pabalsti 7 tehniskiem darbiniekiem- 8588 EUR.</t>
  </si>
  <si>
    <t>Mācību gada beigās pamatskolas skolēni, sakarā ar pāreju uz Majoru vidusskolu, mācījās neklātienes un tālmācības režīmā, tāpēc vienotu laiku ekskursijai nebija iespējas atrast. </t>
  </si>
  <si>
    <t>Tāme Nr.09.1.7.</t>
  </si>
  <si>
    <t>Pasākumi kvalitatīvas un daudzveidīgas izglītības attīstībai un atbalstam</t>
  </si>
  <si>
    <t>LV84PARX0002484572001</t>
  </si>
  <si>
    <t>projektā “Darīt kopā”</t>
  </si>
  <si>
    <t>Saistībā ar pieredzes semināru Rēzeknē</t>
  </si>
  <si>
    <t>Saistībā ar pieredzes semināru Rēzeknē - 300 euro, projektā “Darīt kopā” - 500 euro</t>
  </si>
  <si>
    <t>Tāme Nr.09.1.6.</t>
  </si>
  <si>
    <t>Tiesnešu darba apmaksai</t>
  </si>
  <si>
    <t>Tāme Nr.09.1.5.</t>
  </si>
  <si>
    <t>Kultūrizglītības un vides izglītības pasākumi</t>
  </si>
  <si>
    <t>tautas tērpu iegāde</t>
  </si>
  <si>
    <r>
      <rPr>
        <b/>
        <sz val="9"/>
        <rFont val="Times New Roman"/>
        <family val="1"/>
        <charset val="186"/>
      </rPr>
      <t>16.pielikums</t>
    </r>
    <r>
      <rPr>
        <sz val="9"/>
        <rFont val="Times New Roman"/>
        <family val="1"/>
        <charset val="186"/>
      </rPr>
      <t xml:space="preserve"> Jūrmalas pilsētas domes</t>
    </r>
  </si>
  <si>
    <t xml:space="preserve">Budžeta finansēta institūcija: </t>
  </si>
  <si>
    <t xml:space="preserve">Reģistrācijas Nr.: </t>
  </si>
  <si>
    <t>Izglītības pārvalde</t>
  </si>
  <si>
    <t>1.</t>
  </si>
  <si>
    <t>Pilsētas mēroga pasākumi</t>
  </si>
  <si>
    <t>1.1.</t>
  </si>
  <si>
    <t>Sabiedriski nozīmīgi publiskie pasākumi</t>
  </si>
  <si>
    <t xml:space="preserve">JPKAP_RV2_P2.4.1. JPAP_P3.2._R3.2.4._184 JPAP_P3.2._R3.2.5._186 VVPJP_2.3.2_1._1.8. JPP_AM1_U1.4._P1.4.1 ; JPP_AM3_U3.2._P3.2.2 </t>
  </si>
  <si>
    <t>mainītas izdevumu pozīcijas Jauniešu dienai</t>
  </si>
  <si>
    <t xml:space="preserve">velobraucēju pasākumā mazāks dalībnieku skaits kā plānots </t>
  </si>
  <si>
    <t>Tautas tērpu iegāde</t>
  </si>
  <si>
    <t>1.2.</t>
  </si>
  <si>
    <t>Konkursi un olimpiādes</t>
  </si>
  <si>
    <t xml:space="preserve">JPAP_P3.2._R3.2.4._184 </t>
  </si>
  <si>
    <t>Nenotika Mūsdienu deju konkurss pilsētā, pamatojoties uz izmaiņām VISC nolikumā</t>
  </si>
  <si>
    <t>1.3.</t>
  </si>
  <si>
    <t>Skates</t>
  </si>
  <si>
    <t>netika izmantots žūrijas pakalpojums 1.-4.klašu koru skatē</t>
  </si>
  <si>
    <t>JPAP_P3.2._R3.2.4._184  JPKAP_RV2_U2.4._P2.4.1.</t>
  </si>
  <si>
    <t>2.</t>
  </si>
  <si>
    <t>Reģiona un valsts mēroga skates, konkursi, sacensības</t>
  </si>
  <si>
    <t>2.1.</t>
  </si>
  <si>
    <t>Konkursi un skates</t>
  </si>
  <si>
    <t>JPAP_P3.2._R3.2.4._170 JPAP_P3.2._R3.2.1._146 JPAP_P3.2._R3.2.4._184  JPKAP_RV2_U2.4._P2.4.1.</t>
  </si>
  <si>
    <t>nebija nepieciešams valsts konkursā '" Dizains"</t>
  </si>
  <si>
    <t>netika piemērota dalības maksa valsts un novada konkursos Dizains, Balsis, Spēlējam un dancojam; samazināta dalības maksa festivālos Latvju bērni danci veda, ..Un es iešu un iešu</t>
  </si>
  <si>
    <t>ieekonomēts saskaņā iz izmaiņām VISC nolikumos</t>
  </si>
  <si>
    <t>precizēts nepieciešamo nodokļu apmērs</t>
  </si>
  <si>
    <t>2.2.</t>
  </si>
  <si>
    <t>ieekonomēts, jo mazāks dalībnieku skaits kā plānots pasākumā  Spēlējam un dancojam un Latvju bērni danci veda</t>
  </si>
  <si>
    <t xml:space="preserve">JPAP_P3.2._R3.2.4._184 ; JPP_AM1_U1.4._P1.4.1 ; JPP_AM3_U3.2._P3.2.2 </t>
  </si>
  <si>
    <t xml:space="preserve">nebija nepieciešami nakšņošanas pakalpojumiteātru festivālā Valmierā </t>
  </si>
  <si>
    <t>Grupu sporta veidu sacensības</t>
  </si>
  <si>
    <t>JPAP_P3.2._R3.2.4._174 
JPSAAAS_2_2.1_PP.3</t>
  </si>
  <si>
    <t>nenotiks pasākums "Lāses kauss"</t>
  </si>
  <si>
    <t>Individuālo sporta veidu sacensības</t>
  </si>
  <si>
    <t>Tiesnešu darba apmaksai mākslas vingrošanas un vieglatlētikas sacensībām</t>
  </si>
  <si>
    <t>Semināri, kursi, konferences</t>
  </si>
  <si>
    <t>izvērtējot nepieciešamību, samazinātas izmaksas bukleta atjaunošanai</t>
  </si>
  <si>
    <t>JPAP_P3.2._R3.2.3._157 JPIAK_R3.2.1._2</t>
  </si>
  <si>
    <t>līdzekļi nepieciešami Starptautiskās konferences norises nodrošināšanai</t>
  </si>
  <si>
    <t xml:space="preserve">mainītas izmaksu pozīcijas izbraukuma semināram un augusta pedagogu konferencei - 1600 euro un pedagogu semināriem - 200 euro, samazināts finansējums atbilstoši pieprasījumam kursiem un praktiskajām nodarbībām mūžizglītības kontekstā - 700 euro, </t>
  </si>
  <si>
    <t>Papildus līdzekļi nepieciešami pedagogu pieredzes semināram oktobrī - 300 euro, projektā “Darīt kopā” - 500 euro</t>
  </si>
  <si>
    <t xml:space="preserve">projekta “Darīt kopā” dalībnieku komandējuma izdevumiem, </t>
  </si>
  <si>
    <t xml:space="preserve">projekta “Darīt kopā” dalībnieku apdrošināšanai, </t>
  </si>
  <si>
    <t>Pedagogu un izglītojamo apbalvošana</t>
  </si>
  <si>
    <t>olimpiāžu uzvarētāju ekskursijai arba apmaksa nebija nepieciešama</t>
  </si>
  <si>
    <t>JPAP_P3.2._R3.2.1._147 JPIAK_R3.2.1._2. JPAP_P3.2._R3.1.3._184</t>
  </si>
  <si>
    <t>olimpiāžu uzvarētāju ekskursijai izmaksas mazākas nekā bija plānots</t>
  </si>
  <si>
    <t>Pasākumi izglītojamo karjeras kompetences attīstībai</t>
  </si>
  <si>
    <t xml:space="preserve">JPAP_P3.2._R3.2.3._159 JPIAK_R3.2.3._5.; JPP_AM1_U1.4._P1.4.1 ; JPP_AM3_U3.2._P3.2.2 </t>
  </si>
  <si>
    <t>talantīgo izglītojamo nodarbībai RTU 2.semestrī</t>
  </si>
  <si>
    <t>talantīgo izglītojamo odarbībām RTU 2.semestrī</t>
  </si>
  <si>
    <t>talantīgo izglītojamo nodarbībām līdzekļi nebūs nepieciešami</t>
  </si>
  <si>
    <t>Pedagoģiski medicīniskās komisijas dalībnieku darba apmaksai</t>
  </si>
  <si>
    <t>līdzekļi nebūs nepieciešami, pakalpojumus sniegs Jūrmalas Iekļaujoššas izglītības centrs</t>
  </si>
  <si>
    <t>JPAP_P3.2._R3.2.5._186</t>
  </si>
  <si>
    <t>Centralizētie pasākumi vispārējās izglītības jomā</t>
  </si>
  <si>
    <t>Atestāti un apliecības</t>
  </si>
  <si>
    <t>JPAP_P3.1._R3.1.2._131</t>
  </si>
  <si>
    <t>Izglītības iestāžu akreditācija</t>
  </si>
  <si>
    <t>Līdzfinansējums privātajām izglītības iestādēm</t>
  </si>
  <si>
    <t>09.100</t>
  </si>
  <si>
    <t>Līdzfinansējums privātajām pirmsskolas izglītības ietādēm</t>
  </si>
  <si>
    <t>Jūrmalas pilsētas attīstības programma 2014. - 2020.gadam (JPAP)</t>
  </si>
  <si>
    <t>Prioritāte P3.1. Uz nākotni orientēta pilsētas pārvaldība, kas atbalsta pilsonisko iniciatīvu</t>
  </si>
  <si>
    <t>Rīcības virziens R3.1.2.: Pašvaldības pārvaldes kapacitātes celšana</t>
  </si>
  <si>
    <t>Aktivitāte Nr.131 Kvalitatīva pašvaldības pārvaldes kapacitātes nodrošināšana</t>
  </si>
  <si>
    <t>Prioritāte P3.2. Kvalitatīva un sociāli pieejama izglītība</t>
  </si>
  <si>
    <t>Rīcības virziens R3.2.1.: Kopējā sektora attīstība, pārvaldība</t>
  </si>
  <si>
    <t>Aktivitāte Nr.146 Nacionālās un starptautiskās nozīmes izglītības jomas pasākumu organizēšana</t>
  </si>
  <si>
    <t>Aktivitāte Nr.147 Labāko izglītības sektora darbinieku godināšanas tradīciju izveide</t>
  </si>
  <si>
    <t>Rīcības virziens R3.2.3.: Vispārizglītojošo skolu izglītības pakalpojumi</t>
  </si>
  <si>
    <t>Aktivitāte Nr.157 Pašvaldības atbalsts pedagogu tālākizglītībai</t>
  </si>
  <si>
    <t>Aktivitāte Nr.159 Karjeras konsultāciju attīstība</t>
  </si>
  <si>
    <t>Rīcības virziens R3.2.4.: Profesionālās ievirzes un interešu izglītības pakalpojumi</t>
  </si>
  <si>
    <t>Aktivitāte Nr.170. Starptautiskās sadarbības attīstība</t>
  </si>
  <si>
    <t>Aktivitāte Nr.174. Jūrmalas skolu un valsts mēroga sacensību rīkošana izglītojamajiem</t>
  </si>
  <si>
    <t>Aktivitāte Nr.184. Brīvā laika pavadīšanas iespējas pilsētā, izmantojot esošās un radot jaunas</t>
  </si>
  <si>
    <t>Rīcības virziens R3.2.5.: Iekļaujošās un alternatīvās izglītības pakalpojumi</t>
  </si>
  <si>
    <t>Aktivitāte Nr.186. Iekļaujošās izglītības attīstības centra attīstība</t>
  </si>
  <si>
    <t xml:space="preserve">Jūrmalas pilsētas izglītības attīstības koncepcija 2015.-2020.gadam (JPIAK): </t>
  </si>
  <si>
    <t>2.aktivitāte Labāko izglītības sektora darbinieku godināšanas tradīciju izveide</t>
  </si>
  <si>
    <t>5.aktivitāte Karjeras konsultāciju attīstība</t>
  </si>
  <si>
    <t xml:space="preserve">Jūrmalas pilsētas kultūrvides attīstības plāns 2017.-2020.gadam (JPKAP): </t>
  </si>
  <si>
    <t>2. Rīcības virziens: Kultūras piedāvājuma izcilība un daudzveidība Jūrmalā: kvalitatīva un sistemātiska kultūras piedāvājuma veidošana dažādām mēkķauditorijas grupām vietējā,</t>
  </si>
  <si>
    <t>nacionājā un starptautiskā mērogā</t>
  </si>
  <si>
    <t>U2.4.uzdevums: Iesaistīt kultūrizglītības audzēkņus un pasniedzējus Jūrmalas unikalitātes veidošanā.</t>
  </si>
  <si>
    <t>P2.4.1.Jūrmalas Mākslas skolas un Jūrmalas Mūzikas skolas iesaiste jaunas auditorijas veidošanā ar izstādēm un koncertiem.</t>
  </si>
  <si>
    <t>Jūrmalas pilsētas sporta un aktīvās atpūtas attīstības stratēģija 2008.-2020.gadam (JPSAAAS):</t>
  </si>
  <si>
    <t>2.uzdevums "Sadarbības veicināšana starp sporta un aktīvās atpūtas nodrošināšanā iesaistītajām institūcijām"</t>
  </si>
  <si>
    <t>2.1.apakšuzdevums "Sadarbības veicināšana starp sporta klubiem, izglītības iestādēm un uzņēmējiem sporta un aktīvās atpūtas infrastruktūras izmantošanā"</t>
  </si>
  <si>
    <t>Aktivitāte PP.3. Kopīgu pasākumu rīkošana starptautiski deklarēto dienu (Pasaules ūdens diena, Pasaules Veselības diena) ietvaros, piesaistot starptautiski pazīstamus sportistus</t>
  </si>
  <si>
    <t>Veselības veicināšanas plāns Jūrmalas pilsētai 2013.-2020.gadam (VVPJP)</t>
  </si>
  <si>
    <t>2.3.2. Mērķis "Fizisko aktivitāšu veicināšana"</t>
  </si>
  <si>
    <t>1.uzdevums "Sporta sistēmas, infrastruktūras attīstīšana un pakalpojumu piedāvājuma paplašināšana bērnu (skolēnu) fizisko aktivitāšu veicināšanas nolūkos"</t>
  </si>
  <si>
    <t>1.8.pasākums "Nodrošināt bērnu ar īpašām vajadzībām iespējas līdzdalībai izglītības iestāžu sporta aktivitātēs"</t>
  </si>
  <si>
    <t>Jūrmalas pilsētas jaunatnes politikas attīstības plāns 2018.-2020.gadam (JPP)</t>
  </si>
  <si>
    <t>apakšmērķa AM1 "Jauniešu līdzdalības veicināšana jaunatnes politiku ietekmējošu lēmumu pieņemšanā pašvaldības un valsts mērogā, sekmēt jauniešu līdzdalību pārstāvniecības demokrātijā un attīstot jauniešu iesaistīšanos organizācijās, sabiedriskajā un kultūras dzīvē" uzdevums U1.4 “Labās prakses piemēru līdzdalībā popularizēšana” pasākums P1.4.1 “Izteikt pateicību aktīvajiem jauniešiem, izcelt labās prakses piemērus”</t>
  </si>
  <si>
    <t>apakšmērķa AM3 “Radīt iespēju ikvienam Jūrmalas jaunietim pavadīt brīvo laiku atbilstoši vecumam, vajadzībām un interesēm” uzdevums U1.4. “Pilnveidot jauniešu brīvā laika pavadīšanas iespējas pilsētā, izmantojot esošās un radot jaunas” pasākums P3.2.2 “Veicināt tradicionālo pasākumu veidošanos un attīstību Jaunatnes darbā Jūrmalā”</t>
  </si>
  <si>
    <t>Tāme Nr. 09.23.1.</t>
  </si>
  <si>
    <t>Pumpuru vidusskola</t>
  </si>
  <si>
    <t>90000051542</t>
  </si>
  <si>
    <t>Kronvalda iela 8, Jūrmala, LV2008</t>
  </si>
  <si>
    <t>Iestādes uzturēšana un vispārējās izglītības nodrošinājums</t>
  </si>
  <si>
    <t>LV35PARX0002484572010</t>
  </si>
  <si>
    <t>LV98PARX0002484573010</t>
  </si>
  <si>
    <t>LV59PARX0002484577010</t>
  </si>
  <si>
    <t>Nepieciešami papildu līdzekļi skolas mēbeļu iegādei, jo par 66 palielinājies skolēnu skaits, salīdzinot ar 2018.gada 1.sept.</t>
  </si>
  <si>
    <t>Augustā direktore dosies uz Rēzekni pieredzes apmaiņā 2 d x 6 eur</t>
  </si>
  <si>
    <t>LMT nodrošina lētākus tarifus</t>
  </si>
  <si>
    <t>Mobilo sakaru izdevumu ekonomija, jo ir palicis tikai viens pieslēgums</t>
  </si>
  <si>
    <t>No janvāra līdz maijam peldbaseinu apmeklēja divas grupas, nevis trīs, kā bija plānots</t>
  </si>
  <si>
    <t>Garderobes skapīši 56 gb x 188.12 eur= 10534.65 eur; skolēnu galds+krēsls 30 komplekti x 91.90 eur = 2757 eur</t>
  </si>
  <si>
    <t>Periodika netiks pasūtīta</t>
  </si>
  <si>
    <t>Biezumēvele tika nopirkta lētāk</t>
  </si>
  <si>
    <t>Vaivaru pamatskola</t>
  </si>
  <si>
    <t>90000783949</t>
  </si>
  <si>
    <t>Skautu iela 2, Jūrmala</t>
  </si>
  <si>
    <t>LV29PARX0002484572021</t>
  </si>
  <si>
    <t>LV92PARX0002484573021</t>
  </si>
  <si>
    <t>LV53PARX0002484577021</t>
  </si>
  <si>
    <t>LV87PARX0002484576021</t>
  </si>
  <si>
    <t>Papildu līdzekļi nepieciešami kāpurķēžu pacēlāja iegādei invalīdiem.</t>
  </si>
  <si>
    <t xml:space="preserve">Ieņēmumu samazinājums no nometņu iekārtošanas. </t>
  </si>
  <si>
    <t>Ieņēmumu palielinājums par sarunu limitu pārtēriņu sakarā ar plānoto direktores atvaļinājumu ārvalstīs oktobrī un decembrī.</t>
  </si>
  <si>
    <t xml:space="preserve">Līdzekļu ekonomija, jo līdzekļi nepieciešami slimības lapām pedagogiem. </t>
  </si>
  <si>
    <t>Papildus līdzekļi nepieciešami slimības naudai: 500,00 EUR pamata izglītības iestāžu pedag.darba samaksai un VSAOI; 140,00 EUR  interešu izglītības programmu pedag.darba samaksai un VSAOI</t>
  </si>
  <si>
    <t>Papildu līdzekļi nepieciešami izglītības iestādes vadītāja dienas naudai komandējumam uz Rēzekni 19.-20.augusts (2 dienas x EUR 6,00).</t>
  </si>
  <si>
    <t>Palielinājums nepieciešams interneta ātruma palielināšanai (64,20 EUR + 4,24 EUR*3 mēn. līdzšinējo 51,43 EUR + 4,24 EUR vietā) un vienreizējai maksai par pieslēguma maiņu 21,78 EUR.</t>
  </si>
  <si>
    <t xml:space="preserve">Maksas pakalpojumos samazinājums sakarā ar ieņēmumu samazinājumu no nometnēm. Pamatbudžetā palielinājums sakarā ar samazinājumu maksas pakalpojumu budžetā. </t>
  </si>
  <si>
    <t>Līdzekļi nepieciešami darbinieku OVP apmaksai, kuri nav apdrošināti (2 darbinieki x 35 EUR.)</t>
  </si>
  <si>
    <t>Skolotāja palīgiem pirmsskolā nepieciešama apmācība sanitārajā minimumā saskaņā ar MK 17.09.2013. MK noteikumu Nr. 890 43.punktu ( 2 darbinieki x EUR 10,00).</t>
  </si>
  <si>
    <t>Ekonomija, jo kopējais e-klases iepirkums Jūrmalas pilsētā.</t>
  </si>
  <si>
    <t>Papildu līdzekļi nepieciešami kāpurķēžu pacēlāja iegādei  invalīdiem.</t>
  </si>
  <si>
    <t>LV54PARX0002484572153</t>
  </si>
  <si>
    <t>Tāme Nr.08.6.1.</t>
  </si>
  <si>
    <t>Jūrmalas pilsētas muzejs</t>
  </si>
  <si>
    <t>90000056408</t>
  </si>
  <si>
    <t>Tirgoņu iela 29, Jūrmala, LV-2015</t>
  </si>
  <si>
    <t>08.220</t>
  </si>
  <si>
    <t>LV07PARX0002484572029</t>
  </si>
  <si>
    <t>LV34TREL9813050002000</t>
  </si>
  <si>
    <t>LV31PARX0002484577029</t>
  </si>
  <si>
    <t>Apkures izdevumi nepieciešami, jo  tarifa sadārdzinājums no 65.51 EUR uz 73.66 EUR par kwh no februāra mēneša; nebija zināms patēriņš Bulduru Izstāžu namā 1.pusgadā, plānoti 43 kwh gadā, bet uz 1.jūliju patēriņš 62.56 kwh. Lai segtu apkures izdevumus, papildus nepieciešami 3683 EUR (50 kwh*73.66 EUR).</t>
  </si>
  <si>
    <t>Pieaudzis ūdens patēriņš sakarā ar apmeklētāju skaita pieaugumu Tirgoņu ielā 29 (3,1581 eur*32m3)</t>
  </si>
  <si>
    <t>Aspazijas mājas pagalmā salauztā skaļruņa atjaunošanas darbi 871.20 EUR. Pielikumā atjaunošanas darbu tāme un lēmums par ERGO apdrošināšanas atlīdzības izmaksu.</t>
  </si>
  <si>
    <t>līdzekļu ekonomija</t>
  </si>
  <si>
    <t>Pieauguši izdevumi par gāzes apkuri, jo mainījās tarifi (0,4818 Eur*206m3)</t>
  </si>
  <si>
    <t>Iestādes uzturēšana un muzeju un izstāžu pakalpojumu sniegšanas nodrošināšana</t>
  </si>
  <si>
    <t>Tāme Nr.09.4.1.</t>
  </si>
  <si>
    <t>LV32PARX0002484572064</t>
  </si>
  <si>
    <t>LV32PARX0002484573034</t>
  </si>
  <si>
    <t>LV90PARX0002484577034</t>
  </si>
  <si>
    <t>Papildus līdzekļi bērna piedzimšanas pabalsts (292 eur), komandējumu izdevumi (333 eur), siltuma izdevumiem (1224,00 eur), inventāram (105 eur ugunsdzēsības aparāti)</t>
  </si>
  <si>
    <t>Mainīti maksas pakalpojumu izcenojumi. Janvārī - aprīlī ieņēmumi par telpu nomu 552,84 eur. Gada atlikušajos 8 mēnešos plānojam izīrēt telpu 8 stundas mēnesī: 8,05 eur x 8 mēn x 8 st.=515,20 eur</t>
  </si>
  <si>
    <r>
      <t xml:space="preserve">Mainīti maksas pakalpojumu izcenojumi, kā arī tiek plānots lielāks dalībnieku skaits. Vidēji 86  berni x 118 eur </t>
    </r>
    <r>
      <rPr>
        <sz val="9"/>
        <rFont val="Calibri"/>
        <family val="2"/>
        <charset val="186"/>
      </rPr>
      <t>~</t>
    </r>
    <r>
      <rPr>
        <sz val="9"/>
        <rFont val="Times New Roman"/>
        <family val="1"/>
        <charset val="186"/>
      </rPr>
      <t xml:space="preserve">10 013,40 eur (daži nepilnu nometnes laiku), </t>
    </r>
  </si>
  <si>
    <t>Darbiniekam naudas balva sakarā ar bērna piedzimšanu (pedagogs M.Danne)</t>
  </si>
  <si>
    <t>Precizēts algu aprēķins nometnes pedagogiem un mediķim atbilstoši maksas pakalpojumu grozījumiem</t>
  </si>
  <si>
    <t>atbilstoši algu aprēķinam nometnes pedagogiem un mediķim</t>
  </si>
  <si>
    <t>Komandējums iestāžu direktoriem uz Rēzekni  19.-20.08.2019.; 6 eur x 2 dienas</t>
  </si>
  <si>
    <t>atlikums pēc komandējuma izmantošanas</t>
  </si>
  <si>
    <t>UBC seminārs Kauņā 15.-18.10.2019., 2 dienas x 29 eiro + 2 d x 29 eiro x 30% = 75,40</t>
  </si>
  <si>
    <t>UBC seminārs Kauņā 125 eiro dalības maksa, 20 eiro ceļa izmaksas, 45 eur x 3 naktis=135 eiro viesnīcas izmaksas</t>
  </si>
  <si>
    <t xml:space="preserve">Atlikušajam periodam tiek plānoti 30 MWh x 73,65 eur = 2209,50 eiro, PB kontā 246,46, MB 740 eiro, papildus sakarā ar tarifu maiņu nepieciešami 1223,04  eiro </t>
  </si>
  <si>
    <t>jauniešu iniciatīvu projektu īstenošanai</t>
  </si>
  <si>
    <t>Jauniešu iniciatīvu projeku aktivitātēm paredzētie līdzekļi</t>
  </si>
  <si>
    <t xml:space="preserve">PB papildus  5 ugunsdzēsamo aparātu nomaiņai atbilstoši ES regulām 21 eiro x 6 gb= 105 eiro, 30 eur jauniešu iniciatīvu projektu īstenošanai, </t>
  </si>
  <si>
    <t>atlikušam periodam tiek plānotas 4663,02 kwh (436,20 m3) x 0,106 eiro = 494,28 eiro, no tiem PB atlikums 240,28 eiro, MB 254 eiro apkures nodrošināšanai Zemgales ielā 4</t>
  </si>
  <si>
    <t xml:space="preserve">jauniešu iniciatīvu projektu īstenošanai, </t>
  </si>
  <si>
    <t>papildus līdzekļi ēdināšanai, jo vairāk bērnu 79 bērni x 10 dienas+3x9dienas+3x7dienas+1x5dienas=843; 843 x3,5 eiro = 2950,50 eiro</t>
  </si>
  <si>
    <t>nojume iegādāta par mazāku cenu</t>
  </si>
  <si>
    <t xml:space="preserve"> Iestādes uzturēšana, interešu izglītības un jaunatnes darba nodrošināšana</t>
  </si>
  <si>
    <t>Tāme Nr.09.8.1.</t>
  </si>
  <si>
    <t>Jūrmalas pilsētas Lielupes pamatskola</t>
  </si>
  <si>
    <t>90000051576</t>
  </si>
  <si>
    <t>Aizputes iela 1A, Jūrmala</t>
  </si>
  <si>
    <t>LV51PARX0002484572013</t>
  </si>
  <si>
    <t>LV17PARX0002484573013</t>
  </si>
  <si>
    <t>LV75PARX0002484577013</t>
  </si>
  <si>
    <t>lode</t>
  </si>
  <si>
    <t>Asignējumu samazinājums pamatbudžetā par maksas pakalpojumu ieņēmumiem no nometnēm</t>
  </si>
  <si>
    <t>Ieņēmumi no vasaras nometnēm</t>
  </si>
  <si>
    <t>Par interneta izmantošanu telefonā (mēneša limita pārtēriņš)</t>
  </si>
  <si>
    <t>Tāmes iekšējie grozījumu uz EKK 1142 samaksa par darbu svētku dienās (novembris 1 diena)</t>
  </si>
  <si>
    <t>Tāmes iekšējie grozījumu no  EKK 1119 samaksa par darbu svētku dienās ( novembris 1 diena)</t>
  </si>
  <si>
    <t xml:space="preserve">Tāmes iekšējie grozījumi no EKK 2112. Dienas nauda direktorei komandējuma 2 dienām </t>
  </si>
  <si>
    <t xml:space="preserve">Tāmes iekšējie grozījumi uz EKK 2111. Dienas nauda direktorei komandējuma 2 dienām </t>
  </si>
  <si>
    <t xml:space="preserve">Apkures izdevumu segšana no maksas pakalpojumiem, samazinot pamatbudžeta izdevumus </t>
  </si>
  <si>
    <t>Tāmes iekšējie grozījumi uz  EKK 2269 maksa par atkritumu urnas nomu (2019.gada janvārī apmaksāts 2018.gada novembra rēķins)</t>
  </si>
  <si>
    <t>Tāmes iekšējie grozījumi no EKK 2239 maksa par atkritumu urnas nomu (2019.gada janvārī apmaksāts 2018.gada novembra rēķins)</t>
  </si>
  <si>
    <t>Tāme Nr.09.29.2.</t>
  </si>
  <si>
    <t>Jūrmalas Sporta skola</t>
  </si>
  <si>
    <t>90009249367</t>
  </si>
  <si>
    <t>Nometņu iela 2B, Jūrmala</t>
  </si>
  <si>
    <t>Sporta skolas pasākumi</t>
  </si>
  <si>
    <t>LV96PARX0002484572076</t>
  </si>
  <si>
    <t>LV73PARX0002484577049</t>
  </si>
  <si>
    <t>Nepieciešams papildus finansējums Dalība LBS rīkotajā čempionātā Latvijas sieviešu basketbola līgā (pasākums Nr.1.1.3)</t>
  </si>
  <si>
    <t xml:space="preserve">Līgumdarbi, 7 māju spēļu  informatora  nodrošinājums un video operators spēļu tiešraides nodrošināšanai </t>
  </si>
  <si>
    <t>Darba devēja valsts sociālās apdrošināšanas obligātās iemaksas</t>
  </si>
  <si>
    <t xml:space="preserve">Komandējuma nauda 2 treneri + 1 fizioterapeits - Daugavpils 2 dienas * 6.00 EUR * 3 pers. = 36.00 EUR, Liepāja 2 dienas * 6.00 EUR * 3 pers. = 36.00 EUR, Rīga 2 dienas * 6.00 EUR * 3 pers. = 36.00 EUR, </t>
  </si>
  <si>
    <t>Ar komandējumu saistītie izdevumi viesnīcas pakalpojumi Daugavpilī un Liepājā 2 treneri + fizioterapeits - 3 pers.* 2 naktis * 25.00 EUR = 150.00 EUR</t>
  </si>
  <si>
    <t>Komandējuma nauda 2 treneri + 1 fizioterapeits - Tallina 2 dienas * 2 reizes * 29.00 EUR * 3 pers. = 348.00 EUR, Tartu 2 dienas * 29.00 EUR * 3 pers. = 174.00 EUR</t>
  </si>
  <si>
    <t>Ar komandējumu saistītie izdevumi viesnīcas pakalpojumi 2 treneri + fizioterapeits - Tallina 3 pers.* 2 reizes * 1 nakts * 25.00 EUR = 150.00 EUR, Tartu 3 pers.* 1 nakts * 25.00 EUR = 75.00 EUR</t>
  </si>
  <si>
    <t>Ūdens mājas spēļu nodrošināšanai 7 spēles * 42 pudeles * 0.50 EUR = 147 EUR</t>
  </si>
  <si>
    <t>5 izbraukumu spēles (Tallina 2 x, Tartu, Daugavpils, Liepāja) - telpu noma naktsmītnēm 16 pers. * 20.00  EUR = 1600 EUR</t>
  </si>
  <si>
    <t>7 izbraukumu spēles (Tallina 2 x, Tartu, Daugavpils, Liepāja, Rīga 2x) - 3500 km * 1.09 EUR = 3812</t>
  </si>
  <si>
    <t>Dalības maksa turnīrā 2000 EUR, spēlētāju licences 200 EUR.</t>
  </si>
  <si>
    <t>Tehnika video treniņu nodrošināšanai - video kamera 425.00 EUR, Platekrāna TV spēļu analizēšanai 475.00 EUR, printeris 1 gab * 100.00 EUR mājas spēļu tehnisko protokolu printēšanai</t>
  </si>
  <si>
    <t>Informatīvie materiāli - plakātu un baneru izgatavošana 1000 Euro x 1. komplekts</t>
  </si>
  <si>
    <t>Aptieciņa pirmās palīdzības nodrošināšanai mājas spēlēm + izbraukuma spēlēm 200 EUR fizioterapeitei medicīnas somai, fizioloģiskie teipi + apakšteipi 25 gab. * 20.00 EUR = 500 EUR</t>
  </si>
  <si>
    <t>Spēļu formas ar apdruku gaiša + tumša 32 gab.* 70.00 EUR = 2240 EUR, Iesildīšanās krekli 16 gab. * 45.00 EUR = 720 EUR, Treniņformas 16 gab. * 60.00 EUR = 960 EUR, Mugursomas 16 gab. * 70.00 EUR = 1120 EUR, Siltās jakas 19 gab. * 65.00 EUR =  1235 EUR</t>
  </si>
  <si>
    <t>7 izbraukumu spēles (Tallina 2 x, Tartu, Daugavpils, Liepāja, Rīga 2x) - Ēdināšanas pakalpojumi 3 x dienā 16 pers. *  5 izbraukumi * 2 dienas * 10.00 EUR = 1600 EUR, pusdienas - 16 pers. *  2 izbraukumi *  5.00 EUR = 160 EUR, 7 mājas spēles pusdienas 16 pers.* 7reizes * 5.00 EUR = 560.00 EUR</t>
  </si>
  <si>
    <t>16 bumbas Molten GF6X * 50.00 EUR = 800 EUR</t>
  </si>
  <si>
    <t>Portatīvais dators spēļu translēšanai online režīmā  1 gab * 1000 EUR</t>
  </si>
  <si>
    <r>
      <rPr>
        <b/>
        <sz val="9"/>
        <rFont val="Times New Roman"/>
        <family val="1"/>
        <charset val="186"/>
      </rPr>
      <t>28.pielikums</t>
    </r>
    <r>
      <rPr>
        <sz val="9"/>
        <rFont val="Times New Roman"/>
        <family val="1"/>
        <charset val="186"/>
      </rPr>
      <t xml:space="preserve"> Jūrmalas pilsētas domes</t>
    </r>
  </si>
  <si>
    <t>Budžeta finansēta institūcija: Jūrmalas Sporta skola</t>
  </si>
  <si>
    <t>Reģistrācijas Nr.: 90009249367</t>
  </si>
  <si>
    <t>2019.gada budžeta atšifrējums pa programmām</t>
  </si>
  <si>
    <r>
      <t xml:space="preserve">Struktūrvienība: </t>
    </r>
    <r>
      <rPr>
        <b/>
        <i/>
        <sz val="12"/>
        <rFont val="Times New Roman"/>
        <family val="1"/>
        <charset val="186"/>
      </rPr>
      <t>Jūrmalas Sporta skola</t>
    </r>
  </si>
  <si>
    <t>Programma: Sporta skolas pasākumi</t>
  </si>
  <si>
    <r>
      <t xml:space="preserve">Funkcionālās klasifikācijas kods: </t>
    </r>
    <r>
      <rPr>
        <b/>
        <sz val="9"/>
        <rFont val="Times New Roman"/>
        <family val="1"/>
        <charset val="186"/>
      </rPr>
      <t>09.510</t>
    </r>
  </si>
  <si>
    <t>pamatbudžets</t>
  </si>
  <si>
    <t>maksas pakalpojumi</t>
  </si>
  <si>
    <t>Basketbols</t>
  </si>
  <si>
    <t>Dalība čempionātos</t>
  </si>
  <si>
    <t>1.1.1.</t>
  </si>
  <si>
    <t>Dalība LJBL</t>
  </si>
  <si>
    <t>JPAP_R3.2.4._174  JPSAAS_3_3.3.</t>
  </si>
  <si>
    <t>1.1.2.</t>
  </si>
  <si>
    <t>Atklātais turnīrs "Fēnikss kauss"</t>
  </si>
  <si>
    <t>JPAP_R3.2.4._170</t>
  </si>
  <si>
    <t>1.1.3.</t>
  </si>
  <si>
    <t>Dalība LBS rīkotajā čempionātā Latvijas sieviešu basketbola līgā</t>
  </si>
  <si>
    <t xml:space="preserve"> JPSAAS_3_3.3.</t>
  </si>
  <si>
    <t xml:space="preserve">Līgumdarbi 7 māju spēļu  informatora  nodrošinājums un video operators spēļu tiešraides nodrošināšanai </t>
  </si>
  <si>
    <t xml:space="preserve"> portatīvais dators spēļu translēšanai online režīmā  1 gab * 1000 EUR</t>
  </si>
  <si>
    <t>Basketbola programmas īstenošanas nodrošināšana</t>
  </si>
  <si>
    <t>JPAP_R3.2.4._173</t>
  </si>
  <si>
    <t>Nometnes</t>
  </si>
  <si>
    <t>1.3.1.</t>
  </si>
  <si>
    <t>Dienas nometnes</t>
  </si>
  <si>
    <t>JPAP_R3.2.4._184 JPSAAS_3_3.3.</t>
  </si>
  <si>
    <t>1.3.2.</t>
  </si>
  <si>
    <t>Izbraukuma nometnes</t>
  </si>
  <si>
    <t>Burāšana</t>
  </si>
  <si>
    <t>Dalība sacensībās</t>
  </si>
  <si>
    <t>2.1.1.</t>
  </si>
  <si>
    <t>Dalība Latvijas čempionātos</t>
  </si>
  <si>
    <t>2.1.2.</t>
  </si>
  <si>
    <t>40. Starptautiskā Spinaker regate, Tallina</t>
  </si>
  <si>
    <t>Burāšanas programmas īstenošanas nodrošināšana</t>
  </si>
  <si>
    <t>JPAP_R3.2.4._173  JPSAAS_1_1.3.</t>
  </si>
  <si>
    <t>Jūrmalas Sporta skolas bilancē esošās motorlaivas un piekābes (laivu pārvadāšanai un sacensībām) izmantošanas izmaksas</t>
  </si>
  <si>
    <t xml:space="preserve">Daiļslidošana </t>
  </si>
  <si>
    <t>Daiļslidošanas programmas īstenošanas nodrošināšana</t>
  </si>
  <si>
    <t>Dienas nometne</t>
  </si>
  <si>
    <t>Džudo</t>
  </si>
  <si>
    <t>Dalība Latvijas čempionātos un sacensībās</t>
  </si>
  <si>
    <t>Džudo programmas īstenošanas nodrošināšana</t>
  </si>
  <si>
    <t>Futbols</t>
  </si>
  <si>
    <t>Futbola programmas īstenošanas nodrošināšana</t>
  </si>
  <si>
    <t>5.3.</t>
  </si>
  <si>
    <t>5.3.1.</t>
  </si>
  <si>
    <t xml:space="preserve">Dienas nometnes </t>
  </si>
  <si>
    <t>5.3.2.</t>
  </si>
  <si>
    <t xml:space="preserve">Handbols </t>
  </si>
  <si>
    <t>Handbola programmas īstenošanas nodrošināšana</t>
  </si>
  <si>
    <t>6.3.</t>
  </si>
  <si>
    <t>6.3.1.</t>
  </si>
  <si>
    <t xml:space="preserve"> Starptautiskās sacensības Tallinā 08.06.2019.-10.06.2019.</t>
  </si>
  <si>
    <t xml:space="preserve">Hokejs  </t>
  </si>
  <si>
    <t>Hokeja programmas īstenošanas nodrošināšana</t>
  </si>
  <si>
    <t>7.3.</t>
  </si>
  <si>
    <t>7.3.1.</t>
  </si>
  <si>
    <t>7.3.2.</t>
  </si>
  <si>
    <t>Mākslas vingrošana</t>
  </si>
  <si>
    <t>Mākslas vingrošanas programmas īstenošanas nodrošināšana</t>
  </si>
  <si>
    <t>8.3.</t>
  </si>
  <si>
    <t>8.3.1.</t>
  </si>
  <si>
    <t>8.3.2.</t>
  </si>
  <si>
    <t xml:space="preserve">Peldēšana </t>
  </si>
  <si>
    <t>Peldēšanas programmas īstenošanas nodrošināšana</t>
  </si>
  <si>
    <t>9.3.</t>
  </si>
  <si>
    <t>9.3.1.</t>
  </si>
  <si>
    <t>Izbraukuma nometne, Elektiņai, Lietuva</t>
  </si>
  <si>
    <t>JPAP_R3.2.4._170  JPAP_R3.2.4._184 JPSAAS_3_3.3.</t>
  </si>
  <si>
    <t>9.3.2.</t>
  </si>
  <si>
    <t>Dienas nometne, Jūnijs</t>
  </si>
  <si>
    <t>9.3.3.</t>
  </si>
  <si>
    <t>Dienas nometne, Augusts</t>
  </si>
  <si>
    <t>9.3.4.</t>
  </si>
  <si>
    <t>Izbraukuma nometne, Baltkrievija</t>
  </si>
  <si>
    <t xml:space="preserve">Regbijs </t>
  </si>
  <si>
    <t>Regbijas programmas īstenošanas nodrošināšana</t>
  </si>
  <si>
    <t>10.3.</t>
  </si>
  <si>
    <t>10.3.1.</t>
  </si>
  <si>
    <t>Vieglatlētika</t>
  </si>
  <si>
    <t>Vieglatlētikas programmas īstenošanas nodrošināšana</t>
  </si>
  <si>
    <t>11.3.</t>
  </si>
  <si>
    <t>11.3.1.</t>
  </si>
  <si>
    <t>11.3.2.</t>
  </si>
  <si>
    <t>11.3.3.</t>
  </si>
  <si>
    <t>Izbraukuma nometne, Spānija</t>
  </si>
  <si>
    <t>JPAP_R3.2.4._170 JPSAAS_3_3.3.</t>
  </si>
  <si>
    <t xml:space="preserve">Volejbols </t>
  </si>
  <si>
    <t>Volejbola programmas īstenošanas nodrošināšana</t>
  </si>
  <si>
    <t>12.3.</t>
  </si>
  <si>
    <t>12.3.1.</t>
  </si>
  <si>
    <t xml:space="preserve">Līdzfinansējums sportistei A.Baikovai (arī viņas trenerei) </t>
  </si>
  <si>
    <t>JPAP_R3.2.4._170 JPSAAS_3_3.5.</t>
  </si>
  <si>
    <t>Atbalsts Milanai Filatovai un trenerei Olgai Timofejevai</t>
  </si>
  <si>
    <t>* Informatīvi -Attīstības plānošanas dokumenta nosaukums un rīcības virzienu atšifrējums.</t>
  </si>
  <si>
    <t xml:space="preserve">JPAP - Jūrmalas pilsētas attīstības programma 2014.-2020.gadam </t>
  </si>
  <si>
    <t>prioritāte P3.2. "Kvalitatīva un sociāli pieejama izglītība"</t>
  </si>
  <si>
    <t>rīcības virziens R3.2.4. "Profesionālās ievirzes un interešu izglītības pakalpojumi"</t>
  </si>
  <si>
    <t>aktivitāte Nr.170 "Starptautiskās sadarbības attīstība"</t>
  </si>
  <si>
    <t>aktivitāte Nr.173 "Profesionālās ievirzes un interešu izglītības iestāžu mācību vides uzlabošana"</t>
  </si>
  <si>
    <t>aktivitāte Nr.174 "Jūrmalas skolu un valsts mēroga sacensību rīkošana izglītojamajiem"</t>
  </si>
  <si>
    <t>aktivitāte Nr.184 "Brīvā laika pavadīšanas iespējas pilsētā, izmantojot esošās un radot jaunas"</t>
  </si>
  <si>
    <t>JPSAAS - Jūrmalas pilsētas sporta un aktīvās atpūtas attīstības stratēģija 2008.-2020.gadam</t>
  </si>
  <si>
    <t>1.mērķis "Sporta un aktīvās atpūtas infrastruktūras pilnveide un pieejamības veicināšana"</t>
  </si>
  <si>
    <t>1.1.uzdevums "Sporta bāžu attīstība esošiem un jauniem sporta veidiem, sporta infrastruktūras pilnveide izglītības iestādēs, t.sk., pielāgojot to personām ar kustību traucējumiem"</t>
  </si>
  <si>
    <t>1.3.uzdevums "Pasākumu veikšana drošības uzlabošanai sporta veidiem uz ūdens Jūrmalas pilsētas teritorijā esošajās ūdenskrātuvēs"</t>
  </si>
  <si>
    <t>3.mērķis "3. Sadarbības veicināšana starp sporta un aktīvās atpūtas nodrošināšanā iesaistītajām institūcijām"</t>
  </si>
  <si>
    <t>3.3. uzdevums "Pašvaldību, sporta klubu un uzņēmēju sadarbības sekmēšana sporta un aktīvās atpūtas infrastruktūras attīstībā un sporta sacensību finansēšanā"</t>
  </si>
  <si>
    <t>3.5.apakšuzdevums “Sportistu sasniegumu sekmēšana (stipendiju nodrošināšana).</t>
  </si>
  <si>
    <t>Tāme Nr.08.3.1.</t>
  </si>
  <si>
    <t>Jūrmalas Centrālā bibliotēka</t>
  </si>
  <si>
    <t>90000056450</t>
  </si>
  <si>
    <t>Strēlnieku prospekts 30 , Jūrmala, LV2015</t>
  </si>
  <si>
    <t>08.210</t>
  </si>
  <si>
    <t>Iestādes uzturēšana un bibliotēku pakalpojumu pieejamības nodrošināšana</t>
  </si>
  <si>
    <t>LV61PARX0002484572027</t>
  </si>
  <si>
    <t>LV85PARX0002484577027</t>
  </si>
  <si>
    <t>Atgriezta pārmaksa SIA "Lattelecom" par 2018. gada pakalpojumiem.</t>
  </si>
  <si>
    <t xml:space="preserve">Jumta tīrīšana Centrālajā bibliotēkā EUR 195.66 </t>
  </si>
  <si>
    <t>Tāme Nr. 09.12.1</t>
  </si>
  <si>
    <t>Jūrmalas Mūzikas vidusskola</t>
  </si>
  <si>
    <t>90000056465</t>
  </si>
  <si>
    <t>Strēlnieku prospekts 30 k-1, Jūrmala, LV-2015</t>
  </si>
  <si>
    <t>LV56PARX0002484572020</t>
  </si>
  <si>
    <t>LV22PARX0002484573020</t>
  </si>
  <si>
    <t>LV80PARX0002484577020</t>
  </si>
  <si>
    <t>LV17PARX0002484576020</t>
  </si>
  <si>
    <t>Ieņēmumi,saskaņā ar bezatlīdzības telpu nomas līgumu ar VSIA " Latvijas koncerti" 815.83 novirzīt biroja preču iegādei, komunālie maksājumi pēc skaitītāju rādījumiem - par elektroenerģiju 624.00, ūdeni un kanalizāciju 35.00, karstā ūdens uzsildīšanu 8.00, sadzīves atkritumiem 12.00</t>
  </si>
  <si>
    <t>Ieņēmumi par interneta apmaksu direktores mobilajam telefonam 8 mēn x 8.00 = 64.00.</t>
  </si>
  <si>
    <t>PB. Nepieciešami papildus līdzekļi  saskaņā ar JPD 2019.g. 23.maija lēmumu Nr. 223 direktores algai par 01.09.-30.11.2019 300.00 x 3 mēn = 900.00 EUR                                                                MP  Ekonomija pedagogu algām saskaņā ar tarifikācijām 2019.g. janvārī-maijā</t>
  </si>
  <si>
    <t>1. Ekonomija, jo nebija vajadzības veikt šādas piemaksas; Uz 1148 = 741.00</t>
  </si>
  <si>
    <t>Nepieciešami līdzekļi naudas balvas izmaksai pedagogam I.Rasai, kurai 2018.gada 1.septembrī bija 20 gadu darba jubileja Jūrmalas pašvaldībā (strādā arī Majoru vidusskolā) . Budžetā ir 180.00 EUR, nepieciešami līdzekļi, saskaņā ar tarifikāciju ir 920.93 EUR.</t>
  </si>
  <si>
    <t>PB. Skolas attīstības plānošanas dokumenta izstrādei 2020-2022.gadam  .                                              MP.  Autoratlīdzības līguma noslēgšanai psihologa lekcijai darbiniekiem "Savstarpējo attiecību psihohigiēna"</t>
  </si>
  <si>
    <t xml:space="preserve"> PB   Nepieciešami papildus līdzekļi  VSAOIe direktores algai par 01.09.-30.11.2019.g.  900 x 24.09 % = 216.81                                             MD prof.ievirze. Nepieciešami līdzekļi darba nespējas lapu apmaksai pedagogiem                                             MP Ekonomija VSAOIe pedagogu algām saskaņā ar tarifikācijām 2019.g. janvārī-maijā</t>
  </si>
  <si>
    <t>MD Prof.ievirze. Nepieciešami līdzekļi darba nespējas lapu apmaksai pedagogiem</t>
  </si>
  <si>
    <t>Dienas nauda komandējumam 2019.g. 19.,20 augustā  direktorei uz Izglitības pārvaldes rīkoto semināru Rēzeknē 2 dienas x 6.00 = 12.00 EUR, 2019.gada novembrī uz Ventspili  dalībai Latvijas Orķestru asociācijas festivālā 4 pedag.. x 2 dienas  x 6.00 = 48.00, komandējumam uz Rēzekni dalībai Vislatvijas akordeonistu konkursā 2 pedag. x 2 dienas x 6.00 =24.00, kopā 84.00, budžetā neizlietoti līdzekļi 30.00</t>
  </si>
  <si>
    <t>Viesnīcas izdevumi 2019.gada novembrī komandējumam uz Ventspili  dalībai Latvijas Orķestru asociācijas festivālā 4 pedag.. x 1 nakts x  x 20.00 = 80.00, komandējumam uz Rēzekni dalībai Vislatvijas akordeonistu konkursā 2 pedag. x 1 nakts x 30.00 =60.00, ceļa izdevumi 2 cilv. x 10.00 x 2 = 40.00. Kopā 180.00,  budžetā neizlietoti līdzekļi 90.00</t>
  </si>
  <si>
    <t>Dienas nauda komandējumam uz Vāciju 2019.g. oktobrī dalībai VI Starptautiskajā konkursā "Giulio Perotti Singing Competition" 9 dienas x 46 = 414.00 EUR, dienas nauda komandējumam uz Kauņas akordeonistu konkursu 2019.g. decembrī " Kaunas Sonorum" 2 dienas x 29.00 = 58.00 EUR</t>
  </si>
  <si>
    <t>Līdzekļi nepieciešami interneta pieslēguma apmaksai direktores mobilajam telefonam 8 mēn. x 8.00</t>
  </si>
  <si>
    <t xml:space="preserve"> MP Izdevumi saskaņā ar bezatlīdzības telpu nomas līgumu ar VSIA " Latvijas koncerti"   pēc skaitītāju rādījumiem  NP aktā par ūdens uzsildīšanu 2 m3  x 3.77 = 7.54,   Līdzekļu pārpalikums 2123.00 , jo sastādot 2019.g. budžetu nebija zināms faktiskais  patēriņš</t>
  </si>
  <si>
    <t>PB  Pēc iepriekšējā perioda datiem vidējais ūdens patēriņš mēnesī sastāda  62.5 m3 x 5 mēn x 3.1581 =  986.91 EUR, iztrūkstošie līdzekļi 118.00 EUR                                                       MP  Saskaņā ar bezatlīdzības telpu nomas līgumu ar VSIA " Latvijas koncerti"   pēc skaitītāju rādījumiem  NP aktā 11 m3 x 3.1581 = 34.74</t>
  </si>
  <si>
    <t>PB Līdzekļu pārpalikums, jo sastādot 2019.g. budžetu bija zināms patēriņš par 1 mēnesi,kā arī bija pagaidu pieslēgums ar lielāku cenu par 1 kWh . Atgriežamie līdzekļi pašvaldības budžetā  18000.00 EUR. nepieciešami līdzekļi uz  EKK 1119 =  900.00 EUR , 1210 = 217.00 EUR ,  2222 = 118.00, 1150 = 4942.00 EUR.                                                  MP  Saskaņā ar bezatlīdzības telpu nomas līgumu ar VSIA " Latvijas koncerti"   pēc skaitītāju rādījumiem  NP aktā 3791 kWh x 0.164382  = 623.17,  Līdzekļu pārpalikums 5059.00, jo sastādot 2019.g. budžetu nebija zināms faktiskais elektroenerģijas patēriņš.</t>
  </si>
  <si>
    <t xml:space="preserve"> MP Izdevumi saskaņā ar bezatlīdzības telpu nomas līgumu ar VSIA " Latvijas koncerti"   pēc skaitītāju rādījumiem  NP aktā 0.099 t x 113.41 = 11.23</t>
  </si>
  <si>
    <t>Mikroautobusa nomai audzēkņu dalībai XV Starptaautiskajā Klaviermūzikas konkursā Koknesē 2019.g. novembrī 260.00, dalībai 18.Jauno pianistu etīžu konkurā Saldū 2019.g. novembrī 240.00</t>
  </si>
  <si>
    <r>
      <t>Līdzekļi nepieciešami biroja preču iegādei pilnvērtīga mācību procesa nodrošināšanai . Neizlietoti līdzekļi uz 01.08.2019 = 304.95.</t>
    </r>
    <r>
      <rPr>
        <sz val="9"/>
        <color rgb="FFFF0000"/>
        <rFont val="Times New Roman"/>
        <family val="1"/>
        <charset val="186"/>
      </rPr>
      <t xml:space="preserve"> </t>
    </r>
    <r>
      <rPr>
        <sz val="9"/>
        <rFont val="Times New Roman"/>
        <family val="1"/>
        <charset val="186"/>
      </rPr>
      <t>2018.gada septembrī- decembrī izlietoti 1067 EUR.  Nepieciešami: Toneri printeriem  5 x 65.50 =327.50,  toneri  kopētājiem 2 x 40.00 = 80.00, plānotāji 10 x 6.00 = 60.00, papīrs A4   70 x 3.60 = 252.00, papīrs A3  2 x 9.30 =  18.60, papīrs A4  Digicolor 2 x 9.85 = 19.70 , marķieri tāfelei 2 x 6.00= 12.00, klades cietos vākos 4 x 2.85 = 11.40, līmpapīrs  40 x  x 0.87 = 34.80.</t>
    </r>
  </si>
  <si>
    <t>Datoru skaļruņiem mācību klasēs  3 kompl. x 72 = 216.00 , Skatuves kustību nodarbību nodrošināšanai 2 spoguļi x 60 = 120.00, nošu apgaismojums lielajā zālē 1 x 200 = 200.00,  marimbas apvalks 1 x 130 = 130.00, mūzikas instrumentu iegādei : flauta "Trevor James 3005EW" 1 x 339.00, tenora blokflauta  "Yamaha YRB- 304 B II" 1 x 122.00, basa blokflauta  "Yamaha YRB- 302 B II" 1 x 352.00, klasiskā ģitāra 2/4 izmērā ar iebūvētu skaņas noņēmēju  "La Mancha Rubi CM/53 Rubinito" 1 x 196.00</t>
  </si>
  <si>
    <t>Tenora saksofons "Yamaxa YTS-280" 1 x 1379.00, soprāna saksafons "Yamaha YSS-475II" 1 x 1880.00 Klarnete "Yamaha YCL 255S 2 x 525 = 1050.00, Trombons "Yamaha YSL-354 E" 1 x 695.00, Klasiskā ģitāra ar iebūvētu skaņas noņēmēju "Luther Pro 10C" 1 x 588.00, akustiskās ģitāras pastiprinātājs "Marshall AS100D"1 x 659.00, kokle lielā 1 x1613.00.</t>
  </si>
  <si>
    <t>Iestādes uzturēšana, profesionālās ievirzes izglītības nodrošināšana</t>
  </si>
  <si>
    <t xml:space="preserve">Īpašumu pārvaldes Pašvaldības īpašumu nodaļas pašvaldības īpašumu tehniskā nodrošinājuma daļa </t>
  </si>
  <si>
    <t>Administratīvo ēku būvniecība, atjaunošana un uzlabošana</t>
  </si>
  <si>
    <t>01.110</t>
  </si>
  <si>
    <t>Domes administratīvo ēku infrastruktūras attīstība</t>
  </si>
  <si>
    <t>JPAP_R3.1.2._131</t>
  </si>
  <si>
    <t>Nekustamā īpašuma būvniecība, atjaunošana un uzlabošana policijas vajadzībām</t>
  </si>
  <si>
    <t>03.110</t>
  </si>
  <si>
    <t>Policijas vajadzībām nepieciešamo ēku remonts</t>
  </si>
  <si>
    <t>JPAP_R1.6.2._30</t>
  </si>
  <si>
    <t>Glābšanas staciju būvniecība, atjaunošana un uzlabošana</t>
  </si>
  <si>
    <t>03.600</t>
  </si>
  <si>
    <t>Glābšanas stacijas</t>
  </si>
  <si>
    <t>Publisko teritoriju, ēku un mājokļu būvniecība, atjaunošana un uzlabošana</t>
  </si>
  <si>
    <t>Jauno Slokas kapu izbūve un labiekārtošana</t>
  </si>
  <si>
    <t>JPAP_R2.8.2._114</t>
  </si>
  <si>
    <t>Pašvaldības dzīvojamā fonda remonts</t>
  </si>
  <si>
    <t>JPAP_R2.9.1._115</t>
  </si>
  <si>
    <t>Ēku nojaukšana</t>
  </si>
  <si>
    <t>JPAP_R2.8.1._105</t>
  </si>
  <si>
    <t>Kapteiņa Zolta piemiņas vietas teritorijas labiekārtošana Kaugurciema ielā, Jūrmalā</t>
  </si>
  <si>
    <t>JPAP_R2.8.1._98</t>
  </si>
  <si>
    <t>Tirdzniecības nojumes jaunbūve un inženierkomunikāciju izbūve Slokas ielā 3313, Jūrmalā</t>
  </si>
  <si>
    <t>JPAP_R3.7.2_231</t>
  </si>
  <si>
    <t>Pašvaldības īpašumā esošo ēku, kas nav nodotas citu pašvaldības iestāžu valdījumā vai apsaimniekošanā, remonts</t>
  </si>
  <si>
    <t>JPAP_R2.9.1_115</t>
  </si>
  <si>
    <t>Ēku konservācija</t>
  </si>
  <si>
    <t>JPAP_R2.8.1_105</t>
  </si>
  <si>
    <t>Pašvaldības policijas postenis ''Priedaine''</t>
  </si>
  <si>
    <t>JPAP_R2.8.1_98</t>
  </si>
  <si>
    <t>Aizvietotājizpildes piemērošana patvaļīgi veiktas būvniecības vai vidi degradējošas/bīstamas būves esamības gadījumos</t>
  </si>
  <si>
    <t>Pašvaldības palīdzības sniegšana iedzīvotājiem dzīvojamo telpu remontiem</t>
  </si>
  <si>
    <t>Apsekošana, specifikāciju un tāmju sagatavošana</t>
  </si>
  <si>
    <t>JPAP_R3.1.2_131</t>
  </si>
  <si>
    <t>Atpūtu un sportu veicinošas infrastruktūras izveide, atjaunošana un labiekārtošana</t>
  </si>
  <si>
    <t>Sabiedriskās tualetes remontdarbi</t>
  </si>
  <si>
    <t>JPAP_R2.8.1_99</t>
  </si>
  <si>
    <t xml:space="preserve">Sporta nams "Taurenītis" </t>
  </si>
  <si>
    <t>JPAP_R1.6.3_41</t>
  </si>
  <si>
    <t>Majoru sporta laukums</t>
  </si>
  <si>
    <t>Slokas stadions</t>
  </si>
  <si>
    <t>Dzintaru mežaparks</t>
  </si>
  <si>
    <t>Velonovietnes Jūrmalas pilsētaspašvaldības īpašumos</t>
  </si>
  <si>
    <t>JPAP_R3.2.2._155 JPAP_R3.2.3._165</t>
  </si>
  <si>
    <t>Avārijas darbi</t>
  </si>
  <si>
    <t>JPAP_R3.2.2_155</t>
  </si>
  <si>
    <t>Bibliotēku ēku būvniecība, atjaunošana un uzlabošana</t>
  </si>
  <si>
    <t>Bibliotēku remonts</t>
  </si>
  <si>
    <t>02.08.2019 Īpašumu pārvaldes Pašvaldības īpašumu nodaļas Pašvaldības īpašumu tehniskā nodrošinājuma daļas iesniegums par budžeta grozījumiem Nr.8.2.1-3/4-21.</t>
  </si>
  <si>
    <t>JPAP_R3.2.4</t>
  </si>
  <si>
    <t>Muzeja ēku būvniecība, atjaunošana un uzlabošana</t>
  </si>
  <si>
    <t>Muzeji un izstāžu zāles</t>
  </si>
  <si>
    <t>JPAP_R3.3.1._192</t>
  </si>
  <si>
    <t>Kultūras centru un namu būvniecība, atjaunošana un uzlabošana</t>
  </si>
  <si>
    <t>08.230</t>
  </si>
  <si>
    <t>Kultūras centru ēku remonts</t>
  </si>
  <si>
    <t>5250</t>
  </si>
  <si>
    <t>2241</t>
  </si>
  <si>
    <t>Pirmsskolas  izglītības iestāžu būvniecība, atjaunošana un uzlabošana</t>
  </si>
  <si>
    <t>JPAP_R3.2.2._155</t>
  </si>
  <si>
    <t>Pirmsskolas izglītības iestāžu pieejamības uzlabošana</t>
  </si>
  <si>
    <t>Jūrmalas PII ''Katrīna''</t>
  </si>
  <si>
    <t>Jūrmalas PII ''Madara''</t>
  </si>
  <si>
    <t xml:space="preserve">Jūrmalas PII ''Mārīte'' </t>
  </si>
  <si>
    <t>Jūrmalas PII ''Podziņa''</t>
  </si>
  <si>
    <t>Jūrmalas PII ''Saulīte''</t>
  </si>
  <si>
    <t>Jūrmalas PII ''Zvaniņš''</t>
  </si>
  <si>
    <t>Jūrmalas PII ''Namiņš''</t>
  </si>
  <si>
    <t>Jūrmalas PII ''Lācītis''</t>
  </si>
  <si>
    <t xml:space="preserve">Sākumskolu, pamatskolu, vidusskolu būvniecība, atjaunošana un uzlabošana </t>
  </si>
  <si>
    <t>JPAP_R3.2.3._165</t>
  </si>
  <si>
    <t>Jūrmalas sākumskola ''Atvase''</t>
  </si>
  <si>
    <t>Jūrmalas sākumskola ''Ābelīte''</t>
  </si>
  <si>
    <t>Jūrmalas sākumskola ''Taurenītis''</t>
  </si>
  <si>
    <t>Ķemeru pamatskola</t>
  </si>
  <si>
    <t>Jaundubultu vidusskola</t>
  </si>
  <si>
    <t xml:space="preserve">Kauguru vidusskola </t>
  </si>
  <si>
    <t xml:space="preserve">Slokas pamatskola </t>
  </si>
  <si>
    <t>Mežmalas vidusskola</t>
  </si>
  <si>
    <t>Interešu un profesionālās ievirzes izglītības iestāžu būvniecība, atjaunošana un uzlabošana</t>
  </si>
  <si>
    <t>JPAP_R3.2.4._185</t>
  </si>
  <si>
    <t xml:space="preserve">Jūrmalas bērnu un jauniešu interešu centrs </t>
  </si>
  <si>
    <t>Jūrmalas mūzikas vidusskola</t>
  </si>
  <si>
    <t>Pārējo sociālo iestāžu būvniecība, atjaunošana un uzlabošana</t>
  </si>
  <si>
    <t xml:space="preserve">Avārijas darbi </t>
  </si>
  <si>
    <t>JPAP_R3.5.1._216</t>
  </si>
  <si>
    <t>Veselības veicināšanas un sociālo pakalpojumu centrs</t>
  </si>
  <si>
    <t>Rīcības virzieni:</t>
  </si>
  <si>
    <t>R1.6.2.: Peldvietu infrastruktūras attīstība</t>
  </si>
  <si>
    <t>R1.6.3.: Sporta pasākumu un pakalpojumu attīstība</t>
  </si>
  <si>
    <t>R2.8.1.: Publiskās telpas pilnveide</t>
  </si>
  <si>
    <t>R2.8.2.: Kapsētu un to infrastruktūras labiekārtošana</t>
  </si>
  <si>
    <t>R2.9.1.: Pašvaldības dzīvojamā fonda attīstība</t>
  </si>
  <si>
    <t>R3.1.2.: Pašvaldības pārvaldes kapacitātes celšana</t>
  </si>
  <si>
    <t>R3.2.2.: Pirmsskolas izglītības pakalpojumi</t>
  </si>
  <si>
    <t>R3.2.3.: Vispārizglītojošo skolu izglītības pakalpojumi</t>
  </si>
  <si>
    <t>R3.2.4.: Profesionālās ievirzes un interešu izglītības pakalpojumi</t>
  </si>
  <si>
    <t>R3.3.1.: Pilsētas kultūras iestāžu un muzeju darbības pilnveide</t>
  </si>
  <si>
    <t>R3.5.1.: Sociālo pakalpojumu attīstība</t>
  </si>
  <si>
    <t>R3.7.2.: Vietējās uzņēmējdarbības atbalsta infrastruktūras attīstība</t>
  </si>
  <si>
    <t>Aktivitātes:</t>
  </si>
  <si>
    <t>Nr.30 Pašvaldības īpašumā esošo glābšanas staciju rekonstrukcija un būvniecība</t>
  </si>
  <si>
    <t>Nr.98 Parku, skvēru un kūrorta mazās infrastruktūras attīstība uzturēšana</t>
  </si>
  <si>
    <t xml:space="preserve">Nr.99 Publiskās telpas apsaimniekošana </t>
  </si>
  <si>
    <t>Nr.105 Graustu novākšana pilsētā</t>
  </si>
  <si>
    <t>Nr.114 Kapsētu paplašināšana un jaunu kapsētu izveide un to apsaimniekošana</t>
  </si>
  <si>
    <t xml:space="preserve">Nr.115 Jūrmalas pašvaldības dzīvojamā fonda attīstības plānošana un plānu realizācija </t>
  </si>
  <si>
    <t xml:space="preserve">Nr.131 Kvalitatīva pašvaldības pārvaldes kapacitātes nodrošināšana </t>
  </si>
  <si>
    <t>Nr.155 Pirmsskolas izglītības iestāžu mācību vides uzlabošana</t>
  </si>
  <si>
    <t>Nr.165 Vispārējās izglītības iestāžu mācību vides uzlabošana</t>
  </si>
  <si>
    <t>Nr.185 Profesionālās ievirzes un interešu izglītības iestāžu mācību vides uzlabošana</t>
  </si>
  <si>
    <t>Nr.192 Jūrmalas kultūras iestāžu ēku remonts un būvniecība, teritoriju labiekārtošana un materiāltehniskais nodrošinājums</t>
  </si>
  <si>
    <t>Nr.216 Sociālā atbalsta infrastruktūras attīstība</t>
  </si>
  <si>
    <t>Nr.231 Tirdzniecības vietu attīstība un esošo tirdzniecības vietu efektīvas darbības nodrošināšana un labiekārtošana</t>
  </si>
  <si>
    <r>
      <rPr>
        <b/>
        <sz val="9"/>
        <rFont val="Times New Roman"/>
        <family val="1"/>
        <charset val="186"/>
      </rPr>
      <t>10.pielikums</t>
    </r>
    <r>
      <rPr>
        <sz val="9"/>
        <rFont val="Times New Roman"/>
        <family val="1"/>
        <charset val="186"/>
      </rPr>
      <t xml:space="preserve"> Jūrmalas pilsētas domes</t>
    </r>
  </si>
  <si>
    <t>Tāme Nr.08.1.15.</t>
  </si>
  <si>
    <t>Tāme Nr.09.1.8.</t>
  </si>
  <si>
    <t>Pirmsskolas izglītības iestāžu būvniecība, atjaunošana un uzlabošana</t>
  </si>
  <si>
    <t>Tāme Nr.08.4.1.</t>
  </si>
  <si>
    <t>Jūrmalas Kultūras centrs</t>
  </si>
  <si>
    <t>90009229680</t>
  </si>
  <si>
    <t>Jomas iela 35, Jūrmala LV-2015</t>
  </si>
  <si>
    <t>LV59PARX0002484572063</t>
  </si>
  <si>
    <t>LV59PARX0002484573033</t>
  </si>
  <si>
    <t>LV20PARX0002484577033</t>
  </si>
  <si>
    <t xml:space="preserve">Neizlietoto līdzekļu novirzīšana naudas balvai: tehniskā darbinieka vakance Mellužu estrādē -430,00 EUR/mēnesī. </t>
  </si>
  <si>
    <t>Izdevumi darbinieku virsstundu darba un darba svētku dienās apmaksai  2019.gada 2.pusgadā saskaņā ar aprēķinu pielikumā Nr.2</t>
  </si>
  <si>
    <t>Izdevumu samazinājums piemaksām par papildus darbu (aiziet uz 1142/1228)</t>
  </si>
  <si>
    <t>Naudas balva darbiniekam sakarā ar bērna piedzimšanu mēnešalgas apmērā atbilstoši darba rezultātu vērtējumam</t>
  </si>
  <si>
    <t>Līdzekļu atlikums uz 01.08.2019 - 452,98 EUR, kas sastāv no 250,00 EUR apbedīšanas pabalsta izmaksai un 202,98 EUR kompensācijas izmaksai par personīgā transportlīdzekļa izmantošanu darba vajadzībām. Veicot aplēses līdz 2019.gada beigām, kompensāciju izmaksai nepieciešami 252,41 EUR (JKC direktors 772,32 km/mēnesīx11 mēneši x 0,02 EUR/km=169,91 EUR. JKC saimn.vadītājs 375 km/mēnesī x 11 mēneši x 0,02 EUR/km= 82,50 EUR). Nepieciešams līdzekļu palielinājums 50,00 EUR  apmērā.</t>
  </si>
  <si>
    <t>Līdzekļu atlikums uz 01.08.2019. -11294,95 EUR, tas nodrošinā siltumenerģijas patēriņa apmaksu līdz 2019.gada beigām 153,35 MWh apjomā pie vienības cenas 73,65 EUR/MWh.  Attiecīgajā periodā 2018.gadā tika izlietoti 107,51 MWh siltumenerģijas. Līdzekļu palielinājums saskaņā ar esošiem datiem nav nepieciešams.</t>
  </si>
  <si>
    <t>Līdzekļu atlikums uz 01.08.2019 - 1402,87 EUR, tas nodrošina vidējos izdevumus mēnesī 280,57 EUR apmērā (88,78 kub.m./mēnesī). Attiecīgajā periodā 2018. gadā vidējais patēriņš mēnesī bija 61,60 kub.m. Patēriņa pieaugums saistīts ar Mellužu estrādes objekta nodošanu ekspluatācijā. Līdzekļu palielinājums saskaņā ar esošiem datiem nav nepieciešams.</t>
  </si>
  <si>
    <t>Līdzekļu atlikums uz 01.08.2019 - 13735,00 EUR, kas nodrošinā vidējos izdevumus 2747,00 EUR/mēnesī (10174 kWh). 2019.gada 1. pusgadā vidējie mēneša izdevumi 2531,00 EUR. Līdzekļu palielinājums saskaņā ar esošiem datiem nav nepieciešams, bet nav faktisku datu par Mellužu estrādes uzturēšanas izdevumiem, kas var veicināt izdevumu korekciju līdz gada beigām.</t>
  </si>
  <si>
    <t>Līdzekļu atlikums uz 01.08.2019 793.44 EUR, kas nodrošina 7,0 t atkritumu savākšanu līdz gada beigām pie tarifa 113,41EUR/t. 2018.gada attiecīgajā periodā tika savāktas 3,173 t atkritumu. Sakarā ar Mellužu estrādes objekta apsaimniekošanas uzsākšanu līdz gada beigām tiek plānots atkritumu apjoma pieaugums. Pēc aplēsēm izdevumu palielinājums nav nepieciešams.</t>
  </si>
  <si>
    <t>Izdevumu samazinājums saskaņā ar faktisko izdevumu apjomu.</t>
  </si>
  <si>
    <t>Kopējais līdzekļu atlikums uz 01.08.2019 - 48,85 EUR. Ar 01.07.2019 palielinās izdevumu apjoms sakāra ar Mellužu estrādes objekta nodošanu ekspluatācijā par 2,15 EUR/mēnesī. Plānotie izdevumi līdz gada beigām 51,60 EUR. Nepieciešams līdzekļu palielinājums 3 EUR apmērā.</t>
  </si>
  <si>
    <t>Līdzekļu palielinājums atbilstoši nepieciešamībai apsaimniekot Mellužu estrādes objektu - lapu pūtēja iegāde, saimniecības inventāra iegāde JKC sanitārām telpām (fiziski nolietotu šķidro ziepju dozatoru nomaiņa - 4gab.x21,25 EUR).</t>
  </si>
  <si>
    <t>Izdevumu palielinājums sakarā ar plānoto ''lapu pūtēja '' iegādi - ierīces darbināšanai nepieciešama degviela (benzīns): bākas tilpums 2,1 L, kas nodrošina ierīces darbību stundas laikā.. Plānotie izdevumi 10 litri benzīna/mēnesī x 3,5 mēneši x 1,267 EUR/litrs= 44,35 EUR</t>
  </si>
  <si>
    <t>Līdzekļu atlikums pēc skaņas/gaismu aparatūras komplektu iegādes Mellužu estrādei un Kauguru kultūras namam tiek novirzīts inventāra iegādei - lapu pūtējs Mellužu estrādes uzkopšanai (439-500,00 EUR), saimniecības inventārs (uzkopšanas/atkritumu savākšans inventārs)</t>
  </si>
  <si>
    <t>Iestādes uzturēšana un kultūras pakalpojumu sniegšanas nodrošināšana</t>
  </si>
  <si>
    <t>Budžeta finansēta institūcija:</t>
  </si>
  <si>
    <t>Reģistrācijas Nr.:</t>
  </si>
  <si>
    <t>Īpašumu pārvaldes Pilsētsaimniecības un labiekārtošanas nodaļa</t>
  </si>
  <si>
    <t>Pašvaldības pārziņā esošo teritoriju apsaimniekošana (kopšana un tīrīšana)</t>
  </si>
  <si>
    <t>05.100</t>
  </si>
  <si>
    <t>Piezīmes</t>
  </si>
  <si>
    <t>Parku, skvēru, atpūtas vietu un apstādījumu kopšana un ierīkošana</t>
  </si>
  <si>
    <t>JPAP_P2.8._R2.8.1._98 JPAS_K4, JPAS_J4</t>
  </si>
  <si>
    <t>Budžetā  palielinājums par 9% salīdzinājumā ar 2018.gada vienību līguma cenām. 21.06.2018. līgums Nr. 1.2-16.4.3/823. Apstādījumu rekonstrukcija Rīgas ielā pie Dzintaru ceļu pārvada - esošo rožu stādījumu vietā ierīkot jaukto  (rožu, daudzgadīgo, viengadīgo un sīpolpuķu) stādījumus 378m2 platībā.</t>
  </si>
  <si>
    <t>Iekšpagalmu kopšana</t>
  </si>
  <si>
    <t>JPAP_P2.8._R2.8.1._99</t>
  </si>
  <si>
    <t>Budžetā  palielinājums par 9% salīdzinājumā ar 2018.gada vienību līguma cenām. 21.06.2018. līgums Nr. 1.2-16.4.3/823.</t>
  </si>
  <si>
    <t>Pašvaldības īpašumu kopšana</t>
  </si>
  <si>
    <t>Jaunu puķu trauku iegāde un apsaimniekošana</t>
  </si>
  <si>
    <t>4.1.</t>
  </si>
  <si>
    <t>Jaunu puķu trauku iegāde</t>
  </si>
  <si>
    <t>Palielinājušās puķu trauku cenas par 3.6% salīdzinājumā ar 2018.gada līguma cenām. 21.06.2018. līgums Nr. 1.2-16.4.3/823.</t>
  </si>
  <si>
    <t>?</t>
  </si>
  <si>
    <t>4.2.</t>
  </si>
  <si>
    <t>Jaunu puķu trauku apsaimniekošana</t>
  </si>
  <si>
    <t>Puķu siena</t>
  </si>
  <si>
    <t>Dzintaru mežaparka apsaimniekošana un atjaunošana</t>
  </si>
  <si>
    <t>JPAP_P2.8._R2.8.1._98</t>
  </si>
  <si>
    <t>2008.gadā Dzintaru Mežaparkā  uzstādītie saulesargi ir nolietojušies. Nepieciešamas jaunas saulesargu membrānas un aksesuāri. Atbalstīts Pilsētsaimniecības un drošības komitejā, kā prioritārs pasākums vidējam termiņam.</t>
  </si>
  <si>
    <t>Pludmales sakopšana</t>
  </si>
  <si>
    <t>Organizējot pludmales apsaimniekošanas darbus ir izveidojies budžeta līdzekļu  ietaupījums.</t>
  </si>
  <si>
    <t>JPAP_P1.6._R1.6.2._33 JPAP_P2.8._R2.8.1._99  JPŪRRP_RV1.6.2_9</t>
  </si>
  <si>
    <t>Cenu palielinājums saskaņā ar 2018.gada 22.augustā noslēgto līgumu Nr. 1.2-16.4.3/1022</t>
  </si>
  <si>
    <t>Sadzīves atkritumu konteinieru izvietošana pludmalē un izejās uz jūru un atkritumu izvešana</t>
  </si>
  <si>
    <t>JPAP_P1.6._R1.6.2._33  JPAP_P2.7._R2.7.1._96 JPŪRRP_RV1.6.2_9</t>
  </si>
  <si>
    <t>Cenu palielinājums saskaņā ar Dabas resusu nodokļa pieaugumu par 18.6%.</t>
  </si>
  <si>
    <t>Sabiedrisko tualešu apsaimniekošana</t>
  </si>
  <si>
    <t xml:space="preserve">JPAP_P1.6._R1.6.2._33 JPAP_P2.8._R2.8.1._99 </t>
  </si>
  <si>
    <t>Stacionārās tualetes Dzintaru Mežaparka , Jomas ielas 35a, Baznīcas ielas 2a,  Mellužu prospekta 6a. Konteinera tipa tualetēm pludmalē un Jomas ielā, cenu palielinājums saskaņā ar noslēgto 2015.gada 29.decembra līgumu Nr. 1.2-16.4.3/1957.  BIO tualetes Kauguru vidusskola, Jaundubultu un Asaru parks, Dubultu tirgus laukums, Zīmuļu parks, Ezeru ielas peldvieta, Skrundas iela 4,  Slokā pie autoostas, peldvietās Dubultos, Majoros un Priedainē, cenu palielinājums saskaņā ar noslēgto 2017.gada 22.decembra līgumu Nr. 1.2-16.4.1/1896.</t>
  </si>
  <si>
    <t>Sadzīves atkritumu savākšana un aizvešana</t>
  </si>
  <si>
    <t>Sabiedrisko pakalpojumu regulēšanas komisija no š.g. 10. jūniju apstiprinājusi jaunu sadzīves atkritumu apglabāšanas pakalpojuma tarifu SIA "AAS"Piejūra", pamatojoties uz kuru ir pieaudzis sadzīves atkritumu apsaimniekošanas tarifs.</t>
  </si>
  <si>
    <t>JPAP_P2.7._R2.7.1._96</t>
  </si>
  <si>
    <t>Dzīvnieku uzturēšanas izmaksas patversmē</t>
  </si>
  <si>
    <t>JPAP_P2.8_R2.8.1._110</t>
  </si>
  <si>
    <t>Cenu palielinājums pamatojoties uz 2018.gada 26. oktobra sarunu procedūras rezultātiem</t>
  </si>
  <si>
    <t>Bezsaimnieku dzīvnieku (kaķu) sterilizācija</t>
  </si>
  <si>
    <t>Klejojošu dzīvnieku izķeršana, dzīvnieku līķu apglabāšana</t>
  </si>
  <si>
    <t>Vasara puķu dobes ierīkošana un kopšana Lāčplēša skvērā</t>
  </si>
  <si>
    <t>Pavasara un vasaras puķu iegāde un apsaimniekošana P 128 četros rotācijas apļos</t>
  </si>
  <si>
    <t>Vasara puķu dobes ierīkošana un kopšana skvērā pie Dzintaru KZ</t>
  </si>
  <si>
    <t>Bioloģiski noārdāmo atkritumu savākšana un aizvešana</t>
  </si>
  <si>
    <t>Pilsētas teritoriju labiekārtošanas pasākumi</t>
  </si>
  <si>
    <t>Ielu nosaukumu plāksnīšu un to stiprinājuma stabiņu  komplektu apsaimniekošana</t>
  </si>
  <si>
    <t>apsaimniekošana</t>
  </si>
  <si>
    <t>Lai varētu veikt ielu nosaukumu plāksnīšu un to stiprinājuma stabiņu apsaimniekošanas darbus, nepieciešams pārkārtojumus pa kodiem, no ielu plāksnīšu  izgatavošanas darbiem uz apsaimniekošanas darbiem.</t>
  </si>
  <si>
    <t>Ielu nosaukumu stabi ir tehniski sliktā stāvoklī, jo lielākā daļa stabu ir uzstādīti 2008.gadā. Papildus 35000EUR atbalstīti Pilsētsaimniecības un drošības komitejā, kā prioritārs pasākums vidējam termiņam.</t>
  </si>
  <si>
    <t>izgatavošana</t>
  </si>
  <si>
    <t>Autobusu pieturu remonts vai izveidošana</t>
  </si>
  <si>
    <t>Investīciju plāns; Metu konkurss par autobusa pieturu dizainu</t>
  </si>
  <si>
    <t>Bērnu rotaļu laukumu un sporta laukumu izveide un remonts iekšpagalmos, parkos un pludmalē</t>
  </si>
  <si>
    <t>3.1.</t>
  </si>
  <si>
    <t>Bērnu rotaļu un sporta laukumu atjaunošana un izveide un sintētiskā seguma ieklāšana</t>
  </si>
  <si>
    <t>JPAP_P2.8._R2.8.1._106 JPAP_P2.8._R2.8.1._99</t>
  </si>
  <si>
    <t>Saskaņā ar investīciju plānu pludmalē un  iekšpagalmos - uzstādīt  jaunus un atjaunot esošos rotaļu laukumus: pludmalē - Mellužos pie Rožu ielas izejas uz jūru, Dubultos pie Baznīcas ielas, Lielupē starp 12.-18.līnijām un iekšpagalmos Kauguri1820; Kauguri 3305, Kauguri 1106; Kauguri 0726;  "Zīmuļu parks",  Dubultos Ievu iela 6, Ķemeros Robežu ielā 19.</t>
  </si>
  <si>
    <t>invest</t>
  </si>
  <si>
    <t>3.2.</t>
  </si>
  <si>
    <t>Bērnu rotaļu laukumu un sporta laukumu remonts iekšpagalmos un pludmalē</t>
  </si>
  <si>
    <t>JPAP_P2.8._R2.8.1._106  JPAP_P2.8._R2.8.1._99</t>
  </si>
  <si>
    <t>Visu Jūrmalas pilsētā esošo pašvaldības uzstādīto rotaļu laukumu remonts</t>
  </si>
  <si>
    <t>3.3.</t>
  </si>
  <si>
    <t>Slidotavas ierīkošana Engures ielas iekšpagalmā</t>
  </si>
  <si>
    <t xml:space="preserve">JPAP_P2.8._R2.8.1._106 </t>
  </si>
  <si>
    <t>Jaunu solu un atkritumu urnu izvietošana parkos un uz ielām</t>
  </si>
  <si>
    <t xml:space="preserve">Izgatavot un uzstādīt 21 jaunu atkritumu urnu Raiņa ielā, Talsu šosejā un pie Kauguru k/n. </t>
  </si>
  <si>
    <t>Par solu un atkritumu urnu pārrakšanu un veco solu utilizāciju tika samaksāts no Pārējie izdevumi pilsētas apsaimniekošanā, kā rezultātā radās atlikums.</t>
  </si>
  <si>
    <t>Pārējie izdevumi pilsētas apsaimniekošanā</t>
  </si>
  <si>
    <t>Strūklaku uzturēšana</t>
  </si>
  <si>
    <t>Turaidas ielas strūklakas, Omnibusa laukuma strūklakas un  strūklakām Mellužu un Ķemeru parku dīķos apsaimniekošanai.</t>
  </si>
  <si>
    <t xml:space="preserve">Paredzēts Mellužu parka, Ķemeru parka, Turaidas ielas un Omnibusa laukuma strūklaku darbībai no 15.05.-15.10. un pārējā laikā pieslēguma nodrošināšanai ar elektrību. </t>
  </si>
  <si>
    <t>Pēc apkopes darbiem konstatēts, ka bojātas 6 gab zemūdens 3 krāsu LED lampas.</t>
  </si>
  <si>
    <t xml:space="preserve">Suņu ekskramentu atkritumu urnu ar piktogramām, maisiņu turētāju un masiņu izgatavošana un uzstādīšana </t>
  </si>
  <si>
    <t>Uzstādīt 20 speciālās suņu ekskramentu atkritumu urnas  daudzdzīvokļu māju iekšpagalmos. Atbalstīts Pilsētsaimniecības un drošības komitejā, kā prioritārs pasākums vidējam termiņam.</t>
  </si>
  <si>
    <t>Kopējo summu nepieciešams sadalīt pa kodiem, lai varētu iegādāties suņu ekskramentu maisiņus, kuri ir uzstādāmi pie suņu ekskramentu urnām.</t>
  </si>
  <si>
    <t>Jūrmalas daiļdārzu konkursa organizēšana</t>
  </si>
  <si>
    <t>JPAP _P2.10.R2.10._117</t>
  </si>
  <si>
    <t>Apbalvošanas pasākuma organizēšana, veicināšanas balvu iegādei.</t>
  </si>
  <si>
    <t xml:space="preserve">Pludmales labiekārtošana, tai skaitā informatīvo norāžu un pārģērbšanās kabīņu remonts, izvietošana, demontāža, atjaunošana   </t>
  </si>
  <si>
    <t>Nepieciešami papildus līdzekļi, lai varētu izgatavot visas nepieciešamās norādes pludmales info stendiem.</t>
  </si>
  <si>
    <t>JPAP_P1.6._R1.6.2._33  JPŪRRP_RV1.6.2_10</t>
  </si>
  <si>
    <t xml:space="preserve"> 2017.gadā izveidoto peldvietu remonta un apsaimniekošanas darbiem.</t>
  </si>
  <si>
    <t>Pludmales stendos esošo uzlīmju nomaiņai.</t>
  </si>
  <si>
    <t>Pludmales solu uzglabāšana ziemas sezonā</t>
  </si>
  <si>
    <t>JPAP_P1.6._R1.6.2._33</t>
  </si>
  <si>
    <t>Darbi tiks veikti pamatojoties uz 2018.gada 22.augustā noslēgto līgumu Nr. 1.2-16.4.3/1022.</t>
  </si>
  <si>
    <t>Izeju uz jūru labiekārtošana pludmalēs (laipas, kāpnes, betona plāksnes)</t>
  </si>
  <si>
    <t>Finansējums nepieciešams, jo esošās koka laipas ir ļoti nolietojušās, bija jāveic daudz neplānoti remonta darbi.</t>
  </si>
  <si>
    <t>JPAP_P1.6._R1.6.2._33 JPAP_P1.6._R1.6.2._34 JPŪRRP_RV1.6.2_10</t>
  </si>
  <si>
    <t>46 izeju koka laipu apsaimniekošanai.</t>
  </si>
  <si>
    <t>Jaunu koka laipu uzstādīšana tika rasta iespēja finansēt no projekta „Infrastruktūras pilnveidošana un atjaunošana Rīgas jūras līča piekrastē Jūrmalas pilsētā” līdzekļiem</t>
  </si>
  <si>
    <t>Jaunu laipu izgatavošanai izejās  uz jūru, tās ir tehniski sliktā stāvoklī, jo liela daļa laipu ir nolietojušās. Atbalstīts Pilsētsaimniecības un drošības komitejā, kā prioritārs pasākums vidējam termiņam.</t>
  </si>
  <si>
    <t xml:space="preserve">Jaunas betona plāksnes nepieciešamas Vēju un Turaidas ielas un 36.līnijas izejās uz jūru.  1.līnijas, Kaiju ielā un Rūjienas ielā izejās uz jūru kāpnēm nepieciešams remonts; </t>
  </si>
  <si>
    <t>Dušu, kāju mazgājamo krānu, sabiedrisko tualešu konteinieru un ūdens sūkņu apkope, remonts, iegāde un uzstādīšana</t>
  </si>
  <si>
    <t>JPAP_P1.6._R1.6.2._33 JPŪRRP_RV1.6.2_10</t>
  </si>
  <si>
    <t>Kāju mazgātāju un dušu uzstādīšanai pavasarī un noņemšanai rudenī. Esošo kāju mazgātāju, dušu un tualetes konteineru motoru remonta darbiem</t>
  </si>
  <si>
    <t>2019.gadā bija paredzēts pārvietot Ķļavu ielas tualešu konteineru uz pludmali, līdzekļi nepietika tās pāvietošanai, tāpēc nav nepieciešama dušas iegāde.</t>
  </si>
  <si>
    <t>Divu kāju mazgātāju iegādei  un uzstādīšanai Viktorijas ielas un Vienības prospekta izejās uz jūru.Pie pludmales tualešu konteineriem Kļavu un Līgatnes ielas galā uzstādīt dušas.</t>
  </si>
  <si>
    <t>Jaunu pludmales solu izgatavošanai</t>
  </si>
  <si>
    <t>2017. un 2018. gados noslēgto līgumu garantijas ieturējumi</t>
  </si>
  <si>
    <t>Veselīga dzīvesveida veicināšanas infrastruktūras izveide un atjaunošana</t>
  </si>
  <si>
    <t>Investīciju plāns-izveidoti norobežoti peldceliņi Lielupē</t>
  </si>
  <si>
    <t>Elektrolīnijas rekonstrukcijai Telšu ielā, Kļavu ielā un Līgatnes ielā u.c. ielās (projektu izstrādei)</t>
  </si>
  <si>
    <t>Pārvietot tualešu konteinerus no izejām uz jūru uz pludmali, jo pludmalē īr lielāks apmeklētāju skaits, nepieciešama elektrības pievikšana.</t>
  </si>
  <si>
    <t>Pirmsskolas izglītības iestāžu labiekārtošanas pasākumi</t>
  </si>
  <si>
    <t>Bērnu rotaļu laukumu izveide pirmsskolas izglītības iestādēs un vispārizglītojošās iestādēs</t>
  </si>
  <si>
    <t xml:space="preserve">JPAP_P3.2._3.2.2_155 JPAP_P3.2._3.2.3_165 </t>
  </si>
  <si>
    <t>Saskaņā ar inestīciju plānu  Izglītības iestādēs: Pii Taurenītis, pii Ābelīte, Jūrmalas bērnu un jauniešu interešu centrs.</t>
  </si>
  <si>
    <t>Jūrmalas pilsētas attīstības stratēģija 2010. - 2030.gadam (JPAS)</t>
  </si>
  <si>
    <t xml:space="preserve">K4 Ķemeru kūrortvides veidošana </t>
  </si>
  <si>
    <t xml:space="preserve">J4 Publiskās telpas izcilība </t>
  </si>
  <si>
    <t>Prioritāte P1.6. Aktīvā un dabas tūrisma attīstība</t>
  </si>
  <si>
    <t>Rīcības virziens R1.6.2.: Peldvietu infrastruktūras attīstība</t>
  </si>
  <si>
    <t>Aktivitāte Nr.33 Pludmales zonas labiekārtošana un apsaimniekošana</t>
  </si>
  <si>
    <t>Aktivitāte Nr.34 Transporta piekļuves uzlabošana pludmales zonai</t>
  </si>
  <si>
    <t>Prioritāte P2.7. Atkritumu utilizācijas sistēmas plinveide</t>
  </si>
  <si>
    <t>Rīcības virziens R2.7.1.: Atkritumu apsaimniekošanas sistēmas pilnveide</t>
  </si>
  <si>
    <t>Aktivitāte Nr.96 Atkritumu apsaimniekošanas sistēmas pilnveide</t>
  </si>
  <si>
    <t xml:space="preserve">Prioritāte P2.8. Publiskās telpas labiekārtošana </t>
  </si>
  <si>
    <t>Rīcības virziens R2.8.1.: Publiskās telpas pilnveide</t>
  </si>
  <si>
    <t>Aktivitāte Nr.98 Parku, skvēru un kūrorta mazās infrastruktūras attīstība uzturēšana</t>
  </si>
  <si>
    <t>Aktivitāte Nr.99 Publiskās telpas apsaimniekošana</t>
  </si>
  <si>
    <t>Aktivitāte Nr.106 Jūrmalas pilsētā esošo daudzdzīvokļu namu pagalmu, izglītības iestāžu un piebraucamo ceļu rekonstrukcija</t>
  </si>
  <si>
    <t>Aktivitāte Nr.110 Dzīvnieku labturības pasākumu nodrošināšana</t>
  </si>
  <si>
    <t>Prioritāte P2.10. Privātīpašuma sakārtošanas motivācija</t>
  </si>
  <si>
    <t>Rīcības virziens R2.10.1.: Privātā īpašuma sakopšanas motivēšana</t>
  </si>
  <si>
    <t>Aktivitāte Nr.117 Privātīpašumu sakoptības veicināšana</t>
  </si>
  <si>
    <t>Prioritāte P3.2.   Kvalitatīva un sociāli pieejama izglītība</t>
  </si>
  <si>
    <t>Rīcības virziens R3.2.2.: Pirmsskolas izglītības pakalpojmi</t>
  </si>
  <si>
    <t>Aktivitāte Nr.155 Pirmsskolas izglītības iestāžu mācību vides uzlabošana</t>
  </si>
  <si>
    <t>Rīcības virziens R3.2.3. : Vispārizglītojošo skolu  izglītības pakalpojmi</t>
  </si>
  <si>
    <t>Aktivitāte Nr.165 Vispārējās izglītības iestāžu mācību vides uzlabošana</t>
  </si>
  <si>
    <t>Jūrmalas pilsētas ūdens resursu rīcības plāns 2016.-2020.gadam (JPŪRRP)</t>
  </si>
  <si>
    <t>Mērķis 4: Piekrastes ūdeņu un Lielupes plānotā izmantošana. Rīcības virziens R1.6.2 Peldvietu infrastruktūras attīstība</t>
  </si>
  <si>
    <t>Aktivitāte Nr.9 Uzlabot publisko ūdeņu piekrastes pieejamību</t>
  </si>
  <si>
    <t xml:space="preserve">Aktivitāte Nr.10 Aktualizēt pludmales aktivitāšu zonējumu un labiekārtojumu
</t>
  </si>
  <si>
    <r>
      <rPr>
        <b/>
        <sz val="9"/>
        <rFont val="Times New Roman"/>
        <family val="1"/>
        <charset val="186"/>
      </rPr>
      <t>11.pielikums</t>
    </r>
    <r>
      <rPr>
        <sz val="9"/>
        <rFont val="Times New Roman"/>
        <family val="1"/>
        <charset val="186"/>
      </rPr>
      <t xml:space="preserve"> Jūrmalas pilsētas domes</t>
    </r>
  </si>
  <si>
    <t>Tāme Nr.05.1.4.</t>
  </si>
  <si>
    <t>Tāme Nr.06.1.4.</t>
  </si>
  <si>
    <t>LV30TREL980200804700B</t>
  </si>
  <si>
    <t>Tāme Nr.08.1.3.</t>
  </si>
  <si>
    <t>Tāme Nr. 03.2.1.</t>
  </si>
  <si>
    <t>Jūrmalas pilsētas pašvaldības policija</t>
  </si>
  <si>
    <t>90000056554</t>
  </si>
  <si>
    <t>Dubultu prospekts 2, Jūrmala, LV - 2015</t>
  </si>
  <si>
    <t>Iestādes uzturēšana un sabiedriskās kārtības nodrošināšana</t>
  </si>
  <si>
    <t>LV30PARX0002484572003</t>
  </si>
  <si>
    <t>LV54PARX0002484577003</t>
  </si>
  <si>
    <t>Atgriezta valsts nodeva zvērinātu tiesu izpildītāju ieturējumu gadījumā EUR 60.00 apmērā ( EUR 3.00 x 20 lietas).</t>
  </si>
  <si>
    <t xml:space="preserve">Līdzekļu ekonomija saistībā ar amatu vakancēm ( inspektors 12 st.  - EUR 847.00 amata atlīdzība) </t>
  </si>
  <si>
    <t>Paredzama ekonomija uzturdevas kompensāciju izmaksā EUR 8474.00 apmērā, balstoties uz Jūrmalas pilsētas domes 2019. gada 21. marta lēmumu Nr. 105, tādējādi arī ņemot vērā izpildes datus un vakantās amata vienības ( inspektors 12 st). Minēto summu plānots novirzīt: EUR 397.00 apmērā santehnikas remonta izdevumiem Smilšu ielā 7;  EUR 477.00 biroja preču iegādēm; EUR 4293.00 inventāra (printeri, žalūzijas, glābšanas riņķi,  datorkrēsls, galda lampas, drēbju skapji, monitori,  info plāksnītes pie durvīm, ) iegādei; EUR 13.00 brīdinošo uzlīmju iegādei Smilšu ielā 7; EUR 500.00 apsardzes pakalpojumu izdevumiem saistībā ar jauna līguma noslēgšanu; EUR 45.00 pirmās palīdzības aptieciņu iegādei; EUR 56.00 barošanas blokam info stendam Jaunķemeros, EUR 54.00 atkritumu izvešanas izdevumiem; EUR 81.00 apdrošināšanas izdevumiem ( ķermeņa kamera un retranslators); EUR 99.00 sprieduma izpildes izdevumiem ZTI; EUR 400.00 datorprogrammu iegādei; EUR 2059.00 divu datoru-monobloku iegādei.</t>
  </si>
  <si>
    <t>Nepieciešams finansējums pabalstu izmaksai diviem darbiniekiem sakarā ar tuvinieku nāvi.</t>
  </si>
  <si>
    <t>Paredzama līdzekļu ekonomija EUR 3.00 apmērā. Plānots novirzīt apsardzes pakalpojumu izdevumiem saistībā ar jauna pakalpojuma līguma noslēgšanu.</t>
  </si>
  <si>
    <t>Nepieciešams papildus finansējums EUR 2625.00 apmērā siltumenerģijas izdevumu apmaksai, ņemot vērā tāmes atlikumu uz jūlija beigām un pieaugušo tarifa likmi par 1 MWh no šī gada. Tāmes atlikums pēc izpildes datiem uz jūlija beigām  = EUR 2775.66; plānotais patēriņš Dubultu prosp.2 par periodu augusts-decembris, ņemot vērā pag. gada pārskatus - 21 Mwh ( 21 Mwh x EUR 73.65/1Mwh ( ar PVN)=EUR 1547.00; plānotais patēriņš Smilšu 7, ņemot vērā pag.gada pārskatus un patēriņu šogad, par periodu augusts-decembris - 53 Mwh ( 53Mwh x EUR 73.65/1Mwh (ar PVN)=EUR 3830. EUR 3830 + EUR 1547.00-EUR 2776.00 ~EUR 2625.00.</t>
  </si>
  <si>
    <t xml:space="preserve">Nepieciešams plānotais papildus finansējums atkritumu savākšanas izdevumu segšanai EUR 54.00 apmērā, ņemot vērā tāmes atlikumu uz jūlija beigām un tekošo izdevumu pārskatu par šo gadu. Tāmes atlikums pēc izpildes datiem uz jūlija beigām EUR 295.00. Plānotie izdevumi par periodu augusts - decembris = EUR 349.00, ņemot vērā šī gada izdevumus katru mēnesi.               </t>
  </si>
  <si>
    <t>Nepieciešams plānotais papildus finansējums EUR 560.00 apmērā 8 darbiniekiem semināra apmaksai par tēmu "Administratīvās atbildības likums".</t>
  </si>
  <si>
    <t>Nepieciešams plānotais papildus finansējums EUR 10294.00 apmērā: EUR 255.00 apmērā KASKO iegādei -   jaunajai laivai Fjordstar; EUR 5500.00 sauszemes transp.līdz.remontam un apkopei sakarā ar neparedzētiem remontdarbiem un EUR 4539.00 ūdenstranportlīdz. - laivas Tornado remontam sakarā ar neparedzētiem bojājumiem.</t>
  </si>
  <si>
    <t>Nepieciešams plānotais papildus finansējums EUR 420.00 apmērā vārtu remontam Kauguru glābšanas stacijai</t>
  </si>
  <si>
    <t>Nepieciešams plānotais papildus finansējums EUR 897.00 apmērā remonta izdevumiem: EUR 70.00 virtuves izlietnes remonta darbiem Smilšu ielā 7; EUR 327.00 tualetes remonta darbiem ( mehānisma nomaiņa, pisuāra montāžas  darbi u.c.) Smilšu ielā 7; EUR 500.00 neparedzētiem apsardzes pakalpojumu izdevumiem saistībā ar jauna līguma noslēgšanu. MP nepieciešams papildus finansējums EUR 3.00 apmērā   apsardzes pakalpojumu izdevumiem saistībā ar jauna līguma noslēgšanu</t>
  </si>
  <si>
    <t>Nepieciešams plānotais papildus finansējums EUR 81.00 apmērā apdrošināšanas izdevumiem - EUR 61.00 retranslatoram uz viesnīcas "Daina" jumta un ķermeņa kamerai glābšanas dienesta vajadzībām EUR 20.00 apmērā.</t>
  </si>
  <si>
    <t>Nepieciešams papildus finansējums EUR 99.00 apmērā trīs spriedumu izpildes izdevumu segšanai ZTI ( EUR 30.25 x 2 lietas, EUR 37.80  x 1 lieta).Saskaņā ar Civilprocesa likuma 566. un 567. pantiem, piedzinējs JPPP, iesniedzot izpildu dokumentu izpildei, norāda piespiedu izpildes līdzekli, ievērojot šā likuma 570. un 572.panta noteikumus, samaksā valsts nodevu un sedz citus sprieduma izpildes izdevumus tādā apmērā, kāds nepieciešams izpildes uzsākšanai piedzinēja norādītajā veidā. Sprieduma izpildes laikā piedzinējs pēc tiesu izpildītāja norādījuma iemaksā papildus nepieciešamos sprieduma izpildes izdevumus. Likumā norādītajos gadījumos sprieduma izpildes laikā sprieduma izpildes izdevumus par atsevišķām procesuālajām darbībām maksā parādnieks. Saskaņā ar Civilprocesa likumu sprieduma izpildes izdevumus, kas nepieciešami izpildes uzsākšanai sedz JPPP. Gadījumā, ja no parādnieka šī summa tiks piedzīta, tā tiks atgriezta atpakaļ Jūrmalas pilsētas Pašvaldības policijai.</t>
  </si>
  <si>
    <t>Nepieciešams papildus finansējums EUR 477.00 apmērā: kasetņu analogu iegādei ( EUR 4.77 x 100 gb) 7 jaunajiem printeriem lietu noformēšanai lietvedībā.</t>
  </si>
  <si>
    <r>
      <t>Nepieciešams  papildus finansējums EUR</t>
    </r>
    <r>
      <rPr>
        <sz val="9"/>
        <color theme="1"/>
        <rFont val="Times New Roman"/>
        <family val="1"/>
        <charset val="186"/>
      </rPr>
      <t xml:space="preserve"> 4517.00</t>
    </r>
    <r>
      <rPr>
        <sz val="9"/>
        <rFont val="Times New Roman"/>
        <family val="1"/>
        <charset val="186"/>
      </rPr>
      <t xml:space="preserve"> apmērā inventāra iegādei:  EUR 1280.00  printeri lietvedības un inspektoru vajadzībām ( EUR 160.00 x 8 gb.);  EUR 1800.00 žalūzijas Smilšu ielā 7 ( EUR 150.00 x 12gb); EUR 105.00 trīs glābšanas riņķi jaunajai iegādātajai laivai GD vajadzībām kā nepieciešamais pamataprīkojums; EUR 82.00 datorkrēsls Smilšu 7;   EUR 210.00 galda lampas Smilšu 7 ( EUR 19.00x 11gb); EUR 492.00 drēbju skapji Smilšu 7 ( EUR 163.00x 3gb); EUR 128.00 info plāksnītes pie kabinetiem Smilšu 7 ( EUR 16.00 x 8 gb.); EUR 420.00 monitori lietvežu vajadzībām Smilšu 7 ( EUR 210.00 x 2gb.).</t>
    </r>
  </si>
  <si>
    <t xml:space="preserve">Līdzekļu ekonomija spectērpu iegādē JPPP Glābšanas dienesta vajadzībām.  EUR 6.00 plānots novirzīt monitoru iegādei lietvedības vajadzībām. </t>
  </si>
  <si>
    <t>EUR 13.00 apmērā brīdinošo uzlīmju ( "Smēķēt aizliegts", "Nepiederošām personām ieeja aizliegta"u.c. Smilšu ielā 7 ( EUR 1.25 x 10 gab).</t>
  </si>
  <si>
    <t xml:space="preserve">Nepieciešams papildus finansējums EUR 1348.00 apmērā degvielas iegādei līdz šī gada beigām sakarā ar jaunas laivas iegādi  JPPP Glābšanas dienesta vajadzībām  ( degvielas cena EUR 1.284/l, patēriņš 14 l/h, plānotais patēriņš 20 h/ mēn. sezonā un 10 h/mēn nesezonā - 75h līdz gada beigām x 14 l/h x 1.284 = EUR 1348.00. </t>
  </si>
  <si>
    <t>Nepieciešams papildus finansējums EUR 45.00 apmērā pirmās palīdzības aptieciņu ( EUR 14.99 x 3 gab.) iegādei Glābašanas dienesta vajadzībām.</t>
  </si>
  <si>
    <t xml:space="preserve"> Nepieciešams  papildus finansējums EUR 56.00 apmērā barošanas bloka iegādei informācijas stendam Jaunķemeros.</t>
  </si>
  <si>
    <t xml:space="preserve">Līdzekļu ekonomija formas tērpu iegādē JPPP Glābšanas dienesta un policijas dienesta vajadzībām. EUR 8.00 plānots novirzīt monitoru iegādei lietvedības vajadzībām. </t>
  </si>
  <si>
    <t>Valsts nodeva ZTI</t>
  </si>
  <si>
    <t>Nepieciešams plānotais papildus finansējums EUR 400.00 apmērā divu datorprogrammu ( Office Home and Bussines 2016) iegādei plānotajiem jaunajiem datoriem lietvedības vajadzībām Smilšu ielā 7.</t>
  </si>
  <si>
    <t xml:space="preserve">Līdzekļu ekonomija daudzfunkcionālo printeru iegādei  EUR 241.00 apmērā. Minēto summu plānots novirzīt divu datoru - monobloku iegādei lietvedības vajadzībām. Nepieciešams plānotais papildus finansējums EUR 2300.00 (EUR 1150.00 x 2 gab) datora monobloka iegādei. </t>
  </si>
  <si>
    <t>Nepieciešams plānotais papildus finansējums EUR 1800.00 apmērā bruņuvestu iegādei ( EUR 900.00 x 2 gb.) policijas operatīvo darbinieku vajadzībām.</t>
  </si>
  <si>
    <t>Pedagogu atalgojumam saistībā ar Jūrmalas vakara vidusskolas funkciju pārņemšanu (JPD 18.10.2018. lēmumu Nr.513)</t>
  </si>
  <si>
    <t>Līdzekļu ekonomija (strādājošo pensionāru nodokļa likmes atšķirība). Nepieciešams pārnest līdzekļus uz EKK 1150 -200 EUR
VSAOI pedagogu atalgojumam saistībā ar Jūrmalas vakara vidusskolas funkciju pārņemšanu (JPD 18.10.2018. lēmumu Nr.513) - 10 000 EUR</t>
  </si>
  <si>
    <t>Mācību līdzekļiem saistībā ar Jūrmalas vakara vidusskolas funkciju pārņemšanu (JPD 18.10.2018. lēmumu Nr.513)</t>
  </si>
  <si>
    <t>Līdzekļi saistībā ar Jūrmalas vakara vidusskolas funkciju pārņemšanu (JPD 18.10.2018. lēmumu Nr.513)</t>
  </si>
  <si>
    <t>Jūrmalas Mākslas skola</t>
  </si>
  <si>
    <t>Tāme Nr.09.30.1.</t>
  </si>
  <si>
    <t>Tāme Nr.04.1.6.</t>
  </si>
  <si>
    <t>04.900</t>
  </si>
  <si>
    <t>Pilsētas ekonomiskās attīstības pasākumi</t>
  </si>
  <si>
    <t>2019.gada budžeta atšifrējums pa programmām un budžeta veidiem</t>
  </si>
  <si>
    <t>Mārketinga un ārējo sakaru pārvaldes Mārketinga nodaļa</t>
  </si>
  <si>
    <t>Tūrisma attīstības nodrošināšanas pasākumi, Tūrisma informācijas centrs</t>
  </si>
  <si>
    <t>04.730</t>
  </si>
  <si>
    <t>Tūrisma mārketinga pasākumi</t>
  </si>
  <si>
    <t>Tūrisma informatīvo materiālu sagatavošana</t>
  </si>
  <si>
    <t>JPAP_P1.9_R1.9.1._53 JPTARP_U1.9._P.1.9.4.</t>
  </si>
  <si>
    <t>Tulkošanas darbu veikšana</t>
  </si>
  <si>
    <t>JPAP_P1.9_R1.9.1._53 JPTARP_U1.9._P.1.9.4. JPTARP_U.3.3._ P.3.3.2.</t>
  </si>
  <si>
    <t>Tūrisma mobilās aplikācijas izstrādāšana</t>
  </si>
  <si>
    <t>JPAP_P1.9_R1.9.1._50 JPTARP_U1.9._ P.1.9.12. IKTRP_R1.9.1._1</t>
  </si>
  <si>
    <t>1.4.</t>
  </si>
  <si>
    <t>Mārketinga kampaņu īstenošana augsti prioritāros mērķa tirgos</t>
  </si>
  <si>
    <t>JPAP_P1.9_R1.9.1._53 JPTARP_U1.9._P.1.9.9. JPTARP_U2.2._2.4.4.  JPTARP_U.1.9_P.1.9.7. JPTARP_U.3.7._P.3.7.2. JPTARP_U.2.4._P.2.4.2. JPTARP_U.2.4._P.2.4.3.</t>
  </si>
  <si>
    <t>1.5.</t>
  </si>
  <si>
    <t>Darījuma tūrisma kampaņu īstenošana Baltijas valstīs</t>
  </si>
  <si>
    <t>JPAP_P1.9_R1.9.1._53 JPTARP_U3.7._3.7.6. JPTARP_U2.2._2.4.4. JPAP_P1.8_R1.8.2._47. JPAP_P1.9_R1.9.1._49.</t>
  </si>
  <si>
    <t>1.6.</t>
  </si>
  <si>
    <t>Videoklipa par veselības tūrismu izstrāde</t>
  </si>
  <si>
    <t>JPAP_ P1.9 / R1.9.1./Nr.55 JPTARP_U2.2._2.4.4.</t>
  </si>
  <si>
    <t>1.7.</t>
  </si>
  <si>
    <t>Tūrisma mājas lapas visitjurmala.lv attīstības nodrošināšana</t>
  </si>
  <si>
    <t>JPTARP P.1.8.2.nr.66             IKTRP_R1.9.1._3</t>
  </si>
  <si>
    <t xml:space="preserve">Visitjurmala.lv mājas lapas funkcionalitātes papildināšana </t>
  </si>
  <si>
    <t>JPAP_P1.9_R.1.9.1._50            IKTRP_R1.9.1._3</t>
  </si>
  <si>
    <t>Skārienjūtīgas sienas planšetes iegāde</t>
  </si>
  <si>
    <t>JPAP_P1.9_R.1.9.1._50     
IKTRP_R1.9.1._2</t>
  </si>
  <si>
    <t>1.8.</t>
  </si>
  <si>
    <t>Mediju pārstāvju uzņemšana Jūrmalā</t>
  </si>
  <si>
    <t>JPAP_P1.9_R.1.9.1._50    JPTARP_U1.9._ P.1.9.10.</t>
  </si>
  <si>
    <t>Tūrisma produktu attīstības pasākumi</t>
  </si>
  <si>
    <t>Tūrisma informatīvo ceļa zīmju kājāmgājējiem un autotransportam finansējums, kultūras objektu plāksnes, tai skaitā norādes uz ārstniecības iestādēm, tūrisma stendu uzlabošana</t>
  </si>
  <si>
    <t>JPTARP_U2.2._ P.2.2.4.   JPAP_P2.2_R.2.2.2._73</t>
  </si>
  <si>
    <t>PVN</t>
  </si>
  <si>
    <t xml:space="preserve">JPAP_P1.9_R1.9.1._53 </t>
  </si>
  <si>
    <t xml:space="preserve">Suvenīru un reprezentācijas materiālu realizācijas līgumi </t>
  </si>
  <si>
    <t>Tūrisma attīstības nodrošināšanas pasākumi</t>
  </si>
  <si>
    <t>Tūrisma piesaistes veicināšanas mārketinga kampaņu reklāmu izveidošana medijos Latvijā</t>
  </si>
  <si>
    <t xml:space="preserve">JPAP_P1.9_R1.9.1._53 JPAP_P1.7._R1.7.1._43  JPAP_P1.8._R1.8.2._47      JPTARP_U2.4._P2.4.3. </t>
  </si>
  <si>
    <t>Tūrisma mārketinga reklāmas materiālu, izstrāde un izgatavošana. Prezentmateriālu kataloga izveide, suvenīru  un citu reklāmas objektu ražošana</t>
  </si>
  <si>
    <t>JPAP_P1.9_R1.9.1._53     JPTARP_U.3.3_P.3.3.2.     JPAP_P2.2_R2.2.1._70</t>
  </si>
  <si>
    <t>Reklāmas aģentūru pakalpojumi tūrisma kampaņu īstenošanai: kampaņu  koncepcijas, idejas, startēģijas un to realizācija</t>
  </si>
  <si>
    <t>JPAP_P1.9_R1.9.1._53  JPTARP_U2.4._P.2.4.4. JPTARP_U.3.7._P.3.7.6.</t>
  </si>
  <si>
    <t>Reprezentatīvu Jūrmalas video materiālu izgatavošana.</t>
  </si>
  <si>
    <t xml:space="preserve">JPAP_P1.9_R1.9.1._53 JPTARP_U.2.4._P.2.4.2.  JPTARP_U.3.7._P.3.7.6.  </t>
  </si>
  <si>
    <t>Pilsētas tēla kampaņas reklāmu un publikāciju izvietošana medijos - TV, radio, internetā, presē, vidē. Informatīvo un imidža reklāmu izvietošana drukātajos materiālos</t>
  </si>
  <si>
    <t>Iepirkumu rezultātā ir radusies finanšu līdzekļu ekonomija. Līguma termiņš ar Mediju aģentūru “Media House” beigsies 06.09.2019., kur neiztērētie līdzekļi būs 18000 eur, tādejādi ir radušies brīvie līdzekļi.</t>
  </si>
  <si>
    <t>JPAP_P1.9_R1.9.1._53 KAP_RV2_U2.2_ P2.2.1. KAP_RV2_U2.2_ P2.2.3. KAP_RV2_U2.2_ P2.2.5.</t>
  </si>
  <si>
    <t>Jūrmalas pilsētas popularizēšana Latvijas un starptautiskajos komunikāciju kanālos starptautiska festivāla komunikācijas kampaņas ietvaros.</t>
  </si>
  <si>
    <t>JPAP_P1.9_R1.9.1._53  JPAP_P1.8._R1.8.2._48 KAP_RV2_U2.1_ P2.1.2. KAP_RV2_U2.1_ P2.1.3. KAP_RV2_U2.2_ P2.2.3. KAP_RV2_U2.2_ P2.2.5.</t>
  </si>
  <si>
    <t>Pilsētas mārketinga reklāmas materiālu izstrāde un izgatavošana, izvietošana.</t>
  </si>
  <si>
    <t>Finanšu līdzekļi nepieciešami, lai līdz gada beigām varētu nodrošināt reklāmas un reprezentācijas materiālu izstrādi un iegādi Rudens kampaņai , kura tiks realizēta laika posmā no oktobra līdz decembrim.</t>
  </si>
  <si>
    <t>JPAP_P1.9_R1.9.1._53      JPTARP_U.3.3_P.3.3.2.     JPAP_P2.2_R2.2.1._10</t>
  </si>
  <si>
    <t>Jūrmalas mārketinga aktivitāšu rīcības plāna izstrāde</t>
  </si>
  <si>
    <t>JPAP_P1.9_R1.9.1._53</t>
  </si>
  <si>
    <t>Organizatoriskie izdevumi</t>
  </si>
  <si>
    <t>Reklāmas aģentūru pakalpojumi: kampaņu  koncepcijas, idejas, startēģijas un to realizācija. Pasākumu un mārketinga aktivitāšu nodrošināšana un reklāmas objektu ražošana un izvietošana</t>
  </si>
  <si>
    <t>Finanšu līdzekļi nepieciešami, lai nodrošinātu izdevumu segšanu, kas saistīti ar Rudens, Ziemassvētku un Gaismas parka iedegšanas kampaņu īstenošanu.</t>
  </si>
  <si>
    <t>JPAP_P1.9_R1.9.1._53                   KAP_RV2_U2.2_ P2.2.1 KAP_RV2_U2.2_ P2.2.3  JPTARP_U2.4._P.2.4.4. JPTARP_U.3.7._P.3.7.6.</t>
  </si>
  <si>
    <t>Līgumi ar fiziskām personām (autoratlīdzības).</t>
  </si>
  <si>
    <t>Tulkošanas darbi un tulka pakalpojumi.</t>
  </si>
  <si>
    <t>JPAP_P1.9_R1.9.1._55</t>
  </si>
  <si>
    <t>Pētījumu veikšana</t>
  </si>
  <si>
    <t>Iepirkumu rezultātā ir radusies finanšu līdzekļu ekonomija.Mārketinga nodaļas iepirkumam ar ID Nr. JPD 2019/129 RIK “Sabiedriskās domas pētījuma veikšanu Jūrmalas pilsētas pašvaldības vajadzībām” rezultātiem, tika noslēgts līgums ar SIA “SKDS” par summu 7 650,00 EUR +PVN. Līdz ar to šajā Ekk ir 2843,50 eur pārpalikums, kuru ir iespējams izmantot citiem mērķiem.</t>
  </si>
  <si>
    <t>JPTARP_U.1.9_P.1.9.14  JPAP_P.1.1_R1.1.2._6</t>
  </si>
  <si>
    <t>Jūrmalas pilsētas vizuālās identitātes paplašinātu vadlīniju un  lietojuma piemēru izstrāde</t>
  </si>
  <si>
    <t>JPAP_P1.9_R1.9.1._53 JPAP_P2.2_R2.2.1._70</t>
  </si>
  <si>
    <t>Jūrmalas pilsētas tūrisma attīstības rīcības plāns 2018.-2020.gadam (JPTARP)</t>
  </si>
  <si>
    <t>Uzdevums: U1.9. Jūrmalas kā tūrisma galamērķa mārketings Latvijas un ārvalstu mērķa tirgos</t>
  </si>
  <si>
    <t>P.1.9.4. Tūrisma informatīvo reklāmas materiālu izveide mērķa tirgu vajadzībām.</t>
  </si>
  <si>
    <t>P.1.9.7. Nestandarta tūrisma reklāmas pilsētvidē Rīgā un/vai lidostā par Jūrmalu kā tūrisma galamērķi.</t>
  </si>
  <si>
    <t>P.1.9.9. Sadarbībā ar LIVE Rīga un citām Latvijas tūrismu veicinošām organizācijām kopēju mārketinga kampaņu īstenošana ārvalstīs.</t>
  </si>
  <si>
    <t>P.1.9.10. Žurnālistu un tūrisma operatoru iepazīšanās vizīšu uzņemšana no ārvalstu tirgiem.</t>
  </si>
  <si>
    <t>P.1.9.12 . Jūrmalas tūrisma piedāvājuma mobilās aplikācijas izveide</t>
  </si>
  <si>
    <t>P1.9.13. Dalība vietējās un starptautiskās tūrisma organizācijās un darbības efektivitātes izvērtēšana</t>
  </si>
  <si>
    <t>P 1.9.14. Tūrisma tirgus pētījumi</t>
  </si>
  <si>
    <t>AM2: Veselības tūrisma tai skaitā veselīga dzīvesveida produktu un pakalpojumu attīstība</t>
  </si>
  <si>
    <t>Uzdevums: U.2.2 Infrastruktūras attīstības veselības tūrisma attīstībai</t>
  </si>
  <si>
    <t>P.2.2.4. Norāžu izvietošana vienotas zīmju sistēmas ietvaros t.sk.uz medicīnas pakalpojumu iestādēm.</t>
  </si>
  <si>
    <t>P.2.4.2. Veselības tūrisma gada aktivitātes.</t>
  </si>
  <si>
    <t>P.2.4.4. Mārketinga kampaņa augsti prioritāros mērķa tirgos (Igaunija, Lietuva, Krievija), uzsverot ārpus tūrisma sezonas</t>
  </si>
  <si>
    <t>AM3: Jūrmalas kā konferenču, kongresu, pasākumu un motivējošā tūrksma ( MICE) galamērķa attīstība</t>
  </si>
  <si>
    <t>Uzdevums: U 2.4. Jūrmalas kā veselības kūrorta un medicīnas tūrisma galamērķa mārketings</t>
  </si>
  <si>
    <t>P.2.4.3. Mērķtiecīga veselīga dzīvesveida popularizēšanas kampaņa Latvijas tirgū</t>
  </si>
  <si>
    <t>P.2.4.4. Mārketinga kampaņa augsti prioritāros tirgos, uzsverot ārpus tūrisma sezonu</t>
  </si>
  <si>
    <t>Uzdevums:</t>
  </si>
  <si>
    <t>Uzdevums: U3.3. Kultūras pasākumu kā atraktīvu tūrisma piesaišu izmantošana, koncentrējoties uz dažādu tūristu segmentu vajadzībām un pieprasījuma sezonālām svārtībām</t>
  </si>
  <si>
    <t>P.3.3.2. Informācijas par pasākumiem nodrošināšana dažādiem mērķa tirgiem (tic)</t>
  </si>
  <si>
    <t>Uzdevums: U3.7. MICE tūrisma piedāvājuma mārketings</t>
  </si>
  <si>
    <t>P.3.7.2. Sadarbība ar Latvijas konferenču un kongresu biroju un Meet Riga.</t>
  </si>
  <si>
    <t>P.3.7.6. Darījuma tūrisma kampaņu īstenošana Baltijas valstīs.</t>
  </si>
  <si>
    <t>Jūrmalas pilsētas informācijas un komunikācijas tehnoloģiju rīcības plāns 2015.-2020.gadam (IKTRP)</t>
  </si>
  <si>
    <t>M1: Pilsētas tūrisma vides veicināšana</t>
  </si>
  <si>
    <t>R1.9.1._1 Jūrmalas kūrorta pārstāvniecība interneta un mobilo aplikāciju resursos</t>
  </si>
  <si>
    <t>R1.9.1._2 Saistošu informācijas pasniegšanas objektu izveide</t>
  </si>
  <si>
    <t>R1.9.1._3 Jūrmalas pilsētas portāla funkcionalitātes paplašināšana (ārējais portāls, mobilā aplikācija, Domes sēžu videotranslēšana un iekšējais portāls )</t>
  </si>
  <si>
    <t>Jūrmalas pilsētas attīstības programmas 2014.–2020.gadam (JPAP)</t>
  </si>
  <si>
    <t>M1. Kūrorts un tikšanās vieta</t>
  </si>
  <si>
    <t>P1.1. Kūrortu tiesiskā un plānošanas statusa nostiprināšana</t>
  </si>
  <si>
    <t xml:space="preserve">  Rīcības virziens R1.1.2. Kūrorta attīstības plānošana</t>
  </si>
  <si>
    <t>Aktivitāte Nr.6 Jūrmalas viesu aptauju veikšana</t>
  </si>
  <si>
    <t>P1.7. Kultūras tūrisma attīstība</t>
  </si>
  <si>
    <t>Rīcības virziens: R1.7.1. Kultūras tūrisma piedāvājuma attīstība</t>
  </si>
  <si>
    <t xml:space="preserve"> Aktivitāte Nr.47 Kultūras dzīves piedāvājuma attīstība ziemā</t>
  </si>
  <si>
    <t xml:space="preserve"> P1.8. Konferenču tūrisma attīstība</t>
  </si>
  <si>
    <t>Rīcības virziens: R1.8.2.: Konferenču un korporatīvo pasākumu nodrošināšanas pakalpojumu attīstība</t>
  </si>
  <si>
    <t>Aktivitāte nr.53. Konferenču un citu pasākumu komplekso piedāvājumu sagatavošana un popularizēšana</t>
  </si>
  <si>
    <t>Aktivitāte Nr.54 Esošo un jaunu starptautisku kultūras un tikšanās pasākumu iniciēšana un īstenošana</t>
  </si>
  <si>
    <t xml:space="preserve"> P1.9. Kūrorta un tikšanās vietas tēla veidošana</t>
  </si>
  <si>
    <t>Rīcības virziens: R1.9.1.: Jūrmalas kā kūrorta un tikšanās vietas tēla veidošana</t>
  </si>
  <si>
    <t>Aktivitāte nr.53 Konferenču un citu pasākumu komplekso piedāvājumu sagatavošana un popularizēšana</t>
  </si>
  <si>
    <t>Aktivitāte nr. 55 Jūrmalas kūrorta tēla izveide un attīstība</t>
  </si>
  <si>
    <t>Aktivitāte nr.58 Jūrmalas kā konferenču un tikšanās vietas popularizēšana nozares speciālistu vidē</t>
  </si>
  <si>
    <t>Aktivitāte nr.63 Jūrmalas kūrorta pārstāvniecība interneta un mobilo aplikāciju resursos</t>
  </si>
  <si>
    <t>Aktivitāte nr. 65 Pakalpojumu informācijas zīmju izvietošana</t>
  </si>
  <si>
    <t>Aktivitāte nr. 66 Jūrmalas kūrorta mājas lapas attīstība</t>
  </si>
  <si>
    <t>M2: Komunālā un transporta infrastruktūra</t>
  </si>
  <si>
    <t>P2.2. Marķējumu un informācijas zīmju sistēmas pilnveide</t>
  </si>
  <si>
    <t>Rīcības virziens R2.2.1. Jūrmalas vizuālās identitātes standarta izstrāde un ieviešana</t>
  </si>
  <si>
    <t>Aktivitāte nr. 10 Jūrmalas vizuālās identitātes veidošana</t>
  </si>
  <si>
    <t>Jūrmalas pilsētas kultūrvides attīstības plāns 2017.-2020.gadam (KAP)</t>
  </si>
  <si>
    <t>RV2_ 2. rīcības virziens Kultūras piedāvājuma izcilība un daudzveidība Jūrmalā: kvalitatīva un sistemātiska kultūras piedāvājuma veidošana dažādām mērķauditorijas grupām vietējā, nacionālā un starptautiskā mērogā</t>
  </si>
  <si>
    <t>U.2.1. Rīkot kvalitatīvas un daudzveidīgas kultūras norises konkrētiem auditorijas segmentiem (jūrmalniekiem, vietēja mēroga un starptautiskiem tūristiem) katrā sezonā).</t>
  </si>
  <si>
    <t>P2.1.2. Dzintaru koncertzāles konkurētspējas stiprināšana nacionālā un starptautiskā mērogā (t.sk. ilgtermiņa finanšu instrumenta nodrošināšana starptautisko mākslinieku piesaistei).</t>
  </si>
  <si>
    <t>P2.1.3. Jūrmalu kā kūrortpilsētu pozicionējošu ikgadēju profesionālās mākslas festivālu un pasākumu rīkošana vai līdzfinansēšana</t>
  </si>
  <si>
    <t xml:space="preserve">U2.2. Nostiprināt Jūrmalas kā kultūras un mākslas pilsētas identitāti un konkurētspēju </t>
  </si>
  <si>
    <t>P2.2.1. Valsts svētku un atceres dienu rīkošana pilsētas iedzīvotājiem un viesiem, tai skaitā Latvijai-100 atzīmēšana.</t>
  </si>
  <si>
    <t>P2.2.3. Gadskārtu svētku, pilsētas svētku un dažādām sabiedrības mērķgrupām domātu pasākumu rīkošana, nostiprinot Jūrmalas zīmolu vietējā, nacionālā un starptautiskā mērogā.</t>
  </si>
  <si>
    <t>P2.2.5. Jūrmalas kā festivālu pilsētas tēla nostiprināšana.</t>
  </si>
  <si>
    <r>
      <rPr>
        <b/>
        <sz val="9"/>
        <rFont val="Times New Roman"/>
        <family val="1"/>
        <charset val="186"/>
      </rPr>
      <t>18.pielikums</t>
    </r>
    <r>
      <rPr>
        <sz val="9"/>
        <rFont val="Times New Roman"/>
        <family val="1"/>
        <charset val="186"/>
      </rPr>
      <t xml:space="preserve"> Jūrmalas pilsētas domes</t>
    </r>
  </si>
  <si>
    <t>Sociālie dzīvokļi un mājas</t>
  </si>
  <si>
    <t xml:space="preserve">Reģistrācijas Nr. </t>
  </si>
  <si>
    <t xml:space="preserve">   1.3.pasākums "Izveidot un īstenot apmācības programmu veselības veicināšanas darbā iesaistīto institūciju un organizāciju pārstāvjiem ar mērķi veicināt izpratni par sabiedrības veselību un    stiprināt  starpinstitūciju sadarbību.", </t>
  </si>
  <si>
    <t>Tāme Nr.01.1.1.</t>
  </si>
  <si>
    <t>01.110.</t>
  </si>
  <si>
    <t>Tāme Nr.04.1.1.</t>
  </si>
  <si>
    <t>Tāme Nr.08.1.1.</t>
  </si>
  <si>
    <t>08.300</t>
  </si>
  <si>
    <t>Tāme Nr.09.1.1.</t>
  </si>
  <si>
    <t>09.810</t>
  </si>
  <si>
    <t>Tāme Nr.01.3.1.</t>
  </si>
  <si>
    <t>Jūrmalas pilsētas vēlēšanu komisija</t>
  </si>
  <si>
    <t>90000543728</t>
  </si>
  <si>
    <t>Jomas iela 1/5, Jūrmala, LV 2015</t>
  </si>
  <si>
    <t>LV24TREL981059100700B</t>
  </si>
  <si>
    <t>Izdevumu tāme 2018.gadam</t>
  </si>
  <si>
    <t>Pasta, telefona un citi sakaru pakalpojumi</t>
  </si>
  <si>
    <t>Izdevumi par saņemtajiem apmācību pakalpojumiem</t>
  </si>
  <si>
    <t>Bankas komisija, pakalpojumi</t>
  </si>
  <si>
    <t>Maksājumi par saņemtajiem finanšu pakalpojumiem</t>
  </si>
  <si>
    <t>Uzturdevas kompensācija naudā</t>
  </si>
  <si>
    <t>Munīcija</t>
  </si>
  <si>
    <t>Budžeta iestāžu nodokļu, nodevu un naudas sodu maksājumi</t>
  </si>
  <si>
    <t>Budžeta iestāžu nodokļu maksājumi</t>
  </si>
  <si>
    <t>Budžeta iestāžu naudas sodu maksājumi</t>
  </si>
  <si>
    <t>Zeme, ēkas un būves</t>
  </si>
  <si>
    <t>Zeme zem ēkām un būvēm</t>
  </si>
  <si>
    <t>Celtnes un būves</t>
  </si>
  <si>
    <t>Pašvaldību vienreizējie pabalsti naudā ārkārtas situācijā</t>
  </si>
  <si>
    <t>Pašvaldības vienreizējie pabalsti natūrā ārkārtas situācijā</t>
  </si>
  <si>
    <t>Maksājumi iedzīvotājiem natūrā, naudas balvas, izdevumi pašvaldību brīvprātīgo iniciatīvu izpildei</t>
  </si>
  <si>
    <t>Maksājumi iedzīvotājiem natūrā</t>
  </si>
  <si>
    <t>Uzturēšanas izdevumu transferti, pašu resursu maksājumi, starptautiskā sadarbība</t>
  </si>
  <si>
    <t>Pašvaldību  uzturēšanas izdevumu transferti</t>
  </si>
  <si>
    <t>Pašvaldību uzturēšanas izdevumu iekšējie tranferti starp pašvaldības budžeta veidiem</t>
  </si>
  <si>
    <t>Veidojas līdzekļu ekonomija, kas atgriezta pašvaldības budžetā</t>
  </si>
  <si>
    <t>Tāme Nr.04.1.19.</t>
  </si>
  <si>
    <t>04.520.</t>
  </si>
  <si>
    <t>Projekts "Jūrmalas ūdenstūrisma pakalpojumu infrastruktūras attīstība atbilstoši pilsētas ekonomiskajai specializācijai"</t>
  </si>
  <si>
    <t>LV72TREL980200806000B</t>
  </si>
  <si>
    <t>Samazināta 2019.gada plānoto izmaksu un ieņēmumu kopsumma. Finansējums nepieciešams neattiecināmo būvdarbu izmaksu 20% avansa rēķina apmaksai un AS “Sadales tīkls” 10.05.19. rēķina par Elektrības jaudas palielināšanas pielsēguma izbūvi apmaksai.</t>
  </si>
  <si>
    <t>Samazināta 2019.gada plānoto izmaksu un ieņēmumu kopsumma. 
Plānots ERAF avansa maksājums attiecināmo būvdarbu izmaksu 20% avansa rēķina apmaksai.</t>
  </si>
  <si>
    <t>Samazināta 2019.gada plānoto izmaksu  kopsumma. Finansējums nepieciešams būvdarbu izmaksu 20% avansa rēķina apmaksai un AS “Sadales tīkls” 10.05.19. rēķina par Elektrības jaudas palielināšanas pielsēguma izbūvi apmaksai.</t>
  </si>
  <si>
    <t>Tāme Nr.01.2.5.</t>
  </si>
  <si>
    <t>Pašvaldības pamatbudžets</t>
  </si>
  <si>
    <t>01.820</t>
  </si>
  <si>
    <t>Pašvaldības budžeta norēķini ar valsts budžetu</t>
  </si>
  <si>
    <t>Pašvaldības budžeta kopējie izdevumu konti</t>
  </si>
  <si>
    <t>Tāme Nr.09.1.24.</t>
  </si>
  <si>
    <t>Jomas iela 1/5, Jūrmala</t>
  </si>
  <si>
    <t>Projekts "Jūrmalas pilsētas Ķemeru pamatskolas ēkas pārbūve un energoefektivitātes paaugstināšana"</t>
  </si>
  <si>
    <t>LV77TREL980200805000B</t>
  </si>
  <si>
    <t>Finansējums nepieciešams 2019.gada septembra, oktobra un novembra būvdarbu, būvuzraudzības un autoruzraudzības darbu apmaksai, atbilstoši SIA "RERE Meistari" sniegtajam būvdarbu finanšu piedāvājumam. SIA "Lagron" 30.07.19. ir atteicies slēgt būvdarbu līgumu, kā rezultātā līguma slēgšana tiek piedāvāta nākamajam pretendentam – SIA “RERE Meistari”.</t>
  </si>
  <si>
    <t>2019.gada 3.ceturksnī paredzēts saņemt ERAF avansa maksājumu 90% apmērā.</t>
  </si>
  <si>
    <t>Tāme Nr.08.1.11.</t>
  </si>
  <si>
    <t>Nepieciešami papildus līdzekļi Teātra ēkas ekspertīzei, saskaņā ar iepirkuma Nr. JPD 2019/136/A197/IP83 rezultātiem.</t>
  </si>
  <si>
    <t xml:space="preserve">Līdzekļi papildus nepieciešami 2914.40 Eur apmērā iesniegtā piedāvājuma iepirkumā Nr. JPD 2019/136/A197/IP83 rezultātiem par Būvprojekta "Jūrmalas teātra ēkas energoefektivitātes paaugstināšana" ekspertīzes veikšanu  (SIA "TOTUS"). Iesniegtais piedāvājums 9 244.40, plānoto 6 050.00 Eur vietā. </t>
  </si>
  <si>
    <t>Tāme Nr.09.1.10.</t>
  </si>
  <si>
    <t>Sākumskolu, pamatskolu, vidusskolu būvniecība, atjaunošana un uzlabošana</t>
  </si>
  <si>
    <t>Saskaņā ar Iepirkuma procedūru un ieturēto līgumsodu vaidojas līdzekļu ekonomija.</t>
  </si>
  <si>
    <t>Lielupes pamatskolasa pārbūves ietvaros ir plānots Transformātoru apakšstacijas TP_142 pārvietošanas būvprojekta izstrādei 12 099.00 Eur apmērā, bet pēc iesniegtā piedāvājuma iepirkumā Nr. JPD 2019/125/A1657/IP69 rezultātiem nepieciešams 4 961.00 (SIA “MKM Engineering”), veidojot līdzekļu ekonomiju 7 138.00 Eur apmērā.</t>
  </si>
  <si>
    <t>Veidojās līdzekļu ekonomija saskaņā ar Jūrmalas pilsētas domes 2019.gada 4.aprīļa vēstuli Nr.1.1-37/2086 "Par līgumsoda piemērošanu Ķemeru pamatskolas ēkas Tukuma ielā 10, Jūrmalā būvprojekta izstrādes līguma Nr.1.2-16.4.3/1738 ietvaros" un SIA "Livland group" 2019.gada 07.marta Faktūrrēķina Nr. LG-IZR299 viektās apmaksas par Ķemeru pamatskolas būvprojekta izstrādi ieturot līgumsodu 6 413.00EUR apmērā. 2019.gada 18.aprīļa saistošajiem noteikumiem Nr.16 tika samazināts par 5 567.00EUR novirzot PII "Bitīte" būvprojekta ekspertīzei papildus nepieciešamos līdzekļus, kā rezultātā veidojas vēl pieejamais atlikums 846.00EUR apmērā.</t>
  </si>
  <si>
    <t>Tāme Nr.10.1.1.</t>
  </si>
  <si>
    <t xml:space="preserve">Veidosies līdzekļu ekonomija objektam Administratīvās ēkas pārbūve sociālo funkciju nodrošināšanai, Talšu šosejā 31 k-25, Jūrmalā </t>
  </si>
  <si>
    <t>Veidojas plānoto pamatbudžeta līdzekļu ekomonija. Plānots 2019.gadā bija 1500.00 Eur - Būvprojekta izmaiņu projekta dokumentācijas izstrādei un 2500.00 Eur - Objekta nodošanas ekspluatācijā izmaksām (būves kadastrālā uzmērīšana un aktualizēta topogrāfiskā plāna izstrāde). Būvprojekta izmaiņu projekta dokumentācijas izstrāde apmaksāta 1494.35 Eur apmērā, Objekta nodošana ekspluatācijā apmaksāta 867.15 Eur apmērā, veidojot līdzekļu ekonomiju 1638.50 Eur apmērā (4000-1494.35-867.15=1638.50).</t>
  </si>
  <si>
    <r>
      <rPr>
        <b/>
        <sz val="9"/>
        <rFont val="Times New Roman"/>
        <family val="1"/>
        <charset val="186"/>
      </rPr>
      <t xml:space="preserve">4.pielikums </t>
    </r>
    <r>
      <rPr>
        <sz val="9"/>
        <rFont val="Times New Roman"/>
        <family val="1"/>
        <charset val="186"/>
      </rPr>
      <t>Jūrmalas pilsētas domes</t>
    </r>
  </si>
  <si>
    <t>Attīstības pārvaldes Infrastruktūras investīciju projektu nodaļas Būvniecības daļa</t>
  </si>
  <si>
    <t xml:space="preserve">Dubultu kultūras un izglītības centrs Strēlnieku prospektā 30, Jūrmalā </t>
  </si>
  <si>
    <t xml:space="preserve">JPAP_P3.3._ R3.3.1._192 JPAP_P3.2_R3.2.4._173
JPKAP U5.5 P5.5.1. </t>
  </si>
  <si>
    <t>Jūrmalas pašvaldības, Lielupes radīto plūdu un krasta erozijas risku apdraudējumu novēršanas pasākumi Dubultos-Majoros-Dzintaros (SAM 5.1.1.)</t>
  </si>
  <si>
    <t>JPAP_P1.6._R1.6.2._35 
JPŪRARP M.2, RV1.6.2_6</t>
  </si>
  <si>
    <t>Pilotprojekts "Ērts ceļš uz jūru"</t>
  </si>
  <si>
    <t>JPAP_P2.8_R.2.8.1._107</t>
  </si>
  <si>
    <t>Pašvaldības ēkas Raiņa ielā 62, Jūrmalā pārbūve un energoefektivitātes paaugstināšana (ITI SAM 4.2.2.)</t>
  </si>
  <si>
    <t>JPAP_P2.9._ R2.9.1._115</t>
  </si>
  <si>
    <t>Pilsētas atpūtas parka un Jauniešu mājas izveide Kauguros (ITI SAM 3.3.1.)</t>
  </si>
  <si>
    <t xml:space="preserve">JPAP_P2.8._R2.8.1._103 JPAP_P3.7._R3.7.2._230 </t>
  </si>
  <si>
    <t>Daudzfunkcionāla dabas tūrisma centra jaunbūve un meža parka labiekārtojums Ķemeros (ITI SAM 5.6.2.)</t>
  </si>
  <si>
    <t>JPAP_R1.6.1._21
JPIERP_P.4.4_ A4.4.2
JPIERP_P.4.4_ A4.4.3
JPTARP_M1_U1.4._P1.4.1</t>
  </si>
  <si>
    <t>Jūrmalas teātra ēkas energoefektivitātes paaugstināšana (ITI SAM 4.2.2.)</t>
  </si>
  <si>
    <t>Līdzekļi papildus nepieciešami 2914.40 Eur apmērā iesniegtā piedāvājuma iepirkumā Nr. JPD 2019/136/A197/IP83 rezultātiem par Būvprojekta "Jūrmalas teātra ēkas energoefektivitātes paaugstināšana" ekspertīzes veikšanu  (SIA "TOTUS"). Iesniegtais piedāvājums 9 244.40, plānoto 6 050.00 Eur vietā. 2019.gadā plānots veikt būvprojekta izstrādi 32  065.00 Eur, Papildus būvprojekta izstrāde saskaņā ar vēstuli 5 808.00 Eur, Būvprojekta ekspertīze 9 244.40 Eur un būvtāfeles izvietošanai 370.00 Eur, kā rezultātā pašreizējā budžeta ietvaros 44 573.00 Eur, veidojas līdzekļu iztrūkums 2 914.40 Eur apmērā.</t>
  </si>
  <si>
    <t>Teātra, koncertzāles un estrāžu būvniecība, atjaunošana un uzlabošana</t>
  </si>
  <si>
    <t>08.240</t>
  </si>
  <si>
    <t>Mellužu estrādes ēkas restaurācija un bāra ēkas pārbūve, teritorijas labiekārtojums (SAM 5.5.1.)</t>
  </si>
  <si>
    <t xml:space="preserve">JPAP_P3.2._R3.2.2._155 </t>
  </si>
  <si>
    <t>Pirmsskolas izglītības iestādes ''Bitītes'' pārbūve</t>
  </si>
  <si>
    <t>Infrastruktūras pilnveide pakalpojumu sniegšanai bērniem ar funkcionāliem traucējumiem (ITI SAM 9.3.1.)</t>
  </si>
  <si>
    <t>Jūrmalas pilsētas Ķemeru pamatskolas ēkas pārbūve un energoefektivitātes paaugstināšana (ITI SAM 4.2.2.)</t>
  </si>
  <si>
    <t>Lielupes pamatskolas pārbūve un sporta zāles piebūve</t>
  </si>
  <si>
    <t>Lielupes pamatskolas pārbūves ietvaros ir plānots Transformatoru apakšstacijas TP_142 pārvietošanas būvprojekta izstrādei 12 099.00 Eur apmērā, bet pēc iesniegtā piedāvājuma iepirkumā Nr. JPD 2019/125/A1657/IP69 rezultātiem nepieciešams 4 961.00 (SIA “MKM Engineering”), veidojot līdzekļu ekonomiju 7 138.00 Eur apmērā.</t>
  </si>
  <si>
    <t>Jūrmalas Valsts ģimnāzijas ēkas Raiņa iela 55, Jūrmalā, pārbūve (ITI SAM 8.1.2.)</t>
  </si>
  <si>
    <t xml:space="preserve">Jūrmalas pilsētas pašvaldības iestādes "Jūrmalas veselības veicināšanas un sociālo pakalpojumu centrs" ēku energoefektivitātes paaugstināšanas pasākumi un ēkas pārbūve </t>
  </si>
  <si>
    <t>JPAP_P2.5._R.3.5.1._223 JPAP_P2.6._R.2.6.2._89</t>
  </si>
  <si>
    <t xml:space="preserve">Administratīvās ēkas pārbūve sociālo funkciju nodrošināšanai, Talsu šosejā 31 k-25, Jūrmalā </t>
  </si>
  <si>
    <t>Veidojas plānoto pamatbudžeta līdzekļu ekonomija. Plānots 2019.gadā bija 1500.00 Eur - Būvprojekta izmaiņu projekta dokumentācijas izstrādei un 2500.00 Eur - Objekta nodošanas ekspluatācijā izmaksām (būves kadastrālā uzmērīšana un aktualizēta topogrāfiskā plāna izstrāde). Būvprojekta izmaiņu projekta dokumentācijas izstrāde apmaksāta 1494.35 Eur apmērā, Objekta nodošana ekspluatācijā apmaksāta 867.15 Eur apmērā, veidojot līdzekļu ekonomiju 1638.50 Eur apmērā (4000-1494.35-867.15=1638.50).</t>
  </si>
  <si>
    <t xml:space="preserve">JPAP_P2.5._R.3.5.1._223 </t>
  </si>
  <si>
    <t>Infrastruktūras izveide bez vecāku gādības palikušu bērnu un jauniešu aprūpei ģimeniskā vidē (ITI SAM 9.3.1.)</t>
  </si>
  <si>
    <t xml:space="preserve"> JPAP_P3.5._R.3.5.1._216</t>
  </si>
  <si>
    <t>Infrastruktūras pilnveide sabiedrībā balstītu sociālo pakalpojumu sniegšanai personām ar garīga rakstura traucējumiem (ITI SAM 9.3.1.)</t>
  </si>
  <si>
    <t xml:space="preserve"> JPAP_P3.5._R.3.5.1._223</t>
  </si>
  <si>
    <t>Jaunu grupu dzīvokļu izveide sabiedrībā balstītu sociālo pakalpojumu sniegšanai personām ar garīga rakstura traucējumiem (ITI SAM 9.3.1.)</t>
  </si>
  <si>
    <t>JPAP_P3.5._R.3.5.1._223</t>
  </si>
  <si>
    <t>Prioritātes:</t>
  </si>
  <si>
    <t>P1.6. Aktīvā un dabas tūrisma attīstība</t>
  </si>
  <si>
    <t>P2.5. Ūdensapgādes un notekūdeņu apsaimniekošanas sistēmu pilnveide</t>
  </si>
  <si>
    <t>P2.6. Energoapgādes un sakaru attīstība</t>
  </si>
  <si>
    <t>P2.8. Publiskās telpas labiekārtošana</t>
  </si>
  <si>
    <t>P2.9. Dzīvojamā fonda attīstība</t>
  </si>
  <si>
    <t>P3.1. Uz nākotni orientēta pilsētas pārvaldība, kas atbalsta pilsonisko iniciatīvu</t>
  </si>
  <si>
    <t>P3.2. Kvalitatīva un sociāli pieejama izglītība</t>
  </si>
  <si>
    <t>P3.3. Daudzveidīgas kultūras un sporta vide</t>
  </si>
  <si>
    <t>P3.5. Kvalitatīvs sociālais atbalsts</t>
  </si>
  <si>
    <t>P3.7. Atbalsts uzņēmējdarbības iniciatīvām un uzņēmēju sadarbības veicināšana</t>
  </si>
  <si>
    <t>R1.6.1.: Dabas tūrisma infrastruktūras attīstība</t>
  </si>
  <si>
    <t>R2.6.2.: Racionālas un videi draudzīgas energoapgādes sistēmas attīstība</t>
  </si>
  <si>
    <t>Nr.17 Tūrisma pakalpojumu piedāvājuma dažādošana</t>
  </si>
  <si>
    <t>Nr.21 Daudzfunkcionāla, interaktīva dabas tūrisma objekta izveide Ķemeros</t>
  </si>
  <si>
    <t xml:space="preserve">Nr.35 Krasta erozijas procesu aizkavēšanas pasākumi </t>
  </si>
  <si>
    <t>Nr.45 Ķemeru teritorijas un Ķemeru parka infrastruktūras atjaunošana un pilnveide</t>
  </si>
  <si>
    <t>Nr.62 Jūrmalas ielu un tiltu tīkla pilnveide</t>
  </si>
  <si>
    <t>Nr.80 Lielupes kuģošanas un ūdenstūrisma infrastruktūras un pakalpojumu attīstība</t>
  </si>
  <si>
    <t>Nr.89 Ilgtspējīga atjaunojamo energoresursu izmantošana, energoefektivitātes paaugstināšana un energopārvaldības sistēmas ieviešana un sertificēšana Jūrmalas pašvaldības teritorijā</t>
  </si>
  <si>
    <t>Nr.103 Pilsētas atpūtas parka un Jauniešu mājas izveide</t>
  </si>
  <si>
    <t>Nr.107 Vides pieejamības nodrošināšana cilvēkiem ar īpašām vajadzībām</t>
  </si>
  <si>
    <t>Nr.173 Profesionālās ievirzes un interešu izglītības iestāžu mācību vides uzlabošana</t>
  </si>
  <si>
    <t xml:space="preserve">Nr.195 Mellužu estrādes kompleksa restaurācija un pārbūve </t>
  </si>
  <si>
    <t xml:space="preserve">Nr.196  Ķemeru ūdenstorņa restaurācija un pārbūve </t>
  </si>
  <si>
    <t>Nr.200 Jūrmalas brīvdabas muzeja attīstība</t>
  </si>
  <si>
    <t>Nr.206 Publiskās sporta infrastruktūras attīstība</t>
  </si>
  <si>
    <t>Nr.223 Kvalitatīva sociālās palīdzības nodrošināšana un sociālā atbalsta sniegšana</t>
  </si>
  <si>
    <t>Nr.230 Uzņēmējdarbības veicināšana</t>
  </si>
  <si>
    <t>Jūrmalas pilsētas ūdens resursu aizsardzības rīcības plāns 2016.-2020.gadam (JPŪRARP)</t>
  </si>
  <si>
    <t>Mērķis Nr.2 Veselīga jūras vides</t>
  </si>
  <si>
    <t>Rīcības virziens: RV1.6.2. Peldvietu infstruktūras attīstība</t>
  </si>
  <si>
    <t>Uzdevums Nr.6 Aizkavēt krasta erozijas procesu</t>
  </si>
  <si>
    <t>Jūrmalas pilsētas ilgtspējības enerģētikas rīcības programma 2013.-2020.gadam (JPIERP)</t>
  </si>
  <si>
    <t xml:space="preserve">Pasākums: 4.3.  Pasākumi ēku sektorā </t>
  </si>
  <si>
    <t>Aktivitāte: 4.3.1. Enerģijas patērīņa samazināšana pašvaldības un tās kapitālsabiedrību ēkās</t>
  </si>
  <si>
    <t xml:space="preserve">Pasākums 4.4.  Ielu apgaismojuma sistēmas modernizācija </t>
  </si>
  <si>
    <t xml:space="preserve">Aktivitāte: 4.4.2. Gaismekļu un luksoforu nomaiņa </t>
  </si>
  <si>
    <t xml:space="preserve">Aktivitāte: 4.4.3. Ielu apgaismojuma uzstādīšana pilsētā vēl neapgaismotajās ielās </t>
  </si>
  <si>
    <t>Jūrmalas pilsētas tūrisma attīstības rīcības plāns  2018.-2020.gadam (JPTARP)</t>
  </si>
  <si>
    <t>Mērķi:</t>
  </si>
  <si>
    <t>AM1: Atpūtas, rekreācijas un viesmīlības pakalpojumu pilnveidošana un kvalitātes uzlabošana</t>
  </si>
  <si>
    <t>Uzdevumi:</t>
  </si>
  <si>
    <t>1.4. Dabas tūrisma piedāvājuma attīstības veicināšana un popularizēšana</t>
  </si>
  <si>
    <t>Pasākumi:</t>
  </si>
  <si>
    <t xml:space="preserve">P 1.4.1. Daudzfunkcionāla interaktīva dabas tūrisma objekta izveide Ķemeros </t>
  </si>
  <si>
    <t>Jūrmalas pilsētas kultūrvides attīstības plāns 2017.–2020.gadam (JPKAP)</t>
  </si>
  <si>
    <t>RV5: Kultūras pieejamība Jūrmalā: ģeogrāfiski līdzsvarota kultūras infrastruktūras attīstība un kultūras pieejamības sekmēšana.</t>
  </si>
  <si>
    <t xml:space="preserve">Uzdevumi: </t>
  </si>
  <si>
    <t xml:space="preserve">U5.1. Attīstīt kultūras tūrismu Jūrmalā. </t>
  </si>
  <si>
    <t>P5.1.6. Jūrmalas teātra ēkas pārbūve un energoefektivitātes paaugstināšana Muižas ielā 7, Jūrmalā (ITI SAM 4.2.2.).</t>
  </si>
  <si>
    <t>Jūrmalas pilsētas izglītības attīstības koncepcija 2015.-2020.gadam (JPIAK)</t>
  </si>
  <si>
    <t>Veselības veicināšanas  plāns Jūrmalas pilsētai 2013.-2020.gadam (VVPJP)</t>
  </si>
  <si>
    <t>Mērķis</t>
  </si>
  <si>
    <t xml:space="preserve">2.3.2.:  Fizisko aktivitāšu veicināšana </t>
  </si>
  <si>
    <t xml:space="preserve">Uzdevums: 1. Sporta sistēmas, infrastruktūras attīstīšana un pakalpojumu piedāvājuma paplašināšana bērnu (skolēnu) fizisko aktivitāšu veicināšanas nolūkos   </t>
  </si>
  <si>
    <t>Aktivitāte: 1.1. Radīt iespējas bērniem pie izglītības iestādēm esošo sporta infrastruktūru izmantot ārpus mācību stundām</t>
  </si>
  <si>
    <t>Aktivitāte: 1.5. Nodrošināt bērniem nepieciešamo fizioterapeita pakalpojumu pieejamību bez samaksas, lai radītu iespēju nodarboties ar fiziskiem vingrinājumiem, gan individuāli, gan grupās, kuri sekmē bērnu veselības uzlabošanu, (stājas korekciju, skeleto muskulārās sistēmas stiprināšanu, u.c.) realizējot šos pasākumus, iesaistot vecākus, apmācot gan bērnus, gan vecākus, lai vingrinājumus varētu veikt ikdienā.</t>
  </si>
  <si>
    <t xml:space="preserve">JPAP_P3.3._R3.3.1._192
JPAP_P2.6., R.2.6.2._89
JPIERP RV 4.3.1
JPKAP U5.1, P5.1.6. </t>
  </si>
  <si>
    <t>JPAP_P3.3._R3.3.1._195
JPKAP U1.1, P5.1.1.
JPTARP M1, U1.5._P1.5.3</t>
  </si>
  <si>
    <t>JPAP_P3.2._R3.2.2._155
JPIAK R3.2.2.</t>
  </si>
  <si>
    <t>JPAP_P3.2., R3.2.2._155
JPIAK R3.2.2.</t>
  </si>
  <si>
    <t>JPAP_P3.2._R3.2.3._165
JPIAK R3.2.3.
VVPJP M2.3.2; U 1_1.1</t>
  </si>
  <si>
    <t>JPAP_P3.2._R3.2.3._165
JPIAK R3.2.3.
JPSAAAS M1, U 1.1.
VVPJP M2.3.2; U 1_1.1;1.5</t>
  </si>
  <si>
    <t>Automašīnas remontam</t>
  </si>
  <si>
    <t>Tāme Nr.08.1.5.</t>
  </si>
  <si>
    <t>Kultūras pasākumi</t>
  </si>
  <si>
    <r>
      <rPr>
        <b/>
        <sz val="9"/>
        <rFont val="Times New Roman"/>
        <family val="1"/>
        <charset val="186"/>
      </rPr>
      <t>23.pielikums</t>
    </r>
    <r>
      <rPr>
        <sz val="9"/>
        <rFont val="Times New Roman"/>
        <family val="1"/>
        <charset val="186"/>
      </rPr>
      <t xml:space="preserve"> Jūrmalas pilsētas domes</t>
    </r>
  </si>
  <si>
    <t>Kultūras nodaļa</t>
  </si>
  <si>
    <t>Jūrmala Raiņa un Aspazijas pilsēta</t>
  </si>
  <si>
    <t>JPAP_R3.3.1._202     JPKAP_U2.2_P2.2.2</t>
  </si>
  <si>
    <t>Kultūras projektu konkurss - Profesionālās mākslas pieejamība Jūrmalā</t>
  </si>
  <si>
    <t xml:space="preserve">JPAP_R1.7.1._42 JPAP_R1.7.1._43  JPAP_R3.3.1._191      JPKAP_U2.1_P2.1.1    JPKAP_U2.1_P2.1.3 </t>
  </si>
  <si>
    <t>Jūrmalas pilsētas domes līdzfinansēto iniciatīvas projektu konkurss</t>
  </si>
  <si>
    <t xml:space="preserve">JPAP_R3.3.1._191  JPAP_R1.7.1._43    JPKAP_U1.3_U1.3.3      JPKAP_U4.1_P4.1.1 </t>
  </si>
  <si>
    <t>Projektu konkurss Jūrmala - Latvijas valsts simtgadei</t>
  </si>
  <si>
    <t xml:space="preserve">JPAP_R1.7.1._42 JPAP_R1.7.1._43  JPAP_R3.3.1._191   JPKAP_U1.3_U1.3.3   JPKAP_U2.2_P2.2.1   </t>
  </si>
  <si>
    <t>Izglītības semināri nozares darbiniekiem</t>
  </si>
  <si>
    <t xml:space="preserve">JPAP_R.1.4.3._17   JPAP_R1.7.1._42    JPKAP_U4.2_P4.2.1   </t>
  </si>
  <si>
    <t>Kūrorta svētki</t>
  </si>
  <si>
    <t xml:space="preserve">JPAP_R.1.4.3._17 JPAP_R1.7.1._42 JPAP_R3.3.1._191    JPAP_R3.3.1._193  JPKAP_U2.1_P2.1.2 JPKAP_U2.1._P.2.1.3 JPKAP_U2.2_P2.2.3     JPKAP_U4.1_P4.1.2 </t>
  </si>
  <si>
    <t>Kauguru svētki</t>
  </si>
  <si>
    <t xml:space="preserve">JPAP_R1.7.1._42 JPAP_R3.3.1._191   JPAP_R3.3.1._193    JPKAP_U2.2_P2.2.3     JPKAP_U4.1_P4.1.2      </t>
  </si>
  <si>
    <t>Gada balva kultūrā</t>
  </si>
  <si>
    <t xml:space="preserve">JPAP_R1.7.1._42  JPAP_R1.7.1._43 JPAP_R3.3.1._191   JPAP_R3.3.1._193        JPKAP_U4.2_P4.2.2 </t>
  </si>
  <si>
    <t>Starptautiskais Baltijas jūras koru konkurss, festivāls u.tml.</t>
  </si>
  <si>
    <t xml:space="preserve">JPAP_R1.7.1._42    JPAP_R3.3.1._193   JPKAP_U2.1_P2.1.2 JPKAP_U2.1_P2.1.3    JPKAP_U2.2_P2.2.5  </t>
  </si>
  <si>
    <t>Valsts svētku svinīgais pasākums</t>
  </si>
  <si>
    <t>JPAP_R1.7.1._43     JPKAP_U2.2_P2.2.1</t>
  </si>
  <si>
    <t xml:space="preserve">Radošā darba stipendijas, tai skaitā uzturēšanās izdevumu kompensācijas </t>
  </si>
  <si>
    <t>Finansējums nepieciešams telpu nomas Dubultu rakstnieku namā izdevumu segšanai. (Telpu nomas aprēķins: 1 persona x 71 diena x 7.00 EUR )</t>
  </si>
  <si>
    <t>JPAP_R3.3.1._193     JPKAP_U4.2_P4.2.3</t>
  </si>
  <si>
    <t>Audiogida izveidošana Jūrmalas pilsētas muzejā</t>
  </si>
  <si>
    <t xml:space="preserve">JPAP_R1.7.1._42 JPAP_R3.3..1._199 JPKAP_U2.1_P2.1.1  </t>
  </si>
  <si>
    <t>Muzeja informatīvā stenda izveide</t>
  </si>
  <si>
    <t>Starptautiska festivāla organizēšana</t>
  </si>
  <si>
    <t xml:space="preserve">JPAP_R1.7.1._42 JPAP_R3.3..1._191 JPKAP_U2.1_P2.1.3  </t>
  </si>
  <si>
    <t xml:space="preserve">"Projektu konkurss par mākslinieciski augstvērtīgu vides objektu izveidi Jūrmalā" </t>
  </si>
  <si>
    <t>JPTARP_U1.2._P.1.2.8.</t>
  </si>
  <si>
    <t>Jūrmalnieču dalība koncertturnejā Australijā Rīgas Doma meiteņu kora TIARA sastāvā</t>
  </si>
  <si>
    <t>JPKAP_U1.3_U1.3.3</t>
  </si>
  <si>
    <t>Festivāls “”Rudaga” New star 2019 Latvijai 100”</t>
  </si>
  <si>
    <t>JPAP_R.1.7.1._42 JPAP_R1.7.1._43 JPAP_R3.3.1._193 JPKAP_U1.3_U1.3.3.</t>
  </si>
  <si>
    <t>Tēlniecības izstāde ''Mākslas liedags. Atspulgi''</t>
  </si>
  <si>
    <t xml:space="preserve">JPAP_R1.4.3._17 JPAP_R1.7.1._43 JPKAP_U2.1_P2.1.1  </t>
  </si>
  <si>
    <t>Interaktīvā vides objekta atklāšanas pasākums Jūrmalas brīvdabas muzejā</t>
  </si>
  <si>
    <t xml:space="preserve">JPAP_R1.4.3._17 JPAP_R1.7.1._43 JPAP_R3.3.1._199 </t>
  </si>
  <si>
    <t>Jūrmalas pilsētas Attīstības programma 2014.-2020.gadam (JPAP)</t>
  </si>
  <si>
    <t>Rīcības virziens: R1.4.3.: Citu tūrisma pakalpojumu attīstība</t>
  </si>
  <si>
    <t>Aktivitāte: Nr. 17. Tūrisma pakalpojumu piedāvājuma dažādošana</t>
  </si>
  <si>
    <t>Aktivitāte: Nr.42. Jaunu kultūras tūrisma produktu attīstība</t>
  </si>
  <si>
    <t>Aktivitāte: Nr.43. Kultūras dzīves piedāvājuma attīstība visa gada garumā</t>
  </si>
  <si>
    <t>Rīcības virziens: R.3.3.1. Pilsētas kultūras iestāžu un muzeju darbības pilnveide</t>
  </si>
  <si>
    <t>Aktivitāte: Nr.191. Daudzveidīgu kultūras pasākumu pieejamība Jūrmalas iedzīvotājiem Jūrmalas pilsētā</t>
  </si>
  <si>
    <t>Aktivitāte: Nr. 193 Jūrmalas kā kultūras un mākslas pilsētas identitātes un konkurētspējas nostiprināšana</t>
  </si>
  <si>
    <t>Aktivitāte: Nr. 199 Jūrmalas muzeju popularizēšana</t>
  </si>
  <si>
    <t>Aktivitāte: Nr.202. Pilsētas tēla "Jūrmala - Raiņa un Aspazijas pilsēta" izveide</t>
  </si>
  <si>
    <t>Jūrmalas pilsētas kultūrvides attīstības plāns 2017. - 2020.gadam (JPKAP)</t>
  </si>
  <si>
    <t>U.1.3.: Nodrošināt  mūžizglītības un radošuma attīstīšanas iespējas jūrmalniekiem.</t>
  </si>
  <si>
    <t xml:space="preserve">Pasākums: U1.3.3.Jūrmalas pilsētas iedzīvotāju un nevalstisko organizāciju radošo kultūras iniciatīvu atbalstīšana, </t>
  </si>
  <si>
    <t>līdzfinansējot un līdzorganizējot dažādu žanru kultūras pasākumus specifiskām iedzīvotāju auditorijām</t>
  </si>
  <si>
    <t>Pasākums: P2.1.1. Nodrošināt dažādu mērķauditorijas segmentu vajadzībām atbilstošas profesionālās mākslas pieejamību Jūrmalā.</t>
  </si>
  <si>
    <t>Pasājums: P2.1.2. Dzintaru koncertzāles konkurētspējas stiprināšana nacionālā un starptautiskā mērogā (ilgtermiņa finanšu instrumenta nodrošināšana starptaurtisko mākslinieku piesaistei)</t>
  </si>
  <si>
    <t>Pasākums: P2.1.3. Jūrmalu kā kūrortpilsētu pozicionējošu ikgadēju profesionālās mākslas festivālu un pasākumu rīkošana vai līdzfinansēšana</t>
  </si>
  <si>
    <t xml:space="preserve">U.2.2. Nostiprināt Jūrmalas kā kultūras un mākslas pilsētas identitāti un konkurētspēju </t>
  </si>
  <si>
    <t>Pasākums: P2.2.1. Valsts svētku un atceres dienu rīkošana pilsētas iedzīvotājiem un viesiem, tai skaitā Latvijai-100 atzīmēšana.</t>
  </si>
  <si>
    <t>Pasākums: P2.2.2. Jūrmalas kā Aspazijas un Raiņa pilsētas tēla nostiprināšana</t>
  </si>
  <si>
    <t xml:space="preserve">Pasākums: P2.2.3. Gadskārtu svētku, pilsētas svētku un dažādām sabiedrības mērķgrupām domātu pasākumu rīkošana, nostiprinot Jūrmalas zīmolu vietējā, nacionālā un starptautiskā mērogā. </t>
  </si>
  <si>
    <t>Pasākums: P2.2.5. Jūrmalas kā festivālu pilsētas tēla nostiprināšana</t>
  </si>
  <si>
    <t>U.4.1. Attīstīt sadarbību starp dažādām pašvaldības kultūras un citām iestādēm, ģeogrāfiski līdzsvarota kultūras piedāvājuma veidošanā un pieejamības veicināšanā.</t>
  </si>
  <si>
    <t>Pasākums: P4.1.1. Nevalstisko organizāciju un citu operatoru iesaiste apkaimju piederības sajūtas veidošanā un mehānisms tā nodrošināšanai –iedzīvotāju iniciatīvu projektu konkurss.</t>
  </si>
  <si>
    <t>Pasākums: P4.1.2. Mazākumtautību iesaiste apkaimju kultūras dzīvē</t>
  </si>
  <si>
    <t>U.4.2. Stiprināt kultūras nozares darbinieku kapacitāti un profesionālo izaugsmi.</t>
  </si>
  <si>
    <t xml:space="preserve">Pasākums: P4.2.1. Kultūras nozares darbinieku profesionālās izaugsmes atbalsta programma </t>
  </si>
  <si>
    <t>Pasākums: P4.2.2. Konkursa „Gada balva kultūrā"  rīkošana, novērtējot Jūrmalas pilsētas kultūras dzīves spilgtākos notikumus pašvaldības, valsts un starptautiskā mērogā.</t>
  </si>
  <si>
    <t xml:space="preserve">Pasākums: P4.2.3. Mūža stipendijas izciliem kultūras un sabiedriskiem darbiniekiem. </t>
  </si>
  <si>
    <t>Jūrmalas pilsētas tūrisma attīstības rīcības plāns 2018. - 2020.gadam (JPTARP)</t>
  </si>
  <si>
    <t xml:space="preserve">uzdevums U 1.2. "Atpūtas, rekreācijas tūrisma piedāvājuma pilnveidošana vietējiem un ārvalstu viesiem" </t>
  </si>
  <si>
    <t>pasākums P.1.2.8. "Konkurss par atraktīvu, mākslinieciski augstvērtīgu vides objektu izveidi Jūrmalā".</t>
  </si>
  <si>
    <r>
      <rPr>
        <b/>
        <sz val="9"/>
        <rFont val="Times New Roman"/>
        <family val="1"/>
        <charset val="186"/>
      </rPr>
      <t>35.pielikums</t>
    </r>
    <r>
      <rPr>
        <sz val="9"/>
        <rFont val="Times New Roman"/>
        <family val="1"/>
        <charset val="186"/>
      </rPr>
      <t xml:space="preserve"> Jūrmalas pilsētas domes</t>
    </r>
  </si>
  <si>
    <t>Jūrmalas pilsētas pašvaldības saistības (EUR)</t>
  </si>
  <si>
    <t>Aizņēmuma apjoms</t>
  </si>
  <si>
    <t>Aizņēmuma paņemšanas gads</t>
  </si>
  <si>
    <t xml:space="preserve">Projekts/Aizņēmuma atdošanas maksajuma gads </t>
  </si>
  <si>
    <t>2033 un turpmākie gadi</t>
  </si>
  <si>
    <t xml:space="preserve"> KOPĀ SAISTĪBU APJOMS</t>
  </si>
  <si>
    <t>Saistību apjoms % no pamatbudžeta ieņēmumiem, t.sk.,</t>
  </si>
  <si>
    <t xml:space="preserve"> saistību apjoms bez galvojumiem</t>
  </si>
  <si>
    <t xml:space="preserve">           esošo saistību apjoms</t>
  </si>
  <si>
    <t xml:space="preserve">           plānoto saistību apjoms</t>
  </si>
  <si>
    <t xml:space="preserve">Pamatbudžeta ieņēmumi bez mērķdotācijas un iemaksām PFIF </t>
  </si>
  <si>
    <t>Plānojamās saistības</t>
  </si>
  <si>
    <r>
      <t>2019-202</t>
    </r>
    <r>
      <rPr>
        <b/>
        <sz val="12"/>
        <rFont val="Times New Roman"/>
        <family val="1"/>
        <charset val="186"/>
      </rPr>
      <t>2</t>
    </r>
  </si>
  <si>
    <t>Daudzfunkcionāla dabas tūrisma centra jaunbūve un  meža parka  labiekārtojums Ķemeros (ITI SAM 5.6.2.)</t>
  </si>
  <si>
    <t>Kredīta % atmaksa 2,7%</t>
  </si>
  <si>
    <t>2019-2021</t>
  </si>
  <si>
    <t>Ķemeru parka pārbūve un restaurācija
 (ITI SAM 5.6.2.)</t>
  </si>
  <si>
    <t>2019-2020</t>
  </si>
  <si>
    <t>Jūrmalas ūdenstūrisma pakalpojuma infrastruktūras attīstība atbilstoši pilsētas ekonomiskajai specializācijai (ITI SAM 3.3.1.)</t>
  </si>
  <si>
    <t>2020-2022</t>
  </si>
  <si>
    <t>Pilsētas atpūtas parka un jauniešu mājas izveide Kauguros 
(ITI SAM 3.3.1.)</t>
  </si>
  <si>
    <t>Jūrmalas pilsētas vispārējās vidējās izglītības iestāžu infrastruktūras pilnveide
 (ITI SAM 8.1.2.)</t>
  </si>
  <si>
    <t>Kredīta % atmaksas 2.7%</t>
  </si>
  <si>
    <t>Jūrmalas Sporta skolas peldbaseinu ēkas pārbūve un energoefektivitātes paaugstināšana (ITI SAM 4.2.2)</t>
  </si>
  <si>
    <t>2020-2021</t>
  </si>
  <si>
    <t>Infrastruktūras pilnveide sabiedrībā balstītu sociālo pakalpojumu nodrošināšanai Jūrmalā (ITI SAM 9.3.1.)</t>
  </si>
  <si>
    <t>2019-2022</t>
  </si>
  <si>
    <t>Lielupes radīto plūdu un krasta erozijas risku apdraudējumu novēršanas pasākumi Dubultos - Majoros - Dzintaros (SAM 5.1.1.)</t>
  </si>
  <si>
    <t>Jūrmalas veselības veicināšanas un sociālo pakalpojumu centra ēku pārbūve un energoefektivitātes paaugstināšana (alternatīva ITI SAM 4.2.2.)</t>
  </si>
  <si>
    <t>Ceļu un to kompleksa investīciju projektu īstenošanai (2019)</t>
  </si>
  <si>
    <t>Dzintaru koncertzāles attīstība</t>
  </si>
  <si>
    <t>Daudzfunkcionāla dabas tūrisma centra pastāvīgās ekspozīcijas izveide (1.kārta), centra teritorijas un funkcionālās meža parka teritorijas  labiekārtošana</t>
  </si>
  <si>
    <t>2020; …</t>
  </si>
  <si>
    <t>Plānojamās kredītsaistības, t.sk. Ceļu investīciju projektiem</t>
  </si>
  <si>
    <t>Aizņēmumu atmaksa</t>
  </si>
  <si>
    <t>2012, 2013</t>
  </si>
  <si>
    <t>Ēkas rekonstrukcijai ar funkcijas maiņu par sociālās aprūpes ēku ar publiski pieejamām telpām 1.stāvā Skolas ielā 44</t>
  </si>
  <si>
    <t>Kredīta % atmaksa 1,833%</t>
  </si>
  <si>
    <t>2012, 2013, 2014</t>
  </si>
  <si>
    <t>Aspazijas mājas Nr.002 restaurācija un ēkas Nr.001 rekonstrukcija, saglabājot funkciju muzejs Z.Meirovica prospektā 18/20, Jūrmalā</t>
  </si>
  <si>
    <t>Kredīta % atmaksa (2,7%)</t>
  </si>
  <si>
    <t>2012, 2013, 2014, 2015</t>
  </si>
  <si>
    <t>Dzintaru koncertzāles slēgtās zāles rekonstrukcija/restaurācija Turaidas ielā 1, Jūrmalā</t>
  </si>
  <si>
    <t>Kredīta % atmaksa 2,7%)</t>
  </si>
  <si>
    <t>2013, 2014</t>
  </si>
  <si>
    <t xml:space="preserve">Bērnudārza jaunbūvei Tukuma ielā 9, Jūrmalā </t>
  </si>
  <si>
    <t>Kredīta % atmaksa (2,7%01.14)</t>
  </si>
  <si>
    <t>Mācību korpusa lit.002 rekonstrukcija bez apjoma palielināšanas Dūņu ceļš 2, Jūrmalā</t>
  </si>
  <si>
    <t>Kredīta % atmaksa 0,55%</t>
  </si>
  <si>
    <t>2013, 2014, 2015</t>
  </si>
  <si>
    <t>Ēkas lit.002 rekontrukcijas par Mākslas skolu Strēlnieku prospektā 30 un Jāņa Poruka prospekta izbūve posmā no Friča Brīvzemnieka ielas līdz sporta zālei "Taurenītis" Jūrmalā</t>
  </si>
  <si>
    <t>2014, 2015</t>
  </si>
  <si>
    <t>Jūrmalas Valsts ģimnāzijas un sākumskolas "Atvase" daudzfunkcionālās sporta halles projektēšana un celtniecība (atmaksa 10 gados)</t>
  </si>
  <si>
    <t>Ielu asfalta seguma kapitālais remonts</t>
  </si>
  <si>
    <t>Jūrmalas ūdenssaimniecības attīstības projekta II kārta (ar sadārdzinājumu) (atmaksa 10 gados)</t>
  </si>
  <si>
    <t>Kredīta atmaksa 2,7%</t>
  </si>
  <si>
    <t>Kompleksi risinājumi siltumnīcefekta gāzu emisiju samazināšanai Jūrmalas pilsētas Mežmalas vidusskolā (atmaksa 5 gados)</t>
  </si>
  <si>
    <t>Jūrmalas pilsētas tranzītielas P128 (Talsu šoseja/Kolkas iela) izbūve (atmaksa 10 gados)</t>
  </si>
  <si>
    <t>Ielu asfalta seguma kapitālais remonts (atmaksa 10 gados)</t>
  </si>
  <si>
    <t>2016;2017;
2018</t>
  </si>
  <si>
    <t>Dubultu kultūras un izglītības centra Strēlnieku prospektā 30, Jūrmalā būvniecība  (atmaksa 10 gados)</t>
  </si>
  <si>
    <t>Ceļu un to kompleksa investīciju projektu īstenošanai (2016)</t>
  </si>
  <si>
    <t>Ceļu un to kompleksa investīciju projektu īstenošanai (2017)</t>
  </si>
  <si>
    <t>Ceļu un to kompleksa investīciju projektu īstenošanai (2018)</t>
  </si>
  <si>
    <t>Jaunu dabas un kultūras tūrisma pakalpojumu radīšana Rīgas jūras līča rietumu piekrastē - Mellužu estrādes ēkas restaurācija un bāra ēkas pārbūve, teritorijas labiekārtojums</t>
  </si>
  <si>
    <t>2018-2019</t>
  </si>
  <si>
    <t>Administratīvās ēkas pārbūve sociālo funkciju nodrošināšanai</t>
  </si>
  <si>
    <t>Jūrmalas pilsētas Jaundubultu vidusskolas ēkas energoefektivitātes paaugstināšana (ITI SAM 4.2.2.)</t>
  </si>
  <si>
    <t>Jūrmalas pilsētas Kauguru vidusskolas ēkas energoefektivitātes paaugstināšana 
(ITI SAM 4.2.2.)</t>
  </si>
  <si>
    <t>Jūrmalas pilsētas vispārējās vidējās izglītības iestāžu infrastruktūras pilnveide
 (ITI SAM 8.1.2.) (Kauguru vidusskola)</t>
  </si>
  <si>
    <t>Jūrmalas ūdenssaimniecības attīstības projekta trešā kārta (atmaksa 20 gados)</t>
  </si>
  <si>
    <t>Galvojumi un ilgtermiņa saistības</t>
  </si>
  <si>
    <t>Galvojums Ūdenssaimn.NEFCO</t>
  </si>
  <si>
    <t>Kredīta % atmaksa 3%</t>
  </si>
  <si>
    <t>2008, 2009</t>
  </si>
  <si>
    <t>Galvojums projektā "Piejūra" (20 gadi)</t>
  </si>
  <si>
    <t>Studējošā kredīta galvojums Konstantīnam Ņedošivinam</t>
  </si>
  <si>
    <t>Kredīta %atmaksa, 6 mēn. euribor</t>
  </si>
  <si>
    <t>Studiju kredīta galvojums Konstantīnam Ņedošivinam</t>
  </si>
  <si>
    <t xml:space="preserve">Kredīta %atmaksa, </t>
  </si>
  <si>
    <t>2020-2039</t>
  </si>
  <si>
    <t>Galvojums SIA "Jūrmalas ūdens" aizņēmumam projekta "Jūrmalas ūdenssaimniecības attīstības projekts IV kārta" īstenošanai</t>
  </si>
  <si>
    <t>2007, 2011</t>
  </si>
  <si>
    <t>Ilgtermiņa saistības</t>
  </si>
  <si>
    <t>Saistības pavisam kopā:</t>
  </si>
  <si>
    <t>Atmaksājamā pamatsumma</t>
  </si>
  <si>
    <t>Kredītprocenti</t>
  </si>
  <si>
    <t>2017. gadā veiktā pamatsummas atmaksa</t>
  </si>
  <si>
    <t>Tāme Nr.06.1.9</t>
  </si>
  <si>
    <t>Jomas iela 1/5, Jūrmala, LV-2015</t>
  </si>
  <si>
    <t>06.400.</t>
  </si>
  <si>
    <t>Projekts "Baltijas jūras reģiona apgaismojums – pilsētu līdzdalība ilgtspējīga viedā apgaismojuma risinājumu izstrādē/ LUCIA"</t>
  </si>
  <si>
    <t>LV52TREL9802008035000</t>
  </si>
  <si>
    <t>Samazināts pašvaldības līdzfinansējuma un priekšfinansējuma apmērs 2019.gadā, pamatojoties uz piešķirto valsts budžeta dotāciju.</t>
  </si>
  <si>
    <t>Pamatojoties uz piešķirto valsts budžeta līdzfinansējumu 5% apmērā, precizēts ieņēmumu apmērs 2019.gadā.</t>
  </si>
  <si>
    <t>Tāme Nr. 09.1.20.</t>
  </si>
  <si>
    <t>Projekts "Iniciatīvas veicināšana un kapacitātes stiprināšana jauniešu uzņēmējdarbības sekmēšanai"</t>
  </si>
  <si>
    <t>LV71TREL980200806200B</t>
  </si>
  <si>
    <t>Precizēts atbilstoši faktiski nepieciešamajām dienas naudas izmaksām, ņemot vērā, ka JPD dalībnieki piedalījās vienā no apmācībām.</t>
  </si>
  <si>
    <t>Precizēts atbilstoši faktiski nepieciešamajām komandējuma izmaksām, ņemot vērā, ka JPD dalībnieki piedalījās vienā no apmācībām.</t>
  </si>
  <si>
    <t>Precizēts atbilstoši faktiskajām izmaksām Latvijā par nomas autotransportu.</t>
  </si>
  <si>
    <t>Papildus finansējums paredzēts vietējā transporta izmaksām Vāsā Jūrmalas un Teračinas dalībniekiem, ņemot vērā apmācību norises vietas attālumu no dalīnieku naktsmīnēm.</t>
  </si>
  <si>
    <t>Precizēts atbilstoši faktiski veiktajai kancelejas preču iegādei.</t>
  </si>
  <si>
    <t>Tāme Nr.01.1.9.</t>
  </si>
  <si>
    <t xml:space="preserve">Projekts "Atbalsts integrētu teritoriālo investīciju īstenošanai Jūrmalas pilsētas pašvaldībā, II kārta" </t>
  </si>
  <si>
    <t>LV23TREL980200806100B</t>
  </si>
  <si>
    <t>Projekta ,,Deinstitucionalizācija un sociālie pakalpojumi personām ar invaliditāti un bērniem''</t>
  </si>
  <si>
    <t>LV34TREL981305100400B</t>
  </si>
  <si>
    <t>Mentori personām ar GRT tiks piesaistīti tikai sākot ar 2021.g.</t>
  </si>
  <si>
    <t>DD VSAOI mentoriem 7386 EUR tiek pārcelti uz 2021.gadu un papildus tiek pieprasīti 128 EUR par atvaļinājuma pabalstu projekta koordinatoram</t>
  </si>
  <si>
    <t>Atvaļinājuma pabalsts projekta koordinatoram 45% (528.30 EUR) pamatojoties uz Jūrmalas pilsētas pašvaldības institūciju amatpersonu un darbinieku atlīdzības nolikuma 139.11.pantu</t>
  </si>
  <si>
    <t>5 EUR no interneta apmaksas tiek novirzīti mob.tel.apmaksai</t>
  </si>
  <si>
    <t>Atelpas brīdim finansējums 21500 EUR un Atbalsta grupu nodarbībām 11302 EUR tiek pārcelti uz 2020.gadu</t>
  </si>
  <si>
    <t>Dienas aprūpes centram finansējums 54102 EUR, Specializētām darbnīcām finansējums 20580 EUR un Īslaicīgās sociālās aprūpes pakalpojumam (GRT) finansējums 7335 EUR tiek pārcelti uz 2021.g.</t>
  </si>
  <si>
    <t>Tāme Nr.10.2.9.</t>
  </si>
  <si>
    <t>Tāme Nr.04.1.3.</t>
  </si>
  <si>
    <t>04.510</t>
  </si>
  <si>
    <t>Sabiedriskā transporta organizēšanas pasākumi</t>
  </si>
  <si>
    <t>Tāme Nr.04.1.5.</t>
  </si>
  <si>
    <t>Attīstības pārvaldes Tūrisma un uzņēmējdarbības attīstības nodaļa</t>
  </si>
  <si>
    <t>Braukšanas maksas atlaides un zaudējumu kompensēšana Jūrmalas pilsētas maršrutu tīkla pilsētas nozīmes maršrutos</t>
  </si>
  <si>
    <t xml:space="preserve">JPAP_P2.3._R2.3.1._74 </t>
  </si>
  <si>
    <t>Produktu subsīdijas komersantiem sabiedriskā transporta pakalpojumu nodrošināšanai (par pasažieru regulārajiem pārvadājumiem)</t>
  </si>
  <si>
    <t>JPAP_P2.3._R2.3.1._74</t>
  </si>
  <si>
    <t>Audits (SIA "Jūrmalas autobusu satiksme")</t>
  </si>
  <si>
    <t>Karšu shēmas un kustību sarakstu izstrāde</t>
  </si>
  <si>
    <t>Atbilstoši 2019.gada 4.aprīļa līgumam Nr. 1.2-16.4.3/422 tika izstrādāti maktei brošūras un uzlīmju drukai par pilsētas sabiedriskā transporta maršrutiem izvietošanai pieturvietās, tūrisma informācijas centros un apmeklētāju apaklpošanas centros. Atbilstoši Jūrmalas pilsētas domes iepirkumam par drukas pakalpojumu sniegšanu paredzētā pakalpojumau izpildes cena ir zemāka kā iepriekš plānots un ir līdzekļu pārpalikums. Ņemot vērā, ka SIA "Jūrmalas autobusu satiksme" ir saņēmusi pēdējos divus elektroautobusus projektā par videi draudzīga sabiedriskā transporta ieviešanu pilsētās, nepieciešama finanšu līdzekļu pārdale jaunai aktivitātei "Autobusu aplīmēšanas pakalpojums".</t>
  </si>
  <si>
    <t>Autobusu aplīmēšanas pakalpojums</t>
  </si>
  <si>
    <t>Ņemot vērā, ka SIA "Jūrmalas autobusu satiksme" ir saņēmusi pēdējos divus elektroautobusus projektā par videi draudzīga sabiedriskā transporta ieviešanu pilsētā, nepieciešama finanšu līdzekļu pārdale jaunai aktivitātei "Autobusu aplīmēšanas pakalpojums".</t>
  </si>
  <si>
    <t>JPAP_P2.3._R2.3.1._75</t>
  </si>
  <si>
    <t>JPAP_P2.3._R2.3.1._74
JIAK_R3.2.1_7</t>
  </si>
  <si>
    <t>Sabiedriskā transporta kontrole</t>
  </si>
  <si>
    <t>Jūrmalas kartes ieviešana</t>
  </si>
  <si>
    <t>Atbilstoši iepriekš plānotajm, finansējums tika paredzēts 3 izglītības iestāžu aprīkošanai ar pieejas kontroles/turniketu sistēmu, tomēr, ievērojot plānotos izglītības iestāžu pārbūves projektus, finansējums apjoma paredzams ietaupījums kā rezultātā to iespējams novirzīt aktivitātes "Nodarbinātības veicināšanas pasākumi" īstenošanai.</t>
  </si>
  <si>
    <t>JPAP_P3.1._R3.1.5._139
IKTRP_R3.1.1._31</t>
  </si>
  <si>
    <t xml:space="preserve">Atbilstoši 11.07.2019 . pakalpojumu līgumam Nr.1.2-16.4.1/1017 "Papildus apdrukātu bezkontakta identifikācijas karšu piegāde Jūrmalas kartes sistēmas vajadzībām" radies pārpalikums 155 EUR apmērā. </t>
  </si>
  <si>
    <t xml:space="preserve">Finansējums tika piešķirts 5 validatoru sabiedriskajā transportā iegādei. Par paredzēto finansējumu tika iegādāti trīs validatori, kas aizstāja iepriekš tehniski nolietotos validatorus.Lai noskaidrotu pārējo validatoru tehnsiko stāvokli tika pieprasīta informācija kases sistēmu apkalpotājam un tika norādīts, ka validatori ir labā tehniskā stāvoklī. Ņemot vērā, ka rodas līdzekļu ietuapījums, to iespējams novirzīt aktivitātes "Nodarbinātības veicināšanas pasākumu" īstenošanai. </t>
  </si>
  <si>
    <t>Dalība tūrisma gadatirgos un izstādēs. Tūrisma stenda nodrošinājums un glābāšana</t>
  </si>
  <si>
    <t>Nepieciešams papildus finansējums stenda uzglabāšanas pakalpojumu segšanai saistībā ar cenu sadārdzinājumu.</t>
  </si>
  <si>
    <t>JPTARP _U.1.9_ P.1.9.6.</t>
  </si>
  <si>
    <t>Dalība tūrisma darba semināros, dienās, prezentācijās un to rīkošana augsti prioritārajos tirgos, pieredzes apmaiņa ārvalstīs</t>
  </si>
  <si>
    <t>JPTARP_U.1.9. P.1.9.11.; U. 4.5. P.4.5.2. un  P.4.5.3.</t>
  </si>
  <si>
    <t>Tūrisma piesaistes pasākumi Dzintaru Gaismas parkā (t.sk. Jaungada pasākums)</t>
  </si>
  <si>
    <t>JPTARP_U.1.5._ P.1.5.2.</t>
  </si>
  <si>
    <t xml:space="preserve">Projekts "Pārgājienu maršruts gar Baltijas jūras piekrasti Latvijā un Igaunijā" </t>
  </si>
  <si>
    <t>JPTARP U_2.3. P.2.3.1.; U_1.4._ P.1.4.3.</t>
  </si>
  <si>
    <t>Tūrisma viesmīlības un tūrisma produktu veidošanas apmācību rīkošana Jūrmalas tūrisma nozares darbieniekiem/Tīklošanās pasākumu rīkošana</t>
  </si>
  <si>
    <t>JPTARP U_1.8. P.1.8.3.; U_2.1. P.2.1.1.; U_2.1. P.2.1.3.; U_2.3. P.2.3.4.; U_3.6. P.3.6.1.;</t>
  </si>
  <si>
    <t>Tūrisma statistikas datu sagatavošana</t>
  </si>
  <si>
    <t>JPTARP_R_4.4._P 4.4.2.</t>
  </si>
  <si>
    <t>Publiskās slidotavas darbības nodrošināšana</t>
  </si>
  <si>
    <t>JPAP_P_1.7._R1.7.1._43
JPTARP_R_1.2._P 1.2.6.</t>
  </si>
  <si>
    <t>Dalība asociācijās</t>
  </si>
  <si>
    <t>JPAP_P1.10._R1.10.3_59
JPTARP_U_1.9. P.1.9.13.</t>
  </si>
  <si>
    <t>Konference "Mini-Limund"</t>
  </si>
  <si>
    <t>Ņemot vērā, ka noslēguma pārskata izvērtēšanas laikā tika konstatētas nepilnības, atbilstoši nolikumam tika piemērota finanšu korekcija un projekts netika īstenots paredzētajā apjomā kā rezultātā iespējams daļu finansējumu pārcelt stenda glabāšanas izmaksu segšanai.</t>
  </si>
  <si>
    <t>JPAP_P1.9._R1.9.1._49
JPTARP_U3.1.._P3.1.2
JKAP_RV2_U2.2._P2.2.4</t>
  </si>
  <si>
    <t>JPAP_P.1.4._R1.4.2., JPAP_P1.7._R1.7.1_45; JPTARP_U_1.7.P.1.7.1.</t>
  </si>
  <si>
    <t>Uzņēmējdarbības attīstības veicināšana</t>
  </si>
  <si>
    <t>JPAP_P.3.7._R3.7.1._228 JPAP_P3.7._R3.7.1._229 JPAP_P3.7._R3.7.3._234 JPAP_P3.7._R3.7.3._235 JPP_AM4_U4.2.._P4.2.2 JPTARP_U.1.1., P.1.1.2.</t>
  </si>
  <si>
    <t>Nodarbinātības veicināšanas pasākumi</t>
  </si>
  <si>
    <t>Jauniešu nodarbinātības veicināšanā vasaras sezonā 2019.gadā piešķirts finansējums 8600 Eur apmērā. Atbilstoši piešķirtajiem finanšu līdzekļiem, noslēgti līdzfinansējuma līgumi par jauniešu darba algas līdzfinansēšanu un paredzātāis budžets ir apgūts pilnā apjomā. Ņemot vērā, ka uzņēmēji ir izrādījuši papildus interesi par līdzfinansējuma iegūšanu un ievērojot finanšu līdzekļu pārpalikumu citās aktivitātes, ir iespējams nodrošināt finansējumu jauniešu darba algas līdzfinansēšanai uzņēmumiem. Šobrīd līdzfinansējumu ir pieprasījuši trīs uzņēmumi, kas kopumā sastāda aptuveni 15 000 EUR papildus jau esošajiem 8600 EUR, tomēr, ievērojot, ka jauniešu bieži nenostrādā pilnu laiku kā rezultātā var rasties līdzekļu ietaupījums jau esošajos līgumos, nepieciešams pārcelt finanšu līdzekļus esošā budžeta ietvaros no pozīcijām, kurās konstatējam pārpalikums.</t>
  </si>
  <si>
    <t>JPAP_P.3.7._R3.7.3._235
JPP_AM4_U4.3.._P4.3.2</t>
  </si>
  <si>
    <t>Šogad netiek plānots īstenot aktivitāti atbalsts Jūrmalas jauno speciālistu kompetenču pilnveidei atbilstoši pilsētas specializācijai. 
Finansējums  6650 EUR tiek pārcelts  aktivitātes "Nodarbinātības veicināšanas pasākumi" īstenošanai.</t>
  </si>
  <si>
    <t>Telpu noma biznesa inkubatora darbības nodrošināšanai</t>
  </si>
  <si>
    <t>JPAP_P3.7._R3.7.1._229</t>
  </si>
  <si>
    <t>Transporta pakalpojumi</t>
  </si>
  <si>
    <t>JPAP_ P3.7._R3.7.2._230    JPAP_ P3.7._R3.7.3._235
JPP_AM4_U4.2._P4.2.2</t>
  </si>
  <si>
    <t>Atbilstoši Dzintaru koncertzāles metu konkursa vērtēšanas komisijas lēmumam netiek izmaksātas godalgas iepriekš noteiktajā apjomā kā rezultātā rodas finanšu līdzekļu  pārpalikums un tas ir novirzāms Attīstības pārvaldes Infrastruktūras investīciju projektu nodaļas aktivitātē "Kārtējais remonts" pozīcijām "Ceļu seguma remonts"-15 000 EUR un "Asfalta seguma remonts iekškvartālos"- 5 000 EUR.</t>
  </si>
  <si>
    <t>JPAP_P3.7._R3.3.1._192;JPTARP_U3.5._P3.4.1;
DzKVTDS M_3</t>
  </si>
  <si>
    <t>Daudzfunkcionāla dabas tūrisma centra jaunbūve un meža parka labiekārtojums Ķemeros</t>
  </si>
  <si>
    <t>JPAP_P1.6._R1.6.1._21;
JPTARP_U1.4._P1.4.1</t>
  </si>
  <si>
    <t>Jūrmalas pilsētas attīstības programma 2014.-2020.gadam (JPAP):</t>
  </si>
  <si>
    <t>P1.6 - Aktīvā un dabas tūrisma attīstība</t>
  </si>
  <si>
    <t>Rīcības virziens: R1.6.1 - Dabas tūrisma infrastruktūras attīstība</t>
  </si>
  <si>
    <t>Aktivitāte: Nr.21. Daudzfunkcionālā, interaktīva dabas tūrisma objekta izveide Ķemeros</t>
  </si>
  <si>
    <t>Rīcības virziens R1.7.1.: Kultūras tūrisma piedāvājuma attīstība</t>
  </si>
  <si>
    <t>P1.9.-Kūrorta un tikšanās vietas tēla veidošana</t>
  </si>
  <si>
    <t>Rīcības virziens R1.9.1.: Jūrmalas kā kūrorta un tikšanās vietas tēla veidošana</t>
  </si>
  <si>
    <t>Aktivitāte: Nr.49. Jūrmalas kā konferenču un tikšanās vietas popularizēšana nozares speciālistu vidē</t>
  </si>
  <si>
    <t>P1.10. Partnerattiecību veidošana ar starptautiskām organizācijām un institūcijām, sadraudzības pilsētām, citām pašvaldībām Latvijā un ārpus tās</t>
  </si>
  <si>
    <t>Rīcības virziens R1.10.3.: Sadarbība ar asociācijām, starptautiskām organizācijām un institūcijām Latvijā un ārvalstīs</t>
  </si>
  <si>
    <t>Aktivitāte: Nr.59. Asociācijām, starptautisko organizāciju informēšanas un monitoringa aktivitātes</t>
  </si>
  <si>
    <t>P2.3 - Sabiedriskā transporta sistēmas attīstība</t>
  </si>
  <si>
    <t>Rīcības virziens: R2.3.1 - Racionālas sabiedriskā transporta sistēmas attīstība</t>
  </si>
  <si>
    <t>Aktivitāte: Nr.74. Sabiedriskā transporta attīstība Jūrmalā</t>
  </si>
  <si>
    <t>P3.1 - Uz nākotni orientēta pilsētas pārvaldība, kas atbalsta pilsonisko iniciatīvu</t>
  </si>
  <si>
    <t>Rīcības virziens: R3.1.5. Pilsētas pārvaldības infrastruktūras pilnveide</t>
  </si>
  <si>
    <t>Aktivitāte: Nr.139. Jūrmalas kartes ieviešana</t>
  </si>
  <si>
    <t>P3.3 - Daudzveidīgas kultūras un sporta vide</t>
  </si>
  <si>
    <t>Rīcības virziens: R3.3.1 - Pilsētas kultūras iestāžu un muzeju darbības pilnveide</t>
  </si>
  <si>
    <t>Aktivitāte: Nr.192. Jūrmalas kultūras iestāžu ēku remonts un būvniecība, teritoriju labiekārtošana un materiāltejniskai nodrošinājums</t>
  </si>
  <si>
    <t>P3.7 - Atbalsts uzņēmējdarbības iniciatīvām un uzņēmēju sadarbības veicināšana</t>
  </si>
  <si>
    <t>Rīcības virziens: R3.7.1 - Pašvaldības uzņēmējdarbības atbalsta politikas plānošana un attīstība</t>
  </si>
  <si>
    <t>Aktivitāte: Nr.228. Uzņēmējdarbības atbalsta veicināšana</t>
  </si>
  <si>
    <t>Aktivitāte: Nr.229. Veicināt esošo uzņēmumu attīstību un jaunu uzņēmumu rašanos</t>
  </si>
  <si>
    <t>Rīcības virziens: R3.7.2 - Vietējās uzņēmējdarbības atbalsta infrastruktūras attīstība</t>
  </si>
  <si>
    <t>Aktivitāte: Nr.230. Uzņēmējdarbības veicināšana</t>
  </si>
  <si>
    <t>Rīcības virziens: R3.7.3 - Uzņēmumu izveides, darbības un sadarbības motivācija</t>
  </si>
  <si>
    <t>Aktivitāte: Nr.234. Uzņēmējdarbības motivācijas veicināšana</t>
  </si>
  <si>
    <t>Aktivitāte: Nr.235. Skolu iesaiste un Jūrmalas pilsētas iedzīvotāju, t.sk., izglītojamo, intereses veicināšana par uzņēmējdarbību un nodarbinātību</t>
  </si>
  <si>
    <t>Jūrmalas pilsētas tūrisma attīstības rīcības plāns 2018.-2020.gadam (JPTARP):</t>
  </si>
  <si>
    <t>R1.1.-Atraktīvu piesaistes objektu izveide ar augustu tūristu piesaistes potenciālu</t>
  </si>
  <si>
    <t>P.1.1.2.-Līdzfinansējuma projektu konkurss inovatīvum radošu tūrisma prduktu izveides veicināšanai</t>
  </si>
  <si>
    <t xml:space="preserve">U 1.2. Atpūtas, rekreācijas tūrisma piedāvājuma pilnveidošana vietējiem un 
ārvalstu viesiem 
</t>
  </si>
  <si>
    <t>P.1.2.6. Mākslīgā ledus slidotavas izveide un ar to saistīto pakalpojumu nodrošināšana Majoros un Kauguros ziemā</t>
  </si>
  <si>
    <t>U 1.4. Dabas tūrisma piedāvājuma attīstības veicināšana un popularizēšana</t>
  </si>
  <si>
    <t xml:space="preserve">P. 1.4.3. Dabas piesaistes objektu sasaiste (marķējuma izveide – norādes) ar pilsētas centru un atbilstošs mārketings </t>
  </si>
  <si>
    <t>R1.5.Pasākumu/aktivitāšu piedāvājuma pilnveidošana ģimenēm ar bērniem</t>
  </si>
  <si>
    <t>P.1.5.2. Kompleksā pakalpojuma piedāvājuma ģimenēm ar bērniem izveides veicināšana.</t>
  </si>
  <si>
    <t>R1.8. Viesmīlības pakalpojumu kvalitātes pilnveidošana</t>
  </si>
  <si>
    <t>P.1.8.3. Tūrisma un viesmīlības darbinieku zināšanu par Jūrmalas tūrisma piedāvājumu veicināšana.</t>
  </si>
  <si>
    <t>R1.9-Jūrmalas kā tūrisma galamērķa mārketings Latvijas un ārvalstu mērķa tirgos</t>
  </si>
  <si>
    <t>P.1.9.6.Dalība tūrisma izstādēs/gadatirgos augsti prioritāros mērķa tirgos t.sk. Latvijā un MICE.</t>
  </si>
  <si>
    <t>P.1.9.11. Dalība darbsemināros, misijās, semināros.</t>
  </si>
  <si>
    <t>P.1.9.13. Dalība vietējās un starptautiskās (Baltijas, Eiropas) tūrisma organizācijās un darbības efektivitātes izvērtēšana</t>
  </si>
  <si>
    <t>P2.1.Veselības produktu un pakalpojumu pilnveidošana atbilstoši pieprasījumam</t>
  </si>
  <si>
    <t>P.2.1.1. Personāla viesmīlības kompetenču pilnveides veicināšanas pasākumi.</t>
  </si>
  <si>
    <t>P.2.1.3. Tīklošanās pasākumi komplekso pakalpojumu/produktu veidošanas veicināšanai.</t>
  </si>
  <si>
    <t>P2.3.Jūrmalas pilsētas vides pilnveide veselīgam dzīvesveidam</t>
  </si>
  <si>
    <t>P.2.3.1. Pastaigu maršrutu izveide un marķēšana vidē.</t>
  </si>
  <si>
    <t>P.2.3.4. Veselīga dzīvesveida elementu iekļaušanas viesmīlības uzņēmumu piedāvājumā veicināšana.</t>
  </si>
  <si>
    <t xml:space="preserve">U 3.1. Konferenču tūrisma attīstība, fokusējoties uz vidēja lieluma 
(~ 300 dalībnieki) konferencēm  
</t>
  </si>
  <si>
    <t>P 3.1.2. Finansiāla atbalsta piešķiršana starptautisku konferenču organizēšanā</t>
  </si>
  <si>
    <t xml:space="preserve">U 3.4. Sporta pasākumu organizēšana, fokusējoties uz pasākumiem ar lielākiem ieguvumiem pilsētai 
</t>
  </si>
  <si>
    <t>P. 3.4.1. Ikgadējas sporta pasākumu programmas izveide, kas orientēta uz Latvijas un ārvalstu tūristiem</t>
  </si>
  <si>
    <t>P3.6.-Pakalpojumu kvalitātes pilnveide MICE tūrisma sektorā</t>
  </si>
  <si>
    <t>P.3.6.1. Tūrisma un ar tūrismu saistītu uzņēmēju kompetenču pilnveidošanas veicināšana par MICE tūrisma pieprasījuma specifiku.</t>
  </si>
  <si>
    <t xml:space="preserve">R 4.4. Atbalsts tūrisma uzņēmējdarbības īstenošanai </t>
  </si>
  <si>
    <t xml:space="preserve">P 4.4.2. Statistikas apkopošana un datu pieejamības nodrošināšana (datu bankas izveide) </t>
  </si>
  <si>
    <t>R4.5.Pilsētas attīstības prioritātēm atbilstošas tūrisma pārvaldes organizatoriskās struktūras izveide un kapacitātes stiprināšana</t>
  </si>
  <si>
    <t>P.4.5.2.Piedalīšanās Jūrmalas pilsētas sadraudzības pilsētu rīkotajos pasākumos.</t>
  </si>
  <si>
    <t>P.4.5.3. Tūrisma un mārketinga nodaļu darbinieku pieredzes apmaiņas vizītes ārvalstu kūrortpilsētās.</t>
  </si>
  <si>
    <t xml:space="preserve">Jūrmalas pilsētas izglītības attīstības koncepcija 2015.-2020.gadam (JIAK)
</t>
  </si>
  <si>
    <t>R3.2.1 KOPĒJĀ SEKTORA ATTĪSTĪBA, PĀRVALDĪBA</t>
  </si>
  <si>
    <t>Aktivitāte Nr.7 Sabiedriskā transporta maršrutu pieejamības uzlabošana Jūrmalas izglītības iestāžu audzēkņiem</t>
  </si>
  <si>
    <t>AM 4 Attīstīt jauniešu nodarbinātību un uzņēmējdarbību Jūrmalas pilsētā.</t>
  </si>
  <si>
    <t>Rīcības virziens: U 4.2. Pilnveidot atbalstu jauniešiem uzņēmējdarbības uzsākšanai.</t>
  </si>
  <si>
    <t>Aktivitāte: 4.2.2.Jauniešu intereses veicināšana par uzņēmējdarbību</t>
  </si>
  <si>
    <t>Rīcības virziens: U 4.3. Veicināt skolēnu nodarbinātību vasarā.</t>
  </si>
  <si>
    <t>Aktivitāte: 4.3.2. Līdzfinansēt darba algu Jūrmalas pilsētā deklarētajiem jauniešiem (15-20g.v.)</t>
  </si>
  <si>
    <t>Jūrmalas pilsētas kultūrvides attīstības plāns 2017.-2020.gadam (JKAP)</t>
  </si>
  <si>
    <t>Rīcības virziens: RV2_ 2. Kultūras piedāvājuma izcilība un daudzveidība Jūrmalā: kvalitatīva un sistemātiska kultūras piedāvājuma veidošana dažādām mērķauditorijas grupām vietējā, nacionālā un starptautiskā mērogā</t>
  </si>
  <si>
    <t xml:space="preserve">Uzdevums: U2.2. Nostiprināt Jūrmalas kā kultūras un mākslas pilsētas identitāti un konkurētspēju </t>
  </si>
  <si>
    <t>Aktivitātes: P2.2.4. Nacionāla un starptautiska mēroga konferenču, semināru, konkursu rīkošana vai līdzfinansēšana, veidojot Jūrmalu par pievilcīgu konferenču pilsētu.</t>
  </si>
  <si>
    <t>SIA "Dzintaru koncertzāle" vidēja termiņa darbības stratēģija 2017.-2020.gadam (DZKVTDS)</t>
  </si>
  <si>
    <r>
      <rPr>
        <b/>
        <sz val="9"/>
        <rFont val="Times New Roman"/>
        <family val="1"/>
        <charset val="186"/>
      </rPr>
      <t>Mērķis Nr.3</t>
    </r>
    <r>
      <rPr>
        <sz val="9"/>
        <rFont val="Times New Roman"/>
        <family val="1"/>
        <charset val="186"/>
      </rPr>
      <t xml:space="preserve"> Esošo Jūrmalas kultūras tūrisma objektu attīstība</t>
    </r>
  </si>
  <si>
    <r>
      <rPr>
        <b/>
        <sz val="9"/>
        <rFont val="Times New Roman"/>
        <family val="1"/>
        <charset val="186"/>
      </rPr>
      <t>8.pielikums</t>
    </r>
    <r>
      <rPr>
        <sz val="9"/>
        <rFont val="Times New Roman"/>
        <family val="1"/>
        <charset val="186"/>
      </rPr>
      <t xml:space="preserve"> Jūrmalas pilsētas domes</t>
    </r>
  </si>
  <si>
    <t>Tāme Nr.04.1.8.</t>
  </si>
  <si>
    <t>Jūrmalas pilsētas pašvaldības 2019.-2021.gada Ceļu fonda izlietojuma programma</t>
  </si>
  <si>
    <t>MD plāns</t>
  </si>
  <si>
    <t>3.pielikums</t>
  </si>
  <si>
    <r>
      <rPr>
        <b/>
        <sz val="9"/>
        <rFont val="Times New Roman"/>
        <family val="1"/>
        <charset val="186"/>
      </rPr>
      <t>3.pielikums</t>
    </r>
    <r>
      <rPr>
        <sz val="9"/>
        <rFont val="Times New Roman"/>
        <family val="1"/>
        <charset val="186"/>
      </rPr>
      <t xml:space="preserve"> Jūrmalas pilsētas domes</t>
    </r>
  </si>
  <si>
    <r>
      <t xml:space="preserve">MD plāns 2017.g. = atl.g.s.535 259 + ieņēm.1 503 455 = </t>
    </r>
    <r>
      <rPr>
        <b/>
        <u/>
        <sz val="14"/>
        <color rgb="FFC00000"/>
        <rFont val="Times New Roman"/>
        <family val="1"/>
        <charset val="186"/>
      </rPr>
      <t>2 038 714</t>
    </r>
  </si>
  <si>
    <t>Objekta nosaukums</t>
  </si>
  <si>
    <t>Orientē-jošais apjoms</t>
  </si>
  <si>
    <t>FKK</t>
  </si>
  <si>
    <t>EKK</t>
  </si>
  <si>
    <t>Kopā, Ceļu fonds</t>
  </si>
  <si>
    <t>Mērķdotācija pašvaldību autoceļiem (ielām)</t>
  </si>
  <si>
    <t xml:space="preserve">Pašvaldības pamatbudžeta asignējumi </t>
  </si>
  <si>
    <t xml:space="preserve">2020.gadā </t>
  </si>
  <si>
    <t xml:space="preserve">2021.gadā </t>
  </si>
  <si>
    <t>2018.gada gaidāmā izpilde</t>
  </si>
  <si>
    <t>2019.gads budžeta pieprasījums</t>
  </si>
  <si>
    <t>2019.gads budžets</t>
  </si>
  <si>
    <t>2018.gada precizētais budžets</t>
  </si>
  <si>
    <t>2019.gads budžets pirms priekšlikumiem</t>
  </si>
  <si>
    <t>Priekšlikumi izmaiņām</t>
  </si>
  <si>
    <t xml:space="preserve">Finansējuma apjoms </t>
  </si>
  <si>
    <t>Finansējuma apjoms</t>
  </si>
  <si>
    <t xml:space="preserve">PAVISAM KOPĀ </t>
  </si>
  <si>
    <r>
      <t xml:space="preserve">Struktūrvienība: </t>
    </r>
    <r>
      <rPr>
        <b/>
        <sz val="9"/>
        <rFont val="Times New Roman"/>
        <family val="1"/>
        <charset val="186"/>
      </rPr>
      <t>Attīstības pārvaldes Infrastruktūras investīciju projektu nodaļas Būvniecības daļa</t>
    </r>
  </si>
  <si>
    <t>KR</t>
  </si>
  <si>
    <t>PB</t>
  </si>
  <si>
    <t>pārnests no 2018.g.</t>
  </si>
  <si>
    <t xml:space="preserve">KOPĀ </t>
  </si>
  <si>
    <t>Kapitālais remonts</t>
  </si>
  <si>
    <t>Ielu seguma kapitālais remonts</t>
  </si>
  <si>
    <r>
      <t>22 100 m</t>
    </r>
    <r>
      <rPr>
        <sz val="9"/>
        <rFont val="Calibri"/>
        <family val="2"/>
        <charset val="186"/>
      </rPr>
      <t>²</t>
    </r>
  </si>
  <si>
    <t>04.510.</t>
  </si>
  <si>
    <t>Finansējums nepieciešams 12. līnijas atjaunošanai posmā no Mellužu prospekta līdz izejai uz jūru un Baltezera ielas seguma atjaunošanai pilnā tehnoloģijā posmā no Strēlnieku prospekta līdz Poruka prospektam. Finansējums objektam 2019. gadā bija plānots no aizņēmuma līdzekļiem (līdzekļi netika piešķirti), bet ņemot vērārā , ka ielā ir pabeigti inženierkominikāciju darbi ir nepieciešams objektu sakartot pilnībā atjaunojot ielas asfatsegumu. 20000EUR no Tūrisma un uzņēmējdarbības nodaļas budžeta.</t>
  </si>
  <si>
    <r>
      <t>26 700 m</t>
    </r>
    <r>
      <rPr>
        <sz val="9"/>
        <rFont val="Calibri"/>
        <family val="2"/>
        <charset val="186"/>
      </rPr>
      <t>²</t>
    </r>
  </si>
  <si>
    <r>
      <t>14 800 m</t>
    </r>
    <r>
      <rPr>
        <sz val="9"/>
        <rFont val="Calibri"/>
        <family val="2"/>
        <charset val="186"/>
      </rPr>
      <t>²</t>
    </r>
  </si>
  <si>
    <t>JPAP_P2.1._R.2.1.1._62</t>
  </si>
  <si>
    <t>Trotuāru izbūve un esošo trotuāru atjaunošana</t>
  </si>
  <si>
    <r>
      <t>33 040 m</t>
    </r>
    <r>
      <rPr>
        <sz val="9"/>
        <rFont val="Calibri"/>
        <family val="2"/>
        <charset val="186"/>
      </rPr>
      <t>²</t>
    </r>
  </si>
  <si>
    <r>
      <t>33 800 m</t>
    </r>
    <r>
      <rPr>
        <sz val="9"/>
        <rFont val="Calibri"/>
        <family val="2"/>
        <charset val="186"/>
      </rPr>
      <t>²</t>
    </r>
  </si>
  <si>
    <r>
      <t>17 900 m</t>
    </r>
    <r>
      <rPr>
        <sz val="9"/>
        <rFont val="Calibri"/>
        <family val="2"/>
        <charset val="186"/>
      </rPr>
      <t>²</t>
    </r>
  </si>
  <si>
    <t>JPAP_P2.1._R.2.1.1._62                   JPAP_P2.8._R.2.8.1._107</t>
  </si>
  <si>
    <t>Seguma remonts, atjaunošana publiskās vietās un pašvaldības teritorijās</t>
  </si>
  <si>
    <r>
      <t>6 700 m</t>
    </r>
    <r>
      <rPr>
        <sz val="9"/>
        <rFont val="Calibri"/>
        <family val="2"/>
        <charset val="186"/>
      </rPr>
      <t>²</t>
    </r>
  </si>
  <si>
    <r>
      <t>6 655 m</t>
    </r>
    <r>
      <rPr>
        <sz val="9"/>
        <rFont val="Calibri"/>
        <family val="2"/>
        <charset val="186"/>
      </rPr>
      <t>²</t>
    </r>
  </si>
  <si>
    <t>Seguma atjaunošana, teritorijas labiekārtošana pilsētas iekškvartālos</t>
  </si>
  <si>
    <t>Finansējums nepieciešams avansa maksājumiem, kas plānoti četru būvprojektu izstrādei iekškvartālu infrastruktūras atjaunošanai un iekškvartāla pie Raiņa ielas 81, celiņu un bruktuvju atjaunošanai.</t>
  </si>
  <si>
    <r>
      <t>1 400 m</t>
    </r>
    <r>
      <rPr>
        <sz val="9"/>
        <rFont val="Calibri"/>
        <family val="2"/>
        <charset val="186"/>
      </rPr>
      <t>²</t>
    </r>
  </si>
  <si>
    <r>
      <t>1 770 m</t>
    </r>
    <r>
      <rPr>
        <sz val="9"/>
        <rFont val="Calibri"/>
        <family val="2"/>
        <charset val="186"/>
      </rPr>
      <t>²</t>
    </r>
  </si>
  <si>
    <t>JPAP_P2.8._R.2.8.1._106</t>
  </si>
  <si>
    <t>Jaunu autostāvvietu izbūve</t>
  </si>
  <si>
    <r>
      <t>2 300 m</t>
    </r>
    <r>
      <rPr>
        <sz val="9"/>
        <rFont val="Calibri"/>
        <family val="2"/>
        <charset val="186"/>
      </rPr>
      <t>²</t>
    </r>
  </si>
  <si>
    <t>5240</t>
  </si>
  <si>
    <t>Iepirkumu rezultā noslēgto līgumu kosumma zemakā par prognozēto.</t>
  </si>
  <si>
    <r>
      <t>950 m</t>
    </r>
    <r>
      <rPr>
        <sz val="9"/>
        <rFont val="Calibri"/>
        <family val="2"/>
        <charset val="186"/>
      </rPr>
      <t>²</t>
    </r>
  </si>
  <si>
    <r>
      <t>2 500 m</t>
    </r>
    <r>
      <rPr>
        <sz val="9"/>
        <rFont val="Calibri"/>
        <family val="2"/>
        <charset val="186"/>
      </rPr>
      <t>²</t>
    </r>
  </si>
  <si>
    <t>Grantēto ielu asfaltēšana</t>
  </si>
  <si>
    <r>
      <t>21 050 m</t>
    </r>
    <r>
      <rPr>
        <sz val="9"/>
        <rFont val="Calibri"/>
        <family val="2"/>
        <charset val="186"/>
      </rPr>
      <t>²</t>
    </r>
  </si>
  <si>
    <t>Iepirkuma rezultātā noslēgto līgumu kopsummas mazākās kā plānots. Izveidojusies finansūs rezerve</t>
  </si>
  <si>
    <r>
      <t>19 800 m</t>
    </r>
    <r>
      <rPr>
        <sz val="9"/>
        <rFont val="Calibri"/>
        <family val="2"/>
        <charset val="186"/>
      </rPr>
      <t>²</t>
    </r>
  </si>
  <si>
    <r>
      <t>13 800 m</t>
    </r>
    <r>
      <rPr>
        <sz val="9"/>
        <rFont val="Calibri"/>
        <family val="2"/>
        <charset val="186"/>
      </rPr>
      <t>²</t>
    </r>
  </si>
  <si>
    <t>Tiltu atjaunošana</t>
  </si>
  <si>
    <t>2 gb.</t>
  </si>
  <si>
    <t xml:space="preserve">Iepirkuma rezultātā noslēgti līgumi N. 1.2-16.4.3-/1040, līguma izpildes termiņš 17.03.2020 (norēķini veicami 2020. gadā)  un Nr. 1.1-16.4.3/1089 , līguma izpildes termiņš 31.07.2020, (autoruzraudzība 14520EUR veicama 2020. un 2021 gadā, gala norēķins 122742EUR 2020 gadā)  </t>
  </si>
  <si>
    <t>2 gab.</t>
  </si>
  <si>
    <t>2 gab</t>
  </si>
  <si>
    <t>Jaunu ielu izbūve</t>
  </si>
  <si>
    <t>1 obj.</t>
  </si>
  <si>
    <t xml:space="preserve">Iepirkuma rezutātā noslēgts līgums Nr. 1.2-16.4.3/565, auoruzruadzība  2020. gadā.  </t>
  </si>
  <si>
    <t>3 obj.</t>
  </si>
  <si>
    <t>Veloceliņu tīkla attīstība Jūrmalas pilsētā</t>
  </si>
  <si>
    <r>
      <t>6 600 m</t>
    </r>
    <r>
      <rPr>
        <sz val="9"/>
        <rFont val="Calibri"/>
        <family val="2"/>
        <charset val="186"/>
      </rPr>
      <t>²</t>
    </r>
  </si>
  <si>
    <t xml:space="preserve">Noslēgtā līguma Nr. 1.2-16.4.3/1140 autruzruadzība 2020. gadā. Projekta "Veloceliņa izbūve posmā no Mūzikas ielas līdz Kāpu ielai", sagatavots iepirkums . Prognozējamā iepirkuma summa 13000EUR (avansa masājusm 2000EUR 2019. gadā, gala norēķins 2020. gadā).      </t>
  </si>
  <si>
    <r>
      <t>11 600 m</t>
    </r>
    <r>
      <rPr>
        <sz val="9"/>
        <rFont val="Calibri"/>
        <family val="2"/>
        <charset val="186"/>
      </rPr>
      <t>²</t>
    </r>
  </si>
  <si>
    <t>JPAP_P2.1._R.2.1.2._67</t>
  </si>
  <si>
    <t>Kārtējais remonts</t>
  </si>
  <si>
    <t>Grantēto ielu uzturēšana</t>
  </si>
  <si>
    <r>
      <t>360 000 m</t>
    </r>
    <r>
      <rPr>
        <sz val="9"/>
        <rFont val="Calibri"/>
        <family val="2"/>
        <charset val="186"/>
      </rPr>
      <t>²</t>
    </r>
  </si>
  <si>
    <t>2246</t>
  </si>
  <si>
    <t>97.4 km</t>
  </si>
  <si>
    <t>96.0 km</t>
  </si>
  <si>
    <t>Ceļa seguma remonts (t.sk.bedrīšu remonts)</t>
  </si>
  <si>
    <r>
      <t>8 000 m</t>
    </r>
    <r>
      <rPr>
        <sz val="9"/>
        <rFont val="Calibri"/>
        <family val="2"/>
        <charset val="186"/>
      </rPr>
      <t>²</t>
    </r>
  </si>
  <si>
    <t>Finansējums nepieciešams avārijas bedrīšu remontam Jūrmalas pilsētas ielās..</t>
  </si>
  <si>
    <t>Asfalta seguma remonts iekškvartālos</t>
  </si>
  <si>
    <r>
      <t>1 000 m</t>
    </r>
    <r>
      <rPr>
        <sz val="9"/>
        <rFont val="Calibri"/>
        <family val="2"/>
        <charset val="186"/>
      </rPr>
      <t>²</t>
    </r>
  </si>
  <si>
    <t>Finansējums nepieciešams avārijas bedrīšu remontam Jūrmalas pilsētas iekškavartālos.</t>
  </si>
  <si>
    <t>Ceļu infrastruktūra</t>
  </si>
  <si>
    <t>Ceļa horizontālo apzīmējumu uzklāšana</t>
  </si>
  <si>
    <r>
      <t>7 000 m</t>
    </r>
    <r>
      <rPr>
        <sz val="9"/>
        <rFont val="Calibri"/>
        <family val="2"/>
        <charset val="186"/>
      </rPr>
      <t>²</t>
    </r>
  </si>
  <si>
    <t>Izpildīto un sagatavoto darba uzdevumu rezultātā izveidojusie finanšu līdzekļu ekonomija. Ieli horizontālo marķējumu uzklāšana pilsētā veikta būvprojekt ietvaros.</t>
  </si>
  <si>
    <r>
      <t>5 600 m</t>
    </r>
    <r>
      <rPr>
        <sz val="9"/>
        <rFont val="Calibri"/>
        <family val="2"/>
        <charset val="186"/>
      </rPr>
      <t>²</t>
    </r>
  </si>
  <si>
    <r>
      <t>5 700 m</t>
    </r>
    <r>
      <rPr>
        <sz val="9"/>
        <rFont val="Calibri"/>
        <family val="2"/>
        <charset val="186"/>
      </rPr>
      <t>²</t>
    </r>
  </si>
  <si>
    <t>Ceļa zīmju un barjeru ekspluatācija</t>
  </si>
  <si>
    <t>7 433 gab.ceļazīmes/3 560 m barjeras</t>
  </si>
  <si>
    <t>Finansējums nepieciešams ceļa zīmju un vertikālo apzīmējumu apsaimniekošanai.</t>
  </si>
  <si>
    <t>7 433 gab./3 560 m</t>
  </si>
  <si>
    <t>Barjeru remonts</t>
  </si>
  <si>
    <t>50 m</t>
  </si>
  <si>
    <t>26 m</t>
  </si>
  <si>
    <t>Jaunu barjeru uzstādīšana</t>
  </si>
  <si>
    <t>700 m</t>
  </si>
  <si>
    <t>5239</t>
  </si>
  <si>
    <t>Ceļa zīmju nomaiņa</t>
  </si>
  <si>
    <t>700 gb.</t>
  </si>
  <si>
    <t>Finansējums nepieciešams veco ceļa zīmju demontāzai un satiksmes organizciju izstrādei.</t>
  </si>
  <si>
    <t>350 gb.</t>
  </si>
  <si>
    <t>2312</t>
  </si>
  <si>
    <t>350 gab.</t>
  </si>
  <si>
    <t>10 gb.</t>
  </si>
  <si>
    <t>Citi</t>
  </si>
  <si>
    <t>Tiltu inspekcija</t>
  </si>
  <si>
    <t>3.obj.</t>
  </si>
  <si>
    <t>Finansējums nepiecišams lai noslēgtu līgumu par galveno inspekciju veikšanu trīs tiltiem Jūrmalā.</t>
  </si>
  <si>
    <t>Lielupes kreisā krasta atbalstsienas atjaunošana</t>
  </si>
  <si>
    <t xml:space="preserve">Jūrmalas pilsētas satiksmes drošības uzlabošana </t>
  </si>
  <si>
    <t>Noslēgto līgumu ietavor veidojusie finanšu rezerve.</t>
  </si>
  <si>
    <t>Pilsētas centrālās daļas ielu brauktuvju un gājēju celiņu atjaunošana un autostāvvietu izbūve</t>
  </si>
  <si>
    <t>Projekta līdzfinansējums</t>
  </si>
  <si>
    <t>Projekta  "Lielupes radīto plūdu un krasta erozijas risku apdraudējumu novēršanas pasākumi Dubultos-Majoros-Dzintaros" neattiecināmo izmaksu segšanai</t>
  </si>
  <si>
    <t>04.740.</t>
  </si>
  <si>
    <t>JPAP_P2.5._R.2.5.3._87</t>
  </si>
  <si>
    <r>
      <t>Struktūrvienība:</t>
    </r>
    <r>
      <rPr>
        <b/>
        <sz val="9"/>
        <rFont val="Times New Roman"/>
        <family val="1"/>
        <charset val="186"/>
      </rPr>
      <t xml:space="preserve"> Īpašumu pārvaldes Pilsētsaimniecības un labiekārtošanas nodaļa</t>
    </r>
  </si>
  <si>
    <t>Labiekārtošanas pasākumi</t>
  </si>
  <si>
    <t xml:space="preserve">Ielu ietvju un zaļo zonu mehanizētā un nemehanizētā tīrīšana (tai skaitā arī BC kategorijas ielas) </t>
  </si>
  <si>
    <t>365 km</t>
  </si>
  <si>
    <t>05.100.</t>
  </si>
  <si>
    <t>2244</t>
  </si>
  <si>
    <t>Kredītu atmaksa</t>
  </si>
  <si>
    <t>Ceļu un to kompleksa investīciju projektu īstenošana</t>
  </si>
  <si>
    <t>Rīcības virziens: R.2.1.1. Ielu un ceļu rekonstrukcija, satiksmes drošības uzlabošana</t>
  </si>
  <si>
    <t xml:space="preserve">    Aktivitāte: Nr.62 Jūrmalas ielu un tiltu tīkla pilnveide</t>
  </si>
  <si>
    <t>Rīcības virziens: R.2.1.2. Velotransporta infrastruktūras attīstība</t>
  </si>
  <si>
    <t xml:space="preserve">    Aktivitāte: Nr.67 Veloceliņu tīkla attīstība                </t>
  </si>
  <si>
    <t>Rīcības virziens: R2.5.3. Plūdu riska novēršana, lietusūdens savākšanas un meliorācijas sistēmu pilnveide</t>
  </si>
  <si>
    <t xml:space="preserve">    Aktivitāte: Nr.87 Plūdu novēršanas pasākumi</t>
  </si>
  <si>
    <t>Rīcības virziens: R.2.8.1. Publiskās telpas pilnveide</t>
  </si>
  <si>
    <t xml:space="preserve">    Aktivitāte: Nr. 106 Jūrmalas pilsētā esošo daudzdzīvokļu namu pagalmu, izglītības iestāžu un piebraucamo ceļu rekonstrukcija</t>
  </si>
  <si>
    <t>Prioritātes: P2.8. Publiskās telpas labiekārtošana</t>
  </si>
  <si>
    <t xml:space="preserve">    Aktivitāte: Nr.107 Vides pieejamības nodrošināšana cilvēkiem ar īpašām vajadzībām</t>
  </si>
  <si>
    <t>Tāme Nr.08.1.7.</t>
  </si>
  <si>
    <t>LV84PARX000248845720001</t>
  </si>
  <si>
    <t>Tāme Nr.08.1.8</t>
  </si>
  <si>
    <t xml:space="preserve">Jomas  iela 1/5 , Jūrmala </t>
  </si>
  <si>
    <t>Gustava Smiltena atbalstam</t>
  </si>
  <si>
    <t>Līdzfinansējums ceļa izdevumiem</t>
  </si>
  <si>
    <t>Līdzfinansējums ceļa izdevumiem tenisistam G.Smiltenam</t>
  </si>
  <si>
    <t>Tūrisma piesaistes pasākumi Jūrmalā</t>
  </si>
  <si>
    <t>Tāme Nr.08.1.6.</t>
  </si>
  <si>
    <t>Sabiedrisko attiecību veidošanas pasākumi</t>
  </si>
  <si>
    <r>
      <rPr>
        <b/>
        <sz val="9"/>
        <rFont val="Times New Roman"/>
        <family val="1"/>
        <charset val="186"/>
      </rPr>
      <t>19.pielikums</t>
    </r>
    <r>
      <rPr>
        <sz val="9"/>
        <rFont val="Times New Roman"/>
        <family val="1"/>
        <charset val="186"/>
      </rPr>
      <t xml:space="preserve"> Jūrmalas pilsētas domes</t>
    </r>
  </si>
  <si>
    <t>Mārketinga un ārējo sakaru pārvaldes Sabiedrisko attiecību nodaļa</t>
  </si>
  <si>
    <t>Tipogrāfijas un maketēšanas pakalpojumi Jūrmalas pašvaldības informatīvā izdevuma izdošanai</t>
  </si>
  <si>
    <t>Līdzekļu ekonomija: 1) saskaņā ar iepirkumu jauna līguma noslēgšanai maketēšanas pakalpojumiem tika piedāvātas zemākas pakalpojumu izmaksas nekā iepriekšējā gadā; 2) samazināts izdevuma izdošanas biežums,  publicējot tikai pašvaldības un tās iestāžu informāciju  3) maketēšanas un tipogrāfijas pakalpojumi nebūs nepieciešami citiem izdevumiem, kā sākotnēji bija plānots, tikai "Jūrmalas Avīzes" izdošanai</t>
  </si>
  <si>
    <t>JPAP_R3.1.4._135
JPAP_R.3.1.2._131</t>
  </si>
  <si>
    <t xml:space="preserve">Pašvaldības informatīvā izdevuma piegāde </t>
  </si>
  <si>
    <t xml:space="preserve">VAS "Latvijas Pasts", ar kuru 2019.gada jūlijā saskaņā ar iepirkumu konkursu tika noslēgts pakalpojumu līgums, būtiski - vairāk nekā divkāršā apmērā - ir pieaugušas piegādes pakalpojumu cenas </t>
  </si>
  <si>
    <t>Online ziņu abonements (ziņu aģentūra LETA), mediju monitorings un publicitātes pārskati</t>
  </si>
  <si>
    <t>Sabiedrisko attiecību kampaņu, mediju pasākumu, konferenču, semināru, gadadienu u.c. pasākumu organizēšanas izdevumi. Aģentūru pakalpojumi.</t>
  </si>
  <si>
    <t>JPAP_R3.1.4._135
JPAP_R1.2.2._11
JPAP_R1.7.1._43
JPAP_R3.3.1._199
JPAP_R3.3.1._202</t>
  </si>
  <si>
    <t>Jūrmalas pilsētas sociālo kontu pašreklāma, kampaņu organizēšana sociālajos tīklos (Facebook, Twitter, Instagram)</t>
  </si>
  <si>
    <t>JPAP_R3.1.4._135
JPAP_R1.2.2._11</t>
  </si>
  <si>
    <t>Pašvaldības tīmekļa vietnes www.jurmala.lv funkcionālā izpēte, ieteikumu un vadlīniju izstrāde</t>
  </si>
  <si>
    <t>JPAP_R3.1.4._135
JPAP_R.3.1.2._131
JPAP_R1.9.1._51</t>
  </si>
  <si>
    <t>Līgumi ar fiziskām personām (autoratlīdzības, uzņēmuma līgumi)</t>
  </si>
  <si>
    <t>JPAP_R3.1.4._135
JPAP_R1.2.2._11
JPAP_R1.7.1._43
JPAP_R1.9.1._51
JPAP_R3.3.1._199
JPAP_R3.3.1._202</t>
  </si>
  <si>
    <t>Informācijas izvietošana vietējā laikrakstā</t>
  </si>
  <si>
    <t>Jūrmalas pilsētas attīstības programma 2014-2020 (JPAP)</t>
  </si>
  <si>
    <t xml:space="preserve">2.daļa Stratēģiskā daļa un rīcības plāns; Jūrmalas pilsētas attīstības programmas 2014.–2020.gadam 2.daļas „Rīcības plāns” g) nodaļa „Darbības un pasākumi”  </t>
  </si>
  <si>
    <t>JPAP_R1.2.2._11 Kultūrvēsturiskā mantojuma saglabāšana un attīstība (esošās kultūrvēsturiskās koka arhitektūras vērtību apzināšana un popularizēšana);</t>
  </si>
  <si>
    <t xml:space="preserve">JPAP_R1.7.1._43 Kultūras tūrisma piedāvājuma attīstība (Kultūras dzīves piedāvājuma attīstība visa gada garumā) </t>
  </si>
  <si>
    <t xml:space="preserve">JPAP_R1.9.1._51 Jūrmalas kā kūrorta un tikšanās vietas tēla veidošana (Jūrmalas pilsētas portāla funkcionalitātes paplašināšana); </t>
  </si>
  <si>
    <t>JPAP_R.3.1.2._131 Pašvaldības pārvaldes kapacitātes celšana (Kvalitatīva pašvaldības pārvaldes nodrošināšana)</t>
  </si>
  <si>
    <t>JPAP_R3.1.4._135 Uzlabota komunikācija ar pilsētas iedzīvotājiem</t>
  </si>
  <si>
    <t>JPAP_R3.3.1._199 Pilsētas kultūras iestāžu un muzeju darbības pilnveide (Jūrmalas muzeju popularizēšana)</t>
  </si>
  <si>
    <t>JPAP_R3.3.1._202 Pilsētas kultūras iestāžu un muzeju darbības pilnveide (Pilsētas tēla "Jūrmala - Raiņa un Aspazijas pilsēta" izveide)</t>
  </si>
  <si>
    <t>Projekts ''Pasākumi vietējās sabiedrības veselības veicināšanai un slimību profilaksei Jūrmalā''</t>
  </si>
  <si>
    <t>LV82TREL981305100500B</t>
  </si>
  <si>
    <t>Palielinājums neattiecināmām izmaksām 657 EUR un samazinājums CFLA 1405 EUR</t>
  </si>
  <si>
    <t>VSAOI atvaļinājuma pabalstam</t>
  </si>
  <si>
    <t>saskaņā ar Jūrmalas pilsētas pašvaldības institūciju amatpersonu un darbinieku atlīdzības nolikumu, 139.11 pants</t>
  </si>
  <si>
    <t>Samazinājums par uz 2020.gada pārcelto finansējumu aktivitātēm, kas tiks nodrošinātas līdz 2019.gada decembrim (rēķinu apmaksa janvārī)</t>
  </si>
  <si>
    <t>Tāme Nr.07.1.4.</t>
  </si>
  <si>
    <t>Tāme Nr.04.3.1.</t>
  </si>
  <si>
    <t>Līdzfinansējuma un priekšfinansējuma nodrošināšana ES un citas ārvalstu finanšu palīdzības projektu īstenošanā</t>
  </si>
  <si>
    <t>Līdzekļu ekonomija</t>
  </si>
  <si>
    <t>PLN bija paredzējusi veikt Kaiju ielas izejas uz jūru betona pakāpienu nomaiņu. Paskaidrojuma raksta izstrādes procesā Pilsētplānošanas nodaļa lika iekļaut elektroapgādes projekta piesaisti pie kāpņu izbūves. Elektroapgādes darbiem nebija paredzēti līdzekļi. Papildus nepieciešami 10655Eur, kā arī papildus nepieciešami 4221 euro Kaijas ielas noejas uz pludmali pārbūvei un ši objekta būvuzraudzībai.</t>
  </si>
  <si>
    <t>Finanšu līdzekļi novirzīti Lielupes kreisā krasta atbalstsienas stiprināšanai</t>
  </si>
  <si>
    <t>Iepirkuma ID.NR. -JPD 2019/102/A62/IPP rezultātā Līguma summa lielāka par plānoto</t>
  </si>
  <si>
    <t>Sabiedrība ar ierobežotu atbildību "Jūrmalas ūdens"</t>
  </si>
  <si>
    <t>40003275333</t>
  </si>
  <si>
    <t>Promenādes iela 1a, Jūrmala</t>
  </si>
  <si>
    <t>05.200</t>
  </si>
  <si>
    <t>Notekūdeņu apsaimniekošana (lietus ūdens kanalizācijas apsaimniekošana)</t>
  </si>
  <si>
    <t>Pamatkapitāla palielināšana</t>
  </si>
  <si>
    <t>LV38PARX0002484572053</t>
  </si>
  <si>
    <t>LV64PARX0003484572167</t>
  </si>
  <si>
    <t>Tāme Nr.5.2.2.</t>
  </si>
  <si>
    <t>Nepieciešamie līdzekļi ēdenssaimniecības tīklu pārlikšanai E.dārziņa ielā, Ķemeros</t>
  </si>
  <si>
    <t>Tāme Nr.5.2.3.</t>
  </si>
  <si>
    <t>Naudas balva par bērnu piedzimšanu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</si>
</sst>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_ ;[Red]\-#,##0\ "/>
    <numFmt numFmtId="165" formatCode="0.0"/>
    <numFmt numFmtId="166" formatCode="#,##0.0"/>
  </numFmts>
  <fonts count="55" x14ac:knownFonts="1">
    <font>
      <sz val="11"/>
      <color theme="1"/>
      <name val="Calibri"/>
      <family val="2"/>
      <charset val="186"/>
      <scheme val="minor"/>
    </font>
    <font>
      <sz val="10"/>
      <name val="Arial"/>
      <family val="2"/>
      <charset val="186"/>
    </font>
    <font>
      <sz val="9"/>
      <name val="Times New Roman"/>
      <family val="1"/>
      <charset val="186"/>
    </font>
    <font>
      <b/>
      <sz val="9"/>
      <name val="Times New Roman"/>
      <family val="1"/>
      <charset val="186"/>
    </font>
    <font>
      <b/>
      <u/>
      <sz val="12"/>
      <name val="Times New Roman"/>
      <family val="1"/>
      <charset val="186"/>
    </font>
    <font>
      <sz val="10"/>
      <name val="Times New Roman"/>
      <family val="1"/>
      <charset val="186"/>
    </font>
    <font>
      <i/>
      <sz val="9"/>
      <name val="Times New Roman"/>
      <family val="1"/>
      <charset val="186"/>
    </font>
    <font>
      <sz val="6"/>
      <name val="Times New Roman"/>
      <family val="1"/>
      <charset val="186"/>
    </font>
    <font>
      <sz val="9"/>
      <color rgb="FFFF0000"/>
      <name val="Times New Roman"/>
      <family val="1"/>
      <charset val="186"/>
    </font>
    <font>
      <sz val="9"/>
      <color theme="1"/>
      <name val="Times New Roman"/>
      <family val="1"/>
      <charset val="186"/>
    </font>
    <font>
      <b/>
      <sz val="14"/>
      <name val="Times New Roman"/>
      <family val="1"/>
      <charset val="186"/>
    </font>
    <font>
      <b/>
      <sz val="12"/>
      <name val="Times New Roman"/>
      <family val="1"/>
      <charset val="186"/>
    </font>
    <font>
      <b/>
      <sz val="11"/>
      <name val="Times New Roman"/>
      <family val="1"/>
      <charset val="186"/>
    </font>
    <font>
      <b/>
      <i/>
      <sz val="12"/>
      <name val="Times New Roman"/>
      <family val="1"/>
      <charset val="186"/>
    </font>
    <font>
      <sz val="11"/>
      <color indexed="8"/>
      <name val="Calibri"/>
      <family val="2"/>
      <charset val="186"/>
    </font>
    <font>
      <sz val="11"/>
      <color theme="1"/>
      <name val="Calibri"/>
      <family val="2"/>
      <scheme val="minor"/>
    </font>
    <font>
      <sz val="11"/>
      <name val="Calibri"/>
      <family val="2"/>
      <scheme val="minor"/>
    </font>
    <font>
      <b/>
      <sz val="10"/>
      <name val="Times New Roman"/>
      <family val="1"/>
      <charset val="186"/>
    </font>
    <font>
      <sz val="9"/>
      <name val="Arial"/>
      <family val="2"/>
      <charset val="186"/>
    </font>
    <font>
      <b/>
      <i/>
      <sz val="10"/>
      <name val="Times New Roman"/>
      <family val="1"/>
      <charset val="186"/>
    </font>
    <font>
      <b/>
      <i/>
      <sz val="9"/>
      <name val="Times New Roman"/>
      <family val="1"/>
      <charset val="186"/>
    </font>
    <font>
      <sz val="9"/>
      <color theme="9"/>
      <name val="Times New Roman"/>
      <family val="1"/>
      <charset val="186"/>
    </font>
    <font>
      <sz val="9"/>
      <color theme="9" tint="-0.249977111117893"/>
      <name val="Times New Roman"/>
      <family val="1"/>
      <charset val="186"/>
    </font>
    <font>
      <sz val="9"/>
      <color theme="0"/>
      <name val="Times New Roman"/>
      <family val="1"/>
      <charset val="186"/>
    </font>
    <font>
      <sz val="12"/>
      <color theme="1"/>
      <name val="Times New Roman"/>
      <family val="1"/>
      <charset val="186"/>
    </font>
    <font>
      <sz val="8"/>
      <name val="Times New Roman"/>
      <family val="1"/>
      <charset val="186"/>
    </font>
    <font>
      <sz val="9"/>
      <color theme="1"/>
      <name val="Calibri"/>
      <family val="2"/>
      <charset val="186"/>
      <scheme val="minor"/>
    </font>
    <font>
      <strike/>
      <sz val="9"/>
      <name val="Times New Roman"/>
      <family val="1"/>
      <charset val="186"/>
    </font>
    <font>
      <sz val="11"/>
      <name val="Times New Roman"/>
      <family val="1"/>
      <charset val="186"/>
    </font>
    <font>
      <sz val="9"/>
      <color rgb="FF00B050"/>
      <name val="Times New Roman"/>
      <family val="1"/>
      <charset val="186"/>
    </font>
    <font>
      <b/>
      <sz val="9"/>
      <color rgb="FF00B050"/>
      <name val="Times New Roman"/>
      <family val="1"/>
      <charset val="186"/>
    </font>
    <font>
      <b/>
      <sz val="9"/>
      <color rgb="FF92D050"/>
      <name val="Times New Roman"/>
      <family val="1"/>
      <charset val="186"/>
    </font>
    <font>
      <sz val="9"/>
      <name val="Calibri"/>
      <family val="2"/>
      <charset val="186"/>
    </font>
    <font>
      <b/>
      <sz val="9"/>
      <color theme="9" tint="-0.249977111117893"/>
      <name val="Times New Roman"/>
      <family val="1"/>
      <charset val="186"/>
    </font>
    <font>
      <sz val="7"/>
      <name val="Times New Roman"/>
      <family val="1"/>
      <charset val="186"/>
    </font>
    <font>
      <b/>
      <sz val="9"/>
      <color theme="1"/>
      <name val="Times New Roman"/>
      <family val="1"/>
      <charset val="186"/>
    </font>
    <font>
      <sz val="11"/>
      <color theme="1"/>
      <name val="Calibri"/>
      <family val="2"/>
      <charset val="186"/>
      <scheme val="minor"/>
    </font>
    <font>
      <i/>
      <sz val="8"/>
      <name val="Times New Roman"/>
      <family val="1"/>
      <charset val="186"/>
    </font>
    <font>
      <u/>
      <sz val="9"/>
      <name val="Times New Roman"/>
      <family val="1"/>
      <charset val="186"/>
    </font>
    <font>
      <b/>
      <sz val="8"/>
      <name val="Times New Roman"/>
      <family val="1"/>
      <charset val="186"/>
    </font>
    <font>
      <sz val="9"/>
      <color theme="3" tint="0.39997558519241921"/>
      <name val="Times New Roman"/>
      <family val="1"/>
      <charset val="186"/>
    </font>
    <font>
      <sz val="9"/>
      <color rgb="FF000000"/>
      <name val="Times New Roman"/>
      <family val="1"/>
      <charset val="186"/>
    </font>
    <font>
      <sz val="8"/>
      <color theme="1"/>
      <name val="Times New Roman"/>
      <family val="2"/>
      <charset val="186"/>
    </font>
    <font>
      <b/>
      <sz val="14"/>
      <color theme="1"/>
      <name val="Times New Roman"/>
      <family val="1"/>
      <charset val="186"/>
    </font>
    <font>
      <b/>
      <sz val="18"/>
      <name val="Times New Roman"/>
      <family val="1"/>
      <charset val="186"/>
    </font>
    <font>
      <i/>
      <sz val="12"/>
      <name val="Times New Roman"/>
      <family val="1"/>
      <charset val="186"/>
    </font>
    <font>
      <sz val="12"/>
      <name val="Times New Roman"/>
      <family val="1"/>
      <charset val="186"/>
    </font>
    <font>
      <b/>
      <sz val="12"/>
      <color theme="1"/>
      <name val="Times New Roman"/>
      <family val="1"/>
      <charset val="186"/>
    </font>
    <font>
      <sz val="12"/>
      <name val="Arial"/>
      <family val="2"/>
      <charset val="186"/>
    </font>
    <font>
      <b/>
      <sz val="9"/>
      <color indexed="81"/>
      <name val="Tahoma"/>
      <family val="2"/>
      <charset val="186"/>
    </font>
    <font>
      <sz val="9"/>
      <color indexed="81"/>
      <name val="Tahoma"/>
      <family val="2"/>
      <charset val="186"/>
    </font>
    <font>
      <b/>
      <sz val="16"/>
      <color theme="1"/>
      <name val="Times New Roman"/>
      <family val="1"/>
      <charset val="186"/>
    </font>
    <font>
      <b/>
      <sz val="12"/>
      <color rgb="FFC00000"/>
      <name val="Times New Roman"/>
      <family val="1"/>
      <charset val="186"/>
    </font>
    <font>
      <b/>
      <u/>
      <sz val="14"/>
      <color rgb="FFC00000"/>
      <name val="Times New Roman"/>
      <family val="1"/>
      <charset val="186"/>
    </font>
    <font>
      <i/>
      <sz val="11"/>
      <name val="Times New Roman"/>
      <family val="1"/>
      <charset val="186"/>
    </font>
  </fonts>
  <fills count="19">
    <fill>
      <patternFill patternType="none"/>
    </fill>
    <fill>
      <patternFill patternType="gray125"/>
    </fill>
    <fill>
      <patternFill patternType="solid">
        <fgColor indexed="9"/>
        <bgColor indexed="64"/>
      </patternFill>
    </fill>
    <fill>
      <patternFill patternType="solid">
        <fgColor indexed="5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theme="0"/>
        <bgColor indexed="64"/>
      </patternFill>
    </fill>
    <fill>
      <patternFill patternType="solid">
        <fgColor rgb="FF92D050"/>
        <bgColor indexed="64"/>
      </patternFill>
    </fill>
    <fill>
      <patternFill patternType="solid">
        <fgColor theme="7"/>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FFFF00"/>
        <bgColor indexed="64"/>
      </patternFill>
    </fill>
    <fill>
      <patternFill patternType="solid">
        <fgColor indexed="13"/>
        <bgColor indexed="64"/>
      </patternFill>
    </fill>
    <fill>
      <patternFill patternType="solid">
        <fgColor rgb="FFFFCC00"/>
        <bgColor indexed="64"/>
      </patternFill>
    </fill>
    <fill>
      <patternFill patternType="solid">
        <fgColor theme="4" tint="0.59999389629810485"/>
        <bgColor indexed="64"/>
      </patternFill>
    </fill>
  </fills>
  <borders count="15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style="thin">
        <color indexed="64"/>
      </left>
      <right style="hair">
        <color indexed="64"/>
      </right>
      <top/>
      <bottom/>
      <diagonal/>
    </border>
    <border>
      <left style="hair">
        <color indexed="64"/>
      </left>
      <right style="hair">
        <color indexed="64"/>
      </right>
      <top/>
      <bottom/>
      <diagonal/>
    </border>
    <border>
      <left style="hair">
        <color indexed="64"/>
      </left>
      <right style="thin">
        <color indexed="64"/>
      </right>
      <top/>
      <bottom/>
      <diagonal/>
    </border>
    <border>
      <left/>
      <right style="hair">
        <color indexed="64"/>
      </right>
      <top/>
      <bottom/>
      <diagonal/>
    </border>
    <border>
      <left/>
      <right style="thin">
        <color indexed="64"/>
      </right>
      <top/>
      <bottom/>
      <diagonal/>
    </border>
    <border>
      <left style="thin">
        <color indexed="64"/>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right style="hair">
        <color indexed="64"/>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top/>
      <bottom style="hair">
        <color indexed="64"/>
      </bottom>
      <diagonal/>
    </border>
    <border>
      <left style="thin">
        <color indexed="64"/>
      </left>
      <right style="hair">
        <color indexed="64"/>
      </right>
      <top style="double">
        <color indexed="64"/>
      </top>
      <bottom style="double">
        <color indexed="64"/>
      </bottom>
      <diagonal/>
    </border>
    <border>
      <left style="hair">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hair">
        <color indexed="64"/>
      </left>
      <right style="hair">
        <color indexed="64"/>
      </right>
      <top style="double">
        <color indexed="64"/>
      </top>
      <bottom style="double">
        <color indexed="64"/>
      </bottom>
      <diagonal/>
    </border>
    <border>
      <left style="hair">
        <color indexed="64"/>
      </left>
      <right/>
      <top style="hair">
        <color indexed="64"/>
      </top>
      <bottom style="hair">
        <color indexed="64"/>
      </bottom>
      <diagonal/>
    </border>
    <border>
      <left/>
      <right/>
      <top/>
      <bottom style="hair">
        <color indexed="64"/>
      </bottom>
      <diagonal/>
    </border>
    <border>
      <left style="hair">
        <color indexed="64"/>
      </left>
      <right/>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right style="dotted">
        <color indexed="64"/>
      </right>
      <top style="hair">
        <color indexed="64"/>
      </top>
      <bottom style="hair">
        <color indexed="64"/>
      </bottom>
      <diagonal/>
    </border>
    <border>
      <left style="hair">
        <color indexed="64"/>
      </left>
      <right style="dotted">
        <color indexed="64"/>
      </right>
      <top/>
      <bottom/>
      <diagonal/>
    </border>
    <border>
      <left/>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bottom style="double">
        <color indexed="64"/>
      </bottom>
      <diagonal/>
    </border>
    <border>
      <left/>
      <right style="hair">
        <color indexed="64"/>
      </right>
      <top/>
      <bottom style="double">
        <color indexed="64"/>
      </bottom>
      <diagonal/>
    </border>
    <border>
      <left style="thin">
        <color indexed="64"/>
      </left>
      <right/>
      <top style="thin">
        <color indexed="64"/>
      </top>
      <bottom style="double">
        <color indexed="64"/>
      </bottom>
      <diagonal/>
    </border>
    <border>
      <left/>
      <right style="hair">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hair">
        <color indexed="64"/>
      </top>
      <bottom style="hair">
        <color indexed="64"/>
      </bottom>
      <diagonal/>
    </border>
    <border>
      <left/>
      <right style="hair">
        <color indexed="64"/>
      </right>
      <top/>
      <bottom style="thin">
        <color indexed="64"/>
      </bottom>
      <diagonal/>
    </border>
    <border>
      <left/>
      <right style="thin">
        <color indexed="64"/>
      </right>
      <top/>
      <bottom style="thin">
        <color indexed="64"/>
      </bottom>
      <diagonal/>
    </border>
    <border>
      <left/>
      <right style="hair">
        <color indexed="64"/>
      </right>
      <top style="thin">
        <color indexed="64"/>
      </top>
      <bottom style="hair">
        <color indexed="64"/>
      </bottom>
      <diagonal/>
    </border>
    <border>
      <left style="thin">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bottom style="hair">
        <color indexed="64"/>
      </bottom>
      <diagonal/>
    </border>
    <border>
      <left style="thin">
        <color indexed="64"/>
      </left>
      <right/>
      <top style="double">
        <color indexed="64"/>
      </top>
      <bottom style="hair">
        <color indexed="64"/>
      </bottom>
      <diagonal/>
    </border>
    <border>
      <left/>
      <right style="hair">
        <color indexed="64"/>
      </right>
      <top style="double">
        <color indexed="64"/>
      </top>
      <bottom style="hair">
        <color indexed="64"/>
      </bottom>
      <diagonal/>
    </border>
    <border>
      <left/>
      <right style="thin">
        <color indexed="64"/>
      </right>
      <top style="double">
        <color indexed="64"/>
      </top>
      <bottom style="hair">
        <color indexed="64"/>
      </bottom>
      <diagonal/>
    </border>
    <border>
      <left style="thin">
        <color indexed="64"/>
      </left>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double">
        <color indexed="64"/>
      </bottom>
      <diagonal/>
    </border>
    <border>
      <left/>
      <right style="hair">
        <color indexed="64"/>
      </right>
      <top style="double">
        <color indexed="64"/>
      </top>
      <bottom style="double">
        <color indexed="64"/>
      </bottom>
      <diagonal/>
    </border>
    <border>
      <left/>
      <right style="thin">
        <color indexed="64"/>
      </right>
      <top style="double">
        <color indexed="64"/>
      </top>
      <bottom style="double">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medium">
        <color auto="1"/>
      </bottom>
      <diagonal/>
    </border>
    <border>
      <left/>
      <right style="thin">
        <color indexed="64"/>
      </right>
      <top style="medium">
        <color indexed="64"/>
      </top>
      <bottom style="hair">
        <color indexed="64"/>
      </bottom>
      <diagonal/>
    </border>
    <border>
      <left/>
      <right style="thin">
        <color indexed="64"/>
      </right>
      <top style="hair">
        <color indexed="64"/>
      </top>
      <bottom style="medium">
        <color auto="1"/>
      </bottom>
      <diagonal/>
    </border>
    <border>
      <left/>
      <right/>
      <top style="medium">
        <color indexed="64"/>
      </top>
      <bottom style="medium">
        <color indexed="64"/>
      </bottom>
      <diagonal/>
    </border>
    <border>
      <left/>
      <right/>
      <top style="medium">
        <color indexed="64"/>
      </top>
      <bottom/>
      <diagonal/>
    </border>
    <border>
      <left style="hair">
        <color indexed="64"/>
      </left>
      <right/>
      <top style="thin">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thin">
        <color indexed="64"/>
      </bottom>
      <diagonal/>
    </border>
  </borders>
  <cellStyleXfs count="16">
    <xf numFmtId="0" fontId="0" fillId="0" borderId="0"/>
    <xf numFmtId="0" fontId="1" fillId="0" borderId="0"/>
    <xf numFmtId="0" fontId="1" fillId="0" borderId="0"/>
    <xf numFmtId="0" fontId="1" fillId="0" borderId="0"/>
    <xf numFmtId="0" fontId="14" fillId="0" borderId="0"/>
    <xf numFmtId="0" fontId="15" fillId="0" borderId="0"/>
    <xf numFmtId="0" fontId="1" fillId="0" borderId="0"/>
    <xf numFmtId="0" fontId="1" fillId="0" borderId="0"/>
    <xf numFmtId="0" fontId="1" fillId="0" borderId="0"/>
    <xf numFmtId="0" fontId="1" fillId="0" borderId="0"/>
    <xf numFmtId="0" fontId="1" fillId="0" borderId="0"/>
    <xf numFmtId="0" fontId="15" fillId="0" borderId="0"/>
    <xf numFmtId="0" fontId="36" fillId="0" borderId="0"/>
    <xf numFmtId="0" fontId="42" fillId="0" borderId="0"/>
    <xf numFmtId="0" fontId="36" fillId="0" borderId="0"/>
    <xf numFmtId="0" fontId="42" fillId="0" borderId="0"/>
  </cellStyleXfs>
  <cellXfs count="2355">
    <xf numFmtId="0" fontId="0" fillId="0" borderId="0" xfId="0"/>
    <xf numFmtId="0" fontId="2" fillId="2" borderId="0" xfId="1" applyFont="1" applyFill="1" applyBorder="1" applyAlignment="1" applyProtection="1">
      <alignment vertical="center"/>
    </xf>
    <xf numFmtId="0" fontId="2" fillId="2" borderId="0" xfId="1" applyFont="1" applyFill="1" applyBorder="1" applyAlignment="1" applyProtection="1">
      <alignment vertical="center"/>
      <protection locked="0"/>
    </xf>
    <xf numFmtId="0" fontId="3" fillId="2" borderId="0" xfId="1" applyFont="1" applyFill="1" applyBorder="1" applyAlignment="1" applyProtection="1">
      <alignment horizontal="right" vertical="center"/>
      <protection locked="0"/>
    </xf>
    <xf numFmtId="0" fontId="2" fillId="0" borderId="0" xfId="1" applyFont="1" applyFill="1" applyBorder="1" applyAlignment="1" applyProtection="1">
      <alignment vertical="center"/>
    </xf>
    <xf numFmtId="49" fontId="5" fillId="2" borderId="4" xfId="1" applyNumberFormat="1" applyFont="1" applyFill="1" applyBorder="1" applyAlignment="1" applyProtection="1">
      <alignment vertical="center"/>
    </xf>
    <xf numFmtId="49" fontId="3" fillId="2" borderId="0" xfId="1" applyNumberFormat="1" applyFont="1" applyFill="1" applyBorder="1" applyAlignment="1" applyProtection="1">
      <alignment vertical="center"/>
    </xf>
    <xf numFmtId="49" fontId="2" fillId="2" borderId="4" xfId="1" applyNumberFormat="1" applyFont="1" applyFill="1" applyBorder="1" applyAlignment="1" applyProtection="1">
      <alignment vertical="center"/>
    </xf>
    <xf numFmtId="49" fontId="2" fillId="2" borderId="0" xfId="1" applyNumberFormat="1" applyFont="1" applyFill="1" applyBorder="1" applyAlignment="1" applyProtection="1">
      <alignment vertical="center"/>
    </xf>
    <xf numFmtId="49" fontId="6" fillId="2" borderId="4" xfId="1" applyNumberFormat="1" applyFont="1" applyFill="1" applyBorder="1" applyAlignment="1" applyProtection="1">
      <alignment vertical="center"/>
    </xf>
    <xf numFmtId="49" fontId="2" fillId="2" borderId="7" xfId="1" applyNumberFormat="1" applyFont="1" applyFill="1" applyBorder="1" applyAlignment="1" applyProtection="1">
      <alignment vertical="center"/>
    </xf>
    <xf numFmtId="49" fontId="2" fillId="2" borderId="8" xfId="1" applyNumberFormat="1" applyFont="1" applyFill="1" applyBorder="1" applyAlignment="1" applyProtection="1">
      <alignment vertical="center"/>
    </xf>
    <xf numFmtId="49" fontId="2" fillId="0" borderId="0" xfId="1" applyNumberFormat="1" applyFont="1" applyFill="1" applyBorder="1" applyAlignment="1" applyProtection="1">
      <alignment horizontal="center" vertical="center" wrapText="1"/>
    </xf>
    <xf numFmtId="0" fontId="2" fillId="0" borderId="0" xfId="1" applyFont="1" applyFill="1" applyBorder="1" applyAlignment="1" applyProtection="1">
      <alignment horizontal="center" vertical="center" textRotation="90"/>
    </xf>
    <xf numFmtId="1" fontId="7" fillId="0" borderId="27" xfId="1" applyNumberFormat="1" applyFont="1" applyFill="1" applyBorder="1" applyAlignment="1" applyProtection="1">
      <alignment horizontal="center" vertical="center"/>
    </xf>
    <xf numFmtId="1" fontId="7" fillId="0" borderId="28" xfId="1" applyNumberFormat="1" applyFont="1" applyFill="1" applyBorder="1" applyAlignment="1" applyProtection="1">
      <alignment horizontal="center" vertical="center"/>
    </xf>
    <xf numFmtId="1" fontId="7" fillId="0" borderId="29" xfId="1" applyNumberFormat="1" applyFont="1" applyFill="1" applyBorder="1" applyAlignment="1" applyProtection="1">
      <alignment horizontal="center" vertical="center"/>
    </xf>
    <xf numFmtId="1" fontId="7" fillId="0" borderId="30" xfId="1" applyNumberFormat="1" applyFont="1" applyFill="1" applyBorder="1" applyAlignment="1" applyProtection="1">
      <alignment horizontal="center" vertical="center"/>
    </xf>
    <xf numFmtId="1" fontId="7" fillId="0" borderId="31" xfId="1" applyNumberFormat="1" applyFont="1" applyFill="1" applyBorder="1" applyAlignment="1" applyProtection="1">
      <alignment horizontal="center" vertical="center"/>
    </xf>
    <xf numFmtId="1" fontId="7" fillId="0" borderId="32" xfId="1" applyNumberFormat="1" applyFont="1" applyFill="1" applyBorder="1" applyAlignment="1" applyProtection="1">
      <alignment horizontal="center" vertical="center"/>
    </xf>
    <xf numFmtId="1" fontId="7" fillId="0" borderId="33" xfId="1" applyNumberFormat="1" applyFont="1" applyFill="1" applyBorder="1" applyAlignment="1" applyProtection="1">
      <alignment horizontal="center" vertical="center"/>
    </xf>
    <xf numFmtId="1" fontId="7" fillId="0" borderId="34" xfId="1" applyNumberFormat="1" applyFont="1" applyFill="1" applyBorder="1" applyAlignment="1" applyProtection="1">
      <alignment horizontal="center" vertical="center"/>
    </xf>
    <xf numFmtId="0" fontId="3" fillId="0" borderId="15" xfId="1" applyFont="1" applyFill="1" applyBorder="1" applyAlignment="1" applyProtection="1">
      <alignment vertical="center" wrapText="1"/>
    </xf>
    <xf numFmtId="0" fontId="3" fillId="0" borderId="15" xfId="1" applyFont="1" applyFill="1" applyBorder="1" applyAlignment="1" applyProtection="1">
      <alignment horizontal="left" vertical="center" wrapText="1"/>
    </xf>
    <xf numFmtId="0" fontId="3" fillId="0" borderId="15" xfId="1" applyFont="1" applyFill="1" applyBorder="1" applyAlignment="1" applyProtection="1">
      <alignment vertical="center"/>
    </xf>
    <xf numFmtId="0" fontId="3" fillId="0" borderId="17" xfId="1" applyFont="1" applyFill="1" applyBorder="1" applyAlignment="1" applyProtection="1">
      <alignment vertical="center"/>
      <protection locked="0"/>
    </xf>
    <xf numFmtId="0" fontId="3" fillId="0" borderId="18" xfId="1" applyFont="1" applyFill="1" applyBorder="1" applyAlignment="1" applyProtection="1">
      <alignment vertical="center"/>
      <protection locked="0"/>
    </xf>
    <xf numFmtId="0" fontId="3" fillId="0" borderId="19" xfId="1" applyFont="1" applyFill="1" applyBorder="1" applyAlignment="1" applyProtection="1">
      <alignment vertical="center"/>
      <protection locked="0"/>
    </xf>
    <xf numFmtId="0" fontId="3" fillId="0" borderId="0" xfId="1" applyFont="1" applyFill="1" applyBorder="1" applyAlignment="1" applyProtection="1">
      <alignment vertical="center"/>
    </xf>
    <xf numFmtId="0" fontId="3" fillId="0" borderId="35" xfId="1" applyFont="1" applyFill="1" applyBorder="1" applyAlignment="1" applyProtection="1">
      <alignment vertical="center" wrapText="1"/>
    </xf>
    <xf numFmtId="0" fontId="3" fillId="0" borderId="35" xfId="1" applyFont="1" applyFill="1" applyBorder="1" applyAlignment="1" applyProtection="1">
      <alignment horizontal="left" vertical="center" wrapText="1"/>
    </xf>
    <xf numFmtId="3" fontId="3" fillId="0" borderId="35" xfId="1" applyNumberFormat="1" applyFont="1" applyFill="1" applyBorder="1" applyAlignment="1" applyProtection="1">
      <alignment horizontal="right" vertical="center"/>
    </xf>
    <xf numFmtId="3" fontId="3" fillId="0" borderId="36" xfId="1" applyNumberFormat="1" applyFont="1" applyFill="1" applyBorder="1" applyAlignment="1" applyProtection="1">
      <alignment horizontal="right" vertical="center"/>
    </xf>
    <xf numFmtId="3" fontId="3" fillId="0" borderId="37"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right" vertical="center"/>
    </xf>
    <xf numFmtId="3" fontId="3" fillId="0" borderId="38" xfId="1" applyNumberFormat="1" applyFont="1" applyFill="1" applyBorder="1" applyAlignment="1" applyProtection="1">
      <alignment horizontal="left" vertical="center" wrapText="1"/>
      <protection locked="0"/>
    </xf>
    <xf numFmtId="0" fontId="2" fillId="0" borderId="27" xfId="1" applyFont="1" applyFill="1" applyBorder="1" applyAlignment="1" applyProtection="1">
      <alignment vertical="center" wrapText="1"/>
    </xf>
    <xf numFmtId="0" fontId="2" fillId="0" borderId="27" xfId="1" applyFont="1" applyFill="1" applyBorder="1" applyAlignment="1" applyProtection="1">
      <alignment horizontal="left" vertical="center" wrapText="1"/>
    </xf>
    <xf numFmtId="3" fontId="2" fillId="0" borderId="27" xfId="1" applyNumberFormat="1" applyFont="1" applyFill="1" applyBorder="1" applyAlignment="1" applyProtection="1">
      <alignment horizontal="right" vertical="center"/>
    </xf>
    <xf numFmtId="3" fontId="2" fillId="0" borderId="29" xfId="1" applyNumberFormat="1" applyFont="1" applyFill="1" applyBorder="1" applyAlignment="1" applyProtection="1">
      <alignment horizontal="right" vertical="center"/>
    </xf>
    <xf numFmtId="3" fontId="2" fillId="0" borderId="30"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right" vertical="center"/>
    </xf>
    <xf numFmtId="3" fontId="2" fillId="0" borderId="31"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vertical="center" wrapText="1"/>
    </xf>
    <xf numFmtId="0" fontId="2" fillId="0" borderId="15" xfId="1" applyFont="1" applyFill="1" applyBorder="1" applyAlignment="1" applyProtection="1">
      <alignment horizontal="right" vertical="center" wrapText="1"/>
    </xf>
    <xf numFmtId="3" fontId="2" fillId="0" borderId="15" xfId="1" applyNumberFormat="1" applyFont="1" applyFill="1" applyBorder="1" applyAlignment="1" applyProtection="1">
      <alignment horizontal="right" vertical="center"/>
    </xf>
    <xf numFmtId="3" fontId="2" fillId="0" borderId="17" xfId="1" applyNumberFormat="1" applyFont="1" applyFill="1" applyBorder="1" applyAlignment="1" applyProtection="1">
      <alignment horizontal="right" vertical="center"/>
      <protection locked="0"/>
    </xf>
    <xf numFmtId="3" fontId="2" fillId="0" borderId="18" xfId="1" applyNumberFormat="1" applyFont="1" applyFill="1" applyBorder="1" applyAlignment="1" applyProtection="1">
      <alignment horizontal="right" vertical="center"/>
      <protection locked="0"/>
    </xf>
    <xf numFmtId="3" fontId="2" fillId="0" borderId="19"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horizontal="left" vertical="center" wrapText="1"/>
      <protection locked="0"/>
    </xf>
    <xf numFmtId="0" fontId="2" fillId="0" borderId="39" xfId="1" applyFont="1" applyFill="1" applyBorder="1" applyAlignment="1" applyProtection="1">
      <alignment vertical="center" wrapText="1"/>
    </xf>
    <xf numFmtId="0" fontId="2" fillId="0" borderId="39" xfId="1" applyFont="1" applyFill="1" applyBorder="1" applyAlignment="1" applyProtection="1">
      <alignment horizontal="right" vertical="center" wrapText="1"/>
    </xf>
    <xf numFmtId="3" fontId="2" fillId="0" borderId="39" xfId="1" applyNumberFormat="1" applyFont="1" applyFill="1" applyBorder="1" applyAlignment="1" applyProtection="1">
      <alignment horizontal="right" vertical="center"/>
    </xf>
    <xf numFmtId="3" fontId="2" fillId="0" borderId="40" xfId="1" applyNumberFormat="1" applyFont="1" applyFill="1" applyBorder="1" applyAlignment="1" applyProtection="1">
      <alignment horizontal="right" vertical="center"/>
      <protection locked="0"/>
    </xf>
    <xf numFmtId="3" fontId="2" fillId="0" borderId="41"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vertical="center"/>
    </xf>
    <xf numFmtId="3" fontId="2" fillId="0" borderId="42" xfId="1" applyNumberFormat="1" applyFont="1" applyFill="1" applyBorder="1" applyAlignment="1" applyProtection="1">
      <alignment horizontal="right" vertical="center"/>
    </xf>
    <xf numFmtId="3" fontId="2" fillId="0" borderId="42" xfId="1" applyNumberFormat="1" applyFont="1" applyFill="1" applyBorder="1" applyAlignment="1" applyProtection="1">
      <alignment horizontal="left" vertical="center" wrapText="1"/>
      <protection locked="0"/>
    </xf>
    <xf numFmtId="0" fontId="3" fillId="0" borderId="22" xfId="1" applyFont="1" applyFill="1" applyBorder="1" applyAlignment="1" applyProtection="1">
      <alignment horizontal="left" vertical="center" wrapText="1"/>
    </xf>
    <xf numFmtId="3" fontId="2" fillId="0" borderId="22" xfId="1" applyNumberFormat="1" applyFont="1" applyFill="1" applyBorder="1" applyAlignment="1" applyProtection="1">
      <alignment vertical="center"/>
    </xf>
    <xf numFmtId="3" fontId="2" fillId="0" borderId="23" xfId="1" applyNumberFormat="1" applyFont="1" applyFill="1" applyBorder="1" applyAlignment="1" applyProtection="1">
      <alignment horizontal="right" vertical="center"/>
      <protection locked="0"/>
    </xf>
    <xf numFmtId="3" fontId="2" fillId="0" borderId="24" xfId="1" applyNumberFormat="1" applyFont="1" applyFill="1" applyBorder="1" applyAlignment="1" applyProtection="1">
      <alignment horizontal="right" vertical="center"/>
      <protection locked="0"/>
    </xf>
    <xf numFmtId="3" fontId="2" fillId="0" borderId="25" xfId="1" applyNumberFormat="1" applyFont="1" applyFill="1" applyBorder="1" applyAlignment="1" applyProtection="1">
      <alignment vertical="center"/>
    </xf>
    <xf numFmtId="3" fontId="2" fillId="0" borderId="23" xfId="1" applyNumberFormat="1" applyFont="1" applyFill="1" applyBorder="1" applyAlignment="1" applyProtection="1">
      <alignment horizontal="center" vertical="center"/>
    </xf>
    <xf numFmtId="3" fontId="2" fillId="0" borderId="24"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center" vertical="center"/>
    </xf>
    <xf numFmtId="3" fontId="2" fillId="0" borderId="25"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protection locked="0"/>
    </xf>
    <xf numFmtId="0" fontId="3" fillId="0" borderId="43" xfId="1" applyFont="1" applyFill="1" applyBorder="1" applyAlignment="1" applyProtection="1">
      <alignment horizontal="left" vertical="center" wrapText="1"/>
    </xf>
    <xf numFmtId="3" fontId="2" fillId="0" borderId="43" xfId="1" applyNumberFormat="1" applyFont="1" applyFill="1" applyBorder="1" applyAlignment="1" applyProtection="1">
      <alignment vertical="center"/>
    </xf>
    <xf numFmtId="3" fontId="2" fillId="0" borderId="44" xfId="1" applyNumberFormat="1" applyFont="1" applyFill="1" applyBorder="1" applyAlignment="1" applyProtection="1">
      <alignment horizontal="right" vertical="center"/>
      <protection locked="0"/>
    </xf>
    <xf numFmtId="3" fontId="2" fillId="0" borderId="45" xfId="1" applyNumberFormat="1" applyFont="1" applyFill="1" applyBorder="1" applyAlignment="1" applyProtection="1">
      <alignment horizontal="right" vertical="center"/>
      <protection locked="0"/>
    </xf>
    <xf numFmtId="3" fontId="2" fillId="0" borderId="46" xfId="1" applyNumberFormat="1" applyFont="1" applyFill="1" applyBorder="1" applyAlignment="1" applyProtection="1">
      <alignment vertical="center"/>
    </xf>
    <xf numFmtId="3" fontId="2" fillId="0" borderId="44" xfId="1" applyNumberFormat="1" applyFont="1" applyFill="1" applyBorder="1" applyAlignment="1" applyProtection="1">
      <alignment horizontal="center" vertical="center"/>
    </xf>
    <xf numFmtId="3" fontId="2" fillId="0" borderId="45"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center" vertical="center"/>
    </xf>
    <xf numFmtId="3" fontId="2" fillId="0" borderId="46" xfId="1" applyNumberFormat="1" applyFont="1" applyFill="1" applyBorder="1" applyAlignment="1" applyProtection="1">
      <alignment horizontal="left" vertical="center" wrapText="1"/>
      <protection locked="0"/>
    </xf>
    <xf numFmtId="3" fontId="2" fillId="0" borderId="44" xfId="1" applyNumberFormat="1" applyFont="1" applyFill="1" applyBorder="1" applyAlignment="1" applyProtection="1">
      <alignment horizontal="right" vertical="center"/>
    </xf>
    <xf numFmtId="3" fontId="2" fillId="0" borderId="45" xfId="1" applyNumberFormat="1" applyFont="1" applyFill="1" applyBorder="1" applyAlignment="1" applyProtection="1">
      <alignment horizontal="right" vertical="center"/>
    </xf>
    <xf numFmtId="3" fontId="2" fillId="0" borderId="46" xfId="1" applyNumberFormat="1" applyFont="1" applyFill="1" applyBorder="1" applyAlignment="1" applyProtection="1">
      <alignment horizontal="right" vertical="center"/>
    </xf>
    <xf numFmtId="0" fontId="3" fillId="0" borderId="43" xfId="1" applyFont="1" applyFill="1" applyBorder="1" applyAlignment="1" applyProtection="1">
      <alignment horizontal="center" vertical="center" wrapText="1"/>
    </xf>
    <xf numFmtId="0" fontId="2" fillId="0" borderId="15" xfId="1" applyFont="1" applyFill="1" applyBorder="1" applyAlignment="1" applyProtection="1">
      <alignment horizontal="left" vertical="center" wrapText="1"/>
    </xf>
    <xf numFmtId="3" fontId="2" fillId="0" borderId="15" xfId="1" applyNumberFormat="1" applyFont="1" applyFill="1" applyBorder="1" applyAlignment="1" applyProtection="1">
      <alignment vertical="center"/>
    </xf>
    <xf numFmtId="3" fontId="2" fillId="0" borderId="17" xfId="1" applyNumberFormat="1" applyFont="1" applyFill="1" applyBorder="1" applyAlignment="1" applyProtection="1">
      <alignment horizontal="center" vertical="center"/>
    </xf>
    <xf numFmtId="3" fontId="2" fillId="0" borderId="18" xfId="1" applyNumberFormat="1" applyFont="1" applyFill="1" applyBorder="1" applyAlignment="1" applyProtection="1">
      <alignment horizontal="center" vertical="center"/>
    </xf>
    <xf numFmtId="3" fontId="2" fillId="0" borderId="19" xfId="1" applyNumberFormat="1" applyFont="1" applyFill="1" applyBorder="1" applyAlignment="1" applyProtection="1">
      <alignment horizontal="center" vertical="center"/>
    </xf>
    <xf numFmtId="3" fontId="2" fillId="0" borderId="17" xfId="1" applyNumberFormat="1" applyFont="1" applyFill="1" applyBorder="1" applyAlignment="1" applyProtection="1">
      <alignment horizontal="right" vertical="center"/>
    </xf>
    <xf numFmtId="3" fontId="2" fillId="0" borderId="18" xfId="1" applyNumberFormat="1" applyFont="1" applyFill="1" applyBorder="1" applyAlignment="1" applyProtection="1">
      <alignment horizontal="right" vertical="center"/>
    </xf>
    <xf numFmtId="0" fontId="2" fillId="0" borderId="39" xfId="1" applyFont="1" applyFill="1" applyBorder="1" applyAlignment="1" applyProtection="1">
      <alignment horizontal="left" vertical="center" wrapText="1"/>
    </xf>
    <xf numFmtId="3" fontId="2" fillId="0" borderId="39" xfId="1" applyNumberFormat="1" applyFont="1" applyFill="1" applyBorder="1" applyAlignment="1" applyProtection="1">
      <alignment vertical="center"/>
    </xf>
    <xf numFmtId="3" fontId="2" fillId="0" borderId="40" xfId="1" applyNumberFormat="1" applyFont="1" applyFill="1" applyBorder="1" applyAlignment="1" applyProtection="1">
      <alignment horizontal="center" vertical="center"/>
    </xf>
    <xf numFmtId="3" fontId="2" fillId="0" borderId="41" xfId="1" applyNumberFormat="1" applyFont="1" applyFill="1" applyBorder="1" applyAlignment="1" applyProtection="1">
      <alignment horizontal="center" vertical="center"/>
    </xf>
    <xf numFmtId="3" fontId="2" fillId="0" borderId="42" xfId="1" applyNumberFormat="1" applyFont="1" applyFill="1" applyBorder="1" applyAlignment="1" applyProtection="1">
      <alignment horizontal="center" vertical="center"/>
    </xf>
    <xf numFmtId="3" fontId="2" fillId="0" borderId="40" xfId="1" applyNumberFormat="1" applyFont="1" applyFill="1" applyBorder="1" applyAlignment="1" applyProtection="1">
      <alignment horizontal="right" vertical="center"/>
    </xf>
    <xf numFmtId="3" fontId="2" fillId="0" borderId="41" xfId="1" applyNumberFormat="1" applyFont="1" applyFill="1" applyBorder="1" applyAlignment="1" applyProtection="1">
      <alignment horizontal="right" vertical="center"/>
    </xf>
    <xf numFmtId="0" fontId="2" fillId="0" borderId="47" xfId="1" applyFont="1" applyFill="1" applyBorder="1" applyAlignment="1" applyProtection="1">
      <alignment horizontal="right" vertical="center" wrapText="1"/>
    </xf>
    <xf numFmtId="0" fontId="2" fillId="0" borderId="47" xfId="1" applyFont="1" applyFill="1" applyBorder="1" applyAlignment="1" applyProtection="1">
      <alignment horizontal="left" vertical="center" wrapText="1"/>
    </xf>
    <xf numFmtId="3" fontId="2" fillId="0" borderId="47" xfId="1" applyNumberFormat="1" applyFont="1" applyFill="1" applyBorder="1" applyAlignment="1" applyProtection="1">
      <alignment vertical="center"/>
    </xf>
    <xf numFmtId="3" fontId="2" fillId="0" borderId="48" xfId="1" applyNumberFormat="1" applyFont="1" applyFill="1" applyBorder="1" applyAlignment="1" applyProtection="1">
      <alignment horizontal="center" vertical="center"/>
    </xf>
    <xf numFmtId="3" fontId="2" fillId="0" borderId="49" xfId="1" applyNumberFormat="1" applyFont="1" applyFill="1" applyBorder="1" applyAlignment="1" applyProtection="1">
      <alignment horizontal="center" vertical="center"/>
    </xf>
    <xf numFmtId="3" fontId="2" fillId="0" borderId="50" xfId="1" applyNumberFormat="1" applyFont="1" applyFill="1" applyBorder="1" applyAlignment="1" applyProtection="1">
      <alignment horizontal="center" vertical="center"/>
    </xf>
    <xf numFmtId="3" fontId="2" fillId="0" borderId="48" xfId="1" applyNumberFormat="1" applyFont="1" applyFill="1" applyBorder="1" applyAlignment="1" applyProtection="1">
      <alignment horizontal="right" vertical="center"/>
      <protection locked="0"/>
    </xf>
    <xf numFmtId="3" fontId="2" fillId="0" borderId="49" xfId="1" applyNumberFormat="1" applyFont="1" applyFill="1" applyBorder="1" applyAlignment="1" applyProtection="1">
      <alignment horizontal="right" vertical="center"/>
      <protection locked="0"/>
    </xf>
    <xf numFmtId="3" fontId="2" fillId="0" borderId="50" xfId="1" applyNumberFormat="1" applyFont="1" applyFill="1" applyBorder="1" applyAlignment="1" applyProtection="1">
      <alignment horizontal="right" vertical="center"/>
    </xf>
    <xf numFmtId="3" fontId="2" fillId="0" borderId="48" xfId="1" applyNumberFormat="1" applyFont="1" applyFill="1" applyBorder="1" applyAlignment="1" applyProtection="1">
      <alignment horizontal="right" vertical="center"/>
    </xf>
    <xf numFmtId="3" fontId="2" fillId="0" borderId="49" xfId="1" applyNumberFormat="1" applyFont="1" applyFill="1" applyBorder="1" applyAlignment="1" applyProtection="1">
      <alignment horizontal="right" vertical="center"/>
    </xf>
    <xf numFmtId="3" fontId="2" fillId="0" borderId="50" xfId="1" applyNumberFormat="1" applyFont="1" applyFill="1" applyBorder="1" applyAlignment="1" applyProtection="1">
      <alignment horizontal="left" vertical="center" wrapText="1"/>
      <protection locked="0"/>
    </xf>
    <xf numFmtId="0" fontId="2" fillId="0" borderId="51" xfId="1" applyFont="1" applyFill="1" applyBorder="1" applyAlignment="1" applyProtection="1">
      <alignment horizontal="right" vertical="center" wrapText="1"/>
    </xf>
    <xf numFmtId="0" fontId="2" fillId="0" borderId="51" xfId="1" applyFont="1" applyFill="1" applyBorder="1" applyAlignment="1" applyProtection="1">
      <alignment horizontal="left" vertical="center" wrapText="1"/>
    </xf>
    <xf numFmtId="3" fontId="2" fillId="0" borderId="51" xfId="1" applyNumberFormat="1" applyFont="1" applyFill="1" applyBorder="1" applyAlignment="1" applyProtection="1">
      <alignment vertical="center"/>
    </xf>
    <xf numFmtId="3" fontId="2" fillId="0" borderId="52" xfId="1" applyNumberFormat="1" applyFont="1" applyFill="1" applyBorder="1" applyAlignment="1" applyProtection="1">
      <alignment horizontal="center" vertical="center"/>
    </xf>
    <xf numFmtId="3" fontId="2" fillId="0" borderId="53" xfId="1" applyNumberFormat="1" applyFont="1" applyFill="1" applyBorder="1" applyAlignment="1" applyProtection="1">
      <alignment horizontal="center" vertical="center"/>
    </xf>
    <xf numFmtId="3" fontId="2" fillId="0" borderId="54" xfId="1" applyNumberFormat="1" applyFont="1" applyFill="1" applyBorder="1" applyAlignment="1" applyProtection="1">
      <alignment horizontal="center" vertical="center"/>
    </xf>
    <xf numFmtId="3" fontId="2" fillId="0" borderId="52" xfId="1" applyNumberFormat="1" applyFont="1" applyFill="1" applyBorder="1" applyAlignment="1" applyProtection="1">
      <alignment horizontal="right" vertical="center"/>
      <protection locked="0"/>
    </xf>
    <xf numFmtId="3" fontId="2" fillId="0" borderId="53" xfId="1" applyNumberFormat="1" applyFont="1" applyFill="1" applyBorder="1" applyAlignment="1" applyProtection="1">
      <alignment horizontal="right" vertical="center"/>
      <protection locked="0"/>
    </xf>
    <xf numFmtId="3" fontId="2" fillId="0" borderId="54" xfId="1" applyNumberFormat="1" applyFont="1" applyFill="1" applyBorder="1" applyAlignment="1" applyProtection="1">
      <alignment horizontal="right" vertical="center"/>
    </xf>
    <xf numFmtId="3" fontId="2" fillId="0" borderId="52" xfId="1" applyNumberFormat="1" applyFont="1" applyFill="1" applyBorder="1" applyAlignment="1" applyProtection="1">
      <alignment horizontal="right" vertical="center"/>
    </xf>
    <xf numFmtId="3" fontId="2" fillId="0" borderId="53"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horizontal="left" vertical="center" wrapText="1"/>
      <protection locked="0"/>
    </xf>
    <xf numFmtId="0" fontId="3" fillId="0" borderId="55" xfId="1" applyFont="1" applyFill="1" applyBorder="1" applyAlignment="1" applyProtection="1">
      <alignment horizontal="center" vertical="center" wrapText="1"/>
    </xf>
    <xf numFmtId="0" fontId="3" fillId="0" borderId="55" xfId="1" applyFont="1" applyFill="1" applyBorder="1" applyAlignment="1" applyProtection="1">
      <alignment horizontal="left" vertical="center" wrapText="1"/>
    </xf>
    <xf numFmtId="3" fontId="2" fillId="0" borderId="55"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right" vertical="center"/>
    </xf>
    <xf numFmtId="3" fontId="2" fillId="0" borderId="57" xfId="1" applyNumberFormat="1" applyFont="1" applyFill="1" applyBorder="1" applyAlignment="1" applyProtection="1">
      <alignment horizontal="right" vertical="center"/>
    </xf>
    <xf numFmtId="3" fontId="2" fillId="0" borderId="58" xfId="1" applyNumberFormat="1" applyFont="1" applyFill="1" applyBorder="1" applyAlignment="1" applyProtection="1">
      <alignment horizontal="right" vertical="center"/>
    </xf>
    <xf numFmtId="3" fontId="2" fillId="0" borderId="56" xfId="1" applyNumberFormat="1" applyFont="1" applyFill="1" applyBorder="1" applyAlignment="1" applyProtection="1">
      <alignment horizontal="center" vertical="center"/>
    </xf>
    <xf numFmtId="3" fontId="2" fillId="0" borderId="57"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center" vertical="center"/>
    </xf>
    <xf numFmtId="3" fontId="2" fillId="0" borderId="58" xfId="1" applyNumberFormat="1" applyFont="1" applyFill="1" applyBorder="1" applyAlignment="1" applyProtection="1">
      <alignment horizontal="left" vertical="center" wrapText="1"/>
      <protection locked="0"/>
    </xf>
    <xf numFmtId="3" fontId="2" fillId="0" borderId="51" xfId="1" applyNumberFormat="1" applyFont="1" applyFill="1" applyBorder="1" applyAlignment="1" applyProtection="1">
      <alignment horizontal="right" vertical="center"/>
    </xf>
    <xf numFmtId="3" fontId="2" fillId="0" borderId="54" xfId="1" applyNumberFormat="1" applyFont="1" applyFill="1" applyBorder="1" applyAlignment="1" applyProtection="1">
      <alignment vertical="center"/>
    </xf>
    <xf numFmtId="3" fontId="2" fillId="0" borderId="43" xfId="1" applyNumberFormat="1" applyFont="1" applyFill="1" applyBorder="1" applyAlignment="1" applyProtection="1">
      <alignment horizontal="right" vertical="center"/>
    </xf>
    <xf numFmtId="3" fontId="2" fillId="0" borderId="47" xfId="1" applyNumberFormat="1" applyFont="1" applyFill="1" applyBorder="1" applyAlignment="1" applyProtection="1">
      <alignment horizontal="right" vertical="center"/>
    </xf>
    <xf numFmtId="3" fontId="2" fillId="0" borderId="19" xfId="1" applyNumberFormat="1" applyFont="1" applyFill="1" applyBorder="1" applyAlignment="1" applyProtection="1">
      <alignment vertical="center"/>
    </xf>
    <xf numFmtId="0" fontId="3" fillId="0" borderId="51" xfId="1" applyFont="1" applyFill="1" applyBorder="1" applyAlignment="1" applyProtection="1">
      <alignment horizontal="center" vertical="center" wrapText="1"/>
    </xf>
    <xf numFmtId="0" fontId="3" fillId="0" borderId="51" xfId="1" applyFont="1" applyFill="1" applyBorder="1" applyAlignment="1" applyProtection="1">
      <alignment horizontal="left" vertical="center" wrapText="1"/>
    </xf>
    <xf numFmtId="0" fontId="2" fillId="0" borderId="55" xfId="1" applyFont="1" applyFill="1" applyBorder="1" applyAlignment="1" applyProtection="1">
      <alignment horizontal="right" vertical="center" wrapText="1"/>
    </xf>
    <xf numFmtId="0" fontId="2" fillId="0" borderId="55" xfId="1" applyFont="1" applyFill="1" applyBorder="1" applyAlignment="1" applyProtection="1">
      <alignment horizontal="left" vertical="center" wrapText="1"/>
    </xf>
    <xf numFmtId="3" fontId="2" fillId="0" borderId="56" xfId="1" applyNumberFormat="1" applyFont="1" applyFill="1" applyBorder="1" applyAlignment="1" applyProtection="1">
      <alignment horizontal="center" vertical="center"/>
      <protection locked="0"/>
    </xf>
    <xf numFmtId="3" fontId="2" fillId="0" borderId="57" xfId="1" applyNumberFormat="1" applyFont="1" applyFill="1" applyBorder="1" applyAlignment="1" applyProtection="1">
      <alignment horizontal="center" vertical="center"/>
      <protection locked="0"/>
    </xf>
    <xf numFmtId="3" fontId="2" fillId="0" borderId="58" xfId="1" applyNumberFormat="1" applyFont="1" applyFill="1" applyBorder="1" applyAlignment="1" applyProtection="1">
      <alignment vertical="center"/>
    </xf>
    <xf numFmtId="0" fontId="2" fillId="0" borderId="55" xfId="1" applyFont="1" applyFill="1" applyBorder="1" applyAlignment="1" applyProtection="1">
      <alignment vertical="center" wrapText="1"/>
    </xf>
    <xf numFmtId="3" fontId="2" fillId="0" borderId="55" xfId="1" applyNumberFormat="1" applyFont="1" applyFill="1" applyBorder="1" applyAlignment="1" applyProtection="1">
      <alignment vertical="center"/>
    </xf>
    <xf numFmtId="3" fontId="2" fillId="0" borderId="56" xfId="1" applyNumberFormat="1" applyFont="1" applyFill="1" applyBorder="1" applyAlignment="1" applyProtection="1">
      <alignment horizontal="right" vertical="center"/>
      <protection locked="0"/>
    </xf>
    <xf numFmtId="3" fontId="2" fillId="0" borderId="57" xfId="1" applyNumberFormat="1" applyFont="1" applyFill="1" applyBorder="1" applyAlignment="1" applyProtection="1">
      <alignment horizontal="right" vertical="center"/>
      <protection locked="0"/>
    </xf>
    <xf numFmtId="0" fontId="3" fillId="0" borderId="15" xfId="1" applyFont="1" applyBorder="1" applyAlignment="1" applyProtection="1">
      <alignment vertical="center" wrapText="1"/>
    </xf>
    <xf numFmtId="0" fontId="3" fillId="0" borderId="15" xfId="1" applyFont="1" applyBorder="1" applyAlignment="1" applyProtection="1">
      <alignment horizontal="left" vertical="center" wrapText="1"/>
    </xf>
    <xf numFmtId="3" fontId="3" fillId="0" borderId="15" xfId="1" applyNumberFormat="1" applyFont="1" applyBorder="1" applyAlignment="1" applyProtection="1">
      <alignment vertical="center"/>
    </xf>
    <xf numFmtId="3" fontId="3" fillId="0" borderId="17" xfId="1" applyNumberFormat="1" applyFont="1" applyBorder="1" applyAlignment="1" applyProtection="1">
      <alignment horizontal="right" vertical="center"/>
      <protection locked="0"/>
    </xf>
    <xf numFmtId="3" fontId="3" fillId="0" borderId="18" xfId="1" applyNumberFormat="1" applyFont="1" applyBorder="1" applyAlignment="1" applyProtection="1">
      <alignment horizontal="right" vertical="center"/>
      <protection locked="0"/>
    </xf>
    <xf numFmtId="3" fontId="3" fillId="0" borderId="19" xfId="1" applyNumberFormat="1" applyFont="1" applyBorder="1" applyAlignment="1" applyProtection="1">
      <alignment vertical="center"/>
    </xf>
    <xf numFmtId="3" fontId="2" fillId="0" borderId="17" xfId="1" applyNumberFormat="1" applyFont="1" applyBorder="1" applyAlignment="1" applyProtection="1">
      <alignment horizontal="right" vertical="center"/>
      <protection locked="0"/>
    </xf>
    <xf numFmtId="3" fontId="2" fillId="0" borderId="18" xfId="1" applyNumberFormat="1" applyFont="1" applyBorder="1" applyAlignment="1" applyProtection="1">
      <alignment horizontal="right" vertical="center"/>
      <protection locked="0"/>
    </xf>
    <xf numFmtId="3" fontId="2" fillId="0" borderId="19" xfId="1" applyNumberFormat="1" applyFont="1" applyBorder="1" applyAlignment="1" applyProtection="1">
      <alignment vertical="center"/>
    </xf>
    <xf numFmtId="3" fontId="2" fillId="0" borderId="19" xfId="1" applyNumberFormat="1" applyFont="1" applyBorder="1" applyAlignment="1" applyProtection="1">
      <alignment horizontal="right" vertical="center"/>
    </xf>
    <xf numFmtId="3" fontId="2" fillId="0" borderId="19" xfId="1" applyNumberFormat="1" applyFont="1" applyBorder="1" applyAlignment="1" applyProtection="1">
      <alignment horizontal="left" vertical="center" wrapText="1"/>
      <protection locked="0"/>
    </xf>
    <xf numFmtId="0" fontId="3" fillId="0" borderId="35" xfId="1" applyFont="1" applyFill="1" applyBorder="1" applyAlignment="1" applyProtection="1">
      <alignment vertical="center"/>
    </xf>
    <xf numFmtId="3" fontId="3" fillId="0" borderId="35" xfId="1" applyNumberFormat="1" applyFont="1" applyFill="1" applyBorder="1" applyAlignment="1" applyProtection="1">
      <alignment vertical="center"/>
    </xf>
    <xf numFmtId="3" fontId="3" fillId="0" borderId="36" xfId="1" applyNumberFormat="1" applyFont="1" applyFill="1" applyBorder="1" applyAlignment="1" applyProtection="1">
      <alignment vertical="center"/>
    </xf>
    <xf numFmtId="3" fontId="3" fillId="0" borderId="37" xfId="1" applyNumberFormat="1" applyFont="1" applyFill="1" applyBorder="1" applyAlignment="1" applyProtection="1">
      <alignment vertical="center"/>
    </xf>
    <xf numFmtId="3" fontId="3" fillId="0" borderId="38" xfId="1" applyNumberFormat="1" applyFont="1" applyFill="1" applyBorder="1" applyAlignment="1" applyProtection="1">
      <alignment vertical="center"/>
    </xf>
    <xf numFmtId="0" fontId="3" fillId="0" borderId="59" xfId="1" applyFont="1" applyFill="1" applyBorder="1" applyAlignment="1" applyProtection="1">
      <alignment vertical="center"/>
    </xf>
    <xf numFmtId="0" fontId="3" fillId="0" borderId="59" xfId="1" applyFont="1" applyFill="1" applyBorder="1" applyAlignment="1" applyProtection="1">
      <alignment vertical="center" wrapText="1"/>
    </xf>
    <xf numFmtId="3" fontId="3" fillId="0" borderId="59" xfId="1" applyNumberFormat="1" applyFont="1" applyFill="1" applyBorder="1" applyAlignment="1" applyProtection="1">
      <alignment vertical="center"/>
    </xf>
    <xf numFmtId="3" fontId="3" fillId="0" borderId="60" xfId="1" applyNumberFormat="1" applyFont="1" applyFill="1" applyBorder="1" applyAlignment="1" applyProtection="1">
      <alignment vertical="center"/>
    </xf>
    <xf numFmtId="3" fontId="3" fillId="0" borderId="61" xfId="1" applyNumberFormat="1" applyFont="1" applyFill="1" applyBorder="1" applyAlignment="1" applyProtection="1">
      <alignment vertical="center"/>
    </xf>
    <xf numFmtId="3" fontId="3" fillId="0" borderId="62" xfId="1" applyNumberFormat="1" applyFont="1" applyFill="1" applyBorder="1" applyAlignment="1" applyProtection="1">
      <alignment vertical="center"/>
    </xf>
    <xf numFmtId="3" fontId="3" fillId="0" borderId="60" xfId="1" applyNumberFormat="1" applyFont="1" applyFill="1" applyBorder="1" applyAlignment="1" applyProtection="1">
      <alignment horizontal="right" vertical="center"/>
    </xf>
    <xf numFmtId="3" fontId="3" fillId="0" borderId="61"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right" vertical="center"/>
    </xf>
    <xf numFmtId="3" fontId="3" fillId="0" borderId="62" xfId="1" applyNumberFormat="1" applyFont="1" applyFill="1" applyBorder="1" applyAlignment="1" applyProtection="1">
      <alignment horizontal="left" vertical="center" wrapText="1"/>
      <protection locked="0"/>
    </xf>
    <xf numFmtId="3" fontId="3" fillId="0" borderId="15" xfId="1" applyNumberFormat="1" applyFont="1" applyFill="1" applyBorder="1" applyAlignment="1" applyProtection="1">
      <alignment vertical="center"/>
    </xf>
    <xf numFmtId="3" fontId="3" fillId="0" borderId="17" xfId="1" applyNumberFormat="1" applyFont="1" applyFill="1" applyBorder="1" applyAlignment="1" applyProtection="1">
      <alignment vertical="center"/>
    </xf>
    <xf numFmtId="3" fontId="3" fillId="0" borderId="18" xfId="1" applyNumberFormat="1" applyFont="1" applyFill="1" applyBorder="1" applyAlignment="1" applyProtection="1">
      <alignment vertical="center"/>
    </xf>
    <xf numFmtId="3" fontId="3" fillId="0" borderId="19" xfId="1" applyNumberFormat="1" applyFont="1" applyFill="1" applyBorder="1" applyAlignment="1" applyProtection="1">
      <alignment vertical="center"/>
    </xf>
    <xf numFmtId="3" fontId="3" fillId="0" borderId="19" xfId="1" applyNumberFormat="1" applyFont="1" applyFill="1" applyBorder="1" applyAlignment="1" applyProtection="1">
      <alignment horizontal="left" vertical="center" wrapText="1"/>
      <protection locked="0"/>
    </xf>
    <xf numFmtId="0" fontId="3" fillId="3" borderId="63" xfId="1" applyFont="1" applyFill="1" applyBorder="1" applyAlignment="1" applyProtection="1">
      <alignment horizontal="left" vertical="center" wrapText="1"/>
    </xf>
    <xf numFmtId="3" fontId="3" fillId="3" borderId="63" xfId="1" applyNumberFormat="1" applyFont="1" applyFill="1" applyBorder="1" applyAlignment="1" applyProtection="1">
      <alignment vertical="center"/>
    </xf>
    <xf numFmtId="3" fontId="3" fillId="3" borderId="64" xfId="1" applyNumberFormat="1" applyFont="1" applyFill="1" applyBorder="1" applyAlignment="1" applyProtection="1">
      <alignment vertical="center"/>
    </xf>
    <xf numFmtId="3" fontId="3" fillId="3" borderId="65" xfId="1" applyNumberFormat="1" applyFont="1" applyFill="1" applyBorder="1" applyAlignment="1" applyProtection="1">
      <alignment vertical="center"/>
    </xf>
    <xf numFmtId="3" fontId="3" fillId="3" borderId="66" xfId="1" applyNumberFormat="1" applyFont="1" applyFill="1" applyBorder="1" applyAlignment="1" applyProtection="1">
      <alignment vertical="center"/>
    </xf>
    <xf numFmtId="3" fontId="3" fillId="3" borderId="66" xfId="1" applyNumberFormat="1" applyFont="1" applyFill="1" applyBorder="1" applyAlignment="1" applyProtection="1">
      <alignment horizontal="left" vertical="center" wrapText="1"/>
      <protection locked="0"/>
    </xf>
    <xf numFmtId="0" fontId="2" fillId="0" borderId="43" xfId="1" applyFont="1" applyFill="1" applyBorder="1" applyAlignment="1" applyProtection="1">
      <alignment horizontal="left" vertical="center" wrapText="1"/>
    </xf>
    <xf numFmtId="3" fontId="2" fillId="0" borderId="44" xfId="1" applyNumberFormat="1" applyFont="1" applyFill="1" applyBorder="1" applyAlignment="1" applyProtection="1">
      <alignment vertical="center"/>
    </xf>
    <xf numFmtId="3" fontId="2" fillId="0" borderId="45" xfId="1" applyNumberFormat="1" applyFont="1" applyFill="1" applyBorder="1" applyAlignment="1" applyProtection="1">
      <alignment vertical="center"/>
    </xf>
    <xf numFmtId="0" fontId="2" fillId="0" borderId="55" xfId="1" applyFont="1" applyFill="1" applyBorder="1" applyAlignment="1" applyProtection="1">
      <alignment horizontal="center" vertical="center" wrapText="1"/>
    </xf>
    <xf numFmtId="3" fontId="2" fillId="0" borderId="56" xfId="1" applyNumberFormat="1" applyFont="1" applyFill="1" applyBorder="1" applyAlignment="1" applyProtection="1">
      <alignment vertical="center"/>
    </xf>
    <xf numFmtId="3" fontId="2" fillId="0" borderId="57" xfId="1" applyNumberFormat="1" applyFont="1" applyFill="1" applyBorder="1" applyAlignment="1" applyProtection="1">
      <alignment vertical="center"/>
    </xf>
    <xf numFmtId="0" fontId="2" fillId="0" borderId="39" xfId="1" applyFont="1" applyFill="1" applyBorder="1" applyAlignment="1" applyProtection="1">
      <alignment horizontal="center" vertical="center" wrapText="1"/>
    </xf>
    <xf numFmtId="3" fontId="2" fillId="0" borderId="40" xfId="1" applyNumberFormat="1" applyFont="1" applyFill="1" applyBorder="1" applyAlignment="1" applyProtection="1">
      <alignment vertical="center"/>
    </xf>
    <xf numFmtId="3" fontId="2" fillId="0" borderId="41" xfId="1" applyNumberFormat="1" applyFont="1" applyFill="1" applyBorder="1" applyAlignment="1" applyProtection="1">
      <alignment vertical="center"/>
    </xf>
    <xf numFmtId="0" fontId="2" fillId="0" borderId="15" xfId="1" applyFont="1" applyFill="1" applyBorder="1" applyAlignment="1" applyProtection="1">
      <alignment horizontal="center" vertical="center" wrapText="1"/>
    </xf>
    <xf numFmtId="3" fontId="2" fillId="0" borderId="17" xfId="1" applyNumberFormat="1" applyFont="1" applyFill="1" applyBorder="1" applyAlignment="1" applyProtection="1">
      <alignment vertical="center"/>
    </xf>
    <xf numFmtId="3" fontId="2" fillId="0" borderId="18" xfId="1" applyNumberFormat="1" applyFont="1" applyFill="1" applyBorder="1" applyAlignment="1" applyProtection="1">
      <alignment vertical="center"/>
    </xf>
    <xf numFmtId="3" fontId="2" fillId="0" borderId="40" xfId="1" applyNumberFormat="1" applyFont="1" applyFill="1" applyBorder="1" applyAlignment="1" applyProtection="1">
      <alignment vertical="center"/>
      <protection locked="0"/>
    </xf>
    <xf numFmtId="3" fontId="2" fillId="0" borderId="41" xfId="1" applyNumberFormat="1" applyFont="1" applyFill="1" applyBorder="1" applyAlignment="1" applyProtection="1">
      <alignment vertical="center"/>
      <protection locked="0"/>
    </xf>
    <xf numFmtId="3" fontId="2" fillId="0" borderId="17" xfId="1" applyNumberFormat="1" applyFont="1" applyFill="1" applyBorder="1" applyAlignment="1" applyProtection="1">
      <alignment vertical="center"/>
      <protection locked="0"/>
    </xf>
    <xf numFmtId="3" fontId="2" fillId="0" borderId="18" xfId="1" applyNumberFormat="1" applyFont="1" applyFill="1" applyBorder="1" applyAlignment="1" applyProtection="1">
      <alignment vertical="center"/>
      <protection locked="0"/>
    </xf>
    <xf numFmtId="3" fontId="2" fillId="4" borderId="41" xfId="1" applyNumberFormat="1" applyFont="1" applyFill="1" applyBorder="1" applyAlignment="1" applyProtection="1">
      <alignment vertical="center"/>
      <protection locked="0"/>
    </xf>
    <xf numFmtId="0" fontId="2" fillId="0" borderId="39" xfId="1" applyFont="1" applyFill="1" applyBorder="1" applyAlignment="1" applyProtection="1">
      <alignment vertical="center"/>
    </xf>
    <xf numFmtId="0" fontId="2" fillId="0" borderId="0" xfId="1" applyFont="1" applyFill="1" applyBorder="1" applyAlignment="1" applyProtection="1">
      <alignment vertical="center" wrapText="1"/>
    </xf>
    <xf numFmtId="3" fontId="2" fillId="4" borderId="41" xfId="1" applyNumberFormat="1" applyFont="1" applyFill="1" applyBorder="1" applyAlignment="1" applyProtection="1">
      <alignment horizontal="right" vertical="center"/>
      <protection locked="0"/>
    </xf>
    <xf numFmtId="3" fontId="2" fillId="0" borderId="56" xfId="1" applyNumberFormat="1" applyFont="1" applyFill="1" applyBorder="1" applyAlignment="1" applyProtection="1">
      <alignment vertical="center"/>
      <protection locked="0"/>
    </xf>
    <xf numFmtId="3" fontId="2" fillId="0" borderId="57" xfId="1" applyNumberFormat="1" applyFont="1" applyFill="1" applyBorder="1" applyAlignment="1" applyProtection="1">
      <alignment vertical="center"/>
      <protection locked="0"/>
    </xf>
    <xf numFmtId="3" fontId="2" fillId="0" borderId="44" xfId="1" applyNumberFormat="1" applyFont="1" applyFill="1" applyBorder="1" applyAlignment="1" applyProtection="1">
      <alignment vertical="center"/>
      <protection locked="0"/>
    </xf>
    <xf numFmtId="3" fontId="2" fillId="0" borderId="45" xfId="1" applyNumberFormat="1" applyFont="1" applyFill="1" applyBorder="1" applyAlignment="1" applyProtection="1">
      <alignment vertical="center"/>
      <protection locked="0"/>
    </xf>
    <xf numFmtId="0" fontId="3" fillId="0" borderId="0" xfId="1" applyFont="1" applyFill="1" applyBorder="1" applyAlignment="1" applyProtection="1">
      <alignment horizontal="left" vertical="center"/>
    </xf>
    <xf numFmtId="0" fontId="2" fillId="0" borderId="63" xfId="1" applyFont="1" applyFill="1" applyBorder="1" applyAlignment="1" applyProtection="1">
      <alignment horizontal="left" vertical="center" wrapText="1"/>
    </xf>
    <xf numFmtId="3" fontId="2" fillId="0" borderId="16" xfId="1" applyNumberFormat="1" applyFont="1" applyFill="1" applyBorder="1" applyAlignment="1" applyProtection="1">
      <alignment vertical="center"/>
    </xf>
    <xf numFmtId="0" fontId="2" fillId="0" borderId="16" xfId="1" applyFont="1" applyFill="1" applyBorder="1" applyAlignment="1" applyProtection="1">
      <alignment horizontal="right" vertical="center" wrapText="1"/>
    </xf>
    <xf numFmtId="3" fontId="2" fillId="0" borderId="67" xfId="1" applyNumberFormat="1" applyFont="1" applyFill="1" applyBorder="1" applyAlignment="1" applyProtection="1">
      <alignment vertical="center"/>
      <protection locked="0"/>
    </xf>
    <xf numFmtId="3" fontId="2" fillId="0" borderId="68" xfId="1" applyNumberFormat="1" applyFont="1" applyFill="1" applyBorder="1" applyAlignment="1" applyProtection="1">
      <alignment vertical="center"/>
      <protection locked="0"/>
    </xf>
    <xf numFmtId="3" fontId="2" fillId="0" borderId="69" xfId="1" applyNumberFormat="1" applyFont="1" applyFill="1" applyBorder="1" applyAlignment="1" applyProtection="1">
      <alignment vertical="center"/>
    </xf>
    <xf numFmtId="3" fontId="2" fillId="0" borderId="67" xfId="1" applyNumberFormat="1" applyFont="1" applyFill="1" applyBorder="1" applyAlignment="1" applyProtection="1">
      <alignment horizontal="right" vertical="center"/>
      <protection locked="0"/>
    </xf>
    <xf numFmtId="3" fontId="2" fillId="0" borderId="68" xfId="1" applyNumberFormat="1" applyFont="1" applyFill="1" applyBorder="1" applyAlignment="1" applyProtection="1">
      <alignment horizontal="right" vertical="center"/>
      <protection locked="0"/>
    </xf>
    <xf numFmtId="3" fontId="2" fillId="0" borderId="69" xfId="1" applyNumberFormat="1" applyFont="1" applyFill="1" applyBorder="1" applyAlignment="1" applyProtection="1">
      <alignment horizontal="left" vertical="center" wrapText="1"/>
      <protection locked="0"/>
    </xf>
    <xf numFmtId="0" fontId="3" fillId="0" borderId="63" xfId="1" applyFont="1" applyFill="1" applyBorder="1" applyAlignment="1" applyProtection="1">
      <alignment horizontal="left" vertical="center" wrapText="1"/>
    </xf>
    <xf numFmtId="3" fontId="2" fillId="0" borderId="63" xfId="1" applyNumberFormat="1" applyFont="1" applyFill="1" applyBorder="1" applyAlignment="1" applyProtection="1">
      <alignment vertical="center"/>
    </xf>
    <xf numFmtId="3" fontId="2" fillId="0" borderId="64" xfId="1" applyNumberFormat="1" applyFont="1" applyFill="1" applyBorder="1" applyAlignment="1" applyProtection="1">
      <alignment vertical="center"/>
    </xf>
    <xf numFmtId="3" fontId="2" fillId="0" borderId="65" xfId="1" applyNumberFormat="1" applyFont="1" applyFill="1" applyBorder="1" applyAlignment="1" applyProtection="1">
      <alignment vertical="center"/>
    </xf>
    <xf numFmtId="3" fontId="2" fillId="0" borderId="66" xfId="1" applyNumberFormat="1" applyFont="1" applyFill="1" applyBorder="1" applyAlignment="1" applyProtection="1">
      <alignment vertical="center"/>
    </xf>
    <xf numFmtId="3" fontId="2" fillId="0" borderId="66" xfId="1" applyNumberFormat="1" applyFont="1" applyFill="1" applyBorder="1" applyAlignment="1" applyProtection="1">
      <alignment horizontal="left" vertical="center" wrapText="1"/>
      <protection locked="0"/>
    </xf>
    <xf numFmtId="1" fontId="3" fillId="3" borderId="63" xfId="1" applyNumberFormat="1" applyFont="1" applyFill="1" applyBorder="1" applyAlignment="1" applyProtection="1">
      <alignment horizontal="left" vertical="center" wrapText="1"/>
    </xf>
    <xf numFmtId="1" fontId="3" fillId="0" borderId="43" xfId="1" applyNumberFormat="1" applyFont="1" applyFill="1" applyBorder="1" applyAlignment="1" applyProtection="1">
      <alignment horizontal="left" vertical="center" wrapText="1"/>
    </xf>
    <xf numFmtId="0" fontId="3" fillId="0" borderId="15" xfId="1" applyFont="1" applyFill="1" applyBorder="1" applyAlignment="1" applyProtection="1">
      <alignment horizontal="center" vertical="center" wrapText="1"/>
    </xf>
    <xf numFmtId="0" fontId="2" fillId="0" borderId="16" xfId="1" applyFont="1" applyFill="1" applyBorder="1" applyAlignment="1" applyProtection="1">
      <alignment horizontal="center" vertical="center" wrapText="1"/>
    </xf>
    <xf numFmtId="0" fontId="2" fillId="0" borderId="16" xfId="1" applyFont="1" applyFill="1" applyBorder="1" applyAlignment="1" applyProtection="1">
      <alignment horizontal="left" vertical="center" wrapText="1"/>
    </xf>
    <xf numFmtId="0" fontId="3" fillId="3" borderId="43" xfId="1" applyFont="1" applyFill="1" applyBorder="1" applyAlignment="1" applyProtection="1">
      <alignment horizontal="left" vertical="center" wrapText="1"/>
    </xf>
    <xf numFmtId="3" fontId="3" fillId="3" borderId="43" xfId="1" applyNumberFormat="1" applyFont="1" applyFill="1" applyBorder="1" applyAlignment="1" applyProtection="1">
      <alignment vertical="center"/>
    </xf>
    <xf numFmtId="3" fontId="3" fillId="3" borderId="44" xfId="1" applyNumberFormat="1" applyFont="1" applyFill="1" applyBorder="1" applyAlignment="1" applyProtection="1">
      <alignment vertical="center"/>
    </xf>
    <xf numFmtId="3" fontId="3" fillId="3" borderId="45" xfId="1" applyNumberFormat="1" applyFont="1" applyFill="1" applyBorder="1" applyAlignment="1" applyProtection="1">
      <alignment vertical="center"/>
    </xf>
    <xf numFmtId="3" fontId="3" fillId="3" borderId="46" xfId="1" applyNumberFormat="1" applyFont="1" applyFill="1" applyBorder="1" applyAlignment="1" applyProtection="1">
      <alignment vertical="center"/>
    </xf>
    <xf numFmtId="3" fontId="3" fillId="3" borderId="46" xfId="1" applyNumberFormat="1" applyFont="1" applyFill="1" applyBorder="1" applyAlignment="1" applyProtection="1">
      <alignment horizontal="left" vertical="center" wrapText="1"/>
      <protection locked="0"/>
    </xf>
    <xf numFmtId="0" fontId="8" fillId="0" borderId="0" xfId="1" applyFont="1" applyFill="1" applyBorder="1" applyAlignment="1" applyProtection="1">
      <alignment vertical="center"/>
    </xf>
    <xf numFmtId="3" fontId="2" fillId="0" borderId="52" xfId="1" applyNumberFormat="1" applyFont="1" applyFill="1" applyBorder="1" applyAlignment="1" applyProtection="1">
      <alignment vertical="center"/>
    </xf>
    <xf numFmtId="3" fontId="2" fillId="0" borderId="53" xfId="1" applyNumberFormat="1" applyFont="1" applyFill="1" applyBorder="1" applyAlignment="1" applyProtection="1">
      <alignment vertical="center"/>
    </xf>
    <xf numFmtId="3" fontId="2" fillId="0" borderId="48"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protection locked="0"/>
    </xf>
    <xf numFmtId="3" fontId="2" fillId="0" borderId="50" xfId="1" applyNumberFormat="1" applyFont="1" applyFill="1" applyBorder="1" applyAlignment="1" applyProtection="1">
      <alignment vertical="center"/>
    </xf>
    <xf numFmtId="0" fontId="3" fillId="5" borderId="70" xfId="1" applyFont="1" applyFill="1" applyBorder="1" applyAlignment="1" applyProtection="1">
      <alignment horizontal="left" vertical="center" wrapText="1"/>
    </xf>
    <xf numFmtId="0" fontId="3" fillId="5" borderId="39" xfId="1" applyFont="1" applyFill="1" applyBorder="1" applyAlignment="1" applyProtection="1">
      <alignment horizontal="left" vertical="center" wrapText="1"/>
    </xf>
    <xf numFmtId="3" fontId="3" fillId="5" borderId="55" xfId="1" applyNumberFormat="1" applyFont="1" applyFill="1" applyBorder="1" applyAlignment="1" applyProtection="1">
      <alignment vertical="center"/>
    </xf>
    <xf numFmtId="3" fontId="3" fillId="5" borderId="56" xfId="1" applyNumberFormat="1" applyFont="1" applyFill="1" applyBorder="1" applyAlignment="1" applyProtection="1">
      <alignment vertical="center"/>
    </xf>
    <xf numFmtId="3" fontId="3" fillId="5" borderId="57" xfId="1" applyNumberFormat="1" applyFont="1" applyFill="1" applyBorder="1" applyAlignment="1" applyProtection="1">
      <alignment vertical="center"/>
    </xf>
    <xf numFmtId="3" fontId="3" fillId="5" borderId="58" xfId="1" applyNumberFormat="1" applyFont="1" applyFill="1" applyBorder="1" applyAlignment="1" applyProtection="1">
      <alignment vertical="center"/>
    </xf>
    <xf numFmtId="3" fontId="3" fillId="5" borderId="58" xfId="1" applyNumberFormat="1" applyFont="1" applyFill="1" applyBorder="1" applyAlignment="1" applyProtection="1">
      <alignment horizontal="left" vertical="center" wrapText="1"/>
      <protection locked="0"/>
    </xf>
    <xf numFmtId="0" fontId="3" fillId="0" borderId="70" xfId="1" applyFont="1" applyFill="1" applyBorder="1" applyAlignment="1" applyProtection="1">
      <alignment horizontal="left" vertical="center" wrapText="1"/>
    </xf>
    <xf numFmtId="0" fontId="2" fillId="0" borderId="70" xfId="1" applyFont="1" applyFill="1" applyBorder="1" applyAlignment="1" applyProtection="1">
      <alignment horizontal="center" vertical="center" wrapText="1"/>
    </xf>
    <xf numFmtId="0" fontId="2" fillId="0" borderId="43" xfId="1" applyFont="1" applyFill="1" applyBorder="1" applyAlignment="1" applyProtection="1">
      <alignment horizontal="right" vertical="center" wrapText="1"/>
    </xf>
    <xf numFmtId="0" fontId="2" fillId="0" borderId="35" xfId="1" applyFont="1" applyFill="1" applyBorder="1" applyAlignment="1" applyProtection="1">
      <alignment vertical="center"/>
    </xf>
    <xf numFmtId="3" fontId="2" fillId="0" borderId="35" xfId="1" applyNumberFormat="1" applyFont="1" applyFill="1" applyBorder="1" applyAlignment="1" applyProtection="1">
      <alignment vertical="center"/>
    </xf>
    <xf numFmtId="3" fontId="2" fillId="0" borderId="36" xfId="1" applyNumberFormat="1" applyFont="1" applyFill="1" applyBorder="1" applyAlignment="1" applyProtection="1">
      <alignment vertical="center"/>
    </xf>
    <xf numFmtId="3" fontId="2" fillId="0" borderId="37" xfId="1" applyNumberFormat="1" applyFont="1" applyFill="1" applyBorder="1" applyAlignment="1" applyProtection="1">
      <alignment vertical="center"/>
    </xf>
    <xf numFmtId="3" fontId="2" fillId="0" borderId="38" xfId="1" applyNumberFormat="1" applyFont="1" applyFill="1" applyBorder="1" applyAlignment="1" applyProtection="1">
      <alignment vertical="center"/>
    </xf>
    <xf numFmtId="3" fontId="2" fillId="0" borderId="38" xfId="1" applyNumberFormat="1" applyFont="1" applyFill="1" applyBorder="1" applyAlignment="1" applyProtection="1">
      <alignment horizontal="left" vertical="center" wrapText="1"/>
      <protection locked="0"/>
    </xf>
    <xf numFmtId="3" fontId="3" fillId="0" borderId="73" xfId="1" applyNumberFormat="1" applyFont="1" applyFill="1" applyBorder="1" applyAlignment="1" applyProtection="1">
      <alignment vertical="center"/>
    </xf>
    <xf numFmtId="3" fontId="3" fillId="0" borderId="71" xfId="1" applyNumberFormat="1" applyFont="1" applyFill="1" applyBorder="1" applyAlignment="1" applyProtection="1">
      <alignment vertical="center"/>
    </xf>
    <xf numFmtId="3" fontId="3" fillId="0" borderId="74" xfId="1" applyNumberFormat="1" applyFont="1" applyFill="1" applyBorder="1" applyAlignment="1" applyProtection="1">
      <alignment vertical="center"/>
    </xf>
    <xf numFmtId="3" fontId="3" fillId="0" borderId="72" xfId="1" applyNumberFormat="1" applyFont="1" applyFill="1" applyBorder="1" applyAlignment="1" applyProtection="1">
      <alignment vertical="center"/>
    </xf>
    <xf numFmtId="3" fontId="3" fillId="0" borderId="72" xfId="1" applyNumberFormat="1" applyFont="1" applyFill="1" applyBorder="1" applyAlignment="1" applyProtection="1">
      <alignment horizontal="left" vertical="center" wrapText="1"/>
      <protection locked="0"/>
    </xf>
    <xf numFmtId="3" fontId="3" fillId="0" borderId="43" xfId="1" applyNumberFormat="1" applyFont="1" applyFill="1" applyBorder="1" applyAlignment="1" applyProtection="1">
      <alignment vertical="center"/>
    </xf>
    <xf numFmtId="3" fontId="3" fillId="0" borderId="44" xfId="1" applyNumberFormat="1" applyFont="1" applyFill="1" applyBorder="1" applyAlignment="1" applyProtection="1">
      <alignment vertical="center"/>
    </xf>
    <xf numFmtId="3" fontId="3" fillId="0" borderId="45" xfId="1" applyNumberFormat="1" applyFont="1" applyFill="1" applyBorder="1" applyAlignment="1" applyProtection="1">
      <alignment vertical="center"/>
    </xf>
    <xf numFmtId="3" fontId="3" fillId="0" borderId="46" xfId="1" applyNumberFormat="1" applyFont="1" applyFill="1" applyBorder="1" applyAlignment="1" applyProtection="1">
      <alignment vertical="center"/>
    </xf>
    <xf numFmtId="3" fontId="3" fillId="0" borderId="46" xfId="1" applyNumberFormat="1" applyFont="1" applyFill="1" applyBorder="1" applyAlignment="1" applyProtection="1">
      <alignment horizontal="left" vertical="center" wrapText="1"/>
      <protection locked="0"/>
    </xf>
    <xf numFmtId="0" fontId="3" fillId="0" borderId="43" xfId="1" applyFont="1" applyFill="1" applyBorder="1" applyAlignment="1" applyProtection="1">
      <alignment vertical="center"/>
    </xf>
    <xf numFmtId="0" fontId="2" fillId="0" borderId="55" xfId="1" applyFont="1" applyFill="1" applyBorder="1" applyAlignment="1" applyProtection="1">
      <alignment vertical="center"/>
    </xf>
    <xf numFmtId="0" fontId="2" fillId="0" borderId="16" xfId="1" applyFont="1" applyFill="1" applyBorder="1" applyAlignment="1" applyProtection="1">
      <alignment vertical="center"/>
    </xf>
    <xf numFmtId="0" fontId="2" fillId="0" borderId="16" xfId="1" applyFont="1" applyFill="1" applyBorder="1" applyAlignment="1" applyProtection="1">
      <alignment vertical="center" wrapText="1"/>
    </xf>
    <xf numFmtId="0" fontId="3" fillId="0" borderId="73" xfId="1" applyFont="1" applyFill="1" applyBorder="1" applyAlignment="1" applyProtection="1">
      <alignment vertical="center"/>
    </xf>
    <xf numFmtId="3" fontId="3" fillId="0" borderId="71" xfId="1" applyNumberFormat="1" applyFont="1" applyFill="1" applyBorder="1" applyAlignment="1" applyProtection="1">
      <alignment vertical="center"/>
      <protection locked="0"/>
    </xf>
    <xf numFmtId="3" fontId="3" fillId="0" borderId="74" xfId="1" applyNumberFormat="1" applyFont="1" applyFill="1" applyBorder="1" applyAlignment="1" applyProtection="1">
      <alignment vertical="center"/>
      <protection locked="0"/>
    </xf>
    <xf numFmtId="3" fontId="2" fillId="0" borderId="72" xfId="1" applyNumberFormat="1" applyFont="1" applyFill="1" applyBorder="1" applyAlignment="1" applyProtection="1">
      <alignment vertical="center"/>
    </xf>
    <xf numFmtId="3" fontId="2" fillId="0" borderId="72" xfId="1" applyNumberFormat="1" applyFont="1" applyFill="1" applyBorder="1" applyAlignment="1" applyProtection="1">
      <alignment horizontal="left" vertical="center" wrapText="1"/>
      <protection locked="0"/>
    </xf>
    <xf numFmtId="0" fontId="3" fillId="0" borderId="8" xfId="1" applyFont="1" applyFill="1" applyBorder="1" applyAlignment="1" applyProtection="1">
      <alignment vertical="center" wrapText="1"/>
    </xf>
    <xf numFmtId="0" fontId="2" fillId="0" borderId="0" xfId="1" applyFont="1" applyBorder="1" applyAlignment="1" applyProtection="1">
      <alignment vertical="center"/>
    </xf>
    <xf numFmtId="0" fontId="2" fillId="0" borderId="4" xfId="1" applyFont="1" applyFill="1" applyBorder="1" applyAlignment="1" applyProtection="1">
      <alignment vertical="center"/>
    </xf>
    <xf numFmtId="49" fontId="2" fillId="0" borderId="4" xfId="1" applyNumberFormat="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0" fontId="2" fillId="6" borderId="39" xfId="1" applyFont="1" applyFill="1" applyBorder="1" applyAlignment="1" applyProtection="1">
      <alignment horizontal="right" vertical="center" wrapText="1"/>
    </xf>
    <xf numFmtId="0" fontId="2" fillId="6" borderId="39" xfId="1" applyFont="1" applyFill="1" applyBorder="1" applyAlignment="1" applyProtection="1">
      <alignment horizontal="left" vertical="center" wrapText="1"/>
    </xf>
    <xf numFmtId="3" fontId="2" fillId="6" borderId="39" xfId="1" applyNumberFormat="1" applyFont="1" applyFill="1" applyBorder="1" applyAlignment="1" applyProtection="1">
      <alignment vertical="center"/>
    </xf>
    <xf numFmtId="3" fontId="2" fillId="6" borderId="40" xfId="1" applyNumberFormat="1" applyFont="1" applyFill="1" applyBorder="1" applyAlignment="1" applyProtection="1">
      <alignment vertical="center"/>
      <protection locked="0"/>
    </xf>
    <xf numFmtId="3" fontId="2" fillId="6" borderId="41" xfId="1" applyNumberFormat="1" applyFont="1" applyFill="1" applyBorder="1" applyAlignment="1" applyProtection="1">
      <alignment vertical="center"/>
      <protection locked="0"/>
    </xf>
    <xf numFmtId="3" fontId="2" fillId="6" borderId="42" xfId="1" applyNumberFormat="1" applyFont="1" applyFill="1" applyBorder="1" applyAlignment="1" applyProtection="1">
      <alignment vertical="center"/>
    </xf>
    <xf numFmtId="3" fontId="2" fillId="6" borderId="40" xfId="1" applyNumberFormat="1" applyFont="1" applyFill="1" applyBorder="1" applyAlignment="1" applyProtection="1">
      <alignment horizontal="right" vertical="center"/>
      <protection locked="0"/>
    </xf>
    <xf numFmtId="3" fontId="2" fillId="6" borderId="41" xfId="1" applyNumberFormat="1" applyFont="1" applyFill="1" applyBorder="1" applyAlignment="1" applyProtection="1">
      <alignment horizontal="right" vertical="center"/>
      <protection locked="0"/>
    </xf>
    <xf numFmtId="3" fontId="2" fillId="6" borderId="42" xfId="1" applyNumberFormat="1" applyFont="1" applyFill="1" applyBorder="1" applyAlignment="1" applyProtection="1">
      <alignment horizontal="left" vertical="center" wrapText="1"/>
      <protection locked="0"/>
    </xf>
    <xf numFmtId="3" fontId="2" fillId="0" borderId="6" xfId="1" applyNumberFormat="1" applyFont="1" applyFill="1" applyBorder="1" applyAlignment="1" applyProtection="1">
      <alignment vertical="center" wrapText="1"/>
      <protection locked="0"/>
    </xf>
    <xf numFmtId="0" fontId="0" fillId="0" borderId="0" xfId="0" applyProtection="1">
      <protection locked="0"/>
    </xf>
    <xf numFmtId="3" fontId="3" fillId="0" borderId="42" xfId="1" applyNumberFormat="1" applyFont="1" applyFill="1" applyBorder="1" applyAlignment="1" applyProtection="1">
      <alignment horizontal="left" vertical="center" wrapText="1"/>
      <protection locked="0"/>
    </xf>
    <xf numFmtId="49" fontId="2" fillId="0" borderId="51" xfId="0" applyNumberFormat="1" applyFont="1" applyFill="1" applyBorder="1" applyAlignment="1" applyProtection="1">
      <alignment horizontal="left" wrapText="1"/>
      <protection locked="0"/>
    </xf>
    <xf numFmtId="3" fontId="9" fillId="0" borderId="18" xfId="1" applyNumberFormat="1" applyFont="1" applyFill="1" applyBorder="1" applyAlignment="1" applyProtection="1">
      <alignment horizontal="right" vertical="center"/>
      <protection locked="0"/>
    </xf>
    <xf numFmtId="0" fontId="2" fillId="0" borderId="15" xfId="1" applyFont="1" applyFill="1" applyBorder="1" applyAlignment="1" applyProtection="1">
      <alignment horizontal="center" vertical="center" wrapText="1"/>
    </xf>
    <xf numFmtId="0" fontId="2" fillId="0" borderId="0" xfId="1" applyFont="1" applyBorder="1" applyAlignment="1" applyProtection="1">
      <alignment vertical="center"/>
      <protection locked="0"/>
    </xf>
    <xf numFmtId="0" fontId="2" fillId="0" borderId="0" xfId="1" applyFont="1" applyFill="1" applyBorder="1" applyAlignment="1" applyProtection="1">
      <alignment vertical="center"/>
      <protection locked="0"/>
    </xf>
    <xf numFmtId="0" fontId="2" fillId="7" borderId="0" xfId="1" applyFont="1" applyFill="1" applyBorder="1" applyAlignment="1" applyProtection="1">
      <alignment vertical="center"/>
    </xf>
    <xf numFmtId="0" fontId="2" fillId="7" borderId="0" xfId="1" applyFont="1" applyFill="1" applyBorder="1" applyAlignment="1" applyProtection="1">
      <alignment vertical="center"/>
      <protection locked="0"/>
    </xf>
    <xf numFmtId="1" fontId="7" fillId="7" borderId="32" xfId="1" applyNumberFormat="1" applyFont="1" applyFill="1" applyBorder="1" applyAlignment="1" applyProtection="1">
      <alignment horizontal="center" vertical="center"/>
    </xf>
    <xf numFmtId="0" fontId="3" fillId="7" borderId="17" xfId="1" applyFont="1" applyFill="1" applyBorder="1" applyAlignment="1" applyProtection="1">
      <alignment vertical="center"/>
      <protection locked="0"/>
    </xf>
    <xf numFmtId="3" fontId="3" fillId="7" borderId="36" xfId="1" applyNumberFormat="1" applyFont="1" applyFill="1" applyBorder="1" applyAlignment="1" applyProtection="1">
      <alignment horizontal="right" vertical="center"/>
    </xf>
    <xf numFmtId="3" fontId="2" fillId="7" borderId="29" xfId="1" applyNumberFormat="1" applyFont="1" applyFill="1" applyBorder="1" applyAlignment="1" applyProtection="1">
      <alignment horizontal="right" vertical="center"/>
    </xf>
    <xf numFmtId="3" fontId="2" fillId="7" borderId="17" xfId="1" applyNumberFormat="1" applyFont="1" applyFill="1" applyBorder="1" applyAlignment="1" applyProtection="1">
      <alignment horizontal="right" vertical="center"/>
      <protection locked="0"/>
    </xf>
    <xf numFmtId="3" fontId="2" fillId="7" borderId="40" xfId="1" applyNumberFormat="1" applyFont="1" applyFill="1" applyBorder="1" applyAlignment="1" applyProtection="1">
      <alignment horizontal="right" vertical="center"/>
      <protection locked="0"/>
    </xf>
    <xf numFmtId="3" fontId="2" fillId="7" borderId="23" xfId="1" applyNumberFormat="1" applyFont="1" applyFill="1" applyBorder="1" applyAlignment="1" applyProtection="1">
      <alignment horizontal="center" vertical="center"/>
    </xf>
    <xf numFmtId="3" fontId="2" fillId="7" borderId="44" xfId="1" applyNumberFormat="1" applyFont="1" applyFill="1" applyBorder="1" applyAlignment="1" applyProtection="1">
      <alignment horizontal="center" vertical="center"/>
    </xf>
    <xf numFmtId="3" fontId="2" fillId="7" borderId="44" xfId="1" applyNumberFormat="1" applyFont="1" applyFill="1" applyBorder="1" applyAlignment="1" applyProtection="1">
      <alignment horizontal="right" vertical="center"/>
    </xf>
    <xf numFmtId="3" fontId="2" fillId="7" borderId="48" xfId="1" applyNumberFormat="1" applyFont="1" applyFill="1" applyBorder="1" applyAlignment="1" applyProtection="1">
      <alignment horizontal="right" vertical="center"/>
      <protection locked="0"/>
    </xf>
    <xf numFmtId="3" fontId="2" fillId="7" borderId="52" xfId="1" applyNumberFormat="1" applyFont="1" applyFill="1" applyBorder="1" applyAlignment="1" applyProtection="1">
      <alignment horizontal="right" vertical="center"/>
      <protection locked="0"/>
    </xf>
    <xf numFmtId="3" fontId="2" fillId="7" borderId="56" xfId="1" applyNumberFormat="1" applyFont="1" applyFill="1" applyBorder="1" applyAlignment="1" applyProtection="1">
      <alignment horizontal="center" vertical="center"/>
    </xf>
    <xf numFmtId="3" fontId="2" fillId="7" borderId="52" xfId="1" applyNumberFormat="1" applyFont="1" applyFill="1" applyBorder="1" applyAlignment="1" applyProtection="1">
      <alignment horizontal="center" vertical="center"/>
    </xf>
    <xf numFmtId="3" fontId="2" fillId="7" borderId="52" xfId="1" applyNumberFormat="1" applyFont="1" applyFill="1" applyBorder="1" applyAlignment="1" applyProtection="1">
      <alignment horizontal="right" vertical="center"/>
    </xf>
    <xf numFmtId="3" fontId="2" fillId="7" borderId="56" xfId="1" applyNumberFormat="1" applyFont="1" applyFill="1" applyBorder="1" applyAlignment="1" applyProtection="1">
      <alignment horizontal="right" vertical="center"/>
      <protection locked="0"/>
    </xf>
    <xf numFmtId="3" fontId="3" fillId="7" borderId="60" xfId="1" applyNumberFormat="1" applyFont="1" applyFill="1" applyBorder="1" applyAlignment="1" applyProtection="1">
      <alignment horizontal="right" vertical="center"/>
    </xf>
    <xf numFmtId="3" fontId="3" fillId="7" borderId="17" xfId="1" applyNumberFormat="1" applyFont="1" applyFill="1" applyBorder="1" applyAlignment="1" applyProtection="1">
      <alignment vertical="center"/>
    </xf>
    <xf numFmtId="3" fontId="3" fillId="7" borderId="64" xfId="1" applyNumberFormat="1" applyFont="1" applyFill="1" applyBorder="1" applyAlignment="1" applyProtection="1">
      <alignment vertical="center"/>
    </xf>
    <xf numFmtId="3" fontId="2" fillId="7" borderId="44" xfId="1" applyNumberFormat="1" applyFont="1" applyFill="1" applyBorder="1" applyAlignment="1" applyProtection="1">
      <alignment vertical="center"/>
    </xf>
    <xf numFmtId="3" fontId="2" fillId="7" borderId="56" xfId="1" applyNumberFormat="1" applyFont="1" applyFill="1" applyBorder="1" applyAlignment="1" applyProtection="1">
      <alignment vertical="center"/>
    </xf>
    <xf numFmtId="3" fontId="2" fillId="7" borderId="40" xfId="1" applyNumberFormat="1" applyFont="1" applyFill="1" applyBorder="1" applyAlignment="1" applyProtection="1">
      <alignment vertical="center"/>
    </xf>
    <xf numFmtId="3" fontId="2" fillId="7" borderId="17" xfId="1" applyNumberFormat="1" applyFont="1" applyFill="1" applyBorder="1" applyAlignment="1" applyProtection="1">
      <alignment vertical="center"/>
    </xf>
    <xf numFmtId="3" fontId="2" fillId="7" borderId="44" xfId="1" applyNumberFormat="1" applyFont="1" applyFill="1" applyBorder="1" applyAlignment="1" applyProtection="1">
      <alignment horizontal="right" vertical="center"/>
      <protection locked="0"/>
    </xf>
    <xf numFmtId="3" fontId="2" fillId="7" borderId="67" xfId="1" applyNumberFormat="1" applyFont="1" applyFill="1" applyBorder="1" applyAlignment="1" applyProtection="1">
      <alignment horizontal="right" vertical="center"/>
      <protection locked="0"/>
    </xf>
    <xf numFmtId="3" fontId="2" fillId="7" borderId="64" xfId="1" applyNumberFormat="1" applyFont="1" applyFill="1" applyBorder="1" applyAlignment="1" applyProtection="1">
      <alignment vertical="center"/>
    </xf>
    <xf numFmtId="3" fontId="3" fillId="7" borderId="44" xfId="1" applyNumberFormat="1" applyFont="1" applyFill="1" applyBorder="1" applyAlignment="1" applyProtection="1">
      <alignment vertical="center"/>
    </xf>
    <xf numFmtId="3" fontId="2" fillId="7" borderId="52" xfId="1" applyNumberFormat="1" applyFont="1" applyFill="1" applyBorder="1" applyAlignment="1" applyProtection="1">
      <alignment vertical="center"/>
    </xf>
    <xf numFmtId="3" fontId="3" fillId="7" borderId="56" xfId="1" applyNumberFormat="1" applyFont="1" applyFill="1" applyBorder="1" applyAlignment="1" applyProtection="1">
      <alignment vertical="center"/>
    </xf>
    <xf numFmtId="3" fontId="2" fillId="7" borderId="36" xfId="1" applyNumberFormat="1" applyFont="1" applyFill="1" applyBorder="1" applyAlignment="1" applyProtection="1">
      <alignment vertical="center"/>
    </xf>
    <xf numFmtId="3" fontId="3" fillId="7" borderId="71" xfId="1" applyNumberFormat="1" applyFont="1" applyFill="1" applyBorder="1" applyAlignment="1" applyProtection="1">
      <alignment vertical="center"/>
    </xf>
    <xf numFmtId="3" fontId="3" fillId="7" borderId="36" xfId="1" applyNumberFormat="1" applyFont="1" applyFill="1" applyBorder="1" applyAlignment="1" applyProtection="1">
      <alignment vertical="center"/>
    </xf>
    <xf numFmtId="3" fontId="3" fillId="7" borderId="71" xfId="1" applyNumberFormat="1" applyFont="1" applyFill="1" applyBorder="1" applyAlignment="1" applyProtection="1">
      <alignment vertical="center"/>
      <protection locked="0"/>
    </xf>
    <xf numFmtId="3" fontId="2" fillId="7" borderId="44" xfId="1" applyNumberFormat="1" applyFont="1" applyFill="1" applyBorder="1" applyAlignment="1" applyProtection="1">
      <alignment vertical="center"/>
      <protection locked="0"/>
    </xf>
    <xf numFmtId="0" fontId="1" fillId="0" borderId="0" xfId="2" applyFont="1"/>
    <xf numFmtId="0" fontId="1" fillId="0" borderId="0" xfId="2" applyFont="1" applyFill="1"/>
    <xf numFmtId="0" fontId="2" fillId="0" borderId="0" xfId="3" applyFont="1" applyAlignment="1">
      <alignment horizontal="right"/>
    </xf>
    <xf numFmtId="0" fontId="5" fillId="0" borderId="0" xfId="2" applyFont="1" applyAlignment="1">
      <alignment horizontal="right"/>
    </xf>
    <xf numFmtId="0" fontId="2" fillId="0" borderId="0" xfId="2" applyFont="1"/>
    <xf numFmtId="0" fontId="2" fillId="0" borderId="0" xfId="2" applyFont="1" applyAlignment="1"/>
    <xf numFmtId="0" fontId="10" fillId="0" borderId="0" xfId="2" applyFont="1" applyFill="1" applyAlignment="1"/>
    <xf numFmtId="0" fontId="10" fillId="0" borderId="0" xfId="2" applyFont="1" applyAlignment="1"/>
    <xf numFmtId="0" fontId="5" fillId="0" borderId="0" xfId="2" applyFont="1"/>
    <xf numFmtId="0" fontId="2" fillId="0" borderId="0" xfId="2" applyFont="1" applyAlignment="1">
      <alignment horizontal="left"/>
    </xf>
    <xf numFmtId="0" fontId="2" fillId="0" borderId="0" xfId="2" applyFont="1" applyFill="1" applyAlignment="1">
      <alignment horizontal="left"/>
    </xf>
    <xf numFmtId="0" fontId="12" fillId="0" borderId="0" xfId="2" applyFont="1" applyAlignment="1">
      <alignment horizontal="center"/>
    </xf>
    <xf numFmtId="0" fontId="2" fillId="0" borderId="0" xfId="4" applyFont="1" applyBorder="1" applyAlignment="1">
      <alignment vertical="center"/>
    </xf>
    <xf numFmtId="0" fontId="5" fillId="0" borderId="0" xfId="4" applyFont="1" applyFill="1" applyBorder="1" applyAlignment="1">
      <alignment vertical="center"/>
    </xf>
    <xf numFmtId="0" fontId="5" fillId="7" borderId="0" xfId="4" applyFont="1" applyFill="1" applyBorder="1" applyAlignment="1">
      <alignment vertical="center" wrapText="1"/>
    </xf>
    <xf numFmtId="0" fontId="5" fillId="0" borderId="0" xfId="4" applyFont="1" applyBorder="1" applyAlignment="1">
      <alignment vertical="center" wrapText="1"/>
    </xf>
    <xf numFmtId="0" fontId="16" fillId="0" borderId="0" xfId="5" applyFont="1"/>
    <xf numFmtId="0" fontId="1" fillId="0" borderId="0" xfId="2" applyFont="1" applyAlignment="1">
      <alignment horizontal="left" vertical="center"/>
    </xf>
    <xf numFmtId="0" fontId="2" fillId="0" borderId="0" xfId="4" applyFont="1"/>
    <xf numFmtId="0" fontId="3" fillId="0" borderId="0" xfId="4" applyFont="1" applyBorder="1" applyAlignment="1"/>
    <xf numFmtId="0" fontId="5" fillId="0" borderId="0" xfId="4" applyFont="1" applyFill="1" applyBorder="1" applyAlignment="1"/>
    <xf numFmtId="0" fontId="5" fillId="7" borderId="0" xfId="4" applyFont="1" applyFill="1" applyBorder="1" applyAlignment="1"/>
    <xf numFmtId="0" fontId="5" fillId="0" borderId="0" xfId="4" applyFont="1" applyBorder="1" applyAlignment="1">
      <alignment horizontal="left"/>
    </xf>
    <xf numFmtId="0" fontId="2" fillId="0" borderId="68" xfId="6" applyFont="1" applyBorder="1" applyAlignment="1">
      <alignment horizontal="center" vertical="center" wrapText="1"/>
    </xf>
    <xf numFmtId="0" fontId="2" fillId="0" borderId="68" xfId="4" applyFont="1" applyBorder="1" applyAlignment="1">
      <alignment horizontal="center" vertical="center" wrapText="1"/>
    </xf>
    <xf numFmtId="3" fontId="2" fillId="0" borderId="41" xfId="3" applyNumberFormat="1" applyFont="1" applyBorder="1" applyAlignment="1">
      <alignment horizontal="center" vertical="center" wrapText="1"/>
    </xf>
    <xf numFmtId="0" fontId="2" fillId="0" borderId="41" xfId="6" applyFont="1" applyBorder="1" applyAlignment="1">
      <alignment vertical="center" wrapText="1"/>
    </xf>
    <xf numFmtId="0" fontId="3" fillId="0" borderId="41" xfId="6" applyFont="1" applyBorder="1" applyAlignment="1">
      <alignment horizontal="right" vertical="center" wrapText="1"/>
    </xf>
    <xf numFmtId="3" fontId="3" fillId="0" borderId="68" xfId="4" applyNumberFormat="1" applyFont="1" applyBorder="1" applyAlignment="1">
      <alignment wrapText="1"/>
    </xf>
    <xf numFmtId="3" fontId="3" fillId="0" borderId="68" xfId="4" applyNumberFormat="1" applyFont="1" applyFill="1" applyBorder="1" applyAlignment="1">
      <alignment wrapText="1"/>
    </xf>
    <xf numFmtId="0" fontId="2" fillId="0" borderId="41" xfId="2" applyFont="1" applyBorder="1"/>
    <xf numFmtId="0" fontId="2" fillId="0" borderId="75" xfId="4" applyFont="1" applyBorder="1" applyAlignment="1">
      <alignment horizontal="center" vertical="center" wrapText="1"/>
    </xf>
    <xf numFmtId="0" fontId="2" fillId="0" borderId="41" xfId="7" applyFont="1" applyBorder="1" applyAlignment="1">
      <alignment vertical="center" wrapText="1"/>
    </xf>
    <xf numFmtId="0" fontId="3" fillId="0" borderId="41" xfId="7" applyFont="1" applyFill="1" applyBorder="1" applyAlignment="1">
      <alignment horizontal="center" vertical="center" wrapText="1"/>
    </xf>
    <xf numFmtId="3" fontId="2" fillId="0" borderId="41" xfId="7" applyNumberFormat="1" applyFont="1" applyFill="1" applyBorder="1" applyAlignment="1">
      <alignment horizontal="right" vertical="center"/>
    </xf>
    <xf numFmtId="3" fontId="2" fillId="7" borderId="41" xfId="7" applyNumberFormat="1" applyFont="1" applyFill="1" applyBorder="1" applyAlignment="1">
      <alignment horizontal="right" vertical="center"/>
    </xf>
    <xf numFmtId="3" fontId="2" fillId="0" borderId="41" xfId="7" applyNumberFormat="1" applyFont="1" applyFill="1" applyBorder="1" applyAlignment="1">
      <alignment horizontal="right" vertical="center" wrapText="1"/>
    </xf>
    <xf numFmtId="3" fontId="2" fillId="0" borderId="41" xfId="4" applyNumberFormat="1" applyFont="1" applyFill="1" applyBorder="1" applyAlignment="1">
      <alignment wrapText="1"/>
    </xf>
    <xf numFmtId="0" fontId="2" fillId="0" borderId="41" xfId="2" applyFont="1" applyBorder="1" applyAlignment="1">
      <alignment horizontal="center" vertical="center" wrapText="1"/>
    </xf>
    <xf numFmtId="0" fontId="2" fillId="0" borderId="18" xfId="4" applyFont="1" applyBorder="1" applyAlignment="1">
      <alignment horizontal="center" vertical="center" wrapText="1"/>
    </xf>
    <xf numFmtId="3" fontId="2" fillId="0" borderId="68" xfId="4" applyNumberFormat="1" applyFont="1" applyFill="1" applyBorder="1" applyAlignment="1">
      <alignment wrapText="1"/>
    </xf>
    <xf numFmtId="0" fontId="2" fillId="0" borderId="41" xfId="4" applyFont="1" applyBorder="1" applyAlignment="1">
      <alignment horizontal="center" vertical="center" wrapText="1"/>
    </xf>
    <xf numFmtId="3" fontId="2" fillId="7" borderId="41" xfId="7" applyNumberFormat="1" applyFont="1" applyFill="1" applyBorder="1" applyAlignment="1">
      <alignment horizontal="right" vertical="center" wrapText="1"/>
    </xf>
    <xf numFmtId="0" fontId="5" fillId="0" borderId="0" xfId="4" applyFont="1" applyBorder="1" applyAlignment="1">
      <alignment wrapText="1"/>
    </xf>
    <xf numFmtId="0" fontId="5" fillId="0" borderId="0" xfId="4" applyFont="1" applyFill="1" applyBorder="1" applyAlignment="1">
      <alignment wrapText="1"/>
    </xf>
    <xf numFmtId="0" fontId="5" fillId="7" borderId="0" xfId="4" applyFont="1" applyFill="1" applyBorder="1" applyAlignment="1">
      <alignment wrapText="1"/>
    </xf>
    <xf numFmtId="0" fontId="2" fillId="0" borderId="0" xfId="4" applyFont="1" applyBorder="1" applyAlignment="1"/>
    <xf numFmtId="0" fontId="5" fillId="0" borderId="0" xfId="4" applyFont="1" applyBorder="1" applyAlignment="1"/>
    <xf numFmtId="0" fontId="5" fillId="0" borderId="68" xfId="4" applyFont="1" applyBorder="1" applyAlignment="1">
      <alignment horizontal="center" vertical="center" wrapText="1"/>
    </xf>
    <xf numFmtId="3" fontId="17" fillId="0" borderId="68" xfId="4" applyNumberFormat="1" applyFont="1" applyBorder="1" applyAlignment="1">
      <alignment wrapText="1"/>
    </xf>
    <xf numFmtId="3" fontId="17" fillId="0" borderId="68" xfId="4" applyNumberFormat="1" applyFont="1" applyFill="1" applyBorder="1" applyAlignment="1">
      <alignment wrapText="1"/>
    </xf>
    <xf numFmtId="0" fontId="5" fillId="0" borderId="41" xfId="2" applyFont="1" applyBorder="1"/>
    <xf numFmtId="0" fontId="2" fillId="0" borderId="41" xfId="7" applyFont="1" applyFill="1" applyBorder="1" applyAlignment="1">
      <alignment horizontal="left" vertical="center" wrapText="1"/>
    </xf>
    <xf numFmtId="3" fontId="2" fillId="0" borderId="41" xfId="4" applyNumberFormat="1" applyFont="1" applyFill="1" applyBorder="1" applyAlignment="1">
      <alignment horizontal="left" vertical="center" wrapText="1"/>
    </xf>
    <xf numFmtId="0" fontId="2" fillId="0" borderId="0" xfId="4" applyFont="1" applyFill="1" applyBorder="1" applyAlignment="1"/>
    <xf numFmtId="0" fontId="2" fillId="7" borderId="0" xfId="4" applyFont="1" applyFill="1" applyBorder="1" applyAlignment="1"/>
    <xf numFmtId="0" fontId="18" fillId="0" borderId="0" xfId="2" applyFont="1"/>
    <xf numFmtId="0" fontId="2" fillId="0" borderId="0" xfId="4" applyFont="1" applyBorder="1" applyAlignment="1">
      <alignment horizontal="left"/>
    </xf>
    <xf numFmtId="0" fontId="2" fillId="0" borderId="68" xfId="7" applyFont="1" applyBorder="1" applyAlignment="1">
      <alignment vertical="center" wrapText="1"/>
    </xf>
    <xf numFmtId="0" fontId="3" fillId="0" borderId="68" xfId="7" applyFont="1" applyFill="1" applyBorder="1" applyAlignment="1">
      <alignment horizontal="center" vertical="center" wrapText="1"/>
    </xf>
    <xf numFmtId="3" fontId="2" fillId="0" borderId="68" xfId="7" applyNumberFormat="1" applyFont="1" applyFill="1" applyBorder="1" applyAlignment="1">
      <alignment horizontal="center" vertical="center"/>
    </xf>
    <xf numFmtId="3" fontId="2" fillId="7" borderId="41" xfId="7" applyNumberFormat="1" applyFont="1" applyFill="1" applyBorder="1" applyAlignment="1">
      <alignment horizontal="center" vertical="center"/>
    </xf>
    <xf numFmtId="3" fontId="2" fillId="0" borderId="41" xfId="7" applyNumberFormat="1" applyFont="1" applyFill="1" applyBorder="1" applyAlignment="1">
      <alignment horizontal="center" vertical="center"/>
    </xf>
    <xf numFmtId="0" fontId="2" fillId="0" borderId="41" xfId="7" applyFont="1" applyFill="1" applyBorder="1" applyAlignment="1">
      <alignment vertical="center" wrapText="1"/>
    </xf>
    <xf numFmtId="0" fontId="1" fillId="0" borderId="0" xfId="2" applyFont="1" applyBorder="1" applyAlignment="1">
      <alignment vertical="center" wrapText="1"/>
    </xf>
    <xf numFmtId="0" fontId="1" fillId="0" borderId="0" xfId="2" applyFont="1" applyFill="1" applyBorder="1" applyAlignment="1">
      <alignment vertical="center" wrapText="1"/>
    </xf>
    <xf numFmtId="3" fontId="1" fillId="7" borderId="0" xfId="2" applyNumberFormat="1" applyFont="1" applyFill="1" applyBorder="1" applyAlignment="1">
      <alignment vertical="center" wrapText="1"/>
    </xf>
    <xf numFmtId="0" fontId="2" fillId="0" borderId="0" xfId="3" applyFont="1"/>
    <xf numFmtId="3" fontId="2" fillId="0" borderId="0" xfId="3" applyNumberFormat="1" applyFont="1"/>
    <xf numFmtId="0" fontId="1" fillId="0" borderId="0" xfId="3" applyFont="1"/>
    <xf numFmtId="0" fontId="2" fillId="0" borderId="0" xfId="1" applyFont="1"/>
    <xf numFmtId="0" fontId="2" fillId="0" borderId="0" xfId="3" applyFont="1" applyAlignment="1">
      <alignment horizontal="right" wrapText="1"/>
    </xf>
    <xf numFmtId="3" fontId="2" fillId="0" borderId="0" xfId="3" applyNumberFormat="1" applyFont="1" applyAlignment="1">
      <alignment horizontal="right" wrapText="1"/>
    </xf>
    <xf numFmtId="3" fontId="2" fillId="0" borderId="0" xfId="1" applyNumberFormat="1" applyFont="1"/>
    <xf numFmtId="0" fontId="2" fillId="0" borderId="0" xfId="7" applyFont="1" applyAlignment="1"/>
    <xf numFmtId="3" fontId="2" fillId="0" borderId="0" xfId="7" applyNumberFormat="1" applyFont="1" applyAlignment="1"/>
    <xf numFmtId="0" fontId="11" fillId="0" borderId="0" xfId="1" applyFont="1" applyAlignment="1">
      <alignment horizontal="center"/>
    </xf>
    <xf numFmtId="3" fontId="11" fillId="0" borderId="0" xfId="1" applyNumberFormat="1" applyFont="1" applyAlignment="1">
      <alignment horizontal="center"/>
    </xf>
    <xf numFmtId="0" fontId="13" fillId="0" borderId="0" xfId="7" applyFont="1" applyAlignment="1"/>
    <xf numFmtId="3" fontId="13" fillId="0" borderId="0" xfId="7" applyNumberFormat="1" applyFont="1" applyAlignment="1"/>
    <xf numFmtId="3" fontId="2" fillId="0" borderId="0" xfId="4" applyNumberFormat="1" applyFont="1" applyBorder="1" applyAlignment="1"/>
    <xf numFmtId="3" fontId="3" fillId="0" borderId="76" xfId="4" applyNumberFormat="1" applyFont="1" applyFill="1" applyBorder="1" applyAlignment="1"/>
    <xf numFmtId="3" fontId="3" fillId="0" borderId="0" xfId="4" applyNumberFormat="1" applyFont="1" applyFill="1" applyBorder="1" applyAlignment="1"/>
    <xf numFmtId="0" fontId="2" fillId="0" borderId="41" xfId="1" applyFont="1" applyBorder="1" applyAlignment="1">
      <alignment horizontal="center" vertical="center" wrapText="1"/>
    </xf>
    <xf numFmtId="0" fontId="2" fillId="0" borderId="75" xfId="1" applyFont="1" applyBorder="1" applyAlignment="1">
      <alignment horizontal="center" vertical="center" wrapText="1"/>
    </xf>
    <xf numFmtId="3" fontId="2" fillId="0" borderId="41" xfId="1" applyNumberFormat="1" applyFont="1" applyBorder="1" applyAlignment="1">
      <alignment horizontal="center" vertical="center" wrapText="1"/>
    </xf>
    <xf numFmtId="0" fontId="2" fillId="0" borderId="77" xfId="1" applyFont="1" applyBorder="1"/>
    <xf numFmtId="3" fontId="3" fillId="0" borderId="41" xfId="1" applyNumberFormat="1" applyFont="1" applyBorder="1" applyAlignment="1">
      <alignment wrapText="1"/>
    </xf>
    <xf numFmtId="0" fontId="2" fillId="0" borderId="41" xfId="1" applyFont="1" applyBorder="1" applyAlignment="1" applyProtection="1">
      <alignment wrapText="1"/>
      <protection locked="0"/>
    </xf>
    <xf numFmtId="0" fontId="3" fillId="0" borderId="41" xfId="7" applyNumberFormat="1" applyFont="1" applyFill="1" applyBorder="1" applyAlignment="1">
      <alignment horizontal="center" vertical="center" wrapText="1"/>
    </xf>
    <xf numFmtId="3" fontId="2" fillId="0" borderId="41" xfId="7" applyNumberFormat="1" applyFont="1" applyFill="1" applyBorder="1" applyAlignment="1" applyProtection="1">
      <alignment vertical="center" wrapText="1"/>
      <protection locked="0"/>
    </xf>
    <xf numFmtId="3" fontId="2" fillId="0" borderId="41" xfId="1" applyNumberFormat="1" applyFont="1" applyBorder="1" applyAlignment="1" applyProtection="1">
      <alignment wrapText="1"/>
      <protection locked="0"/>
    </xf>
    <xf numFmtId="3" fontId="2" fillId="0" borderId="41" xfId="1" applyNumberFormat="1" applyFont="1" applyBorder="1"/>
    <xf numFmtId="0" fontId="3" fillId="0" borderId="41" xfId="7" applyNumberFormat="1" applyFont="1" applyFill="1" applyBorder="1" applyAlignment="1" applyProtection="1">
      <alignment horizontal="center" vertical="center" wrapText="1"/>
      <protection locked="0"/>
    </xf>
    <xf numFmtId="3" fontId="2" fillId="0" borderId="57" xfId="7" applyNumberFormat="1" applyFont="1" applyBorder="1" applyAlignment="1" applyProtection="1">
      <alignment horizontal="center" vertical="center" wrapText="1"/>
      <protection locked="0"/>
    </xf>
    <xf numFmtId="3" fontId="2" fillId="0" borderId="75" xfId="7" applyNumberFormat="1" applyFont="1" applyBorder="1" applyAlignment="1">
      <alignment vertical="center" wrapText="1"/>
    </xf>
    <xf numFmtId="3" fontId="2" fillId="0" borderId="41" xfId="1" applyNumberFormat="1" applyFont="1" applyBorder="1" applyAlignment="1">
      <alignment vertical="center"/>
    </xf>
    <xf numFmtId="0" fontId="2" fillId="0" borderId="0" xfId="1" applyFont="1" applyBorder="1" applyAlignment="1" applyProtection="1">
      <alignment wrapText="1"/>
      <protection locked="0"/>
    </xf>
    <xf numFmtId="0" fontId="2" fillId="0" borderId="0" xfId="1" applyFont="1" applyBorder="1" applyAlignment="1" applyProtection="1">
      <alignment horizontal="left" wrapText="1"/>
      <protection locked="0"/>
    </xf>
    <xf numFmtId="3" fontId="2" fillId="0" borderId="0" xfId="1" applyNumberFormat="1" applyFont="1" applyBorder="1" applyAlignment="1" applyProtection="1">
      <alignment wrapText="1"/>
      <protection locked="0"/>
    </xf>
    <xf numFmtId="3" fontId="2" fillId="0" borderId="0" xfId="1" applyNumberFormat="1" applyFont="1" applyBorder="1"/>
    <xf numFmtId="3" fontId="2" fillId="0" borderId="0" xfId="4" applyNumberFormat="1" applyFont="1" applyFill="1" applyBorder="1" applyAlignment="1"/>
    <xf numFmtId="3" fontId="2" fillId="0" borderId="41" xfId="1" applyNumberFormat="1" applyFont="1" applyBorder="1" applyAlignment="1" applyProtection="1">
      <alignment vertical="center" wrapText="1"/>
      <protection locked="0"/>
    </xf>
    <xf numFmtId="3" fontId="2" fillId="0" borderId="0" xfId="4" applyNumberFormat="1" applyFont="1" applyFill="1" applyBorder="1" applyAlignment="1">
      <alignment vertical="center"/>
    </xf>
    <xf numFmtId="3" fontId="3" fillId="0" borderId="75" xfId="1" applyNumberFormat="1" applyFont="1" applyBorder="1" applyAlignment="1">
      <alignment wrapText="1"/>
    </xf>
    <xf numFmtId="3" fontId="2" fillId="0" borderId="41" xfId="7" applyNumberFormat="1" applyFont="1" applyBorder="1" applyAlignment="1" applyProtection="1">
      <alignment horizontal="center" vertical="center" wrapText="1"/>
      <protection locked="0"/>
    </xf>
    <xf numFmtId="3" fontId="2" fillId="0" borderId="41" xfId="7" applyNumberFormat="1" applyFont="1" applyFill="1" applyBorder="1" applyAlignment="1">
      <alignment vertical="center" wrapText="1"/>
    </xf>
    <xf numFmtId="0" fontId="3" fillId="0" borderId="41" xfId="7" applyNumberFormat="1" applyFont="1" applyFill="1" applyBorder="1" applyAlignment="1">
      <alignment horizontal="center" vertical="center"/>
    </xf>
    <xf numFmtId="3" fontId="2" fillId="0" borderId="75" xfId="4" applyNumberFormat="1" applyFont="1" applyFill="1" applyBorder="1" applyAlignment="1">
      <alignment horizontal="center" vertical="center" wrapText="1"/>
    </xf>
    <xf numFmtId="3" fontId="2" fillId="0" borderId="41" xfId="7" applyNumberFormat="1" applyFont="1" applyBorder="1" applyAlignment="1" applyProtection="1">
      <alignment horizontal="center" vertical="center"/>
      <protection locked="0"/>
    </xf>
    <xf numFmtId="3" fontId="2" fillId="0" borderId="41" xfId="7" applyNumberFormat="1" applyFont="1" applyBorder="1" applyAlignment="1">
      <alignment vertical="center" wrapText="1"/>
    </xf>
    <xf numFmtId="0" fontId="2" fillId="0" borderId="41" xfId="7" applyFont="1" applyBorder="1" applyAlignment="1" applyProtection="1">
      <alignment horizontal="center" vertical="center" wrapText="1"/>
      <protection locked="0"/>
    </xf>
    <xf numFmtId="0" fontId="2" fillId="0" borderId="75" xfId="7" applyFont="1" applyBorder="1" applyAlignment="1" applyProtection="1">
      <alignment horizontal="left" vertical="center" wrapText="1"/>
      <protection locked="0"/>
    </xf>
    <xf numFmtId="3" fontId="2" fillId="0" borderId="75" xfId="7" applyNumberFormat="1" applyFont="1" applyFill="1" applyBorder="1" applyAlignment="1" applyProtection="1">
      <alignment horizontal="center" vertical="center" wrapText="1"/>
      <protection locked="0"/>
    </xf>
    <xf numFmtId="0" fontId="2" fillId="0" borderId="0" xfId="1" applyFont="1" applyBorder="1" applyAlignment="1">
      <alignment wrapText="1"/>
    </xf>
    <xf numFmtId="3" fontId="2" fillId="0" borderId="0" xfId="1" applyNumberFormat="1" applyFont="1" applyBorder="1" applyAlignment="1">
      <alignment wrapText="1"/>
    </xf>
    <xf numFmtId="0" fontId="2" fillId="0" borderId="0" xfId="7" applyFont="1"/>
    <xf numFmtId="3" fontId="2" fillId="0" borderId="41" xfId="7" applyNumberFormat="1" applyFont="1" applyBorder="1" applyAlignment="1" applyProtection="1">
      <alignment vertical="center" wrapText="1"/>
      <protection locked="0"/>
    </xf>
    <xf numFmtId="3" fontId="2" fillId="0" borderId="41" xfId="4" applyNumberFormat="1" applyFont="1" applyBorder="1" applyAlignment="1">
      <alignment vertical="center" wrapText="1"/>
    </xf>
    <xf numFmtId="0" fontId="3" fillId="0" borderId="41" xfId="4" applyNumberFormat="1" applyFont="1" applyBorder="1" applyAlignment="1">
      <alignment horizontal="center" vertical="center" wrapText="1"/>
    </xf>
    <xf numFmtId="0" fontId="2" fillId="0" borderId="0" xfId="6" applyFont="1"/>
    <xf numFmtId="0" fontId="3" fillId="0" borderId="0" xfId="3" applyFont="1"/>
    <xf numFmtId="3" fontId="2" fillId="0" borderId="0" xfId="7" applyNumberFormat="1" applyFont="1"/>
    <xf numFmtId="0" fontId="1" fillId="0" borderId="0" xfId="2"/>
    <xf numFmtId="0" fontId="1" fillId="0" borderId="0" xfId="2" applyFill="1"/>
    <xf numFmtId="0" fontId="2" fillId="0" borderId="0" xfId="1" applyFont="1" applyProtection="1">
      <protection locked="0"/>
    </xf>
    <xf numFmtId="3" fontId="2" fillId="0" borderId="0" xfId="1" applyNumberFormat="1" applyFont="1" applyProtection="1">
      <protection locked="0"/>
    </xf>
    <xf numFmtId="3" fontId="1" fillId="0" borderId="0" xfId="1" applyNumberFormat="1"/>
    <xf numFmtId="0" fontId="2" fillId="0" borderId="0" xfId="8" applyFont="1"/>
    <xf numFmtId="0" fontId="2" fillId="0" borderId="0" xfId="8" applyFont="1" applyAlignment="1"/>
    <xf numFmtId="0" fontId="3" fillId="0" borderId="0" xfId="8" applyFont="1" applyAlignment="1">
      <alignment horizontal="center"/>
    </xf>
    <xf numFmtId="0" fontId="2" fillId="0" borderId="0" xfId="8" applyFont="1" applyAlignment="1">
      <alignment horizontal="left"/>
    </xf>
    <xf numFmtId="0" fontId="2" fillId="0" borderId="41" xfId="8" applyFont="1" applyBorder="1" applyAlignment="1">
      <alignment horizontal="center" vertical="center" wrapText="1"/>
    </xf>
    <xf numFmtId="0" fontId="2" fillId="0" borderId="75" xfId="8" applyFont="1" applyBorder="1" applyAlignment="1">
      <alignment horizontal="center" vertical="center" wrapText="1"/>
    </xf>
    <xf numFmtId="3" fontId="3" fillId="0" borderId="0" xfId="4" applyNumberFormat="1" applyFont="1" applyFill="1" applyBorder="1" applyAlignment="1">
      <alignment wrapText="1"/>
    </xf>
    <xf numFmtId="0" fontId="2" fillId="0" borderId="41" xfId="7" applyFont="1" applyBorder="1" applyAlignment="1">
      <alignment horizontal="left" vertical="center" wrapText="1"/>
    </xf>
    <xf numFmtId="3" fontId="2" fillId="0" borderId="41" xfId="7" applyNumberFormat="1" applyFont="1" applyFill="1" applyBorder="1" applyAlignment="1">
      <alignment horizontal="center" vertical="center" wrapText="1"/>
    </xf>
    <xf numFmtId="0" fontId="2" fillId="0" borderId="78" xfId="4" applyFont="1" applyBorder="1" applyAlignment="1">
      <alignment horizontal="center" vertical="center" wrapText="1"/>
    </xf>
    <xf numFmtId="3" fontId="3" fillId="7" borderId="68" xfId="4" applyNumberFormat="1" applyFont="1" applyFill="1" applyBorder="1" applyAlignment="1">
      <alignment wrapText="1"/>
    </xf>
    <xf numFmtId="3" fontId="3" fillId="0" borderId="0" xfId="4" applyNumberFormat="1" applyFont="1" applyBorder="1" applyAlignment="1">
      <alignment wrapText="1"/>
    </xf>
    <xf numFmtId="3" fontId="2" fillId="0" borderId="41" xfId="4" applyNumberFormat="1" applyFont="1" applyFill="1" applyBorder="1" applyAlignment="1">
      <alignment horizontal="center" vertical="center" wrapText="1"/>
    </xf>
    <xf numFmtId="3" fontId="3" fillId="0" borderId="41" xfId="4" applyNumberFormat="1" applyFont="1" applyBorder="1" applyAlignment="1">
      <alignment wrapText="1"/>
    </xf>
    <xf numFmtId="0" fontId="2" fillId="0" borderId="41" xfId="2" applyFont="1" applyBorder="1" applyAlignment="1">
      <alignment horizontal="center" vertical="center"/>
    </xf>
    <xf numFmtId="3" fontId="2" fillId="0" borderId="41" xfId="2" applyNumberFormat="1" applyFont="1" applyBorder="1" applyAlignment="1">
      <alignment horizontal="center" vertical="center"/>
    </xf>
    <xf numFmtId="3" fontId="2" fillId="7" borderId="41" xfId="2" applyNumberFormat="1" applyFont="1" applyFill="1" applyBorder="1" applyAlignment="1">
      <alignment horizontal="center" vertical="center"/>
    </xf>
    <xf numFmtId="0" fontId="18" fillId="0" borderId="0" xfId="3" applyFont="1"/>
    <xf numFmtId="0" fontId="18" fillId="0" borderId="0" xfId="2" applyFont="1" applyFill="1"/>
    <xf numFmtId="0" fontId="2" fillId="0" borderId="0" xfId="8" applyFont="1" applyProtection="1">
      <protection locked="0"/>
    </xf>
    <xf numFmtId="0" fontId="18" fillId="0" borderId="0" xfId="8" applyFont="1"/>
    <xf numFmtId="0" fontId="2" fillId="0" borderId="0" xfId="3" applyNumberFormat="1" applyFont="1" applyAlignment="1">
      <alignment horizontal="right" wrapText="1"/>
    </xf>
    <xf numFmtId="3" fontId="2" fillId="0" borderId="0" xfId="3" applyNumberFormat="1" applyFont="1" applyAlignment="1">
      <alignment horizontal="right"/>
    </xf>
    <xf numFmtId="0" fontId="2" fillId="0" borderId="0" xfId="3" applyNumberFormat="1" applyFont="1"/>
    <xf numFmtId="0" fontId="2" fillId="0" borderId="0" xfId="3" applyNumberFormat="1" applyFont="1" applyAlignment="1"/>
    <xf numFmtId="3" fontId="2" fillId="0" borderId="0" xfId="3" applyNumberFormat="1" applyFont="1" applyAlignment="1"/>
    <xf numFmtId="3" fontId="11" fillId="0" borderId="0" xfId="3" applyNumberFormat="1" applyFont="1" applyAlignment="1">
      <alignment horizontal="center"/>
    </xf>
    <xf numFmtId="0" fontId="11" fillId="0" borderId="0" xfId="3" applyNumberFormat="1" applyFont="1" applyAlignment="1">
      <alignment horizontal="center"/>
    </xf>
    <xf numFmtId="0" fontId="2" fillId="0" borderId="0" xfId="4" applyNumberFormat="1" applyFont="1" applyBorder="1" applyAlignment="1"/>
    <xf numFmtId="3" fontId="2" fillId="7" borderId="0" xfId="4" applyNumberFormat="1" applyFont="1" applyFill="1" applyBorder="1" applyAlignment="1"/>
    <xf numFmtId="0" fontId="2" fillId="0" borderId="41" xfId="3" applyNumberFormat="1" applyFont="1" applyBorder="1" applyAlignment="1">
      <alignment horizontal="center" vertical="center" wrapText="1"/>
    </xf>
    <xf numFmtId="0" fontId="3" fillId="0" borderId="41" xfId="3" applyNumberFormat="1" applyFont="1" applyBorder="1" applyAlignment="1">
      <alignment wrapText="1"/>
    </xf>
    <xf numFmtId="3" fontId="3" fillId="0" borderId="41" xfId="3" applyNumberFormat="1" applyFont="1" applyBorder="1" applyAlignment="1">
      <alignment wrapText="1"/>
    </xf>
    <xf numFmtId="3" fontId="2" fillId="0" borderId="41" xfId="3" applyNumberFormat="1" applyFont="1" applyBorder="1" applyAlignment="1" applyProtection="1">
      <alignment wrapText="1"/>
      <protection locked="0"/>
    </xf>
    <xf numFmtId="3" fontId="2" fillId="0" borderId="41" xfId="3" applyNumberFormat="1" applyFont="1" applyBorder="1" applyAlignment="1" applyProtection="1">
      <alignment horizontal="center" vertical="center" wrapText="1"/>
      <protection locked="0"/>
    </xf>
    <xf numFmtId="3" fontId="2" fillId="7" borderId="41" xfId="7" applyNumberFormat="1" applyFont="1" applyFill="1" applyBorder="1" applyAlignment="1">
      <alignment horizontal="center" vertical="center" wrapText="1"/>
    </xf>
    <xf numFmtId="3" fontId="2" fillId="0" borderId="41" xfId="3" applyNumberFormat="1" applyFont="1" applyBorder="1" applyAlignment="1">
      <alignment horizontal="center" vertical="center"/>
    </xf>
    <xf numFmtId="3" fontId="2" fillId="0" borderId="57" xfId="4" applyNumberFormat="1" applyFont="1" applyFill="1" applyBorder="1" applyAlignment="1">
      <alignment horizontal="center" vertical="center" wrapText="1"/>
    </xf>
    <xf numFmtId="3" fontId="2" fillId="0" borderId="0" xfId="3" applyNumberFormat="1" applyFont="1" applyBorder="1" applyAlignment="1">
      <alignment wrapText="1"/>
    </xf>
    <xf numFmtId="0" fontId="2" fillId="0" borderId="0" xfId="3" applyNumberFormat="1" applyFont="1" applyBorder="1" applyAlignment="1">
      <alignment wrapText="1"/>
    </xf>
    <xf numFmtId="3" fontId="2" fillId="0" borderId="41" xfId="3" applyNumberFormat="1" applyFont="1" applyBorder="1"/>
    <xf numFmtId="3" fontId="2" fillId="0" borderId="41" xfId="3" applyNumberFormat="1" applyFont="1" applyBorder="1" applyAlignment="1" applyProtection="1">
      <alignment horizontal="center" vertical="center"/>
      <protection locked="0"/>
    </xf>
    <xf numFmtId="3" fontId="2" fillId="0" borderId="41" xfId="3" applyNumberFormat="1" applyFont="1" applyBorder="1" applyAlignment="1" applyProtection="1">
      <alignment horizontal="left"/>
      <protection locked="0"/>
    </xf>
    <xf numFmtId="3" fontId="2" fillId="7" borderId="41" xfId="1" applyNumberFormat="1" applyFont="1" applyFill="1" applyBorder="1" applyAlignment="1">
      <alignment horizontal="center" vertical="center" wrapText="1"/>
    </xf>
    <xf numFmtId="3" fontId="2" fillId="0" borderId="41" xfId="3" applyNumberFormat="1" applyFont="1" applyBorder="1" applyAlignment="1">
      <alignment horizontal="right" vertical="center"/>
    </xf>
    <xf numFmtId="3" fontId="2" fillId="0" borderId="41" xfId="2" applyNumberFormat="1" applyFont="1" applyBorder="1" applyAlignment="1">
      <alignment horizontal="center" wrapText="1"/>
    </xf>
    <xf numFmtId="3" fontId="2" fillId="0" borderId="0" xfId="2" applyNumberFormat="1" applyFont="1" applyBorder="1" applyAlignment="1">
      <alignment vertical="center" wrapText="1"/>
    </xf>
    <xf numFmtId="3" fontId="2" fillId="0" borderId="41" xfId="3" applyNumberFormat="1" applyFont="1" applyBorder="1" applyAlignment="1">
      <alignment vertical="center"/>
    </xf>
    <xf numFmtId="3" fontId="2" fillId="0" borderId="41" xfId="2" applyNumberFormat="1" applyFont="1" applyBorder="1" applyAlignment="1">
      <alignment wrapText="1"/>
    </xf>
    <xf numFmtId="3" fontId="2" fillId="0" borderId="68" xfId="7" applyNumberFormat="1" applyFont="1" applyFill="1" applyBorder="1" applyAlignment="1">
      <alignment horizontal="center" vertical="center" wrapText="1"/>
    </xf>
    <xf numFmtId="3" fontId="2" fillId="7" borderId="80" xfId="7" applyNumberFormat="1" applyFont="1" applyFill="1" applyBorder="1" applyAlignment="1">
      <alignment horizontal="center" vertical="center" wrapText="1"/>
    </xf>
    <xf numFmtId="3" fontId="2" fillId="0" borderId="84" xfId="7" applyNumberFormat="1" applyFont="1" applyFill="1" applyBorder="1" applyAlignment="1">
      <alignment horizontal="center" vertical="center" wrapText="1"/>
    </xf>
    <xf numFmtId="3" fontId="2" fillId="0" borderId="41" xfId="3" applyNumberFormat="1" applyFont="1" applyBorder="1" applyAlignment="1" applyProtection="1">
      <alignment horizontal="left" wrapText="1"/>
      <protection locked="0"/>
    </xf>
    <xf numFmtId="3" fontId="8" fillId="7" borderId="0" xfId="3" applyNumberFormat="1" applyFont="1" applyFill="1"/>
    <xf numFmtId="3" fontId="8" fillId="0" borderId="0" xfId="3" applyNumberFormat="1" applyFont="1"/>
    <xf numFmtId="0" fontId="2" fillId="7" borderId="0" xfId="3" applyFont="1" applyFill="1"/>
    <xf numFmtId="0" fontId="1" fillId="0" borderId="0" xfId="3"/>
    <xf numFmtId="0" fontId="1" fillId="7" borderId="0" xfId="2" applyFill="1"/>
    <xf numFmtId="0" fontId="2" fillId="0" borderId="0" xfId="3" applyFont="1" applyFill="1" applyAlignment="1"/>
    <xf numFmtId="0" fontId="2" fillId="0" borderId="0" xfId="3" applyFont="1" applyFill="1" applyAlignment="1">
      <alignment vertical="top"/>
    </xf>
    <xf numFmtId="3" fontId="2" fillId="0" borderId="0" xfId="1" applyNumberFormat="1" applyFont="1" applyAlignment="1">
      <alignment vertical="top"/>
    </xf>
    <xf numFmtId="3" fontId="1" fillId="0" borderId="0" xfId="3" applyNumberFormat="1"/>
    <xf numFmtId="0" fontId="2" fillId="0" borderId="0" xfId="3" applyNumberFormat="1" applyFont="1" applyAlignment="1">
      <alignment horizontal="left"/>
    </xf>
    <xf numFmtId="3" fontId="13" fillId="0" borderId="0" xfId="3" applyNumberFormat="1" applyFont="1" applyAlignment="1"/>
    <xf numFmtId="3" fontId="3" fillId="0" borderId="0" xfId="3" applyNumberFormat="1" applyFont="1" applyAlignment="1">
      <alignment horizontal="left"/>
    </xf>
    <xf numFmtId="0" fontId="3" fillId="0" borderId="41" xfId="3" applyNumberFormat="1" applyFont="1" applyBorder="1" applyAlignment="1" applyProtection="1">
      <alignment horizontal="center" vertical="center" wrapText="1"/>
      <protection locked="0"/>
    </xf>
    <xf numFmtId="3" fontId="2" fillId="0" borderId="41" xfId="3" applyNumberFormat="1" applyFont="1" applyBorder="1" applyAlignment="1" applyProtection="1">
      <alignment vertical="center" wrapText="1"/>
      <protection locked="0"/>
    </xf>
    <xf numFmtId="3" fontId="2" fillId="0" borderId="41" xfId="3" applyNumberFormat="1" applyFont="1" applyBorder="1" applyAlignment="1" applyProtection="1">
      <alignment horizontal="right" vertical="center" wrapText="1"/>
      <protection locked="0"/>
    </xf>
    <xf numFmtId="3" fontId="2" fillId="0" borderId="68" xfId="3" applyNumberFormat="1" applyFont="1" applyBorder="1" applyAlignment="1">
      <alignment vertical="center" wrapText="1"/>
    </xf>
    <xf numFmtId="3" fontId="2" fillId="0" borderId="57" xfId="3" applyNumberFormat="1" applyFont="1" applyBorder="1" applyAlignment="1" applyProtection="1">
      <alignment wrapText="1"/>
      <protection locked="0"/>
    </xf>
    <xf numFmtId="3" fontId="2" fillId="0" borderId="57" xfId="3" applyNumberFormat="1" applyFont="1" applyBorder="1"/>
    <xf numFmtId="3" fontId="2" fillId="0" borderId="57" xfId="3" applyNumberFormat="1" applyFont="1" applyBorder="1" applyAlignment="1" applyProtection="1">
      <alignment horizontal="center" vertical="center" wrapText="1"/>
      <protection locked="0"/>
    </xf>
    <xf numFmtId="0" fontId="3" fillId="0" borderId="57" xfId="3" applyNumberFormat="1" applyFont="1" applyBorder="1" applyAlignment="1" applyProtection="1">
      <alignment horizontal="center" vertical="center" wrapText="1"/>
      <protection locked="0"/>
    </xf>
    <xf numFmtId="3" fontId="2" fillId="0" borderId="57" xfId="3" applyNumberFormat="1" applyFont="1" applyBorder="1" applyAlignment="1" applyProtection="1">
      <alignment horizontal="right" vertical="center" wrapText="1"/>
      <protection locked="0"/>
    </xf>
    <xf numFmtId="3" fontId="2" fillId="0" borderId="57" xfId="3" applyNumberFormat="1" applyFont="1" applyBorder="1" applyAlignment="1">
      <alignment vertical="center"/>
    </xf>
    <xf numFmtId="3" fontId="2" fillId="0" borderId="68" xfId="3" applyNumberFormat="1" applyFont="1" applyBorder="1" applyAlignment="1" applyProtection="1">
      <alignment horizontal="center" vertical="center" wrapText="1"/>
      <protection locked="0"/>
    </xf>
    <xf numFmtId="3" fontId="2" fillId="0" borderId="57" xfId="3" applyNumberFormat="1" applyFont="1" applyBorder="1" applyAlignment="1">
      <alignment horizontal="right" vertical="center"/>
    </xf>
    <xf numFmtId="3" fontId="2" fillId="0" borderId="41" xfId="3" applyNumberFormat="1" applyFont="1" applyBorder="1" applyAlignment="1">
      <alignment wrapText="1"/>
    </xf>
    <xf numFmtId="3" fontId="2" fillId="0" borderId="0" xfId="3" applyNumberFormat="1" applyFont="1" applyAlignment="1">
      <alignment horizontal="center" vertical="center"/>
    </xf>
    <xf numFmtId="3" fontId="2" fillId="0" borderId="68" xfId="3" applyNumberFormat="1" applyFont="1" applyBorder="1" applyAlignment="1">
      <alignment horizontal="center" vertical="center" wrapText="1"/>
    </xf>
    <xf numFmtId="3" fontId="2" fillId="0" borderId="29" xfId="1" applyNumberFormat="1" applyFont="1" applyFill="1" applyBorder="1" applyAlignment="1" applyProtection="1">
      <alignment horizontal="right" vertical="center"/>
      <protection locked="0"/>
    </xf>
    <xf numFmtId="3" fontId="2" fillId="0" borderId="23" xfId="1" applyNumberFormat="1" applyFont="1" applyFill="1" applyBorder="1" applyAlignment="1" applyProtection="1">
      <alignment horizontal="center" vertical="center"/>
      <protection locked="0"/>
    </xf>
    <xf numFmtId="3" fontId="2" fillId="0" borderId="24" xfId="1" applyNumberFormat="1" applyFont="1" applyFill="1" applyBorder="1" applyAlignment="1" applyProtection="1">
      <alignment horizontal="center" vertical="center"/>
      <protection locked="0"/>
    </xf>
    <xf numFmtId="3" fontId="2" fillId="7" borderId="41" xfId="1" applyNumberFormat="1" applyFont="1" applyFill="1" applyBorder="1" applyAlignment="1" applyProtection="1">
      <alignment horizontal="right" vertical="center"/>
      <protection locked="0"/>
    </xf>
    <xf numFmtId="3" fontId="2" fillId="7" borderId="42" xfId="1" applyNumberFormat="1" applyFont="1" applyFill="1" applyBorder="1" applyAlignment="1" applyProtection="1">
      <alignment vertical="center"/>
    </xf>
    <xf numFmtId="3" fontId="2" fillId="7" borderId="40" xfId="1" applyNumberFormat="1" applyFont="1" applyFill="1" applyBorder="1" applyAlignment="1" applyProtection="1">
      <alignment vertical="center"/>
      <protection locked="0"/>
    </xf>
    <xf numFmtId="3" fontId="2" fillId="7" borderId="41" xfId="1" applyNumberFormat="1" applyFont="1" applyFill="1" applyBorder="1" applyAlignment="1" applyProtection="1">
      <alignment vertical="center"/>
      <protection locked="0"/>
    </xf>
    <xf numFmtId="3" fontId="2" fillId="7" borderId="42" xfId="1" applyNumberFormat="1" applyFont="1" applyFill="1" applyBorder="1" applyAlignment="1" applyProtection="1">
      <alignment horizontal="left" vertical="center" wrapText="1"/>
      <protection locked="0"/>
    </xf>
    <xf numFmtId="0" fontId="2" fillId="0" borderId="0" xfId="6" applyFont="1" applyAlignment="1">
      <alignment horizontal="left"/>
    </xf>
    <xf numFmtId="0" fontId="5" fillId="0" borderId="0" xfId="6" applyFont="1" applyAlignment="1">
      <alignment vertical="center"/>
    </xf>
    <xf numFmtId="0" fontId="2" fillId="0" borderId="0" xfId="6" applyFont="1" applyAlignment="1"/>
    <xf numFmtId="0" fontId="11" fillId="0" borderId="0" xfId="6" applyFont="1" applyAlignment="1">
      <alignment horizontal="center"/>
    </xf>
    <xf numFmtId="0" fontId="13" fillId="0" borderId="0" xfId="6" applyFont="1" applyAlignment="1"/>
    <xf numFmtId="0" fontId="13" fillId="0" borderId="0" xfId="6" applyFont="1" applyAlignment="1">
      <alignment vertical="center"/>
    </xf>
    <xf numFmtId="0" fontId="2" fillId="0" borderId="0" xfId="6" applyFont="1" applyAlignment="1">
      <alignment vertical="center"/>
    </xf>
    <xf numFmtId="0" fontId="19" fillId="0" borderId="0" xfId="6" applyFont="1" applyAlignment="1">
      <alignment vertical="center"/>
    </xf>
    <xf numFmtId="0" fontId="20" fillId="0" borderId="0" xfId="6" applyFont="1" applyAlignment="1"/>
    <xf numFmtId="0" fontId="2" fillId="0" borderId="41" xfId="6" applyFont="1" applyBorder="1" applyAlignment="1">
      <alignment horizontal="center" vertical="center" wrapText="1"/>
    </xf>
    <xf numFmtId="0" fontId="2" fillId="0" borderId="75" xfId="6" applyFont="1" applyBorder="1" applyAlignment="1">
      <alignment horizontal="center" vertical="center" wrapText="1"/>
    </xf>
    <xf numFmtId="3" fontId="3" fillId="0" borderId="41" xfId="6" applyNumberFormat="1" applyFont="1" applyBorder="1" applyAlignment="1">
      <alignment wrapText="1"/>
    </xf>
    <xf numFmtId="0" fontId="2" fillId="0" borderId="41" xfId="6" applyFont="1" applyBorder="1" applyAlignment="1" applyProtection="1">
      <alignment wrapText="1"/>
      <protection locked="0"/>
    </xf>
    <xf numFmtId="0" fontId="2" fillId="0" borderId="41" xfId="6" applyFont="1" applyBorder="1" applyAlignment="1" applyProtection="1">
      <alignment horizontal="center" wrapText="1"/>
      <protection locked="0"/>
    </xf>
    <xf numFmtId="0" fontId="2" fillId="0" borderId="68" xfId="6" applyFont="1" applyBorder="1" applyAlignment="1" applyProtection="1">
      <alignment vertical="center" wrapText="1"/>
      <protection locked="0"/>
    </xf>
    <xf numFmtId="3" fontId="3" fillId="0" borderId="41" xfId="6" applyNumberFormat="1" applyFont="1" applyBorder="1" applyAlignment="1" applyProtection="1">
      <alignment horizontal="center" vertical="center" wrapText="1"/>
      <protection locked="0"/>
    </xf>
    <xf numFmtId="3" fontId="2" fillId="0" borderId="41" xfId="6" applyNumberFormat="1" applyFont="1" applyFill="1" applyBorder="1" applyAlignment="1" applyProtection="1">
      <alignment vertical="center" wrapText="1"/>
      <protection locked="0"/>
    </xf>
    <xf numFmtId="3" fontId="2" fillId="0" borderId="41" xfId="6" applyNumberFormat="1" applyFont="1" applyBorder="1" applyAlignment="1" applyProtection="1">
      <alignment wrapText="1"/>
      <protection locked="0"/>
    </xf>
    <xf numFmtId="3" fontId="2" fillId="0" borderId="41" xfId="6" applyNumberFormat="1" applyFont="1" applyBorder="1"/>
    <xf numFmtId="3" fontId="3" fillId="0" borderId="68" xfId="6" applyNumberFormat="1" applyFont="1" applyBorder="1" applyAlignment="1" applyProtection="1">
      <alignment horizontal="center" vertical="center" wrapText="1"/>
      <protection locked="0"/>
    </xf>
    <xf numFmtId="3" fontId="2" fillId="0" borderId="68" xfId="6" applyNumberFormat="1" applyFont="1" applyFill="1" applyBorder="1" applyAlignment="1" applyProtection="1">
      <alignment vertical="center" wrapText="1"/>
      <protection locked="0"/>
    </xf>
    <xf numFmtId="0" fontId="2" fillId="0" borderId="75" xfId="6" applyFont="1" applyBorder="1" applyAlignment="1" applyProtection="1">
      <alignment horizontal="left" vertical="center" wrapText="1"/>
      <protection locked="0"/>
    </xf>
    <xf numFmtId="3" fontId="2" fillId="8" borderId="41" xfId="6" applyNumberFormat="1" applyFont="1" applyFill="1" applyBorder="1" applyAlignment="1" applyProtection="1">
      <alignment wrapText="1"/>
      <protection locked="0"/>
    </xf>
    <xf numFmtId="3" fontId="2" fillId="0" borderId="85" xfId="6" applyNumberFormat="1" applyFont="1" applyFill="1" applyBorder="1" applyAlignment="1" applyProtection="1">
      <alignment vertical="center" wrapText="1"/>
      <protection locked="0"/>
    </xf>
    <xf numFmtId="0" fontId="2" fillId="0" borderId="41" xfId="6" applyFont="1" applyBorder="1" applyAlignment="1" applyProtection="1">
      <alignment horizontal="left" vertical="center" wrapText="1"/>
      <protection locked="0"/>
    </xf>
    <xf numFmtId="3" fontId="3" fillId="0" borderId="75" xfId="6" applyNumberFormat="1" applyFont="1" applyBorder="1" applyAlignment="1" applyProtection="1">
      <alignment horizontal="center" vertical="center" wrapText="1"/>
      <protection locked="0"/>
    </xf>
    <xf numFmtId="3" fontId="2" fillId="0" borderId="81" xfId="6" applyNumberFormat="1" applyFont="1" applyFill="1" applyBorder="1" applyAlignment="1" applyProtection="1">
      <alignment vertical="center" wrapText="1"/>
      <protection locked="0"/>
    </xf>
    <xf numFmtId="0" fontId="2" fillId="0" borderId="68" xfId="6" applyFont="1" applyBorder="1" applyAlignment="1" applyProtection="1">
      <alignment horizontal="center" wrapText="1"/>
      <protection locked="0"/>
    </xf>
    <xf numFmtId="0" fontId="2" fillId="0" borderId="41" xfId="6" applyFont="1" applyBorder="1" applyAlignment="1" applyProtection="1">
      <alignment horizontal="left" wrapText="1"/>
      <protection locked="0"/>
    </xf>
    <xf numFmtId="3" fontId="2" fillId="0" borderId="68" xfId="6" applyNumberFormat="1" applyFont="1" applyBorder="1" applyAlignment="1" applyProtection="1">
      <alignment wrapText="1"/>
      <protection locked="0"/>
    </xf>
    <xf numFmtId="3" fontId="2" fillId="0" borderId="68" xfId="6" applyNumberFormat="1" applyFont="1" applyBorder="1"/>
    <xf numFmtId="0" fontId="2" fillId="0" borderId="68" xfId="6" applyFont="1" applyBorder="1" applyAlignment="1" applyProtection="1">
      <alignment wrapText="1"/>
      <protection locked="0"/>
    </xf>
    <xf numFmtId="0" fontId="5" fillId="0" borderId="41" xfId="6" applyFont="1" applyBorder="1"/>
    <xf numFmtId="3" fontId="3" fillId="0" borderId="41" xfId="6" applyNumberFormat="1" applyFont="1" applyFill="1" applyBorder="1" applyAlignment="1" applyProtection="1">
      <alignment horizontal="center" wrapText="1"/>
      <protection locked="0"/>
    </xf>
    <xf numFmtId="3" fontId="2" fillId="0" borderId="41" xfId="6" applyNumberFormat="1" applyFont="1" applyFill="1" applyBorder="1" applyAlignment="1" applyProtection="1">
      <alignment wrapText="1"/>
      <protection locked="0"/>
    </xf>
    <xf numFmtId="3" fontId="2" fillId="0" borderId="41" xfId="6" applyNumberFormat="1" applyFont="1" applyFill="1" applyBorder="1"/>
    <xf numFmtId="0" fontId="2" fillId="0" borderId="41" xfId="6" applyFont="1" applyFill="1" applyBorder="1" applyAlignment="1" applyProtection="1">
      <alignment horizontal="center" wrapText="1"/>
      <protection locked="0"/>
    </xf>
    <xf numFmtId="0" fontId="2" fillId="0" borderId="75" xfId="6" applyFont="1" applyBorder="1" applyAlignment="1" applyProtection="1">
      <alignment horizontal="left" wrapText="1"/>
      <protection locked="0"/>
    </xf>
    <xf numFmtId="3" fontId="2" fillId="0" borderId="57" xfId="6" applyNumberFormat="1" applyFont="1" applyBorder="1" applyAlignment="1" applyProtection="1">
      <alignment wrapText="1"/>
      <protection locked="0"/>
    </xf>
    <xf numFmtId="0" fontId="2" fillId="0" borderId="41" xfId="6" applyFont="1" applyBorder="1" applyAlignment="1" applyProtection="1">
      <alignment horizontal="center" vertical="center" wrapText="1"/>
      <protection locked="0"/>
    </xf>
    <xf numFmtId="3" fontId="2" fillId="0" borderId="41" xfId="6" applyNumberFormat="1" applyFont="1" applyBorder="1" applyAlignment="1" applyProtection="1">
      <alignment horizontal="center" vertical="center" wrapText="1"/>
      <protection locked="0"/>
    </xf>
    <xf numFmtId="0" fontId="2" fillId="0" borderId="41" xfId="6" applyFont="1" applyBorder="1"/>
    <xf numFmtId="0" fontId="2" fillId="0" borderId="0" xfId="6" applyFont="1" applyBorder="1" applyAlignment="1">
      <alignment wrapText="1"/>
    </xf>
    <xf numFmtId="0" fontId="19" fillId="0" borderId="0" xfId="6" applyFont="1" applyAlignment="1">
      <alignment horizontal="left" vertical="center"/>
    </xf>
    <xf numFmtId="0" fontId="2" fillId="0" borderId="0" xfId="6" applyFont="1" applyFill="1" applyAlignment="1">
      <alignment horizontal="left" vertical="center"/>
    </xf>
    <xf numFmtId="0" fontId="9" fillId="0" borderId="41" xfId="6" applyFont="1" applyBorder="1" applyAlignment="1">
      <alignment vertical="center" wrapText="1"/>
    </xf>
    <xf numFmtId="0" fontId="2" fillId="0" borderId="41" xfId="6" applyFont="1" applyBorder="1" applyAlignment="1" applyProtection="1">
      <alignment horizontal="left"/>
      <protection locked="0"/>
    </xf>
    <xf numFmtId="0" fontId="2" fillId="7" borderId="41" xfId="6" applyFont="1" applyFill="1" applyBorder="1" applyAlignment="1" applyProtection="1">
      <alignment horizontal="center" wrapText="1"/>
      <protection locked="0"/>
    </xf>
    <xf numFmtId="0" fontId="2" fillId="7" borderId="75" xfId="6" applyFont="1" applyFill="1" applyBorder="1" applyAlignment="1" applyProtection="1">
      <alignment horizontal="left" vertical="center" wrapText="1"/>
      <protection locked="0"/>
    </xf>
    <xf numFmtId="3" fontId="3" fillId="7" borderId="41" xfId="6" applyNumberFormat="1" applyFont="1" applyFill="1" applyBorder="1" applyAlignment="1" applyProtection="1">
      <alignment horizontal="center" vertical="center" wrapText="1"/>
      <protection locked="0"/>
    </xf>
    <xf numFmtId="0" fontId="9" fillId="7" borderId="41" xfId="6" applyFont="1" applyFill="1" applyBorder="1" applyAlignment="1">
      <alignment vertical="center" wrapText="1"/>
    </xf>
    <xf numFmtId="3" fontId="2" fillId="7" borderId="41" xfId="6" applyNumberFormat="1" applyFont="1" applyFill="1" applyBorder="1" applyAlignment="1" applyProtection="1">
      <alignment vertical="center" wrapText="1"/>
      <protection locked="0"/>
    </xf>
    <xf numFmtId="0" fontId="2" fillId="7" borderId="41" xfId="6" applyFont="1" applyFill="1" applyBorder="1" applyAlignment="1">
      <alignment horizontal="right" vertical="center"/>
    </xf>
    <xf numFmtId="0" fontId="2" fillId="7" borderId="41" xfId="6" applyFont="1" applyFill="1" applyBorder="1" applyAlignment="1" applyProtection="1">
      <alignment horizontal="center" vertical="center" wrapText="1"/>
      <protection locked="0"/>
    </xf>
    <xf numFmtId="3" fontId="3" fillId="0" borderId="41" xfId="6" applyNumberFormat="1" applyFont="1" applyFill="1" applyBorder="1" applyAlignment="1" applyProtection="1">
      <alignment horizontal="center" vertical="center" wrapText="1"/>
      <protection locked="0"/>
    </xf>
    <xf numFmtId="0" fontId="2" fillId="0" borderId="41" xfId="6" applyFont="1" applyFill="1" applyBorder="1"/>
    <xf numFmtId="0" fontId="2" fillId="7" borderId="0" xfId="6" applyFont="1" applyFill="1"/>
    <xf numFmtId="3" fontId="2" fillId="0" borderId="41" xfId="6" applyNumberFormat="1" applyFont="1" applyBorder="1" applyAlignment="1" applyProtection="1">
      <alignment vertical="center" wrapText="1"/>
      <protection locked="0"/>
    </xf>
    <xf numFmtId="0" fontId="2" fillId="0" borderId="0" xfId="6" applyFont="1" applyBorder="1"/>
    <xf numFmtId="0" fontId="3" fillId="0" borderId="0" xfId="9" applyFont="1" applyFill="1" applyBorder="1" applyAlignment="1">
      <alignment horizontal="left" vertical="center"/>
    </xf>
    <xf numFmtId="0" fontId="2" fillId="0" borderId="79" xfId="6" applyFont="1" applyBorder="1" applyAlignment="1" applyProtection="1">
      <alignment horizontal="left" wrapText="1"/>
      <protection locked="0"/>
    </xf>
    <xf numFmtId="3" fontId="2" fillId="0" borderId="0" xfId="6" applyNumberFormat="1" applyFont="1"/>
    <xf numFmtId="0" fontId="3" fillId="0" borderId="0" xfId="6" applyFont="1"/>
    <xf numFmtId="0" fontId="2" fillId="0" borderId="0" xfId="10" applyFont="1"/>
    <xf numFmtId="0" fontId="2" fillId="0" borderId="0" xfId="6" applyFont="1" applyProtection="1">
      <protection locked="0"/>
    </xf>
    <xf numFmtId="0" fontId="1" fillId="0" borderId="0" xfId="6"/>
    <xf numFmtId="3" fontId="21" fillId="0" borderId="41" xfId="1" applyNumberFormat="1" applyFont="1" applyFill="1" applyBorder="1" applyAlignment="1" applyProtection="1">
      <alignment horizontal="right" vertical="center"/>
      <protection locked="0"/>
    </xf>
    <xf numFmtId="3" fontId="21" fillId="0" borderId="41" xfId="1" applyNumberFormat="1" applyFont="1" applyFill="1" applyBorder="1" applyAlignment="1" applyProtection="1">
      <alignment vertical="center"/>
      <protection locked="0"/>
    </xf>
    <xf numFmtId="3" fontId="22" fillId="0" borderId="41" xfId="1" applyNumberFormat="1" applyFont="1" applyFill="1" applyBorder="1" applyAlignment="1" applyProtection="1">
      <alignment vertical="center"/>
      <protection locked="0"/>
    </xf>
    <xf numFmtId="3" fontId="2" fillId="7" borderId="19" xfId="1" applyNumberFormat="1" applyFont="1" applyFill="1" applyBorder="1" applyAlignment="1" applyProtection="1">
      <alignment horizontal="left" vertical="center" wrapText="1"/>
      <protection locked="0"/>
    </xf>
    <xf numFmtId="1" fontId="7" fillId="7" borderId="29" xfId="1" applyNumberFormat="1" applyFont="1" applyFill="1" applyBorder="1" applyAlignment="1" applyProtection="1">
      <alignment horizontal="center" vertical="center"/>
    </xf>
    <xf numFmtId="1" fontId="7" fillId="7" borderId="30" xfId="1" applyNumberFormat="1" applyFont="1" applyFill="1" applyBorder="1" applyAlignment="1" applyProtection="1">
      <alignment horizontal="center" vertical="center"/>
    </xf>
    <xf numFmtId="1" fontId="7" fillId="7" borderId="31" xfId="1" applyNumberFormat="1" applyFont="1" applyFill="1" applyBorder="1" applyAlignment="1" applyProtection="1">
      <alignment horizontal="center" vertical="center"/>
    </xf>
    <xf numFmtId="1" fontId="7" fillId="7" borderId="33" xfId="1" applyNumberFormat="1" applyFont="1" applyFill="1" applyBorder="1" applyAlignment="1" applyProtection="1">
      <alignment horizontal="center" vertical="center"/>
    </xf>
    <xf numFmtId="1" fontId="7" fillId="7" borderId="34" xfId="1" applyNumberFormat="1" applyFont="1" applyFill="1" applyBorder="1" applyAlignment="1" applyProtection="1">
      <alignment horizontal="center" vertical="center"/>
    </xf>
    <xf numFmtId="0" fontId="3" fillId="7" borderId="18" xfId="1" applyFont="1" applyFill="1" applyBorder="1" applyAlignment="1" applyProtection="1">
      <alignment vertical="center"/>
      <protection locked="0"/>
    </xf>
    <xf numFmtId="0" fontId="3" fillId="7" borderId="19" xfId="1" applyFont="1" applyFill="1" applyBorder="1" applyAlignment="1" applyProtection="1">
      <alignment vertical="center"/>
      <protection locked="0"/>
    </xf>
    <xf numFmtId="3" fontId="3" fillId="7" borderId="37" xfId="1" applyNumberFormat="1" applyFont="1" applyFill="1" applyBorder="1" applyAlignment="1" applyProtection="1">
      <alignment horizontal="right" vertical="center"/>
    </xf>
    <xf numFmtId="3" fontId="3" fillId="7" borderId="38" xfId="1" applyNumberFormat="1" applyFont="1" applyFill="1" applyBorder="1" applyAlignment="1" applyProtection="1">
      <alignment horizontal="right" vertical="center"/>
    </xf>
    <xf numFmtId="3" fontId="2" fillId="7" borderId="30" xfId="1" applyNumberFormat="1" applyFont="1" applyFill="1" applyBorder="1" applyAlignment="1" applyProtection="1">
      <alignment horizontal="right" vertical="center"/>
    </xf>
    <xf numFmtId="3" fontId="2" fillId="7" borderId="31" xfId="1" applyNumberFormat="1" applyFont="1" applyFill="1" applyBorder="1" applyAlignment="1" applyProtection="1">
      <alignment horizontal="right" vertical="center"/>
    </xf>
    <xf numFmtId="3" fontId="2" fillId="7" borderId="18" xfId="1" applyNumberFormat="1" applyFont="1" applyFill="1" applyBorder="1" applyAlignment="1" applyProtection="1">
      <alignment horizontal="right" vertical="center"/>
      <protection locked="0"/>
    </xf>
    <xf numFmtId="3" fontId="2" fillId="7" borderId="19" xfId="1" applyNumberFormat="1" applyFont="1" applyFill="1" applyBorder="1" applyAlignment="1" applyProtection="1">
      <alignment horizontal="right" vertical="center"/>
    </xf>
    <xf numFmtId="3" fontId="23" fillId="7" borderId="41" xfId="1" applyNumberFormat="1" applyFont="1" applyFill="1" applyBorder="1" applyAlignment="1" applyProtection="1">
      <alignment horizontal="right" vertical="center"/>
      <protection locked="0"/>
    </xf>
    <xf numFmtId="3" fontId="2" fillId="7" borderId="42" xfId="1" applyNumberFormat="1" applyFont="1" applyFill="1" applyBorder="1" applyAlignment="1" applyProtection="1">
      <alignment horizontal="right" vertical="center"/>
    </xf>
    <xf numFmtId="3" fontId="2" fillId="7" borderId="23" xfId="1" applyNumberFormat="1" applyFont="1" applyFill="1" applyBorder="1" applyAlignment="1" applyProtection="1">
      <alignment horizontal="right" vertical="center"/>
      <protection locked="0"/>
    </xf>
    <xf numFmtId="3" fontId="2" fillId="7" borderId="24" xfId="1" applyNumberFormat="1" applyFont="1" applyFill="1" applyBorder="1" applyAlignment="1" applyProtection="1">
      <alignment horizontal="right" vertical="center"/>
      <protection locked="0"/>
    </xf>
    <xf numFmtId="3" fontId="2" fillId="7" borderId="25" xfId="1" applyNumberFormat="1" applyFont="1" applyFill="1" applyBorder="1" applyAlignment="1" applyProtection="1">
      <alignment vertical="center"/>
    </xf>
    <xf numFmtId="3" fontId="2" fillId="7" borderId="24" xfId="1" applyNumberFormat="1" applyFont="1" applyFill="1" applyBorder="1" applyAlignment="1" applyProtection="1">
      <alignment horizontal="center" vertical="center"/>
    </xf>
    <xf numFmtId="3" fontId="2" fillId="7" borderId="25" xfId="1" applyNumberFormat="1" applyFont="1" applyFill="1" applyBorder="1" applyAlignment="1" applyProtection="1">
      <alignment horizontal="center" vertical="center"/>
    </xf>
    <xf numFmtId="3" fontId="2" fillId="7" borderId="45" xfId="1" applyNumberFormat="1" applyFont="1" applyFill="1" applyBorder="1" applyAlignment="1" applyProtection="1">
      <alignment horizontal="right" vertical="center"/>
      <protection locked="0"/>
    </xf>
    <xf numFmtId="3" fontId="2" fillId="7" borderId="46" xfId="1" applyNumberFormat="1" applyFont="1" applyFill="1" applyBorder="1" applyAlignment="1" applyProtection="1">
      <alignment vertical="center"/>
    </xf>
    <xf numFmtId="3" fontId="2" fillId="7" borderId="45" xfId="1" applyNumberFormat="1" applyFont="1" applyFill="1" applyBorder="1" applyAlignment="1" applyProtection="1">
      <alignment horizontal="center" vertical="center"/>
    </xf>
    <xf numFmtId="3" fontId="2" fillId="7" borderId="46" xfId="1" applyNumberFormat="1" applyFont="1" applyFill="1" applyBorder="1" applyAlignment="1" applyProtection="1">
      <alignment horizontal="center" vertical="center"/>
    </xf>
    <xf numFmtId="3" fontId="2" fillId="7" borderId="45" xfId="1" applyNumberFormat="1" applyFont="1" applyFill="1" applyBorder="1" applyAlignment="1" applyProtection="1">
      <alignment horizontal="right" vertical="center"/>
    </xf>
    <xf numFmtId="3" fontId="2" fillId="7" borderId="46" xfId="1" applyNumberFormat="1" applyFont="1" applyFill="1" applyBorder="1" applyAlignment="1" applyProtection="1">
      <alignment horizontal="right" vertical="center"/>
    </xf>
    <xf numFmtId="3" fontId="2" fillId="7" borderId="17" xfId="1" applyNumberFormat="1" applyFont="1" applyFill="1" applyBorder="1" applyAlignment="1" applyProtection="1">
      <alignment horizontal="center" vertical="center"/>
    </xf>
    <xf numFmtId="3" fontId="2" fillId="7" borderId="18" xfId="1" applyNumberFormat="1" applyFont="1" applyFill="1" applyBorder="1" applyAlignment="1" applyProtection="1">
      <alignment horizontal="center" vertical="center"/>
    </xf>
    <xf numFmtId="3" fontId="2" fillId="7" borderId="19" xfId="1" applyNumberFormat="1" applyFont="1" applyFill="1" applyBorder="1" applyAlignment="1" applyProtection="1">
      <alignment horizontal="center" vertical="center"/>
    </xf>
    <xf numFmtId="3" fontId="2" fillId="7" borderId="40" xfId="1" applyNumberFormat="1" applyFont="1" applyFill="1" applyBorder="1" applyAlignment="1" applyProtection="1">
      <alignment horizontal="center" vertical="center"/>
    </xf>
    <xf numFmtId="3" fontId="2" fillId="7" borderId="41" xfId="1" applyNumberFormat="1" applyFont="1" applyFill="1" applyBorder="1" applyAlignment="1" applyProtection="1">
      <alignment horizontal="center" vertical="center"/>
    </xf>
    <xf numFmtId="3" fontId="2" fillId="7" borderId="42" xfId="1" applyNumberFormat="1" applyFont="1" applyFill="1" applyBorder="1" applyAlignment="1" applyProtection="1">
      <alignment horizontal="center" vertical="center"/>
    </xf>
    <xf numFmtId="3" fontId="2" fillId="7" borderId="48" xfId="1" applyNumberFormat="1" applyFont="1" applyFill="1" applyBorder="1" applyAlignment="1" applyProtection="1">
      <alignment horizontal="center" vertical="center"/>
    </xf>
    <xf numFmtId="3" fontId="2" fillId="7" borderId="49" xfId="1" applyNumberFormat="1" applyFont="1" applyFill="1" applyBorder="1" applyAlignment="1" applyProtection="1">
      <alignment horizontal="center" vertical="center"/>
    </xf>
    <xf numFmtId="3" fontId="2" fillId="7" borderId="50" xfId="1" applyNumberFormat="1" applyFont="1" applyFill="1" applyBorder="1" applyAlignment="1" applyProtection="1">
      <alignment horizontal="center" vertical="center"/>
    </xf>
    <xf numFmtId="3" fontId="2" fillId="7" borderId="49" xfId="1" applyNumberFormat="1" applyFont="1" applyFill="1" applyBorder="1" applyAlignment="1" applyProtection="1">
      <alignment horizontal="right" vertical="center"/>
      <protection locked="0"/>
    </xf>
    <xf numFmtId="3" fontId="2" fillId="7" borderId="50" xfId="1" applyNumberFormat="1" applyFont="1" applyFill="1" applyBorder="1" applyAlignment="1" applyProtection="1">
      <alignment horizontal="right" vertical="center"/>
    </xf>
    <xf numFmtId="3" fontId="2" fillId="7" borderId="53" xfId="1" applyNumberFormat="1" applyFont="1" applyFill="1" applyBorder="1" applyAlignment="1" applyProtection="1">
      <alignment horizontal="center" vertical="center"/>
    </xf>
    <xf numFmtId="3" fontId="2" fillId="7" borderId="54" xfId="1" applyNumberFormat="1" applyFont="1" applyFill="1" applyBorder="1" applyAlignment="1" applyProtection="1">
      <alignment horizontal="center" vertical="center"/>
    </xf>
    <xf numFmtId="3" fontId="2" fillId="7" borderId="53" xfId="1" applyNumberFormat="1" applyFont="1" applyFill="1" applyBorder="1" applyAlignment="1" applyProtection="1">
      <alignment horizontal="right" vertical="center"/>
      <protection locked="0"/>
    </xf>
    <xf numFmtId="3" fontId="2" fillId="7" borderId="54" xfId="1" applyNumberFormat="1" applyFont="1" applyFill="1" applyBorder="1" applyAlignment="1" applyProtection="1">
      <alignment horizontal="right" vertical="center"/>
    </xf>
    <xf numFmtId="3" fontId="2" fillId="7" borderId="56" xfId="1" applyNumberFormat="1" applyFont="1" applyFill="1" applyBorder="1" applyAlignment="1" applyProtection="1">
      <alignment horizontal="right" vertical="center"/>
    </xf>
    <xf numFmtId="3" fontId="2" fillId="7" borderId="57" xfId="1" applyNumberFormat="1" applyFont="1" applyFill="1" applyBorder="1" applyAlignment="1" applyProtection="1">
      <alignment horizontal="right" vertical="center"/>
    </xf>
    <xf numFmtId="3" fontId="2" fillId="7" borderId="58" xfId="1" applyNumberFormat="1" applyFont="1" applyFill="1" applyBorder="1" applyAlignment="1" applyProtection="1">
      <alignment horizontal="right" vertical="center"/>
    </xf>
    <xf numFmtId="3" fontId="2" fillId="7" borderId="57" xfId="1" applyNumberFormat="1" applyFont="1" applyFill="1" applyBorder="1" applyAlignment="1" applyProtection="1">
      <alignment horizontal="center" vertical="center"/>
    </xf>
    <xf numFmtId="3" fontId="2" fillId="7" borderId="58" xfId="1" applyNumberFormat="1" applyFont="1" applyFill="1" applyBorder="1" applyAlignment="1" applyProtection="1">
      <alignment horizontal="center" vertical="center"/>
    </xf>
    <xf numFmtId="3" fontId="2" fillId="7" borderId="54" xfId="1" applyNumberFormat="1" applyFont="1" applyFill="1" applyBorder="1" applyAlignment="1" applyProtection="1">
      <alignment vertical="center"/>
    </xf>
    <xf numFmtId="3" fontId="2" fillId="7" borderId="19" xfId="1" applyNumberFormat="1" applyFont="1" applyFill="1" applyBorder="1" applyAlignment="1" applyProtection="1">
      <alignment vertical="center"/>
    </xf>
    <xf numFmtId="3" fontId="2" fillId="7" borderId="53" xfId="1" applyNumberFormat="1" applyFont="1" applyFill="1" applyBorder="1" applyAlignment="1" applyProtection="1">
      <alignment horizontal="right" vertical="center"/>
    </xf>
    <xf numFmtId="3" fontId="2" fillId="7" borderId="57" xfId="1" applyNumberFormat="1" applyFont="1" applyFill="1" applyBorder="1" applyAlignment="1" applyProtection="1">
      <alignment horizontal="right" vertical="center"/>
      <protection locked="0"/>
    </xf>
    <xf numFmtId="3" fontId="2" fillId="7" borderId="58" xfId="1" applyNumberFormat="1" applyFont="1" applyFill="1" applyBorder="1" applyAlignment="1" applyProtection="1">
      <alignment vertical="center"/>
    </xf>
    <xf numFmtId="3" fontId="3" fillId="7" borderId="17" xfId="1" applyNumberFormat="1" applyFont="1" applyFill="1" applyBorder="1" applyAlignment="1" applyProtection="1">
      <alignment horizontal="right" vertical="center"/>
      <protection locked="0"/>
    </xf>
    <xf numFmtId="3" fontId="3" fillId="7" borderId="18" xfId="1" applyNumberFormat="1" applyFont="1" applyFill="1" applyBorder="1" applyAlignment="1" applyProtection="1">
      <alignment horizontal="right" vertical="center"/>
      <protection locked="0"/>
    </xf>
    <xf numFmtId="3" fontId="3" fillId="7" borderId="19" xfId="1" applyNumberFormat="1" applyFont="1" applyFill="1" applyBorder="1" applyAlignment="1" applyProtection="1">
      <alignment vertical="center"/>
    </xf>
    <xf numFmtId="3" fontId="3" fillId="7" borderId="37" xfId="1" applyNumberFormat="1" applyFont="1" applyFill="1" applyBorder="1" applyAlignment="1" applyProtection="1">
      <alignment vertical="center"/>
    </xf>
    <xf numFmtId="3" fontId="3" fillId="7" borderId="38" xfId="1" applyNumberFormat="1" applyFont="1" applyFill="1" applyBorder="1" applyAlignment="1" applyProtection="1">
      <alignment vertical="center"/>
    </xf>
    <xf numFmtId="3" fontId="3" fillId="7" borderId="60" xfId="1" applyNumberFormat="1" applyFont="1" applyFill="1" applyBorder="1" applyAlignment="1" applyProtection="1">
      <alignment vertical="center"/>
    </xf>
    <xf numFmtId="3" fontId="3" fillId="7" borderId="61" xfId="1" applyNumberFormat="1" applyFont="1" applyFill="1" applyBorder="1" applyAlignment="1" applyProtection="1">
      <alignment vertical="center"/>
    </xf>
    <xf numFmtId="3" fontId="3" fillId="7" borderId="62" xfId="1" applyNumberFormat="1" applyFont="1" applyFill="1" applyBorder="1" applyAlignment="1" applyProtection="1">
      <alignment vertical="center"/>
    </xf>
    <xf numFmtId="3" fontId="3" fillId="7" borderId="61" xfId="1" applyNumberFormat="1" applyFont="1" applyFill="1" applyBorder="1" applyAlignment="1" applyProtection="1">
      <alignment horizontal="right" vertical="center"/>
    </xf>
    <xf numFmtId="3" fontId="3" fillId="7" borderId="62" xfId="1" applyNumberFormat="1" applyFont="1" applyFill="1" applyBorder="1" applyAlignment="1" applyProtection="1">
      <alignment horizontal="right" vertical="center"/>
    </xf>
    <xf numFmtId="3" fontId="3" fillId="7" borderId="18" xfId="1" applyNumberFormat="1" applyFont="1" applyFill="1" applyBorder="1" applyAlignment="1" applyProtection="1">
      <alignment vertical="center"/>
    </xf>
    <xf numFmtId="0" fontId="3" fillId="9" borderId="63" xfId="1" applyFont="1" applyFill="1" applyBorder="1" applyAlignment="1" applyProtection="1">
      <alignment horizontal="left" vertical="center" wrapText="1"/>
    </xf>
    <xf numFmtId="3" fontId="3" fillId="9" borderId="63" xfId="1" applyNumberFormat="1" applyFont="1" applyFill="1" applyBorder="1" applyAlignment="1" applyProtection="1">
      <alignment vertical="center"/>
    </xf>
    <xf numFmtId="3" fontId="3" fillId="9" borderId="64" xfId="1" applyNumberFormat="1" applyFont="1" applyFill="1" applyBorder="1" applyAlignment="1" applyProtection="1">
      <alignment vertical="center"/>
    </xf>
    <xf numFmtId="3" fontId="3" fillId="9" borderId="65" xfId="1" applyNumberFormat="1" applyFont="1" applyFill="1" applyBorder="1" applyAlignment="1" applyProtection="1">
      <alignment vertical="center"/>
    </xf>
    <xf numFmtId="3" fontId="3" fillId="9" borderId="66" xfId="1" applyNumberFormat="1" applyFont="1" applyFill="1" applyBorder="1" applyAlignment="1" applyProtection="1">
      <alignment vertical="center"/>
    </xf>
    <xf numFmtId="3" fontId="3" fillId="9" borderId="66" xfId="1" applyNumberFormat="1" applyFont="1" applyFill="1" applyBorder="1" applyAlignment="1" applyProtection="1">
      <alignment horizontal="left" vertical="center" wrapText="1"/>
      <protection locked="0"/>
    </xf>
    <xf numFmtId="3" fontId="2" fillId="7" borderId="45" xfId="1" applyNumberFormat="1" applyFont="1" applyFill="1" applyBorder="1" applyAlignment="1" applyProtection="1">
      <alignment vertical="center"/>
    </xf>
    <xf numFmtId="3" fontId="2" fillId="7" borderId="57" xfId="1" applyNumberFormat="1" applyFont="1" applyFill="1" applyBorder="1" applyAlignment="1" applyProtection="1">
      <alignment vertical="center"/>
    </xf>
    <xf numFmtId="3" fontId="2" fillId="7" borderId="41" xfId="1" applyNumberFormat="1" applyFont="1" applyFill="1" applyBorder="1" applyAlignment="1" applyProtection="1">
      <alignment vertical="center"/>
    </xf>
    <xf numFmtId="3" fontId="2" fillId="7" borderId="18" xfId="1" applyNumberFormat="1" applyFont="1" applyFill="1" applyBorder="1" applyAlignment="1" applyProtection="1">
      <alignment vertical="center"/>
    </xf>
    <xf numFmtId="3" fontId="2" fillId="7" borderId="17" xfId="1" applyNumberFormat="1" applyFont="1" applyFill="1" applyBorder="1" applyAlignment="1" applyProtection="1">
      <alignment vertical="center"/>
      <protection locked="0"/>
    </xf>
    <xf numFmtId="3" fontId="2" fillId="7" borderId="18" xfId="1" applyNumberFormat="1" applyFont="1" applyFill="1" applyBorder="1" applyAlignment="1" applyProtection="1">
      <alignment vertical="center"/>
      <protection locked="0"/>
    </xf>
    <xf numFmtId="3" fontId="2" fillId="7" borderId="56" xfId="1" applyNumberFormat="1" applyFont="1" applyFill="1" applyBorder="1" applyAlignment="1" applyProtection="1">
      <alignment vertical="center"/>
      <protection locked="0"/>
    </xf>
    <xf numFmtId="3" fontId="2" fillId="7" borderId="57" xfId="1" applyNumberFormat="1" applyFont="1" applyFill="1" applyBorder="1" applyAlignment="1" applyProtection="1">
      <alignment vertical="center"/>
      <protection locked="0"/>
    </xf>
    <xf numFmtId="3" fontId="2" fillId="7" borderId="45" xfId="1" applyNumberFormat="1" applyFont="1" applyFill="1" applyBorder="1" applyAlignment="1" applyProtection="1">
      <alignment vertical="center"/>
      <protection locked="0"/>
    </xf>
    <xf numFmtId="3" fontId="2" fillId="7" borderId="67" xfId="1" applyNumberFormat="1" applyFont="1" applyFill="1" applyBorder="1" applyAlignment="1" applyProtection="1">
      <alignment vertical="center"/>
      <protection locked="0"/>
    </xf>
    <xf numFmtId="3" fontId="2" fillId="7" borderId="68" xfId="1" applyNumberFormat="1" applyFont="1" applyFill="1" applyBorder="1" applyAlignment="1" applyProtection="1">
      <alignment vertical="center"/>
      <protection locked="0"/>
    </xf>
    <xf numFmtId="3" fontId="2" fillId="7" borderId="69" xfId="1" applyNumberFormat="1" applyFont="1" applyFill="1" applyBorder="1" applyAlignment="1" applyProtection="1">
      <alignment vertical="center"/>
    </xf>
    <xf numFmtId="3" fontId="2" fillId="7" borderId="68" xfId="1" applyNumberFormat="1" applyFont="1" applyFill="1" applyBorder="1" applyAlignment="1" applyProtection="1">
      <alignment horizontal="right" vertical="center"/>
      <protection locked="0"/>
    </xf>
    <xf numFmtId="3" fontId="2" fillId="7" borderId="65" xfId="1" applyNumberFormat="1" applyFont="1" applyFill="1" applyBorder="1" applyAlignment="1" applyProtection="1">
      <alignment vertical="center"/>
    </xf>
    <xf numFmtId="3" fontId="2" fillId="7" borderId="66" xfId="1" applyNumberFormat="1" applyFont="1" applyFill="1" applyBorder="1" applyAlignment="1" applyProtection="1">
      <alignment vertical="center"/>
    </xf>
    <xf numFmtId="1" fontId="3" fillId="9" borderId="63" xfId="1" applyNumberFormat="1" applyFont="1" applyFill="1" applyBorder="1" applyAlignment="1" applyProtection="1">
      <alignment horizontal="left" vertical="center" wrapText="1"/>
    </xf>
    <xf numFmtId="0" fontId="3" fillId="9" borderId="43" xfId="1" applyFont="1" applyFill="1" applyBorder="1" applyAlignment="1" applyProtection="1">
      <alignment horizontal="left" vertical="center" wrapText="1"/>
    </xf>
    <xf numFmtId="3" fontId="3" fillId="9" borderId="43" xfId="1" applyNumberFormat="1" applyFont="1" applyFill="1" applyBorder="1" applyAlignment="1" applyProtection="1">
      <alignment vertical="center"/>
    </xf>
    <xf numFmtId="3" fontId="3" fillId="9" borderId="44" xfId="1" applyNumberFormat="1" applyFont="1" applyFill="1" applyBorder="1" applyAlignment="1" applyProtection="1">
      <alignment vertical="center"/>
    </xf>
    <xf numFmtId="3" fontId="3" fillId="9" borderId="45" xfId="1" applyNumberFormat="1" applyFont="1" applyFill="1" applyBorder="1" applyAlignment="1" applyProtection="1">
      <alignment vertical="center"/>
    </xf>
    <xf numFmtId="3" fontId="3" fillId="9" borderId="46" xfId="1" applyNumberFormat="1" applyFont="1" applyFill="1" applyBorder="1" applyAlignment="1" applyProtection="1">
      <alignment vertical="center"/>
    </xf>
    <xf numFmtId="3" fontId="3" fillId="9" borderId="46" xfId="1" applyNumberFormat="1" applyFont="1" applyFill="1" applyBorder="1" applyAlignment="1" applyProtection="1">
      <alignment horizontal="left" vertical="center" wrapText="1"/>
      <protection locked="0"/>
    </xf>
    <xf numFmtId="3" fontId="2" fillId="7" borderId="53" xfId="1" applyNumberFormat="1" applyFont="1" applyFill="1" applyBorder="1" applyAlignment="1" applyProtection="1">
      <alignment vertical="center"/>
    </xf>
    <xf numFmtId="3" fontId="2" fillId="7" borderId="48" xfId="1" applyNumberFormat="1" applyFont="1" applyFill="1" applyBorder="1" applyAlignment="1" applyProtection="1">
      <alignment vertical="center"/>
      <protection locked="0"/>
    </xf>
    <xf numFmtId="3" fontId="2" fillId="7" borderId="49" xfId="1" applyNumberFormat="1" applyFont="1" applyFill="1" applyBorder="1" applyAlignment="1" applyProtection="1">
      <alignment vertical="center"/>
      <protection locked="0"/>
    </xf>
    <xf numFmtId="3" fontId="2" fillId="7" borderId="50" xfId="1" applyNumberFormat="1" applyFont="1" applyFill="1" applyBorder="1" applyAlignment="1" applyProtection="1">
      <alignment vertical="center"/>
    </xf>
    <xf numFmtId="0" fontId="3" fillId="9" borderId="70" xfId="1" applyFont="1" applyFill="1" applyBorder="1" applyAlignment="1" applyProtection="1">
      <alignment horizontal="left" vertical="center" wrapText="1"/>
    </xf>
    <xf numFmtId="0" fontId="3" fillId="9" borderId="39" xfId="1" applyFont="1" applyFill="1" applyBorder="1" applyAlignment="1" applyProtection="1">
      <alignment horizontal="left" vertical="center" wrapText="1"/>
    </xf>
    <xf numFmtId="3" fontId="3" fillId="9" borderId="55" xfId="1" applyNumberFormat="1" applyFont="1" applyFill="1" applyBorder="1" applyAlignment="1" applyProtection="1">
      <alignment vertical="center"/>
    </xf>
    <xf numFmtId="3" fontId="3" fillId="9" borderId="56" xfId="1" applyNumberFormat="1" applyFont="1" applyFill="1" applyBorder="1" applyAlignment="1" applyProtection="1">
      <alignment vertical="center"/>
    </xf>
    <xf numFmtId="3" fontId="3" fillId="9" borderId="57" xfId="1" applyNumberFormat="1" applyFont="1" applyFill="1" applyBorder="1" applyAlignment="1" applyProtection="1">
      <alignment vertical="center"/>
    </xf>
    <xf numFmtId="3" fontId="3" fillId="9" borderId="58" xfId="1" applyNumberFormat="1" applyFont="1" applyFill="1" applyBorder="1" applyAlignment="1" applyProtection="1">
      <alignment vertical="center"/>
    </xf>
    <xf numFmtId="3" fontId="3" fillId="9" borderId="58" xfId="1" applyNumberFormat="1" applyFont="1" applyFill="1" applyBorder="1" applyAlignment="1" applyProtection="1">
      <alignment horizontal="left" vertical="center" wrapText="1"/>
      <protection locked="0"/>
    </xf>
    <xf numFmtId="3" fontId="2" fillId="7" borderId="37" xfId="1" applyNumberFormat="1" applyFont="1" applyFill="1" applyBorder="1" applyAlignment="1" applyProtection="1">
      <alignment vertical="center"/>
    </xf>
    <xf numFmtId="3" fontId="2" fillId="7" borderId="38" xfId="1" applyNumberFormat="1" applyFont="1" applyFill="1" applyBorder="1" applyAlignment="1" applyProtection="1">
      <alignment vertical="center"/>
    </xf>
    <xf numFmtId="3" fontId="3" fillId="7" borderId="74" xfId="1" applyNumberFormat="1" applyFont="1" applyFill="1" applyBorder="1" applyAlignment="1" applyProtection="1">
      <alignment vertical="center"/>
    </xf>
    <xf numFmtId="3" fontId="3" fillId="7" borderId="72" xfId="1" applyNumberFormat="1" applyFont="1" applyFill="1" applyBorder="1" applyAlignment="1" applyProtection="1">
      <alignment vertical="center"/>
    </xf>
    <xf numFmtId="3" fontId="3" fillId="7" borderId="45" xfId="1" applyNumberFormat="1" applyFont="1" applyFill="1" applyBorder="1" applyAlignment="1" applyProtection="1">
      <alignment vertical="center"/>
    </xf>
    <xf numFmtId="3" fontId="3" fillId="7" borderId="46" xfId="1" applyNumberFormat="1" applyFont="1" applyFill="1" applyBorder="1" applyAlignment="1" applyProtection="1">
      <alignment vertical="center"/>
    </xf>
    <xf numFmtId="3" fontId="3" fillId="7" borderId="74" xfId="1" applyNumberFormat="1" applyFont="1" applyFill="1" applyBorder="1" applyAlignment="1" applyProtection="1">
      <alignment vertical="center"/>
      <protection locked="0"/>
    </xf>
    <xf numFmtId="3" fontId="2" fillId="7" borderId="72" xfId="1" applyNumberFormat="1" applyFont="1" applyFill="1" applyBorder="1" applyAlignment="1" applyProtection="1">
      <alignment vertical="center"/>
    </xf>
    <xf numFmtId="0" fontId="0" fillId="0" borderId="4" xfId="0" applyBorder="1"/>
    <xf numFmtId="3" fontId="2" fillId="0" borderId="6" xfId="1" applyNumberFormat="1" applyFont="1" applyFill="1" applyBorder="1" applyAlignment="1" applyProtection="1">
      <alignment horizontal="left" vertical="center" wrapText="1"/>
      <protection locked="0"/>
    </xf>
    <xf numFmtId="3" fontId="2" fillId="0" borderId="26"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0" fontId="2" fillId="0" borderId="0" xfId="1" applyFont="1" applyAlignment="1">
      <alignment horizontal="left"/>
    </xf>
    <xf numFmtId="0" fontId="11" fillId="0" borderId="0" xfId="1" applyFont="1" applyAlignment="1">
      <alignment horizontal="center"/>
    </xf>
    <xf numFmtId="0" fontId="2" fillId="2" borderId="0" xfId="1" applyFont="1" applyFill="1" applyBorder="1" applyAlignment="1" applyProtection="1">
      <alignment vertical="center" wrapText="1"/>
    </xf>
    <xf numFmtId="1" fontId="7" fillId="0" borderId="33" xfId="1" applyNumberFormat="1" applyFont="1" applyFill="1" applyBorder="1" applyAlignment="1" applyProtection="1">
      <alignment horizontal="center" vertical="center" wrapText="1"/>
    </xf>
    <xf numFmtId="0" fontId="3" fillId="0" borderId="19" xfId="1" applyFont="1" applyFill="1" applyBorder="1" applyAlignment="1" applyProtection="1">
      <alignment vertical="center" wrapText="1"/>
      <protection locked="0"/>
    </xf>
    <xf numFmtId="3" fontId="8" fillId="0" borderId="41" xfId="1" applyNumberFormat="1" applyFont="1" applyFill="1" applyBorder="1" applyAlignment="1" applyProtection="1">
      <alignment horizontal="right" vertical="center"/>
      <protection locked="0"/>
    </xf>
    <xf numFmtId="0" fontId="9" fillId="0" borderId="63" xfId="0" applyFont="1" applyBorder="1" applyAlignment="1">
      <alignment horizontal="center" vertical="center" wrapText="1"/>
    </xf>
    <xf numFmtId="0" fontId="24" fillId="0" borderId="63" xfId="0" applyFont="1" applyBorder="1" applyAlignment="1">
      <alignment vertical="center" wrapText="1"/>
    </xf>
    <xf numFmtId="3" fontId="8" fillId="0" borderId="58" xfId="1" applyNumberFormat="1" applyFont="1" applyFill="1" applyBorder="1" applyAlignment="1" applyProtection="1">
      <alignment horizontal="left" vertical="center" wrapText="1"/>
      <protection locked="0"/>
    </xf>
    <xf numFmtId="0" fontId="9" fillId="0" borderId="51" xfId="0" applyNumberFormat="1" applyFont="1" applyBorder="1" applyAlignment="1">
      <alignment horizontal="left" vertical="center" wrapText="1"/>
    </xf>
    <xf numFmtId="0" fontId="24" fillId="0" borderId="47" xfId="0" applyFont="1" applyBorder="1" applyAlignment="1" applyProtection="1">
      <alignment vertical="center" wrapText="1"/>
      <protection locked="0"/>
    </xf>
    <xf numFmtId="3" fontId="2" fillId="4" borderId="24" xfId="1" applyNumberFormat="1" applyFont="1" applyFill="1" applyBorder="1" applyAlignment="1" applyProtection="1">
      <alignment horizontal="right" vertical="center"/>
      <protection locked="0"/>
    </xf>
    <xf numFmtId="3" fontId="2" fillId="4" borderId="57" xfId="1" applyNumberFormat="1" applyFont="1" applyFill="1" applyBorder="1" applyAlignment="1" applyProtection="1">
      <alignment horizontal="right" vertical="center"/>
      <protection locked="0"/>
    </xf>
    <xf numFmtId="3" fontId="2" fillId="4" borderId="18" xfId="1" applyNumberFormat="1" applyFont="1" applyFill="1" applyBorder="1" applyAlignment="1" applyProtection="1">
      <alignment horizontal="right" vertical="center"/>
      <protection locked="0"/>
    </xf>
    <xf numFmtId="3" fontId="2" fillId="4" borderId="57" xfId="1" applyNumberFormat="1" applyFont="1" applyFill="1" applyBorder="1" applyAlignment="1" applyProtection="1">
      <alignment vertical="center"/>
      <protection locked="0"/>
    </xf>
    <xf numFmtId="0" fontId="2" fillId="0" borderId="0" xfId="1" applyFont="1" applyAlignment="1">
      <alignment horizontal="right"/>
    </xf>
    <xf numFmtId="0" fontId="2" fillId="0" borderId="0" xfId="1" applyFont="1" applyBorder="1" applyAlignment="1" applyProtection="1">
      <alignment horizontal="left"/>
      <protection locked="0"/>
    </xf>
    <xf numFmtId="0" fontId="2" fillId="0" borderId="0" xfId="1" applyFont="1" applyAlignment="1"/>
    <xf numFmtId="49" fontId="3" fillId="0" borderId="76" xfId="6" applyNumberFormat="1" applyFont="1" applyFill="1" applyBorder="1" applyAlignment="1"/>
    <xf numFmtId="3" fontId="3" fillId="0" borderId="41" xfId="6" applyNumberFormat="1" applyFont="1" applyFill="1" applyBorder="1" applyAlignment="1">
      <alignment horizontal="right" vertical="center" wrapText="1"/>
    </xf>
    <xf numFmtId="3" fontId="3" fillId="0" borderId="41" xfId="6" applyNumberFormat="1" applyFont="1" applyFill="1" applyBorder="1" applyAlignment="1">
      <alignment wrapText="1"/>
    </xf>
    <xf numFmtId="3" fontId="3" fillId="0" borderId="41" xfId="6" applyNumberFormat="1" applyFont="1" applyFill="1" applyBorder="1" applyAlignment="1">
      <alignment horizontal="center" vertical="center" wrapText="1"/>
    </xf>
    <xf numFmtId="0" fontId="3" fillId="0" borderId="41" xfId="6" applyFont="1" applyFill="1" applyBorder="1" applyAlignment="1" applyProtection="1">
      <alignment horizontal="center" vertical="center" wrapText="1"/>
      <protection locked="0"/>
    </xf>
    <xf numFmtId="3" fontId="3" fillId="0" borderId="41" xfId="6" applyNumberFormat="1" applyFont="1" applyFill="1" applyBorder="1" applyAlignment="1" applyProtection="1">
      <alignment horizontal="right" vertical="center" wrapText="1"/>
      <protection locked="0"/>
    </xf>
    <xf numFmtId="3" fontId="3" fillId="0" borderId="41" xfId="6" applyNumberFormat="1" applyFont="1" applyFill="1" applyBorder="1" applyAlignment="1" applyProtection="1">
      <alignment wrapText="1"/>
      <protection locked="0"/>
    </xf>
    <xf numFmtId="3" fontId="3" fillId="0" borderId="41" xfId="6" applyNumberFormat="1" applyFont="1" applyBorder="1" applyAlignment="1" applyProtection="1">
      <alignment horizontal="center" vertical="center"/>
      <protection locked="0"/>
    </xf>
    <xf numFmtId="3" fontId="2" fillId="0" borderId="41" xfId="1" applyNumberFormat="1" applyFont="1" applyFill="1" applyBorder="1" applyAlignment="1" applyProtection="1">
      <alignment vertical="center" wrapText="1"/>
      <protection locked="0"/>
    </xf>
    <xf numFmtId="0" fontId="2" fillId="0" borderId="0" xfId="1" applyFont="1" applyFill="1" applyAlignment="1">
      <alignment vertical="center"/>
    </xf>
    <xf numFmtId="3" fontId="2" fillId="4" borderId="41" xfId="1" applyNumberFormat="1" applyFont="1" applyFill="1" applyBorder="1" applyAlignment="1" applyProtection="1">
      <alignment vertical="center" wrapText="1"/>
      <protection locked="0"/>
    </xf>
    <xf numFmtId="3" fontId="25" fillId="0" borderId="41" xfId="1" applyNumberFormat="1" applyFont="1" applyBorder="1" applyAlignment="1">
      <alignment vertical="center" wrapText="1"/>
    </xf>
    <xf numFmtId="3" fontId="25" fillId="0" borderId="41" xfId="1" applyNumberFormat="1" applyFont="1" applyBorder="1" applyAlignment="1" applyProtection="1">
      <alignment vertical="center" wrapText="1"/>
      <protection locked="0"/>
    </xf>
    <xf numFmtId="0" fontId="3" fillId="0" borderId="41" xfId="6" applyFont="1" applyFill="1" applyBorder="1" applyAlignment="1" applyProtection="1">
      <alignment horizontal="center" vertical="center"/>
      <protection locked="0"/>
    </xf>
    <xf numFmtId="3" fontId="3" fillId="0" borderId="41" xfId="6" applyNumberFormat="1" applyFont="1" applyFill="1" applyBorder="1" applyAlignment="1" applyProtection="1">
      <alignment horizontal="right" vertical="center"/>
      <protection locked="0"/>
    </xf>
    <xf numFmtId="3" fontId="3" fillId="0" borderId="41" xfId="6" applyNumberFormat="1" applyFont="1" applyFill="1" applyBorder="1" applyAlignment="1" applyProtection="1">
      <alignment vertical="center" wrapText="1"/>
      <protection locked="0"/>
    </xf>
    <xf numFmtId="3" fontId="2" fillId="0" borderId="41" xfId="1" applyNumberFormat="1" applyFont="1" applyFill="1" applyBorder="1" applyAlignment="1" applyProtection="1">
      <alignment horizontal="center" vertical="center" wrapText="1"/>
      <protection locked="0"/>
    </xf>
    <xf numFmtId="3" fontId="3" fillId="0" borderId="41" xfId="6" applyNumberFormat="1" applyFont="1" applyFill="1" applyBorder="1" applyAlignment="1" applyProtection="1">
      <alignment horizontal="center" vertical="center"/>
      <protection locked="0"/>
    </xf>
    <xf numFmtId="3" fontId="2" fillId="0" borderId="41" xfId="6" applyNumberFormat="1" applyFont="1" applyFill="1" applyBorder="1" applyAlignment="1" applyProtection="1">
      <alignment horizontal="right"/>
      <protection locked="0"/>
    </xf>
    <xf numFmtId="3" fontId="2" fillId="4" borderId="41" xfId="1" applyNumberFormat="1" applyFont="1" applyFill="1" applyBorder="1" applyAlignment="1" applyProtection="1">
      <alignment horizontal="right" vertical="center" wrapText="1"/>
      <protection locked="0"/>
    </xf>
    <xf numFmtId="3" fontId="2" fillId="0" borderId="41" xfId="1" applyNumberFormat="1" applyFont="1" applyFill="1" applyBorder="1" applyAlignment="1" applyProtection="1">
      <alignment horizontal="right" vertical="center" wrapText="1"/>
      <protection locked="0"/>
    </xf>
    <xf numFmtId="3" fontId="25" fillId="0" borderId="41" xfId="1" applyNumberFormat="1" applyFont="1" applyFill="1" applyBorder="1" applyAlignment="1" applyProtection="1">
      <alignment horizontal="left" vertical="center" wrapText="1"/>
      <protection locked="0"/>
    </xf>
    <xf numFmtId="0" fontId="2" fillId="0" borderId="0" xfId="1" applyFont="1" applyBorder="1"/>
    <xf numFmtId="0" fontId="2" fillId="0" borderId="0" xfId="1" applyFont="1" applyBorder="1" applyProtection="1">
      <protection locked="0"/>
    </xf>
    <xf numFmtId="0" fontId="3" fillId="0" borderId="41" xfId="6" applyFont="1" applyBorder="1" applyAlignment="1">
      <alignment horizontal="center"/>
    </xf>
    <xf numFmtId="3" fontId="2" fillId="0" borderId="41" xfId="6" applyNumberFormat="1" applyFont="1" applyFill="1" applyBorder="1" applyAlignment="1">
      <alignment wrapText="1"/>
    </xf>
    <xf numFmtId="0" fontId="2" fillId="0" borderId="0" xfId="1" applyFont="1" applyAlignment="1">
      <alignment vertical="center"/>
    </xf>
    <xf numFmtId="0" fontId="3" fillId="0" borderId="41" xfId="6" applyFont="1" applyFill="1" applyBorder="1" applyAlignment="1">
      <alignment horizontal="center" vertical="center"/>
    </xf>
    <xf numFmtId="3" fontId="2" fillId="0" borderId="41" xfId="6" applyNumberFormat="1" applyFont="1" applyBorder="1" applyAlignment="1" applyProtection="1">
      <alignment horizontal="right" vertical="center"/>
      <protection locked="0"/>
    </xf>
    <xf numFmtId="3" fontId="2" fillId="4" borderId="41" xfId="6" applyNumberFormat="1" applyFont="1" applyFill="1" applyBorder="1" applyAlignment="1" applyProtection="1">
      <alignment horizontal="right" vertical="center"/>
      <protection locked="0"/>
    </xf>
    <xf numFmtId="3" fontId="2" fillId="0" borderId="41" xfId="6" applyNumberFormat="1" applyFont="1" applyFill="1" applyBorder="1" applyAlignment="1" applyProtection="1">
      <alignment horizontal="right" vertical="center"/>
      <protection locked="0"/>
    </xf>
    <xf numFmtId="0" fontId="26" fillId="0" borderId="0" xfId="0" applyFont="1"/>
    <xf numFmtId="3" fontId="2" fillId="0" borderId="41" xfId="6" applyNumberFormat="1" applyFont="1" applyBorder="1" applyAlignment="1" applyProtection="1">
      <alignment horizontal="left" vertical="center" wrapText="1"/>
      <protection locked="0"/>
    </xf>
    <xf numFmtId="3" fontId="2" fillId="0" borderId="0" xfId="6" applyNumberFormat="1" applyFont="1" applyBorder="1" applyAlignment="1" applyProtection="1">
      <alignment vertical="center"/>
      <protection locked="0"/>
    </xf>
    <xf numFmtId="0" fontId="2" fillId="0" borderId="0" xfId="6" applyFont="1" applyAlignment="1">
      <alignment horizontal="left" vertical="center"/>
    </xf>
    <xf numFmtId="0" fontId="2" fillId="0" borderId="0" xfId="6" applyFont="1" applyBorder="1" applyAlignment="1">
      <alignment horizontal="left" vertical="center"/>
    </xf>
    <xf numFmtId="3" fontId="3" fillId="0" borderId="0" xfId="6" applyNumberFormat="1" applyFont="1" applyFill="1" applyBorder="1" applyAlignment="1" applyProtection="1">
      <alignment vertical="center"/>
      <protection locked="0"/>
    </xf>
    <xf numFmtId="3" fontId="3" fillId="0" borderId="76" xfId="6" applyNumberFormat="1" applyFont="1" applyFill="1" applyBorder="1" applyAlignment="1" applyProtection="1">
      <alignment vertical="center"/>
      <protection locked="0"/>
    </xf>
    <xf numFmtId="0" fontId="2" fillId="0" borderId="41" xfId="1" applyFont="1" applyFill="1" applyBorder="1" applyAlignment="1">
      <alignment horizontal="center" vertical="center" wrapText="1"/>
    </xf>
    <xf numFmtId="0" fontId="2" fillId="0" borderId="41" xfId="6" applyFont="1" applyBorder="1" applyAlignment="1" applyProtection="1">
      <alignment vertical="center"/>
      <protection locked="0"/>
    </xf>
    <xf numFmtId="0" fontId="2" fillId="0" borderId="41" xfId="6" applyFont="1" applyBorder="1" applyAlignment="1" applyProtection="1">
      <alignment vertical="center" wrapText="1"/>
      <protection locked="0"/>
    </xf>
    <xf numFmtId="3" fontId="2" fillId="0" borderId="41" xfId="6" applyNumberFormat="1" applyFont="1" applyBorder="1" applyAlignment="1" applyProtection="1">
      <alignment horizontal="right" vertical="center" wrapText="1"/>
      <protection locked="0"/>
    </xf>
    <xf numFmtId="49" fontId="3" fillId="0" borderId="76" xfId="6" applyNumberFormat="1" applyFont="1" applyFill="1" applyBorder="1" applyAlignment="1">
      <alignment vertical="center"/>
    </xf>
    <xf numFmtId="0" fontId="2" fillId="0" borderId="41" xfId="1" applyFont="1" applyBorder="1" applyAlignment="1">
      <alignment horizontal="center" vertical="center"/>
    </xf>
    <xf numFmtId="3" fontId="2" fillId="0" borderId="41" xfId="6" applyNumberFormat="1" applyFont="1" applyFill="1" applyBorder="1" applyAlignment="1" applyProtection="1">
      <alignment horizontal="right" vertical="center" wrapText="1"/>
      <protection locked="0"/>
    </xf>
    <xf numFmtId="0" fontId="2" fillId="0" borderId="41" xfId="6" applyFont="1" applyBorder="1" applyAlignment="1">
      <alignment horizontal="center" vertical="center"/>
    </xf>
    <xf numFmtId="0" fontId="2" fillId="0" borderId="0" xfId="6" applyFont="1" applyAlignment="1">
      <alignment horizontal="right" vertical="center"/>
    </xf>
    <xf numFmtId="0" fontId="2" fillId="0" borderId="0" xfId="6" applyFont="1" applyAlignment="1">
      <alignment horizontal="center" vertical="center"/>
    </xf>
    <xf numFmtId="0" fontId="2" fillId="0" borderId="0" xfId="6" applyFont="1" applyAlignment="1">
      <alignment horizontal="left" vertical="top"/>
    </xf>
    <xf numFmtId="0" fontId="3" fillId="0" borderId="0" xfId="1" applyFont="1" applyAlignment="1">
      <alignment vertical="center"/>
    </xf>
    <xf numFmtId="164" fontId="2" fillId="0" borderId="0" xfId="11" applyNumberFormat="1" applyFont="1" applyFill="1" applyBorder="1" applyAlignment="1">
      <alignment vertical="center" wrapText="1"/>
    </xf>
    <xf numFmtId="164" fontId="2" fillId="0" borderId="0" xfId="11" applyNumberFormat="1" applyFont="1" applyFill="1" applyBorder="1" applyAlignment="1">
      <alignment vertical="center"/>
    </xf>
    <xf numFmtId="0" fontId="2" fillId="0" borderId="0" xfId="6" applyFont="1" applyFill="1" applyAlignment="1">
      <alignment horizontal="right" vertical="center"/>
    </xf>
    <xf numFmtId="0" fontId="2" fillId="0" borderId="0" xfId="6" applyFont="1" applyFill="1"/>
    <xf numFmtId="0" fontId="2" fillId="0" borderId="0" xfId="6" applyFont="1" applyFill="1" applyAlignment="1">
      <alignment horizontal="center" vertical="center"/>
    </xf>
    <xf numFmtId="0" fontId="2" fillId="0" borderId="0" xfId="6" applyFont="1" applyFill="1" applyAlignment="1">
      <alignment vertical="center"/>
    </xf>
    <xf numFmtId="164" fontId="3" fillId="0" borderId="0" xfId="11" applyNumberFormat="1" applyFont="1" applyFill="1" applyBorder="1" applyAlignment="1">
      <alignment vertical="center"/>
    </xf>
    <xf numFmtId="0" fontId="5" fillId="0" borderId="0" xfId="6" applyFont="1" applyFill="1" applyAlignment="1">
      <alignment horizontal="right" vertical="center"/>
    </xf>
    <xf numFmtId="164" fontId="2" fillId="0" borderId="0" xfId="11" applyNumberFormat="1" applyFont="1" applyFill="1" applyBorder="1" applyAlignment="1">
      <alignment horizontal="right" vertical="center" wrapText="1"/>
    </xf>
    <xf numFmtId="164" fontId="2" fillId="0" borderId="0" xfId="11" applyNumberFormat="1" applyFont="1" applyFill="1" applyBorder="1" applyAlignment="1">
      <alignment horizontal="left" vertical="center" wrapText="1"/>
    </xf>
    <xf numFmtId="0" fontId="2" fillId="0" borderId="0" xfId="6" applyFont="1" applyFill="1" applyAlignment="1">
      <alignment horizontal="left" vertical="top"/>
    </xf>
    <xf numFmtId="0" fontId="2" fillId="0" borderId="0" xfId="6" applyFont="1" applyFill="1" applyAlignment="1"/>
    <xf numFmtId="164" fontId="2" fillId="0" borderId="0" xfId="11" applyNumberFormat="1" applyFont="1" applyFill="1" applyBorder="1" applyAlignment="1">
      <alignment horizontal="left" vertical="center"/>
    </xf>
    <xf numFmtId="164" fontId="2" fillId="0" borderId="0" xfId="11" applyNumberFormat="1" applyFont="1" applyFill="1" applyBorder="1" applyAlignment="1">
      <alignment horizontal="center" vertical="center" wrapText="1"/>
    </xf>
    <xf numFmtId="0" fontId="3" fillId="0" borderId="0" xfId="6" applyFont="1" applyFill="1" applyAlignment="1">
      <alignment vertical="center"/>
    </xf>
    <xf numFmtId="164" fontId="27" fillId="0" borderId="0" xfId="11" applyNumberFormat="1" applyFont="1" applyFill="1" applyBorder="1" applyAlignment="1">
      <alignment horizontal="left" vertical="center" wrapText="1"/>
    </xf>
    <xf numFmtId="0" fontId="2" fillId="0" borderId="0" xfId="6" applyFont="1" applyFill="1" applyAlignment="1" applyProtection="1">
      <alignment horizontal="center" vertical="center"/>
      <protection locked="0"/>
    </xf>
    <xf numFmtId="0" fontId="2" fillId="0" borderId="0" xfId="6" applyFont="1" applyFill="1" applyAlignment="1" applyProtection="1">
      <alignment vertical="center"/>
      <protection locked="0"/>
    </xf>
    <xf numFmtId="0" fontId="28" fillId="0" borderId="0" xfId="6" applyFont="1" applyFill="1" applyAlignment="1" applyProtection="1">
      <alignment horizontal="right" vertical="center"/>
      <protection locked="0"/>
    </xf>
    <xf numFmtId="0" fontId="2" fillId="0" borderId="0" xfId="6" applyFont="1" applyFill="1" applyProtection="1">
      <protection locked="0"/>
    </xf>
    <xf numFmtId="0" fontId="2" fillId="0" borderId="0" xfId="6" applyFont="1" applyFill="1" applyAlignment="1" applyProtection="1">
      <alignment horizontal="right" vertical="center"/>
      <protection locked="0"/>
    </xf>
    <xf numFmtId="0" fontId="3" fillId="0" borderId="0" xfId="6" applyFont="1" applyFill="1"/>
    <xf numFmtId="0" fontId="2" fillId="0" borderId="0" xfId="6" applyFont="1" applyFill="1" applyAlignment="1">
      <alignment vertical="center" wrapText="1"/>
    </xf>
    <xf numFmtId="0" fontId="5" fillId="0" borderId="0" xfId="0" applyFont="1"/>
    <xf numFmtId="3" fontId="22" fillId="0" borderId="41" xfId="1" applyNumberFormat="1" applyFont="1" applyFill="1" applyBorder="1" applyAlignment="1" applyProtection="1">
      <alignment horizontal="right" vertical="center"/>
      <protection locked="0"/>
    </xf>
    <xf numFmtId="3" fontId="29" fillId="0" borderId="41" xfId="1" applyNumberFormat="1" applyFont="1" applyFill="1" applyBorder="1" applyAlignment="1" applyProtection="1">
      <alignment horizontal="right" vertical="center"/>
      <protection locked="0"/>
    </xf>
    <xf numFmtId="3" fontId="22" fillId="0" borderId="24" xfId="1" applyNumberFormat="1" applyFont="1" applyFill="1" applyBorder="1" applyAlignment="1" applyProtection="1">
      <alignment horizontal="right" vertical="center"/>
      <protection locked="0"/>
    </xf>
    <xf numFmtId="3" fontId="22" fillId="7" borderId="53" xfId="1" applyNumberFormat="1" applyFont="1" applyFill="1" applyBorder="1" applyAlignment="1" applyProtection="1">
      <alignment horizontal="right" vertical="center"/>
      <protection locked="0"/>
    </xf>
    <xf numFmtId="3" fontId="22" fillId="0" borderId="18" xfId="1" applyNumberFormat="1" applyFont="1" applyFill="1" applyBorder="1" applyAlignment="1" applyProtection="1">
      <alignment horizontal="right" vertical="center"/>
      <protection locked="0"/>
    </xf>
    <xf numFmtId="3" fontId="29" fillId="0" borderId="41" xfId="1" applyNumberFormat="1" applyFont="1" applyFill="1" applyBorder="1" applyAlignment="1" applyProtection="1">
      <alignment vertical="center"/>
      <protection locked="0"/>
    </xf>
    <xf numFmtId="3" fontId="22" fillId="7" borderId="41" xfId="1" applyNumberFormat="1" applyFont="1" applyFill="1" applyBorder="1" applyAlignment="1" applyProtection="1">
      <alignment vertical="center"/>
      <protection locked="0"/>
    </xf>
    <xf numFmtId="0" fontId="2" fillId="0" borderId="39" xfId="1" applyFont="1" applyFill="1" applyBorder="1" applyAlignment="1" applyProtection="1">
      <alignment horizontal="right" vertical="center"/>
    </xf>
    <xf numFmtId="0" fontId="2" fillId="0" borderId="39" xfId="1" applyFont="1" applyFill="1" applyBorder="1" applyAlignment="1" applyProtection="1">
      <alignment horizontal="left" vertical="center"/>
    </xf>
    <xf numFmtId="3" fontId="30" fillId="0" borderId="24" xfId="1" applyNumberFormat="1" applyFont="1" applyFill="1" applyBorder="1" applyAlignment="1" applyProtection="1">
      <alignment horizontal="right" vertical="center"/>
      <protection locked="0"/>
    </xf>
    <xf numFmtId="3" fontId="31" fillId="0" borderId="18" xfId="1" applyNumberFormat="1" applyFont="1" applyFill="1" applyBorder="1" applyAlignment="1" applyProtection="1">
      <alignment horizontal="right" vertical="center"/>
      <protection locked="0"/>
    </xf>
    <xf numFmtId="3" fontId="31" fillId="0" borderId="53" xfId="1" applyNumberFormat="1" applyFont="1" applyFill="1" applyBorder="1" applyAlignment="1" applyProtection="1">
      <alignment horizontal="right" vertical="center"/>
      <protection locked="0"/>
    </xf>
    <xf numFmtId="3" fontId="31" fillId="0" borderId="41" xfId="1" applyNumberFormat="1" applyFont="1" applyFill="1" applyBorder="1" applyAlignment="1" applyProtection="1">
      <alignment horizontal="right" vertical="center"/>
      <protection locked="0"/>
    </xf>
    <xf numFmtId="3" fontId="31" fillId="0" borderId="57" xfId="1" applyNumberFormat="1" applyFont="1" applyFill="1" applyBorder="1" applyAlignment="1" applyProtection="1">
      <alignment horizontal="right" vertical="center"/>
      <protection locked="0"/>
    </xf>
    <xf numFmtId="3" fontId="31" fillId="0" borderId="41" xfId="1" applyNumberFormat="1" applyFont="1" applyFill="1" applyBorder="1" applyAlignment="1" applyProtection="1">
      <alignment vertical="center"/>
      <protection locked="0"/>
    </xf>
    <xf numFmtId="3" fontId="8" fillId="0" borderId="42" xfId="1" applyNumberFormat="1" applyFont="1" applyFill="1" applyBorder="1" applyAlignment="1" applyProtection="1">
      <alignment horizontal="left" vertical="center" wrapText="1"/>
      <protection locked="0"/>
    </xf>
    <xf numFmtId="3" fontId="8" fillId="0" borderId="6" xfId="1" applyNumberFormat="1" applyFont="1" applyFill="1" applyBorder="1" applyAlignment="1" applyProtection="1">
      <alignment vertical="center" wrapText="1"/>
      <protection locked="0"/>
    </xf>
    <xf numFmtId="3" fontId="31" fillId="0" borderId="57" xfId="1" applyNumberFormat="1" applyFont="1" applyFill="1" applyBorder="1" applyAlignment="1" applyProtection="1">
      <alignment vertical="center"/>
      <protection locked="0"/>
    </xf>
    <xf numFmtId="3" fontId="22" fillId="0" borderId="57" xfId="1" applyNumberFormat="1" applyFont="1" applyFill="1" applyBorder="1" applyAlignment="1" applyProtection="1">
      <alignment horizontal="right" vertical="center"/>
      <protection locked="0"/>
    </xf>
    <xf numFmtId="3" fontId="33" fillId="0" borderId="41" xfId="1" applyNumberFormat="1" applyFont="1" applyFill="1" applyBorder="1" applyAlignment="1" applyProtection="1">
      <alignment horizontal="right" vertical="center"/>
      <protection locked="0"/>
    </xf>
    <xf numFmtId="3" fontId="3" fillId="5" borderId="64" xfId="1" applyNumberFormat="1" applyFont="1" applyFill="1" applyBorder="1" applyAlignment="1" applyProtection="1">
      <alignment vertical="center"/>
    </xf>
    <xf numFmtId="3" fontId="3" fillId="5" borderId="65" xfId="1" applyNumberFormat="1" applyFont="1" applyFill="1" applyBorder="1" applyAlignment="1" applyProtection="1">
      <alignment vertical="center"/>
    </xf>
    <xf numFmtId="3" fontId="3" fillId="5" borderId="66" xfId="1" applyNumberFormat="1" applyFont="1" applyFill="1" applyBorder="1" applyAlignment="1" applyProtection="1">
      <alignment vertical="center"/>
    </xf>
    <xf numFmtId="3" fontId="2" fillId="0" borderId="51" xfId="1" applyNumberFormat="1" applyFont="1" applyFill="1" applyBorder="1" applyAlignment="1" applyProtection="1">
      <alignment horizontal="left" vertical="center" wrapText="1"/>
      <protection locked="0"/>
    </xf>
    <xf numFmtId="3" fontId="2" fillId="0" borderId="47" xfId="1" applyNumberFormat="1" applyFont="1" applyFill="1" applyBorder="1" applyAlignment="1" applyProtection="1">
      <alignment vertical="center" wrapText="1"/>
      <protection locked="0"/>
    </xf>
    <xf numFmtId="3" fontId="3" fillId="5" borderId="63" xfId="1" applyNumberFormat="1" applyFont="1" applyFill="1" applyBorder="1" applyAlignment="1" applyProtection="1">
      <alignment vertical="center"/>
    </xf>
    <xf numFmtId="3" fontId="3" fillId="5" borderId="44" xfId="1" applyNumberFormat="1" applyFont="1" applyFill="1" applyBorder="1" applyAlignment="1" applyProtection="1">
      <alignment vertical="center"/>
    </xf>
    <xf numFmtId="3" fontId="3" fillId="5" borderId="45" xfId="1" applyNumberFormat="1" applyFont="1" applyFill="1" applyBorder="1" applyAlignment="1" applyProtection="1">
      <alignment vertical="center"/>
    </xf>
    <xf numFmtId="3" fontId="3" fillId="5" borderId="46" xfId="1" applyNumberFormat="1" applyFont="1" applyFill="1" applyBorder="1" applyAlignment="1" applyProtection="1">
      <alignment vertical="center"/>
    </xf>
    <xf numFmtId="0" fontId="2" fillId="7" borderId="39" xfId="1" applyFont="1" applyFill="1" applyBorder="1" applyAlignment="1" applyProtection="1">
      <alignment horizontal="right" vertical="center" wrapText="1"/>
    </xf>
    <xf numFmtId="0" fontId="2" fillId="7" borderId="39" xfId="1" applyFont="1" applyFill="1" applyBorder="1" applyAlignment="1" applyProtection="1">
      <alignment horizontal="left" vertical="center" wrapText="1"/>
    </xf>
    <xf numFmtId="3" fontId="2" fillId="7" borderId="39" xfId="1" applyNumberFormat="1" applyFont="1" applyFill="1" applyBorder="1" applyAlignment="1" applyProtection="1">
      <alignment vertical="center"/>
    </xf>
    <xf numFmtId="3" fontId="2" fillId="7" borderId="41" xfId="6" applyNumberFormat="1" applyFont="1" applyFill="1" applyBorder="1" applyAlignment="1" applyProtection="1">
      <alignment horizontal="left" vertical="center" wrapText="1"/>
      <protection locked="0"/>
    </xf>
    <xf numFmtId="3" fontId="2" fillId="0" borderId="22" xfId="1" applyNumberFormat="1" applyFont="1" applyFill="1" applyBorder="1" applyAlignment="1" applyProtection="1">
      <alignment horizontal="left" vertical="center" wrapText="1"/>
      <protection locked="0"/>
    </xf>
    <xf numFmtId="0" fontId="2" fillId="0" borderId="42" xfId="0" applyFont="1" applyFill="1" applyBorder="1" applyAlignment="1" applyProtection="1">
      <alignment horizontal="left" vertical="center" wrapText="1"/>
      <protection locked="0"/>
    </xf>
    <xf numFmtId="0" fontId="2" fillId="0" borderId="42" xfId="0" applyFont="1" applyFill="1" applyBorder="1" applyAlignment="1" applyProtection="1">
      <alignment wrapText="1"/>
      <protection locked="0"/>
    </xf>
    <xf numFmtId="3" fontId="2" fillId="0" borderId="42" xfId="6" applyNumberFormat="1" applyFont="1" applyFill="1" applyBorder="1" applyAlignment="1" applyProtection="1">
      <alignment vertical="center" wrapText="1"/>
      <protection locked="0"/>
    </xf>
    <xf numFmtId="0" fontId="2" fillId="0" borderId="0" xfId="6" applyFont="1" applyAlignment="1">
      <alignment horizontal="right"/>
    </xf>
    <xf numFmtId="0" fontId="2" fillId="0" borderId="0" xfId="6" applyFont="1" applyBorder="1" applyAlignment="1">
      <alignment horizontal="left"/>
    </xf>
    <xf numFmtId="0" fontId="2" fillId="0" borderId="0" xfId="6" applyFont="1" applyBorder="1" applyAlignment="1" applyProtection="1">
      <protection locked="0"/>
    </xf>
    <xf numFmtId="0" fontId="2" fillId="0" borderId="0" xfId="6" applyFont="1" applyBorder="1" applyAlignment="1" applyProtection="1">
      <alignment horizontal="center"/>
      <protection locked="0"/>
    </xf>
    <xf numFmtId="0" fontId="2" fillId="0" borderId="0" xfId="6" applyFont="1" applyBorder="1" applyAlignment="1" applyProtection="1">
      <alignment wrapText="1"/>
      <protection locked="0"/>
    </xf>
    <xf numFmtId="0" fontId="2" fillId="0" borderId="0" xfId="6" applyFont="1" applyBorder="1" applyAlignment="1" applyProtection="1">
      <alignment horizontal="center" wrapText="1"/>
      <protection locked="0"/>
    </xf>
    <xf numFmtId="0" fontId="11" fillId="0" borderId="0" xfId="6" applyFont="1" applyAlignment="1"/>
    <xf numFmtId="0" fontId="11" fillId="0" borderId="0" xfId="6" applyFont="1" applyBorder="1" applyAlignment="1">
      <alignment horizontal="center"/>
    </xf>
    <xf numFmtId="0" fontId="2" fillId="0" borderId="0" xfId="6" applyFont="1" applyBorder="1" applyAlignment="1"/>
    <xf numFmtId="0" fontId="3" fillId="0" borderId="0" xfId="6" applyFont="1" applyBorder="1" applyAlignment="1" applyProtection="1">
      <protection locked="0"/>
    </xf>
    <xf numFmtId="0" fontId="2" fillId="0" borderId="0" xfId="6" applyFont="1" applyBorder="1" applyAlignment="1" applyProtection="1">
      <alignment horizontal="left"/>
      <protection locked="0"/>
    </xf>
    <xf numFmtId="49" fontId="2" fillId="0" borderId="0" xfId="6" applyNumberFormat="1" applyFont="1" applyBorder="1" applyAlignment="1" applyProtection="1">
      <protection locked="0"/>
    </xf>
    <xf numFmtId="49" fontId="2" fillId="0" borderId="0" xfId="6" applyNumberFormat="1" applyFont="1" applyBorder="1" applyAlignment="1" applyProtection="1">
      <alignment horizontal="center"/>
      <protection locked="0"/>
    </xf>
    <xf numFmtId="0" fontId="2" fillId="0" borderId="78" xfId="6" applyFont="1" applyBorder="1" applyAlignment="1">
      <alignment horizontal="center" vertical="center" wrapText="1"/>
    </xf>
    <xf numFmtId="3" fontId="3" fillId="0" borderId="41" xfId="6" applyNumberFormat="1" applyFont="1" applyFill="1" applyBorder="1" applyAlignment="1">
      <alignment vertical="center" wrapText="1"/>
    </xf>
    <xf numFmtId="0" fontId="3" fillId="0" borderId="41" xfId="6" applyFont="1" applyFill="1" applyBorder="1" applyAlignment="1">
      <alignment horizontal="center" wrapText="1"/>
    </xf>
    <xf numFmtId="0" fontId="3" fillId="0" borderId="41" xfId="6" applyFont="1" applyFill="1" applyBorder="1" applyAlignment="1">
      <alignment horizontal="left" wrapText="1"/>
    </xf>
    <xf numFmtId="49" fontId="34" fillId="0" borderId="41" xfId="6" applyNumberFormat="1" applyFont="1" applyFill="1" applyBorder="1" applyAlignment="1">
      <alignment horizontal="center" vertical="center" wrapText="1"/>
    </xf>
    <xf numFmtId="0" fontId="2" fillId="0" borderId="41" xfId="6" applyFont="1" applyFill="1" applyBorder="1" applyAlignment="1">
      <alignment horizontal="center" wrapText="1"/>
    </xf>
    <xf numFmtId="0" fontId="2" fillId="0" borderId="41" xfId="6" applyFont="1" applyFill="1" applyBorder="1" applyAlignment="1">
      <alignment horizontal="left" wrapText="1"/>
    </xf>
    <xf numFmtId="3" fontId="2" fillId="7" borderId="41" xfId="6" applyNumberFormat="1" applyFont="1" applyFill="1" applyBorder="1" applyAlignment="1" applyProtection="1">
      <alignment horizontal="right" vertical="center" wrapText="1"/>
      <protection locked="0"/>
    </xf>
    <xf numFmtId="0" fontId="2" fillId="0" borderId="0" xfId="6" applyFont="1" applyFill="1" applyBorder="1"/>
    <xf numFmtId="3" fontId="2" fillId="0" borderId="41" xfId="6" applyNumberFormat="1" applyFont="1" applyFill="1" applyBorder="1" applyAlignment="1" applyProtection="1">
      <alignment horizontal="center" vertical="center" wrapText="1"/>
      <protection locked="0"/>
    </xf>
    <xf numFmtId="3" fontId="2" fillId="7" borderId="41" xfId="6" applyNumberFormat="1" applyFont="1" applyFill="1" applyBorder="1" applyAlignment="1" applyProtection="1">
      <alignment horizontal="center" vertical="center" wrapText="1"/>
      <protection locked="0"/>
    </xf>
    <xf numFmtId="4" fontId="2" fillId="0" borderId="0" xfId="6" applyNumberFormat="1" applyFont="1" applyFill="1" applyBorder="1"/>
    <xf numFmtId="0" fontId="3" fillId="0" borderId="75" xfId="6" applyFont="1" applyFill="1" applyBorder="1" applyAlignment="1" applyProtection="1">
      <alignment horizontal="left" vertical="center" wrapText="1"/>
      <protection locked="0"/>
    </xf>
    <xf numFmtId="3" fontId="3" fillId="7" borderId="41" xfId="6" applyNumberFormat="1" applyFont="1" applyFill="1" applyBorder="1" applyAlignment="1" applyProtection="1">
      <alignment horizontal="right" vertical="center" wrapText="1"/>
      <protection locked="0"/>
    </xf>
    <xf numFmtId="0" fontId="3" fillId="0" borderId="75" xfId="6" applyFont="1" applyFill="1" applyBorder="1" applyAlignment="1">
      <alignment horizontal="center"/>
    </xf>
    <xf numFmtId="0" fontId="3" fillId="0" borderId="75" xfId="6" applyFont="1" applyFill="1" applyBorder="1" applyAlignment="1">
      <alignment horizontal="left"/>
    </xf>
    <xf numFmtId="0" fontId="3" fillId="0" borderId="75" xfId="6" applyFont="1" applyFill="1" applyBorder="1" applyAlignment="1">
      <alignment horizontal="center" wrapText="1"/>
    </xf>
    <xf numFmtId="0" fontId="3" fillId="0" borderId="81" xfId="6" applyFont="1" applyFill="1" applyBorder="1" applyAlignment="1">
      <alignment wrapText="1"/>
    </xf>
    <xf numFmtId="49" fontId="2" fillId="0" borderId="41" xfId="6" applyNumberFormat="1" applyFont="1" applyFill="1" applyBorder="1" applyAlignment="1">
      <alignment horizontal="center" vertical="center" wrapText="1"/>
    </xf>
    <xf numFmtId="3" fontId="3" fillId="7" borderId="41" xfId="6" applyNumberFormat="1" applyFont="1" applyFill="1" applyBorder="1" applyAlignment="1" applyProtection="1">
      <alignment vertical="center" wrapText="1"/>
      <protection locked="0"/>
    </xf>
    <xf numFmtId="0" fontId="3" fillId="0" borderId="41" xfId="6" applyFont="1" applyFill="1" applyBorder="1" applyAlignment="1">
      <alignment horizontal="center"/>
    </xf>
    <xf numFmtId="3" fontId="3" fillId="7" borderId="41" xfId="6" applyNumberFormat="1" applyFont="1" applyFill="1" applyBorder="1" applyAlignment="1">
      <alignment horizontal="center" vertical="center" wrapText="1"/>
    </xf>
    <xf numFmtId="3" fontId="2" fillId="7" borderId="41" xfId="6" applyNumberFormat="1" applyFont="1" applyFill="1" applyBorder="1" applyAlignment="1">
      <alignment horizontal="right" vertical="center" wrapText="1"/>
    </xf>
    <xf numFmtId="3" fontId="3" fillId="7" borderId="41" xfId="6" applyNumberFormat="1" applyFont="1" applyFill="1" applyBorder="1" applyAlignment="1">
      <alignment horizontal="right" vertical="center" wrapText="1"/>
    </xf>
    <xf numFmtId="3" fontId="2" fillId="0" borderId="41" xfId="6" applyNumberFormat="1" applyFont="1" applyFill="1" applyBorder="1" applyAlignment="1">
      <alignment horizontal="right" vertical="center" wrapText="1"/>
    </xf>
    <xf numFmtId="0" fontId="3" fillId="0" borderId="41" xfId="6" applyFont="1" applyFill="1" applyBorder="1" applyAlignment="1" applyProtection="1">
      <alignment horizontal="left" vertical="center" wrapText="1"/>
      <protection locked="0"/>
    </xf>
    <xf numFmtId="4" fontId="2" fillId="0" borderId="68" xfId="6" applyNumberFormat="1" applyFont="1" applyFill="1" applyBorder="1" applyAlignment="1" applyProtection="1">
      <alignment horizontal="center" vertical="center" wrapText="1"/>
      <protection locked="0"/>
    </xf>
    <xf numFmtId="0" fontId="2" fillId="0" borderId="75" xfId="6" applyFont="1" applyFill="1" applyBorder="1" applyAlignment="1" applyProtection="1">
      <alignment horizontal="center" vertical="center" wrapText="1"/>
      <protection locked="0"/>
    </xf>
    <xf numFmtId="0" fontId="2" fillId="0" borderId="81" xfId="6" applyFont="1" applyFill="1" applyBorder="1" applyAlignment="1" applyProtection="1">
      <alignment horizontal="left" vertical="center" wrapText="1"/>
      <protection locked="0"/>
    </xf>
    <xf numFmtId="3" fontId="2" fillId="0" borderId="41" xfId="6" applyNumberFormat="1" applyFont="1" applyFill="1" applyBorder="1" applyAlignment="1">
      <alignment horizontal="center" vertical="center" wrapText="1"/>
    </xf>
    <xf numFmtId="4" fontId="2" fillId="0" borderId="57" xfId="6" applyNumberFormat="1" applyFont="1" applyFill="1" applyBorder="1" applyAlignment="1" applyProtection="1">
      <alignment horizontal="center" vertical="center" wrapText="1"/>
      <protection locked="0"/>
    </xf>
    <xf numFmtId="3" fontId="3" fillId="7" borderId="41" xfId="6" applyNumberFormat="1" applyFont="1" applyFill="1" applyBorder="1" applyAlignment="1" applyProtection="1">
      <alignment horizontal="center" vertical="center"/>
      <protection locked="0"/>
    </xf>
    <xf numFmtId="0" fontId="3" fillId="0" borderId="79" xfId="6" applyFont="1" applyFill="1" applyBorder="1" applyAlignment="1">
      <alignment horizontal="center" wrapText="1"/>
    </xf>
    <xf numFmtId="0" fontId="2" fillId="0" borderId="77" xfId="6" applyFont="1" applyFill="1" applyBorder="1"/>
    <xf numFmtId="0" fontId="3" fillId="0" borderId="41" xfId="6" applyFont="1" applyFill="1" applyBorder="1" applyAlignment="1">
      <alignment horizontal="left" vertical="center" wrapText="1"/>
    </xf>
    <xf numFmtId="49" fontId="2" fillId="0" borderId="68" xfId="6" applyNumberFormat="1" applyFont="1" applyFill="1" applyBorder="1" applyAlignment="1">
      <alignment horizontal="center" vertical="center" wrapText="1"/>
    </xf>
    <xf numFmtId="3" fontId="3" fillId="0" borderId="68" xfId="6" applyNumberFormat="1" applyFont="1" applyFill="1" applyBorder="1" applyAlignment="1" applyProtection="1">
      <alignment horizontal="center" vertical="center" wrapText="1"/>
      <protection locked="0"/>
    </xf>
    <xf numFmtId="3" fontId="2" fillId="0" borderId="68" xfId="6" applyNumberFormat="1" applyFont="1" applyFill="1" applyBorder="1" applyAlignment="1" applyProtection="1">
      <alignment horizontal="right" vertical="center" wrapText="1"/>
      <protection locked="0"/>
    </xf>
    <xf numFmtId="3" fontId="3" fillId="0" borderId="68" xfId="6" applyNumberFormat="1" applyFont="1" applyFill="1" applyBorder="1" applyAlignment="1" applyProtection="1">
      <alignment horizontal="right" vertical="center" wrapText="1"/>
      <protection locked="0"/>
    </xf>
    <xf numFmtId="4" fontId="3" fillId="0" borderId="68" xfId="6" applyNumberFormat="1" applyFont="1" applyFill="1" applyBorder="1" applyAlignment="1" applyProtection="1">
      <alignment horizontal="right" vertical="center" wrapText="1"/>
      <protection locked="0"/>
    </xf>
    <xf numFmtId="3" fontId="3" fillId="0" borderId="5" xfId="6" applyNumberFormat="1" applyFont="1" applyFill="1" applyBorder="1" applyAlignment="1" applyProtection="1">
      <alignment horizontal="right" vertical="center" wrapText="1"/>
      <protection locked="0"/>
    </xf>
    <xf numFmtId="3" fontId="3" fillId="0" borderId="42" xfId="6" applyNumberFormat="1" applyFont="1" applyFill="1" applyBorder="1" applyAlignment="1" applyProtection="1">
      <alignment horizontal="right" vertical="center" wrapText="1"/>
      <protection locked="0"/>
    </xf>
    <xf numFmtId="3" fontId="3" fillId="0" borderId="40" xfId="6" applyNumberFormat="1" applyFont="1" applyFill="1" applyBorder="1" applyAlignment="1" applyProtection="1">
      <alignment horizontal="right" vertical="center" wrapText="1"/>
      <protection locked="0"/>
    </xf>
    <xf numFmtId="3" fontId="3" fillId="0" borderId="40" xfId="6" applyNumberFormat="1" applyFont="1" applyFill="1" applyBorder="1" applyAlignment="1" applyProtection="1">
      <alignment vertical="center" wrapText="1"/>
      <protection locked="0"/>
    </xf>
    <xf numFmtId="3" fontId="2" fillId="0" borderId="0" xfId="6" applyNumberFormat="1" applyFont="1" applyFill="1" applyBorder="1" applyAlignment="1" applyProtection="1">
      <alignment vertical="center" wrapText="1"/>
      <protection locked="0"/>
    </xf>
    <xf numFmtId="3" fontId="2" fillId="0" borderId="41" xfId="6" applyNumberFormat="1" applyFont="1" applyFill="1" applyBorder="1" applyAlignment="1" applyProtection="1">
      <alignment horizontal="left" vertical="center" wrapText="1"/>
      <protection locked="0"/>
    </xf>
    <xf numFmtId="3" fontId="2" fillId="0" borderId="69" xfId="6" applyNumberFormat="1" applyFont="1" applyFill="1" applyBorder="1" applyAlignment="1" applyProtection="1">
      <alignment horizontal="right" vertical="center" wrapText="1"/>
      <protection locked="0"/>
    </xf>
    <xf numFmtId="3" fontId="2" fillId="0" borderId="86" xfId="6" applyNumberFormat="1" applyFont="1" applyFill="1" applyBorder="1" applyAlignment="1" applyProtection="1">
      <alignment horizontal="right" vertical="center" wrapText="1"/>
      <protection locked="0"/>
    </xf>
    <xf numFmtId="3" fontId="2" fillId="0" borderId="75" xfId="6" applyNumberFormat="1" applyFont="1" applyFill="1" applyBorder="1" applyAlignment="1" applyProtection="1">
      <alignment vertical="center" wrapText="1"/>
      <protection locked="0"/>
    </xf>
    <xf numFmtId="3" fontId="3" fillId="0" borderId="80" xfId="6" applyNumberFormat="1" applyFont="1" applyFill="1" applyBorder="1" applyAlignment="1" applyProtection="1">
      <alignment horizontal="center" wrapText="1"/>
      <protection locked="0"/>
    </xf>
    <xf numFmtId="3" fontId="2" fillId="0" borderId="75" xfId="6" applyNumberFormat="1" applyFont="1" applyFill="1" applyBorder="1" applyAlignment="1" applyProtection="1">
      <alignment horizontal="center" vertical="center" wrapText="1"/>
      <protection locked="0"/>
    </xf>
    <xf numFmtId="3" fontId="2" fillId="0" borderId="42" xfId="6" applyNumberFormat="1" applyFont="1" applyFill="1" applyBorder="1" applyAlignment="1" applyProtection="1">
      <alignment horizontal="center" vertical="center" wrapText="1"/>
      <protection locked="0"/>
    </xf>
    <xf numFmtId="3" fontId="3" fillId="0" borderId="85" xfId="6" applyNumberFormat="1" applyFont="1" applyFill="1" applyBorder="1" applyAlignment="1" applyProtection="1">
      <alignment horizontal="center" wrapText="1"/>
      <protection locked="0"/>
    </xf>
    <xf numFmtId="3" fontId="2" fillId="0" borderId="58" xfId="6" applyNumberFormat="1" applyFont="1" applyFill="1" applyBorder="1" applyAlignment="1" applyProtection="1">
      <alignment horizontal="center" vertical="center" wrapText="1"/>
      <protection locked="0"/>
    </xf>
    <xf numFmtId="3" fontId="2" fillId="0" borderId="40" xfId="6" applyNumberFormat="1" applyFont="1" applyFill="1" applyBorder="1" applyAlignment="1" applyProtection="1">
      <alignment horizontal="right" vertical="center" wrapText="1"/>
      <protection locked="0"/>
    </xf>
    <xf numFmtId="3" fontId="2" fillId="0" borderId="0" xfId="6" applyNumberFormat="1" applyFont="1" applyFill="1" applyBorder="1" applyAlignment="1" applyProtection="1">
      <alignment horizontal="center" vertical="center" wrapText="1"/>
      <protection locked="0"/>
    </xf>
    <xf numFmtId="0" fontId="3" fillId="0" borderId="0" xfId="6" applyFont="1" applyFill="1" applyBorder="1" applyAlignment="1" applyProtection="1">
      <alignment horizontal="center" vertical="center" wrapText="1"/>
      <protection locked="0"/>
    </xf>
    <xf numFmtId="0" fontId="3" fillId="0" borderId="0" xfId="6" applyFont="1" applyFill="1" applyBorder="1" applyAlignment="1">
      <alignment horizontal="left" vertical="center" wrapText="1"/>
    </xf>
    <xf numFmtId="3" fontId="3" fillId="0" borderId="85" xfId="6" applyNumberFormat="1" applyFont="1" applyFill="1" applyBorder="1" applyAlignment="1" applyProtection="1">
      <alignment wrapText="1"/>
      <protection locked="0"/>
    </xf>
    <xf numFmtId="3" fontId="2" fillId="0" borderId="0" xfId="6" applyNumberFormat="1" applyFont="1" applyFill="1" applyBorder="1" applyAlignment="1" applyProtection="1">
      <alignment horizontal="right" vertical="center" wrapText="1"/>
      <protection locked="0"/>
    </xf>
    <xf numFmtId="3" fontId="2" fillId="0" borderId="85" xfId="6" applyNumberFormat="1" applyFont="1" applyFill="1" applyBorder="1" applyAlignment="1" applyProtection="1">
      <alignment horizontal="center" vertical="center" wrapText="1"/>
      <protection locked="0"/>
    </xf>
    <xf numFmtId="49" fontId="2" fillId="0" borderId="0" xfId="6" applyNumberFormat="1" applyFont="1" applyFill="1" applyBorder="1" applyAlignment="1">
      <alignment horizontal="center" vertical="center" wrapText="1"/>
    </xf>
    <xf numFmtId="3" fontId="2" fillId="7" borderId="0" xfId="6" applyNumberFormat="1" applyFont="1" applyFill="1" applyBorder="1" applyAlignment="1" applyProtection="1">
      <alignment wrapText="1"/>
      <protection locked="0"/>
    </xf>
    <xf numFmtId="3" fontId="2" fillId="0" borderId="0" xfId="6" applyNumberFormat="1" applyFont="1" applyBorder="1" applyAlignment="1" applyProtection="1">
      <alignment wrapText="1"/>
      <protection locked="0"/>
    </xf>
    <xf numFmtId="3" fontId="3" fillId="0" borderId="0" xfId="6" applyNumberFormat="1" applyFont="1" applyBorder="1" applyAlignment="1" applyProtection="1">
      <alignment wrapText="1"/>
      <protection locked="0"/>
    </xf>
    <xf numFmtId="0" fontId="35" fillId="0" borderId="0" xfId="6" applyFont="1" applyBorder="1" applyAlignment="1">
      <alignment vertical="center"/>
    </xf>
    <xf numFmtId="0" fontId="9" fillId="0" borderId="0" xfId="6" applyFont="1" applyBorder="1" applyAlignment="1"/>
    <xf numFmtId="0" fontId="35" fillId="0" borderId="0" xfId="6" applyFont="1" applyBorder="1" applyAlignment="1"/>
    <xf numFmtId="0" fontId="9" fillId="0" borderId="0" xfId="6" applyFont="1" applyFill="1" applyBorder="1" applyAlignment="1"/>
    <xf numFmtId="0" fontId="2" fillId="0" borderId="15" xfId="1" applyFont="1" applyFill="1" applyBorder="1" applyAlignment="1" applyProtection="1">
      <alignment horizontal="center" vertical="center" wrapText="1"/>
    </xf>
    <xf numFmtId="0" fontId="2" fillId="0" borderId="41" xfId="6" applyFont="1" applyBorder="1" applyAlignment="1">
      <alignment horizontal="center" vertical="center" wrapText="1"/>
    </xf>
    <xf numFmtId="0" fontId="2" fillId="0" borderId="41" xfId="6" applyFont="1" applyBorder="1" applyAlignment="1" applyProtection="1">
      <alignment horizontal="center" vertical="center" wrapText="1"/>
      <protection locked="0"/>
    </xf>
    <xf numFmtId="0" fontId="2" fillId="0" borderId="0" xfId="6" applyFont="1" applyBorder="1" applyAlignment="1" applyProtection="1">
      <alignment horizontal="left" vertical="center" wrapText="1"/>
      <protection locked="0"/>
    </xf>
    <xf numFmtId="0" fontId="2" fillId="0" borderId="41" xfId="6" applyFont="1" applyBorder="1" applyAlignment="1" applyProtection="1">
      <alignment horizontal="left" vertical="center" wrapText="1"/>
      <protection locked="0"/>
    </xf>
    <xf numFmtId="0" fontId="2" fillId="0" borderId="0" xfId="6" applyFont="1" applyAlignment="1">
      <alignment horizontal="left"/>
    </xf>
    <xf numFmtId="0" fontId="11" fillId="0" borderId="0" xfId="6" applyFont="1" applyAlignment="1">
      <alignment horizontal="center"/>
    </xf>
    <xf numFmtId="0" fontId="2" fillId="0" borderId="6" xfId="1" applyNumberFormat="1" applyFont="1" applyFill="1" applyBorder="1" applyAlignment="1" applyProtection="1">
      <alignment horizontal="left" vertical="center" wrapText="1"/>
      <protection locked="0"/>
    </xf>
    <xf numFmtId="3" fontId="2" fillId="6" borderId="53" xfId="1" applyNumberFormat="1" applyFont="1" applyFill="1" applyBorder="1" applyAlignment="1" applyProtection="1">
      <alignment horizontal="right" vertical="center"/>
      <protection locked="0"/>
    </xf>
    <xf numFmtId="3" fontId="2" fillId="6" borderId="18" xfId="1" applyNumberFormat="1" applyFont="1" applyFill="1" applyBorder="1" applyAlignment="1" applyProtection="1">
      <alignment horizontal="right" vertical="center"/>
      <protection locked="0"/>
    </xf>
    <xf numFmtId="3" fontId="2" fillId="6" borderId="57" xfId="1" applyNumberFormat="1" applyFont="1" applyFill="1" applyBorder="1" applyAlignment="1" applyProtection="1">
      <alignment horizontal="right" vertical="center"/>
      <protection locked="0"/>
    </xf>
    <xf numFmtId="3" fontId="2" fillId="0" borderId="42" xfId="1" applyNumberFormat="1" applyFont="1" applyFill="1" applyBorder="1" applyAlignment="1" applyProtection="1">
      <alignment horizontal="left" vertical="top" wrapText="1"/>
      <protection locked="0"/>
    </xf>
    <xf numFmtId="0" fontId="2" fillId="0" borderId="0" xfId="1" applyFont="1" applyAlignment="1">
      <alignment horizontal="right"/>
    </xf>
    <xf numFmtId="0" fontId="13" fillId="0" borderId="0" xfId="1" applyFont="1" applyAlignment="1"/>
    <xf numFmtId="49" fontId="3" fillId="0" borderId="0" xfId="1" applyNumberFormat="1" applyFont="1" applyFill="1" applyAlignment="1"/>
    <xf numFmtId="49" fontId="3" fillId="0" borderId="0" xfId="1" applyNumberFormat="1" applyFont="1" applyAlignment="1"/>
    <xf numFmtId="3" fontId="2" fillId="0" borderId="41" xfId="1" applyNumberFormat="1" applyFont="1" applyBorder="1" applyAlignment="1">
      <alignment vertical="center" wrapText="1"/>
    </xf>
    <xf numFmtId="3" fontId="3" fillId="0" borderId="41" xfId="1" applyNumberFormat="1" applyFont="1" applyBorder="1" applyAlignment="1">
      <alignment vertical="center" wrapText="1"/>
    </xf>
    <xf numFmtId="1" fontId="3" fillId="0" borderId="41" xfId="1" applyNumberFormat="1" applyFont="1" applyFill="1" applyBorder="1" applyAlignment="1" applyProtection="1">
      <alignment horizontal="center" vertical="center" wrapText="1"/>
      <protection locked="0"/>
    </xf>
    <xf numFmtId="3" fontId="3" fillId="0" borderId="41" xfId="1" applyNumberFormat="1" applyFont="1" applyFill="1" applyBorder="1" applyAlignment="1" applyProtection="1">
      <alignment vertical="center" wrapText="1"/>
      <protection locked="0"/>
    </xf>
    <xf numFmtId="3" fontId="2" fillId="0" borderId="41" xfId="1" applyNumberFormat="1" applyFont="1" applyFill="1" applyBorder="1" applyAlignment="1" applyProtection="1">
      <alignment horizontal="center" vertical="center" wrapText="1"/>
      <protection locked="0"/>
    </xf>
    <xf numFmtId="4" fontId="2" fillId="0" borderId="0" xfId="1" applyNumberFormat="1" applyFont="1"/>
    <xf numFmtId="3" fontId="2" fillId="0" borderId="0" xfId="1" applyNumberFormat="1" applyFont="1" applyBorder="1" applyAlignment="1" applyProtection="1">
      <alignment horizontal="center" vertical="center" wrapText="1"/>
      <protection locked="0"/>
    </xf>
    <xf numFmtId="0" fontId="2" fillId="0" borderId="0" xfId="1" applyFont="1" applyBorder="1" applyAlignment="1" applyProtection="1">
      <alignment horizontal="left" vertical="center" wrapText="1"/>
      <protection locked="0"/>
    </xf>
    <xf numFmtId="1" fontId="3" fillId="0" borderId="0" xfId="1" applyNumberFormat="1" applyFont="1" applyFill="1" applyBorder="1" applyAlignment="1" applyProtection="1">
      <alignment horizontal="center" vertical="center" wrapText="1"/>
      <protection locked="0"/>
    </xf>
    <xf numFmtId="3" fontId="2" fillId="0" borderId="0" xfId="1" applyNumberFormat="1" applyFont="1" applyFill="1" applyBorder="1" applyAlignment="1" applyProtection="1">
      <alignment vertical="center" wrapText="1"/>
      <protection locked="0"/>
    </xf>
    <xf numFmtId="3" fontId="2" fillId="0" borderId="0" xfId="1" applyNumberFormat="1" applyFont="1" applyFill="1" applyBorder="1" applyAlignment="1" applyProtection="1">
      <alignment horizontal="center" vertical="center" wrapText="1"/>
      <protection locked="0"/>
    </xf>
    <xf numFmtId="0" fontId="2" fillId="0" borderId="0" xfId="1" applyFont="1" applyBorder="1" applyAlignment="1">
      <alignment horizontal="left"/>
    </xf>
    <xf numFmtId="0" fontId="2" fillId="0" borderId="0" xfId="1" applyFont="1" applyFill="1" applyBorder="1" applyAlignment="1">
      <alignment horizontal="center"/>
    </xf>
    <xf numFmtId="0" fontId="2" fillId="0" borderId="0" xfId="1" applyFont="1" applyFill="1" applyBorder="1" applyAlignment="1">
      <alignment horizontal="left"/>
    </xf>
    <xf numFmtId="49" fontId="3" fillId="0" borderId="0" xfId="1" applyNumberFormat="1" applyFont="1" applyFill="1" applyBorder="1" applyAlignment="1">
      <alignment horizontal="left"/>
    </xf>
    <xf numFmtId="0" fontId="3" fillId="0" borderId="0" xfId="1" applyFont="1" applyFill="1" applyBorder="1" applyAlignment="1">
      <alignment horizontal="center"/>
    </xf>
    <xf numFmtId="0" fontId="3" fillId="0" borderId="0" xfId="1" applyFont="1" applyFill="1" applyBorder="1" applyAlignment="1">
      <alignment horizontal="left"/>
    </xf>
    <xf numFmtId="0" fontId="3" fillId="0" borderId="0" xfId="1" applyFont="1" applyBorder="1" applyAlignment="1">
      <alignment horizontal="left"/>
    </xf>
    <xf numFmtId="3" fontId="2" fillId="0" borderId="41" xfId="1" applyNumberFormat="1" applyFont="1" applyFill="1" applyBorder="1" applyAlignment="1">
      <alignment horizontal="center" vertical="center" wrapText="1"/>
    </xf>
    <xf numFmtId="3" fontId="3" fillId="0" borderId="41" xfId="1" applyNumberFormat="1" applyFont="1" applyFill="1" applyBorder="1" applyAlignment="1">
      <alignment vertical="center" wrapText="1"/>
    </xf>
    <xf numFmtId="0" fontId="2" fillId="0" borderId="41" xfId="1" applyFont="1" applyBorder="1" applyAlignment="1" applyProtection="1">
      <alignment horizontal="center" vertical="center" wrapText="1"/>
      <protection locked="0"/>
    </xf>
    <xf numFmtId="3" fontId="2" fillId="0" borderId="0" xfId="1" applyNumberFormat="1" applyFont="1" applyBorder="1" applyAlignment="1" applyProtection="1">
      <alignment horizontal="center" vertical="top" wrapText="1"/>
      <protection locked="0"/>
    </xf>
    <xf numFmtId="0" fontId="2" fillId="0" borderId="0" xfId="1" applyFont="1" applyBorder="1" applyAlignment="1" applyProtection="1">
      <alignment horizontal="left" vertical="top" wrapText="1"/>
      <protection locked="0"/>
    </xf>
    <xf numFmtId="1" fontId="2" fillId="0" borderId="0" xfId="1" applyNumberFormat="1" applyFont="1" applyFill="1" applyBorder="1" applyAlignment="1" applyProtection="1">
      <alignment horizontal="center" wrapText="1"/>
      <protection locked="0"/>
    </xf>
    <xf numFmtId="3" fontId="2" fillId="0" borderId="0" xfId="1" applyNumberFormat="1" applyFont="1" applyFill="1" applyBorder="1" applyAlignment="1" applyProtection="1">
      <alignment wrapText="1"/>
      <protection locked="0"/>
    </xf>
    <xf numFmtId="0" fontId="2" fillId="0" borderId="0" xfId="1" applyFont="1" applyBorder="1" applyAlignment="1">
      <alignment horizontal="center"/>
    </xf>
    <xf numFmtId="0" fontId="3" fillId="0" borderId="0" xfId="1" applyFont="1" applyBorder="1" applyAlignment="1">
      <alignment horizontal="center"/>
    </xf>
    <xf numFmtId="0" fontId="2" fillId="0" borderId="41" xfId="1" applyFont="1" applyBorder="1" applyAlignment="1" applyProtection="1">
      <alignment horizontal="center" vertical="center"/>
      <protection locked="0"/>
    </xf>
    <xf numFmtId="1" fontId="3" fillId="0" borderId="41" xfId="12" applyNumberFormat="1" applyFont="1" applyFill="1" applyBorder="1" applyAlignment="1" applyProtection="1">
      <alignment horizontal="center" vertical="center" wrapText="1"/>
      <protection locked="0"/>
    </xf>
    <xf numFmtId="3" fontId="2" fillId="0" borderId="41" xfId="12" applyNumberFormat="1" applyFont="1" applyFill="1" applyBorder="1" applyAlignment="1" applyProtection="1">
      <alignment vertical="center" wrapText="1"/>
      <protection locked="0"/>
    </xf>
    <xf numFmtId="3" fontId="2" fillId="0" borderId="68" xfId="12" applyNumberFormat="1" applyFont="1" applyFill="1" applyBorder="1" applyAlignment="1" applyProtection="1">
      <alignment horizontal="center" vertical="center" wrapText="1"/>
      <protection locked="0"/>
    </xf>
    <xf numFmtId="0" fontId="2" fillId="0" borderId="41" xfId="12" applyFont="1" applyBorder="1" applyAlignment="1" applyProtection="1">
      <alignment horizontal="center" vertical="center" wrapText="1"/>
      <protection locked="0"/>
    </xf>
    <xf numFmtId="3" fontId="2" fillId="0" borderId="41" xfId="12" applyNumberFormat="1" applyFont="1" applyFill="1" applyBorder="1" applyAlignment="1" applyProtection="1">
      <alignment horizontal="center" vertical="center" wrapText="1"/>
      <protection locked="0"/>
    </xf>
    <xf numFmtId="0" fontId="2" fillId="0" borderId="68" xfId="1" applyFont="1" applyBorder="1" applyAlignment="1" applyProtection="1">
      <alignment horizontal="center" vertical="center" wrapText="1"/>
      <protection locked="0"/>
    </xf>
    <xf numFmtId="0" fontId="2" fillId="0" borderId="0" xfId="12" applyFont="1" applyBorder="1" applyAlignment="1" applyProtection="1">
      <alignment horizontal="right" vertical="top" wrapText="1"/>
      <protection locked="0"/>
    </xf>
    <xf numFmtId="0" fontId="2" fillId="0" borderId="0" xfId="12" applyFont="1" applyBorder="1" applyAlignment="1" applyProtection="1">
      <alignment horizontal="left" vertical="top" wrapText="1"/>
      <protection locked="0"/>
    </xf>
    <xf numFmtId="1" fontId="2" fillId="0" borderId="0" xfId="12" applyNumberFormat="1" applyFont="1" applyBorder="1" applyAlignment="1" applyProtection="1">
      <alignment horizontal="center" wrapText="1"/>
      <protection locked="0"/>
    </xf>
    <xf numFmtId="3" fontId="2" fillId="0" borderId="0" xfId="12" applyNumberFormat="1" applyFont="1" applyBorder="1" applyAlignment="1" applyProtection="1">
      <alignment wrapText="1"/>
      <protection locked="0"/>
    </xf>
    <xf numFmtId="0" fontId="2" fillId="0" borderId="0" xfId="1" applyFont="1" applyBorder="1" applyAlignment="1"/>
    <xf numFmtId="3" fontId="37" fillId="0" borderId="0" xfId="1" applyNumberFormat="1" applyFont="1" applyBorder="1" applyAlignment="1" applyProtection="1">
      <alignment horizontal="center" wrapText="1"/>
      <protection locked="0"/>
    </xf>
    <xf numFmtId="3" fontId="37" fillId="0" borderId="0" xfId="1" applyNumberFormat="1" applyFont="1" applyBorder="1" applyAlignment="1" applyProtection="1">
      <alignment wrapText="1"/>
      <protection locked="0"/>
    </xf>
    <xf numFmtId="3" fontId="3" fillId="0" borderId="41" xfId="1" applyNumberFormat="1" applyFont="1" applyFill="1" applyBorder="1" applyAlignment="1">
      <alignment horizontal="center" vertical="center" wrapText="1"/>
    </xf>
    <xf numFmtId="3" fontId="2" fillId="0" borderId="68" xfId="1" applyNumberFormat="1" applyFont="1" applyFill="1" applyBorder="1" applyAlignment="1" applyProtection="1">
      <alignment vertical="center" wrapText="1"/>
      <protection locked="0"/>
    </xf>
    <xf numFmtId="3" fontId="2" fillId="0" borderId="68" xfId="1" applyNumberFormat="1" applyFont="1" applyFill="1" applyBorder="1" applyAlignment="1" applyProtection="1">
      <alignment horizontal="center" vertical="center" wrapText="1"/>
      <protection locked="0"/>
    </xf>
    <xf numFmtId="0" fontId="2" fillId="0" borderId="41" xfId="1" applyFont="1" applyFill="1" applyBorder="1" applyAlignment="1" applyProtection="1">
      <alignment horizontal="center" vertical="center"/>
      <protection locked="0"/>
    </xf>
    <xf numFmtId="0" fontId="2" fillId="0" borderId="0" xfId="1" applyFont="1" applyBorder="1" applyAlignment="1">
      <alignment horizontal="center" wrapText="1"/>
    </xf>
    <xf numFmtId="3" fontId="2" fillId="0" borderId="0" xfId="1" applyNumberFormat="1" applyFont="1" applyBorder="1" applyAlignment="1">
      <alignment horizontal="center" wrapText="1"/>
    </xf>
    <xf numFmtId="0" fontId="2" fillId="0" borderId="41" xfId="1" applyFont="1" applyFill="1" applyBorder="1" applyAlignment="1">
      <alignment vertical="center"/>
    </xf>
    <xf numFmtId="3" fontId="2" fillId="0" borderId="41" xfId="1" applyNumberFormat="1" applyFont="1" applyFill="1" applyBorder="1" applyAlignment="1">
      <alignment vertical="center" wrapText="1"/>
    </xf>
    <xf numFmtId="3" fontId="3" fillId="10" borderId="68" xfId="1" applyNumberFormat="1" applyFont="1" applyFill="1" applyBorder="1" applyAlignment="1">
      <alignment vertical="center" wrapText="1"/>
    </xf>
    <xf numFmtId="0" fontId="2" fillId="0" borderId="85" xfId="1" applyFont="1" applyBorder="1" applyAlignment="1">
      <alignment wrapText="1"/>
    </xf>
    <xf numFmtId="0" fontId="2" fillId="0" borderId="85" xfId="1" applyFont="1" applyBorder="1" applyAlignment="1">
      <alignment horizontal="center" wrapText="1"/>
    </xf>
    <xf numFmtId="3" fontId="2" fillId="0" borderId="68" xfId="1" applyNumberFormat="1" applyFont="1" applyFill="1" applyBorder="1" applyAlignment="1">
      <alignment vertical="center" wrapText="1"/>
    </xf>
    <xf numFmtId="2" fontId="2" fillId="0" borderId="41" xfId="1" applyNumberFormat="1" applyFont="1" applyFill="1" applyBorder="1" applyAlignment="1">
      <alignment horizontal="center" vertical="center" wrapText="1"/>
    </xf>
    <xf numFmtId="49" fontId="3" fillId="0" borderId="41" xfId="1" applyNumberFormat="1" applyFont="1" applyFill="1" applyBorder="1" applyAlignment="1" applyProtection="1">
      <alignment horizontal="center" vertical="center" wrapText="1"/>
      <protection locked="0"/>
    </xf>
    <xf numFmtId="0" fontId="2" fillId="0" borderId="0" xfId="1" applyFont="1" applyBorder="1" applyAlignment="1" applyProtection="1">
      <alignment horizontal="center" vertical="top" wrapText="1"/>
      <protection locked="0"/>
    </xf>
    <xf numFmtId="0" fontId="2" fillId="0" borderId="0" xfId="1" quotePrefix="1" applyFont="1" applyFill="1" applyBorder="1" applyAlignment="1">
      <alignment horizontal="center" vertical="top" wrapText="1"/>
    </xf>
    <xf numFmtId="1" fontId="2" fillId="0" borderId="0" xfId="1" applyNumberFormat="1" applyFont="1" applyBorder="1" applyAlignment="1" applyProtection="1">
      <alignment wrapText="1"/>
      <protection locked="0"/>
    </xf>
    <xf numFmtId="0" fontId="6" fillId="0" borderId="0" xfId="1" applyFont="1" applyAlignment="1">
      <alignment horizontal="center" vertical="center" wrapText="1"/>
    </xf>
    <xf numFmtId="3" fontId="6" fillId="0" borderId="0" xfId="1" applyNumberFormat="1" applyFont="1"/>
    <xf numFmtId="3" fontId="2" fillId="0" borderId="41" xfId="1" applyNumberFormat="1" applyFont="1" applyFill="1" applyBorder="1" applyAlignment="1">
      <alignment horizontal="center" vertical="center" wrapText="1"/>
    </xf>
    <xf numFmtId="3" fontId="3" fillId="10" borderId="41" xfId="12" applyNumberFormat="1" applyFont="1" applyFill="1" applyBorder="1" applyAlignment="1" applyProtection="1">
      <alignment vertical="center" wrapText="1"/>
      <protection locked="0"/>
    </xf>
    <xf numFmtId="3" fontId="3" fillId="10" borderId="41" xfId="1" applyNumberFormat="1" applyFont="1" applyFill="1" applyBorder="1" applyAlignment="1">
      <alignment vertical="center" wrapText="1"/>
    </xf>
    <xf numFmtId="0" fontId="2" fillId="0" borderId="0" xfId="1" applyFont="1" applyFill="1"/>
    <xf numFmtId="0" fontId="2" fillId="0" borderId="85" xfId="1" applyFont="1" applyBorder="1" applyAlignment="1" applyProtection="1">
      <alignment horizontal="right" vertical="top" wrapText="1"/>
      <protection locked="0"/>
    </xf>
    <xf numFmtId="0" fontId="2" fillId="0" borderId="85" xfId="1" applyFont="1" applyBorder="1" applyAlignment="1" applyProtection="1">
      <alignment horizontal="left" vertical="top" wrapText="1"/>
      <protection locked="0"/>
    </xf>
    <xf numFmtId="1" fontId="2" fillId="0" borderId="85" xfId="1" applyNumberFormat="1" applyFont="1" applyBorder="1" applyAlignment="1" applyProtection="1">
      <alignment horizontal="center" wrapText="1"/>
      <protection locked="0"/>
    </xf>
    <xf numFmtId="3" fontId="2" fillId="0" borderId="85" xfId="1" applyNumberFormat="1" applyFont="1" applyBorder="1" applyAlignment="1" applyProtection="1">
      <alignment wrapText="1"/>
      <protection locked="0"/>
    </xf>
    <xf numFmtId="0" fontId="2" fillId="0" borderId="85" xfId="1" applyFont="1" applyBorder="1"/>
    <xf numFmtId="3" fontId="2" fillId="0" borderId="41" xfId="1" applyNumberFormat="1" applyFont="1" applyBorder="1" applyAlignment="1" applyProtection="1">
      <alignment horizontal="center" vertical="center" wrapText="1"/>
      <protection locked="0"/>
    </xf>
    <xf numFmtId="0" fontId="2" fillId="0" borderId="85" xfId="1" applyFont="1" applyFill="1" applyBorder="1" applyAlignment="1" applyProtection="1">
      <alignment horizontal="left" vertical="top" wrapText="1"/>
      <protection locked="0"/>
    </xf>
    <xf numFmtId="0" fontId="2" fillId="0" borderId="85" xfId="1" applyFont="1" applyFill="1" applyBorder="1" applyAlignment="1" applyProtection="1">
      <alignment horizontal="center" vertical="top" wrapText="1"/>
      <protection locked="0"/>
    </xf>
    <xf numFmtId="0" fontId="2" fillId="0" borderId="41" xfId="1" applyFont="1" applyBorder="1" applyAlignment="1">
      <alignment vertical="center"/>
    </xf>
    <xf numFmtId="3" fontId="3" fillId="0" borderId="41" xfId="1" applyNumberFormat="1" applyFont="1" applyBorder="1" applyAlignment="1">
      <alignment horizontal="center" vertical="center" wrapText="1"/>
    </xf>
    <xf numFmtId="0" fontId="25" fillId="0" borderId="0" xfId="1" applyFont="1" applyFill="1"/>
    <xf numFmtId="0" fontId="25" fillId="0" borderId="0" xfId="1" applyFont="1" applyFill="1" applyBorder="1"/>
    <xf numFmtId="0" fontId="2" fillId="0" borderId="0" xfId="12" applyFont="1"/>
    <xf numFmtId="0" fontId="25" fillId="0" borderId="0" xfId="1" applyFont="1" applyFill="1" applyBorder="1" applyAlignment="1">
      <alignment vertical="top" wrapText="1"/>
    </xf>
    <xf numFmtId="0" fontId="3" fillId="0" borderId="0" xfId="1" applyFont="1"/>
    <xf numFmtId="0" fontId="38" fillId="0" borderId="0" xfId="1" applyFont="1"/>
    <xf numFmtId="0" fontId="38" fillId="0" borderId="0" xfId="1" applyFont="1" applyFill="1"/>
    <xf numFmtId="49" fontId="2" fillId="0" borderId="16" xfId="0" applyNumberFormat="1" applyFont="1" applyBorder="1" applyAlignment="1" applyProtection="1">
      <alignment horizontal="left" wrapText="1"/>
      <protection locked="0"/>
    </xf>
    <xf numFmtId="49" fontId="2" fillId="0" borderId="51" xfId="0" applyNumberFormat="1" applyFont="1" applyBorder="1" applyAlignment="1" applyProtection="1">
      <alignment horizontal="left" wrapText="1"/>
      <protection locked="0"/>
    </xf>
    <xf numFmtId="49" fontId="2" fillId="11" borderId="15" xfId="0" applyNumberFormat="1" applyFont="1" applyFill="1" applyBorder="1" applyAlignment="1" applyProtection="1">
      <alignment horizontal="left" wrapText="1"/>
      <protection locked="0"/>
    </xf>
    <xf numFmtId="49" fontId="2" fillId="0" borderId="39" xfId="0" applyNumberFormat="1" applyFont="1" applyBorder="1" applyAlignment="1" applyProtection="1">
      <alignment horizontal="left" wrapText="1"/>
      <protection locked="0"/>
    </xf>
    <xf numFmtId="0" fontId="2" fillId="0" borderId="15" xfId="1" applyFont="1" applyFill="1" applyBorder="1" applyAlignment="1" applyProtection="1">
      <alignment horizontal="center" vertical="center" wrapText="1"/>
    </xf>
    <xf numFmtId="3" fontId="2" fillId="0" borderId="41" xfId="1" applyNumberFormat="1" applyFont="1" applyFill="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0" xfId="1" applyFont="1" applyAlignment="1">
      <alignment horizontal="left"/>
    </xf>
    <xf numFmtId="3" fontId="2" fillId="0" borderId="41" xfId="1" applyNumberFormat="1" applyFont="1" applyBorder="1" applyAlignment="1" applyProtection="1">
      <alignment horizontal="center" vertical="center" wrapText="1"/>
      <protection locked="0"/>
    </xf>
    <xf numFmtId="0" fontId="2" fillId="0" borderId="0" xfId="1" applyFont="1" applyAlignment="1">
      <alignment horizontal="right"/>
    </xf>
    <xf numFmtId="0" fontId="11" fillId="0" borderId="0" xfId="1" applyFont="1" applyAlignment="1">
      <alignment horizontal="center"/>
    </xf>
    <xf numFmtId="0" fontId="2" fillId="0" borderId="41" xfId="6" applyFont="1" applyBorder="1" applyAlignment="1" applyProtection="1">
      <alignment horizontal="left" vertical="center" wrapText="1"/>
      <protection locked="0"/>
    </xf>
    <xf numFmtId="0" fontId="3" fillId="0" borderId="41" xfId="6" applyFont="1" applyFill="1" applyBorder="1" applyAlignment="1" applyProtection="1">
      <alignment horizontal="center" vertical="center" wrapText="1"/>
      <protection locked="0"/>
    </xf>
    <xf numFmtId="0" fontId="2" fillId="0" borderId="41" xfId="2" applyFont="1" applyBorder="1" applyAlignment="1">
      <alignment horizontal="center" vertical="center" wrapText="1"/>
    </xf>
    <xf numFmtId="0" fontId="2" fillId="0" borderId="0" xfId="8" applyFont="1" applyAlignment="1">
      <alignment horizontal="left"/>
    </xf>
    <xf numFmtId="3" fontId="2" fillId="0" borderId="68" xfId="3" applyNumberFormat="1" applyFont="1" applyBorder="1" applyAlignment="1" applyProtection="1">
      <alignment horizontal="center" vertical="center" wrapText="1"/>
      <protection locked="0"/>
    </xf>
    <xf numFmtId="3" fontId="2" fillId="0" borderId="0" xfId="4" applyNumberFormat="1" applyFont="1" applyAlignment="1">
      <alignment horizontal="left"/>
    </xf>
    <xf numFmtId="3" fontId="2" fillId="0" borderId="41" xfId="3" applyNumberFormat="1" applyFont="1" applyBorder="1" applyAlignment="1">
      <alignment horizontal="center" vertical="center" wrapText="1"/>
    </xf>
    <xf numFmtId="3" fontId="2" fillId="0" borderId="41" xfId="3" applyNumberFormat="1" applyFont="1" applyBorder="1" applyAlignment="1" applyProtection="1">
      <alignment horizontal="center" vertical="center" wrapText="1"/>
      <protection locked="0"/>
    </xf>
    <xf numFmtId="0" fontId="39" fillId="0" borderId="0" xfId="6" applyFont="1" applyAlignment="1">
      <alignment horizontal="center"/>
    </xf>
    <xf numFmtId="0" fontId="13" fillId="0" borderId="0" xfId="1" applyFont="1" applyFill="1" applyAlignment="1">
      <alignment vertical="center"/>
    </xf>
    <xf numFmtId="0" fontId="3" fillId="0" borderId="76" xfId="6" applyFont="1" applyFill="1" applyBorder="1" applyAlignment="1"/>
    <xf numFmtId="3" fontId="3" fillId="0" borderId="41" xfId="6" applyNumberFormat="1" applyFont="1" applyBorder="1" applyAlignment="1">
      <alignment vertical="center" wrapText="1"/>
    </xf>
    <xf numFmtId="3" fontId="39" fillId="0" borderId="41" xfId="6" applyNumberFormat="1" applyFont="1" applyBorder="1" applyAlignment="1">
      <alignment vertical="center" wrapText="1"/>
    </xf>
    <xf numFmtId="0" fontId="25" fillId="0" borderId="41" xfId="6" applyFont="1" applyBorder="1" applyAlignment="1" applyProtection="1">
      <alignment vertical="center" wrapText="1"/>
      <protection locked="0"/>
    </xf>
    <xf numFmtId="0" fontId="2" fillId="12" borderId="0" xfId="6" applyFont="1" applyFill="1" applyAlignment="1">
      <alignment horizontal="center" vertical="center"/>
    </xf>
    <xf numFmtId="3" fontId="2" fillId="0" borderId="41" xfId="6" applyNumberFormat="1" applyFont="1" applyBorder="1" applyAlignment="1" applyProtection="1">
      <alignment horizontal="left" vertical="center"/>
      <protection locked="0"/>
    </xf>
    <xf numFmtId="3" fontId="3" fillId="10" borderId="41" xfId="6" applyNumberFormat="1" applyFont="1" applyFill="1" applyBorder="1" applyAlignment="1" applyProtection="1">
      <alignment vertical="center" wrapText="1"/>
      <protection locked="0"/>
    </xf>
    <xf numFmtId="0" fontId="2" fillId="0" borderId="0" xfId="6" applyFont="1" applyBorder="1" applyAlignment="1">
      <alignment vertical="center" wrapText="1"/>
    </xf>
    <xf numFmtId="0" fontId="25" fillId="0" borderId="0" xfId="6" applyFont="1" applyBorder="1" applyAlignment="1">
      <alignment vertical="center" wrapText="1"/>
    </xf>
    <xf numFmtId="0" fontId="3" fillId="0" borderId="76" xfId="6" applyFont="1" applyFill="1" applyBorder="1" applyAlignment="1">
      <alignment vertical="center"/>
    </xf>
    <xf numFmtId="3" fontId="3" fillId="0" borderId="41" xfId="6" applyNumberFormat="1" applyFont="1" applyBorder="1" applyAlignment="1" applyProtection="1">
      <alignment vertical="center" wrapText="1"/>
      <protection locked="0"/>
    </xf>
    <xf numFmtId="0" fontId="2" fillId="0" borderId="41" xfId="6" applyFont="1" applyBorder="1" applyAlignment="1" applyProtection="1">
      <alignment horizontal="center" vertical="center"/>
      <protection locked="0"/>
    </xf>
    <xf numFmtId="0" fontId="2" fillId="13" borderId="0" xfId="6" applyFont="1" applyFill="1" applyAlignment="1">
      <alignment horizontal="center" vertical="center"/>
    </xf>
    <xf numFmtId="0" fontId="25" fillId="0" borderId="41" xfId="1" applyFont="1" applyFill="1" applyBorder="1" applyAlignment="1">
      <alignment vertical="center" wrapText="1"/>
    </xf>
    <xf numFmtId="0" fontId="25" fillId="0" borderId="41" xfId="6" applyFont="1" applyBorder="1" applyAlignment="1" applyProtection="1">
      <alignment horizontal="left" vertical="center" wrapText="1"/>
      <protection locked="0"/>
    </xf>
    <xf numFmtId="3" fontId="2" fillId="0" borderId="41" xfId="6" applyNumberFormat="1" applyFont="1" applyBorder="1" applyAlignment="1" applyProtection="1">
      <alignment horizontal="center" vertical="center"/>
      <protection locked="0"/>
    </xf>
    <xf numFmtId="3" fontId="2" fillId="0" borderId="0" xfId="6" applyNumberFormat="1" applyFont="1" applyBorder="1" applyAlignment="1">
      <alignment vertical="center" wrapText="1"/>
    </xf>
    <xf numFmtId="3" fontId="3" fillId="10" borderId="41" xfId="6" applyNumberFormat="1" applyFont="1" applyFill="1" applyBorder="1" applyAlignment="1" applyProtection="1">
      <alignment horizontal="right" vertical="center" wrapText="1"/>
      <protection locked="0"/>
    </xf>
    <xf numFmtId="0" fontId="2" fillId="0" borderId="0" xfId="6" applyFont="1" applyBorder="1" applyAlignment="1" applyProtection="1">
      <alignment vertical="center" wrapText="1"/>
      <protection locked="0"/>
    </xf>
    <xf numFmtId="3" fontId="2" fillId="0" borderId="0" xfId="6" applyNumberFormat="1" applyFont="1" applyBorder="1" applyAlignment="1" applyProtection="1">
      <alignment vertical="center" wrapText="1"/>
      <protection locked="0"/>
    </xf>
    <xf numFmtId="0" fontId="25" fillId="0" borderId="0" xfId="6" applyFont="1" applyAlignment="1">
      <alignment vertical="center"/>
    </xf>
    <xf numFmtId="0" fontId="25" fillId="0" borderId="0" xfId="1" applyFont="1" applyAlignment="1">
      <alignment vertical="center"/>
    </xf>
    <xf numFmtId="0" fontId="2" fillId="0" borderId="0" xfId="1" applyFont="1" applyBorder="1" applyAlignment="1">
      <alignment horizontal="left" vertical="center"/>
    </xf>
    <xf numFmtId="0" fontId="2" fillId="0" borderId="0" xfId="1" applyFont="1" applyFill="1" applyBorder="1" applyAlignment="1">
      <alignment horizontal="left" vertical="center"/>
    </xf>
    <xf numFmtId="0" fontId="2" fillId="0" borderId="0" xfId="1" applyFont="1" applyAlignment="1">
      <alignment horizontal="center" vertical="center"/>
    </xf>
    <xf numFmtId="0" fontId="2" fillId="0" borderId="0" xfId="1" applyFont="1" applyAlignment="1">
      <alignment vertical="center" wrapText="1"/>
    </xf>
    <xf numFmtId="0" fontId="25" fillId="0" borderId="0" xfId="1" applyFont="1" applyAlignment="1">
      <alignment vertical="center" wrapText="1"/>
    </xf>
    <xf numFmtId="0" fontId="25" fillId="0" borderId="0" xfId="6" applyFont="1"/>
    <xf numFmtId="3" fontId="2" fillId="0" borderId="39" xfId="1" applyNumberFormat="1" applyFont="1" applyFill="1" applyBorder="1" applyAlignment="1" applyProtection="1">
      <alignment horizontal="left" vertical="center" wrapText="1"/>
      <protection locked="0"/>
    </xf>
    <xf numFmtId="3" fontId="2" fillId="0" borderId="43" xfId="1" applyNumberFormat="1" applyFont="1" applyFill="1" applyBorder="1" applyAlignment="1" applyProtection="1">
      <alignment horizontal="left" vertical="center" wrapText="1"/>
      <protection locked="0"/>
    </xf>
    <xf numFmtId="3" fontId="2" fillId="0" borderId="55" xfId="1" applyNumberFormat="1" applyFont="1" applyFill="1" applyBorder="1" applyAlignment="1" applyProtection="1">
      <alignment horizontal="left" vertical="center" wrapText="1"/>
      <protection locked="0"/>
    </xf>
    <xf numFmtId="3" fontId="2" fillId="0" borderId="15"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vertical="center"/>
    </xf>
    <xf numFmtId="3" fontId="9" fillId="0" borderId="41" xfId="1" applyNumberFormat="1" applyFont="1" applyFill="1" applyBorder="1" applyAlignment="1" applyProtection="1">
      <alignment vertical="center"/>
      <protection locked="0"/>
    </xf>
    <xf numFmtId="3" fontId="40" fillId="0" borderId="41" xfId="1" applyNumberFormat="1" applyFont="1" applyFill="1" applyBorder="1" applyAlignment="1" applyProtection="1">
      <alignment vertical="center"/>
      <protection locked="0"/>
    </xf>
    <xf numFmtId="3" fontId="40" fillId="0" borderId="42" xfId="1" applyNumberFormat="1" applyFont="1" applyFill="1" applyBorder="1" applyAlignment="1" applyProtection="1">
      <alignment horizontal="left" vertical="center" wrapText="1"/>
      <protection locked="0"/>
    </xf>
    <xf numFmtId="0" fontId="2" fillId="0" borderId="15" xfId="1" applyFont="1" applyFill="1" applyBorder="1" applyAlignment="1" applyProtection="1">
      <alignment horizontal="center" vertical="center" wrapText="1"/>
    </xf>
    <xf numFmtId="3" fontId="2" fillId="0" borderId="44" xfId="1" applyNumberFormat="1" applyFont="1" applyFill="1" applyBorder="1" applyAlignment="1" applyProtection="1">
      <alignment horizontal="center" vertical="center"/>
      <protection locked="0"/>
    </xf>
    <xf numFmtId="3" fontId="2" fillId="0" borderId="45" xfId="1" applyNumberFormat="1" applyFont="1" applyFill="1" applyBorder="1" applyAlignment="1" applyProtection="1">
      <alignment horizontal="center" vertical="center"/>
      <protection locked="0"/>
    </xf>
    <xf numFmtId="0" fontId="11" fillId="0" borderId="0" xfId="1" applyFont="1" applyAlignment="1">
      <alignment horizontal="center" vertical="center"/>
    </xf>
    <xf numFmtId="0" fontId="13" fillId="0" borderId="0" xfId="1" applyFont="1" applyAlignment="1">
      <alignment vertical="center"/>
    </xf>
    <xf numFmtId="0" fontId="3" fillId="0" borderId="0" xfId="1" applyFont="1" applyFill="1" applyAlignment="1">
      <alignment vertical="center"/>
    </xf>
    <xf numFmtId="0" fontId="2" fillId="0" borderId="41" xfId="12" applyFont="1" applyBorder="1" applyAlignment="1">
      <alignment horizontal="center" vertical="center" wrapText="1"/>
    </xf>
    <xf numFmtId="0" fontId="3" fillId="0" borderId="41" xfId="1" applyFont="1" applyBorder="1" applyAlignment="1" applyProtection="1">
      <alignment horizontal="center" vertical="center" wrapText="1"/>
      <protection locked="0"/>
    </xf>
    <xf numFmtId="3" fontId="3" fillId="0" borderId="41" xfId="1" applyNumberFormat="1" applyFont="1" applyBorder="1" applyAlignment="1" applyProtection="1">
      <alignment vertical="center" wrapText="1"/>
      <protection locked="0"/>
    </xf>
    <xf numFmtId="3" fontId="2" fillId="0" borderId="41" xfId="1" applyNumberFormat="1" applyFont="1" applyBorder="1" applyAlignment="1" applyProtection="1">
      <alignment horizontal="left" vertical="center" wrapText="1"/>
      <protection locked="0"/>
    </xf>
    <xf numFmtId="16" fontId="2" fillId="0" borderId="41" xfId="1" applyNumberFormat="1" applyFont="1" applyBorder="1" applyAlignment="1" applyProtection="1">
      <alignment horizontal="center" vertical="center" wrapText="1"/>
      <protection locked="0"/>
    </xf>
    <xf numFmtId="3" fontId="3" fillId="0" borderId="41" xfId="1" applyNumberFormat="1" applyFont="1" applyBorder="1" applyAlignment="1" applyProtection="1">
      <alignment horizontal="center" vertical="center" wrapText="1"/>
      <protection locked="0"/>
    </xf>
    <xf numFmtId="3" fontId="2" fillId="0" borderId="41" xfId="6" applyNumberFormat="1" applyFont="1" applyFill="1" applyBorder="1" applyAlignment="1" applyProtection="1">
      <alignment vertical="center"/>
      <protection locked="0"/>
    </xf>
    <xf numFmtId="3" fontId="3" fillId="0" borderId="41" xfId="6" applyNumberFormat="1" applyFont="1" applyFill="1" applyBorder="1" applyAlignment="1" applyProtection="1">
      <alignment vertical="center"/>
      <protection locked="0"/>
    </xf>
    <xf numFmtId="0" fontId="2" fillId="0" borderId="0" xfId="6" applyFont="1" applyBorder="1" applyAlignment="1">
      <alignment vertical="center"/>
    </xf>
    <xf numFmtId="3" fontId="2" fillId="0" borderId="41" xfId="0" applyNumberFormat="1" applyFont="1" applyBorder="1" applyAlignment="1" applyProtection="1">
      <alignment horizontal="center" vertical="center" wrapText="1"/>
      <protection locked="0"/>
    </xf>
    <xf numFmtId="49" fontId="3" fillId="0" borderId="0" xfId="1" applyNumberFormat="1" applyFont="1" applyFill="1" applyAlignment="1">
      <alignment vertical="center"/>
    </xf>
    <xf numFmtId="49" fontId="3" fillId="0" borderId="0" xfId="1" applyNumberFormat="1" applyFont="1" applyAlignment="1">
      <alignment vertical="center"/>
    </xf>
    <xf numFmtId="0" fontId="2" fillId="0" borderId="41" xfId="1" applyFont="1" applyFill="1" applyBorder="1" applyAlignment="1" applyProtection="1">
      <alignment horizontal="center" vertical="center" wrapText="1"/>
      <protection locked="0"/>
    </xf>
    <xf numFmtId="0" fontId="3" fillId="10" borderId="41" xfId="1" applyFont="1" applyFill="1" applyBorder="1" applyAlignment="1">
      <alignment vertical="center"/>
    </xf>
    <xf numFmtId="0" fontId="2" fillId="0" borderId="41" xfId="1" applyFont="1" applyBorder="1" applyAlignment="1">
      <alignment vertical="center" wrapText="1"/>
    </xf>
    <xf numFmtId="0" fontId="2" fillId="0" borderId="41" xfId="1" applyFont="1" applyBorder="1" applyAlignment="1" applyProtection="1">
      <alignment vertical="center"/>
      <protection locked="0"/>
    </xf>
    <xf numFmtId="0" fontId="3" fillId="0" borderId="41" xfId="1" applyFont="1" applyFill="1" applyBorder="1" applyAlignment="1">
      <alignment vertical="center"/>
    </xf>
    <xf numFmtId="0" fontId="2" fillId="0" borderId="0" xfId="6" applyFont="1" applyBorder="1" applyAlignment="1" applyProtection="1">
      <alignment vertical="center"/>
      <protection locked="0"/>
    </xf>
    <xf numFmtId="0" fontId="3" fillId="0" borderId="0" xfId="6" applyFont="1" applyBorder="1" applyAlignment="1">
      <alignment vertical="center"/>
    </xf>
    <xf numFmtId="0" fontId="2" fillId="0" borderId="0" xfId="6" applyFont="1" applyFill="1" applyBorder="1" applyAlignment="1" applyProtection="1">
      <alignment horizontal="left" vertical="center"/>
      <protection locked="0"/>
    </xf>
    <xf numFmtId="0" fontId="2" fillId="0" borderId="0" xfId="6" applyFont="1" applyBorder="1" applyAlignment="1" applyProtection="1">
      <alignment horizontal="center" vertical="center"/>
      <protection locked="0"/>
    </xf>
    <xf numFmtId="0" fontId="2" fillId="0" borderId="0" xfId="6" applyFont="1" applyFill="1" applyBorder="1" applyAlignment="1" applyProtection="1">
      <alignment vertical="center"/>
      <protection locked="0"/>
    </xf>
    <xf numFmtId="0" fontId="2" fillId="0" borderId="0" xfId="6" applyFont="1" applyFill="1" applyBorder="1" applyAlignment="1">
      <alignment vertical="center"/>
    </xf>
    <xf numFmtId="0" fontId="2" fillId="0" borderId="0" xfId="1" applyFont="1" applyBorder="1" applyAlignment="1" applyProtection="1">
      <protection locked="0"/>
    </xf>
    <xf numFmtId="0" fontId="2" fillId="0" borderId="0" xfId="6" applyFont="1" applyBorder="1" applyAlignment="1" applyProtection="1">
      <alignment horizontal="left" vertical="center"/>
      <protection locked="0"/>
    </xf>
    <xf numFmtId="0" fontId="3" fillId="0" borderId="0" xfId="1" applyFont="1" applyFill="1" applyBorder="1" applyAlignment="1"/>
    <xf numFmtId="0" fontId="3" fillId="0" borderId="0" xfId="1" applyFont="1" applyBorder="1" applyAlignment="1"/>
    <xf numFmtId="0" fontId="2" fillId="0" borderId="0" xfId="1" applyFont="1" applyFill="1" applyAlignment="1">
      <alignment horizontal="left" vertical="center"/>
    </xf>
    <xf numFmtId="0" fontId="2" fillId="0" borderId="0" xfId="1" applyFont="1" applyFill="1" applyBorder="1" applyAlignment="1"/>
    <xf numFmtId="0" fontId="2" fillId="0" borderId="0" xfId="1" applyFont="1" applyFill="1" applyBorder="1" applyAlignment="1" applyProtection="1">
      <protection locked="0"/>
    </xf>
    <xf numFmtId="0" fontId="3" fillId="0" borderId="0" xfId="1" applyFont="1" applyFill="1" applyBorder="1" applyAlignment="1" applyProtection="1">
      <protection locked="0"/>
    </xf>
    <xf numFmtId="0" fontId="3" fillId="0" borderId="0" xfId="1" applyFont="1" applyBorder="1" applyAlignment="1" applyProtection="1">
      <protection locked="0"/>
    </xf>
    <xf numFmtId="0" fontId="3" fillId="0" borderId="0" xfId="1" applyFont="1" applyBorder="1" applyAlignment="1" applyProtection="1">
      <alignment horizontal="left"/>
      <protection locked="0"/>
    </xf>
    <xf numFmtId="0" fontId="2" fillId="0" borderId="0" xfId="1" applyFont="1" applyFill="1" applyAlignment="1"/>
    <xf numFmtId="0" fontId="2" fillId="0" borderId="0" xfId="1" applyFont="1" applyFill="1" applyBorder="1" applyAlignment="1">
      <alignment vertical="center"/>
    </xf>
    <xf numFmtId="0" fontId="41" fillId="0" borderId="0" xfId="1" applyFont="1" applyFill="1"/>
    <xf numFmtId="0" fontId="2" fillId="0" borderId="0" xfId="1" applyFont="1" applyFill="1" applyAlignment="1" applyProtection="1">
      <protection locked="0"/>
    </xf>
    <xf numFmtId="0" fontId="2" fillId="0" borderId="0" xfId="1" applyFont="1" applyAlignment="1" applyProtection="1">
      <protection locked="0"/>
    </xf>
    <xf numFmtId="0" fontId="2" fillId="0" borderId="0" xfId="1" applyFont="1" applyFill="1" applyBorder="1" applyAlignment="1" applyProtection="1">
      <alignment horizontal="left"/>
      <protection locked="0"/>
    </xf>
    <xf numFmtId="0" fontId="2" fillId="0" borderId="0" xfId="1" applyFont="1" applyAlignment="1">
      <alignment horizontal="right" vertical="center"/>
    </xf>
    <xf numFmtId="0" fontId="41" fillId="0" borderId="0" xfId="1" applyFont="1"/>
    <xf numFmtId="0" fontId="3" fillId="0" borderId="0" xfId="1" applyFont="1" applyFill="1" applyAlignment="1"/>
    <xf numFmtId="0" fontId="41" fillId="0" borderId="0" xfId="1" applyFont="1" applyAlignment="1">
      <alignment vertical="center"/>
    </xf>
    <xf numFmtId="3" fontId="2" fillId="0" borderId="64" xfId="1" applyNumberFormat="1" applyFont="1" applyFill="1" applyBorder="1" applyAlignment="1" applyProtection="1">
      <alignment horizontal="center" vertical="center"/>
    </xf>
    <xf numFmtId="3" fontId="2" fillId="0" borderId="65"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center" vertical="center"/>
    </xf>
    <xf numFmtId="3" fontId="2" fillId="0" borderId="66" xfId="1" applyNumberFormat="1" applyFont="1" applyFill="1" applyBorder="1" applyAlignment="1" applyProtection="1">
      <alignment horizontal="right" vertical="center"/>
    </xf>
    <xf numFmtId="3" fontId="2" fillId="0" borderId="64" xfId="1" applyNumberFormat="1" applyFont="1" applyFill="1" applyBorder="1" applyAlignment="1" applyProtection="1">
      <alignment horizontal="right" vertical="center"/>
    </xf>
    <xf numFmtId="3" fontId="2" fillId="0" borderId="65" xfId="1" applyNumberFormat="1" applyFont="1" applyFill="1" applyBorder="1" applyAlignment="1" applyProtection="1">
      <alignment horizontal="right" vertical="center"/>
    </xf>
    <xf numFmtId="3" fontId="31" fillId="0" borderId="49" xfId="1" applyNumberFormat="1" applyFont="1" applyFill="1" applyBorder="1" applyAlignment="1" applyProtection="1">
      <alignment horizontal="right" vertical="center"/>
      <protection locked="0"/>
    </xf>
    <xf numFmtId="0" fontId="3" fillId="0" borderId="63" xfId="1" applyFont="1" applyFill="1" applyBorder="1" applyAlignment="1" applyProtection="1">
      <alignment horizontal="center" vertical="center" wrapText="1"/>
    </xf>
    <xf numFmtId="3" fontId="2" fillId="7" borderId="67" xfId="1" applyNumberFormat="1" applyFont="1" applyFill="1" applyBorder="1" applyAlignment="1" applyProtection="1">
      <alignment horizontal="center" vertical="center"/>
    </xf>
    <xf numFmtId="3" fontId="2" fillId="7" borderId="68" xfId="1" applyNumberFormat="1" applyFont="1" applyFill="1" applyBorder="1" applyAlignment="1" applyProtection="1">
      <alignment horizontal="center" vertical="center"/>
    </xf>
    <xf numFmtId="3" fontId="2" fillId="7" borderId="69" xfId="1" applyNumberFormat="1" applyFont="1" applyFill="1" applyBorder="1" applyAlignment="1" applyProtection="1">
      <alignment horizontal="center" vertical="center"/>
    </xf>
    <xf numFmtId="3" fontId="2" fillId="7" borderId="69"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right" vertical="center"/>
    </xf>
    <xf numFmtId="3" fontId="2" fillId="0" borderId="68" xfId="1" applyNumberFormat="1" applyFont="1" applyFill="1" applyBorder="1" applyAlignment="1" applyProtection="1">
      <alignment horizontal="right" vertical="center"/>
    </xf>
    <xf numFmtId="3" fontId="2" fillId="0" borderId="69" xfId="1" applyNumberFormat="1" applyFont="1" applyFill="1" applyBorder="1" applyAlignment="1" applyProtection="1">
      <alignment horizontal="right" vertical="center"/>
    </xf>
    <xf numFmtId="3" fontId="2" fillId="7" borderId="64" xfId="1" applyNumberFormat="1" applyFont="1" applyFill="1" applyBorder="1" applyAlignment="1" applyProtection="1">
      <alignment horizontal="center" vertical="center"/>
    </xf>
    <xf numFmtId="3" fontId="2" fillId="7" borderId="65" xfId="1" applyNumberFormat="1" applyFont="1" applyFill="1" applyBorder="1" applyAlignment="1" applyProtection="1">
      <alignment horizontal="center" vertical="center"/>
    </xf>
    <xf numFmtId="3" fontId="2" fillId="7" borderId="66" xfId="1" applyNumberFormat="1" applyFont="1" applyFill="1" applyBorder="1" applyAlignment="1" applyProtection="1">
      <alignment horizontal="center" vertical="center"/>
    </xf>
    <xf numFmtId="3" fontId="2" fillId="7" borderId="64" xfId="1" applyNumberFormat="1" applyFont="1" applyFill="1" applyBorder="1" applyAlignment="1" applyProtection="1">
      <alignment horizontal="right" vertical="center"/>
    </xf>
    <xf numFmtId="3" fontId="2" fillId="7" borderId="65" xfId="1" applyNumberFormat="1" applyFont="1" applyFill="1" applyBorder="1" applyAlignment="1" applyProtection="1">
      <alignment horizontal="right" vertical="center"/>
    </xf>
    <xf numFmtId="3" fontId="2" fillId="7" borderId="66" xfId="1" applyNumberFormat="1" applyFont="1" applyFill="1" applyBorder="1" applyAlignment="1" applyProtection="1">
      <alignment horizontal="right" vertical="center"/>
    </xf>
    <xf numFmtId="3" fontId="2" fillId="0" borderId="67" xfId="1" applyNumberFormat="1" applyFont="1" applyFill="1" applyBorder="1" applyAlignment="1" applyProtection="1">
      <alignment horizontal="center" vertical="center"/>
    </xf>
    <xf numFmtId="3" fontId="2" fillId="0" borderId="68" xfId="1" applyNumberFormat="1" applyFont="1" applyFill="1" applyBorder="1" applyAlignment="1" applyProtection="1">
      <alignment horizontal="center" vertical="center"/>
    </xf>
    <xf numFmtId="3" fontId="2" fillId="0" borderId="69" xfId="1" applyNumberFormat="1" applyFont="1" applyFill="1" applyBorder="1" applyAlignment="1" applyProtection="1">
      <alignment horizontal="center" vertical="center"/>
    </xf>
    <xf numFmtId="3" fontId="3" fillId="0" borderId="41" xfId="3" applyNumberFormat="1" applyFont="1" applyBorder="1" applyAlignment="1">
      <alignment vertical="center" wrapText="1"/>
    </xf>
    <xf numFmtId="0" fontId="3" fillId="0" borderId="41" xfId="3" applyNumberFormat="1" applyFont="1" applyBorder="1" applyAlignment="1">
      <alignment vertical="center" wrapText="1"/>
    </xf>
    <xf numFmtId="0" fontId="3" fillId="0" borderId="41" xfId="3" applyNumberFormat="1" applyFont="1" applyBorder="1" applyAlignment="1">
      <alignment horizontal="center" vertical="center"/>
    </xf>
    <xf numFmtId="0" fontId="3" fillId="0" borderId="41" xfId="3" applyNumberFormat="1" applyFont="1" applyBorder="1" applyAlignment="1">
      <alignment horizontal="center" vertical="center" wrapText="1"/>
    </xf>
    <xf numFmtId="0" fontId="3" fillId="0" borderId="41" xfId="7" applyNumberFormat="1" applyFont="1" applyBorder="1" applyAlignment="1">
      <alignment horizontal="center" wrapText="1"/>
    </xf>
    <xf numFmtId="0" fontId="3" fillId="0" borderId="41" xfId="7" applyNumberFormat="1" applyFont="1" applyFill="1" applyBorder="1" applyAlignment="1">
      <alignment horizontal="center" wrapText="1"/>
    </xf>
    <xf numFmtId="0" fontId="3" fillId="0" borderId="41" xfId="7" applyNumberFormat="1" applyFont="1" applyBorder="1" applyAlignment="1">
      <alignment horizontal="center" vertical="center" wrapText="1"/>
    </xf>
    <xf numFmtId="0" fontId="3" fillId="0" borderId="41" xfId="1" applyFont="1" applyBorder="1" applyAlignment="1">
      <alignment horizontal="center" vertical="center" wrapText="1"/>
    </xf>
    <xf numFmtId="0" fontId="3" fillId="0" borderId="57" xfId="4" applyNumberFormat="1" applyFont="1" applyBorder="1" applyAlignment="1">
      <alignment horizontal="center" vertical="center" wrapText="1"/>
    </xf>
    <xf numFmtId="0" fontId="3" fillId="7" borderId="41" xfId="7" applyNumberFormat="1" applyFont="1" applyFill="1" applyBorder="1" applyAlignment="1">
      <alignment horizontal="center" vertical="center" wrapText="1"/>
    </xf>
    <xf numFmtId="0" fontId="3" fillId="7" borderId="68" xfId="7" applyNumberFormat="1" applyFont="1" applyFill="1" applyBorder="1" applyAlignment="1">
      <alignment horizontal="center" vertical="center" wrapText="1"/>
    </xf>
    <xf numFmtId="0" fontId="3" fillId="0" borderId="20" xfId="7" applyNumberFormat="1" applyFont="1" applyBorder="1" applyAlignment="1">
      <alignment horizontal="center" vertical="center" wrapText="1"/>
    </xf>
    <xf numFmtId="3" fontId="2" fillId="0" borderId="41" xfId="2" applyNumberFormat="1" applyFont="1" applyBorder="1" applyAlignment="1">
      <alignment horizontal="center" vertical="center" wrapText="1"/>
    </xf>
    <xf numFmtId="0" fontId="2" fillId="0" borderId="41" xfId="2" applyFont="1" applyBorder="1" applyAlignment="1">
      <alignment vertical="center" wrapText="1"/>
    </xf>
    <xf numFmtId="0" fontId="3" fillId="0" borderId="41" xfId="7" applyFont="1" applyFill="1" applyBorder="1" applyAlignment="1">
      <alignment horizontal="center" vertical="center"/>
    </xf>
    <xf numFmtId="0" fontId="3" fillId="0" borderId="41" xfId="2" applyFont="1" applyBorder="1" applyAlignment="1">
      <alignment horizontal="center" vertical="center"/>
    </xf>
    <xf numFmtId="3" fontId="2" fillId="0" borderId="41" xfId="4" applyNumberFormat="1" applyFont="1" applyFill="1" applyBorder="1" applyAlignment="1">
      <alignment horizontal="right" vertical="center" wrapText="1"/>
    </xf>
    <xf numFmtId="0" fontId="2" fillId="0" borderId="0" xfId="7" applyFont="1" applyAlignment="1">
      <alignment horizontal="left"/>
    </xf>
    <xf numFmtId="0" fontId="5" fillId="0" borderId="0" xfId="6" applyFont="1" applyAlignment="1">
      <alignment horizontal="left" vertical="center"/>
    </xf>
    <xf numFmtId="3" fontId="3" fillId="0" borderId="0" xfId="6" applyNumberFormat="1" applyFont="1" applyBorder="1" applyAlignment="1" applyProtection="1">
      <alignment horizontal="center" vertical="center" wrapText="1"/>
      <protection locked="0"/>
    </xf>
    <xf numFmtId="0" fontId="2" fillId="0" borderId="57" xfId="6" applyFont="1" applyBorder="1" applyAlignment="1" applyProtection="1">
      <alignment wrapText="1"/>
      <protection locked="0"/>
    </xf>
    <xf numFmtId="3" fontId="2" fillId="0" borderId="57" xfId="6" applyNumberFormat="1" applyFont="1" applyBorder="1"/>
    <xf numFmtId="0" fontId="2" fillId="0" borderId="57" xfId="6" applyFont="1" applyBorder="1" applyAlignment="1" applyProtection="1">
      <alignment horizontal="center" wrapText="1"/>
      <protection locked="0"/>
    </xf>
    <xf numFmtId="0" fontId="5" fillId="0" borderId="57" xfId="6" applyFont="1" applyBorder="1"/>
    <xf numFmtId="3" fontId="3" fillId="0" borderId="57" xfId="6" applyNumberFormat="1" applyFont="1" applyFill="1" applyBorder="1" applyAlignment="1" applyProtection="1">
      <alignment horizontal="center" wrapText="1"/>
      <protection locked="0"/>
    </xf>
    <xf numFmtId="3" fontId="2" fillId="0" borderId="57" xfId="6" applyNumberFormat="1" applyFont="1" applyFill="1" applyBorder="1" applyAlignment="1" applyProtection="1">
      <alignment wrapText="1"/>
      <protection locked="0"/>
    </xf>
    <xf numFmtId="3" fontId="2" fillId="8" borderId="57" xfId="6" applyNumberFormat="1" applyFont="1" applyFill="1" applyBorder="1" applyAlignment="1" applyProtection="1">
      <alignment wrapText="1"/>
      <protection locked="0"/>
    </xf>
    <xf numFmtId="3" fontId="2" fillId="0" borderId="57" xfId="6" applyNumberFormat="1" applyFont="1" applyFill="1" applyBorder="1"/>
    <xf numFmtId="0" fontId="2" fillId="0" borderId="57" xfId="6" applyFont="1" applyFill="1" applyBorder="1" applyAlignment="1" applyProtection="1">
      <alignment horizontal="left" wrapText="1"/>
      <protection locked="0"/>
    </xf>
    <xf numFmtId="3" fontId="3" fillId="0" borderId="63" xfId="1" applyNumberFormat="1" applyFont="1" applyFill="1" applyBorder="1" applyAlignment="1" applyProtection="1">
      <alignment vertical="center"/>
    </xf>
    <xf numFmtId="3" fontId="3" fillId="0" borderId="64" xfId="1" applyNumberFormat="1" applyFont="1" applyFill="1" applyBorder="1" applyAlignment="1" applyProtection="1">
      <alignment vertical="center"/>
    </xf>
    <xf numFmtId="3" fontId="3" fillId="0" borderId="65" xfId="1" applyNumberFormat="1" applyFont="1" applyFill="1" applyBorder="1" applyAlignment="1" applyProtection="1">
      <alignment vertical="center"/>
    </xf>
    <xf numFmtId="3" fontId="3" fillId="0" borderId="66" xfId="1" applyNumberFormat="1" applyFont="1" applyFill="1" applyBorder="1" applyAlignment="1" applyProtection="1">
      <alignment vertical="center"/>
    </xf>
    <xf numFmtId="3" fontId="3" fillId="0" borderId="66" xfId="1" applyNumberFormat="1" applyFont="1" applyFill="1" applyBorder="1" applyAlignment="1" applyProtection="1">
      <alignment horizontal="left" vertical="center" wrapText="1"/>
      <protection locked="0"/>
    </xf>
    <xf numFmtId="0" fontId="2" fillId="0" borderId="85" xfId="1" applyFont="1" applyBorder="1" applyAlignment="1" applyProtection="1">
      <alignment horizontal="center" vertical="center" wrapText="1"/>
      <protection locked="0"/>
    </xf>
    <xf numFmtId="0" fontId="2" fillId="0" borderId="85" xfId="1" quotePrefix="1" applyFont="1" applyFill="1" applyBorder="1" applyAlignment="1" applyProtection="1">
      <alignment horizontal="left" vertical="center" wrapText="1"/>
      <protection locked="0"/>
    </xf>
    <xf numFmtId="3" fontId="3" fillId="0" borderId="85" xfId="1" applyNumberFormat="1" applyFont="1" applyFill="1" applyBorder="1" applyAlignment="1">
      <alignment horizontal="center" vertical="center" wrapText="1"/>
    </xf>
    <xf numFmtId="3" fontId="2" fillId="0" borderId="85" xfId="1" applyNumberFormat="1" applyFont="1" applyFill="1" applyBorder="1" applyAlignment="1">
      <alignment vertical="center" wrapText="1"/>
    </xf>
    <xf numFmtId="3" fontId="3" fillId="10" borderId="85" xfId="1" applyNumberFormat="1" applyFont="1" applyFill="1" applyBorder="1" applyAlignment="1">
      <alignment vertical="center" wrapText="1"/>
    </xf>
    <xf numFmtId="3" fontId="2" fillId="0" borderId="85" xfId="1" applyNumberFormat="1" applyFont="1" applyFill="1" applyBorder="1" applyAlignment="1" applyProtection="1">
      <alignment vertical="center" wrapText="1"/>
      <protection locked="0"/>
    </xf>
    <xf numFmtId="3" fontId="2" fillId="0" borderId="85" xfId="1" applyNumberFormat="1" applyFont="1" applyFill="1" applyBorder="1" applyAlignment="1" applyProtection="1">
      <alignment horizontal="center" vertical="center" wrapText="1"/>
      <protection locked="0"/>
    </xf>
    <xf numFmtId="0" fontId="2" fillId="0" borderId="0" xfId="1" applyFont="1" applyBorder="1" applyAlignment="1">
      <alignment horizontal="center" vertical="center"/>
    </xf>
    <xf numFmtId="0" fontId="2" fillId="0" borderId="0" xfId="6" applyFont="1" applyBorder="1" applyAlignment="1">
      <alignment horizontal="center" vertical="center"/>
    </xf>
    <xf numFmtId="0" fontId="2" fillId="0" borderId="0" xfId="4" applyNumberFormat="1" applyFont="1" applyBorder="1" applyAlignment="1">
      <alignment horizontal="left"/>
    </xf>
    <xf numFmtId="0" fontId="2" fillId="0" borderId="15" xfId="1" applyFont="1" applyFill="1" applyBorder="1" applyAlignment="1" applyProtection="1">
      <alignment horizontal="center" vertical="center" wrapText="1"/>
    </xf>
    <xf numFmtId="0" fontId="2" fillId="0" borderId="15" xfId="1" applyFont="1" applyFill="1" applyBorder="1" applyAlignment="1" applyProtection="1">
      <alignment horizontal="center" vertical="center" wrapText="1"/>
    </xf>
    <xf numFmtId="3" fontId="2" fillId="0" borderId="41"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left" vertical="center" wrapText="1"/>
      <protection locked="0"/>
    </xf>
    <xf numFmtId="0" fontId="2" fillId="0" borderId="0" xfId="1" applyFont="1" applyAlignment="1">
      <alignment horizontal="right"/>
    </xf>
    <xf numFmtId="0" fontId="11" fillId="0" borderId="0" xfId="1" applyFont="1" applyAlignment="1">
      <alignment horizontal="center"/>
    </xf>
    <xf numFmtId="3" fontId="2" fillId="0" borderId="41" xfId="1" applyNumberFormat="1" applyFont="1" applyFill="1" applyBorder="1" applyAlignment="1" applyProtection="1">
      <alignment horizontal="center" vertical="center" wrapText="1"/>
      <protection locked="0"/>
    </xf>
    <xf numFmtId="0" fontId="2" fillId="0" borderId="41" xfId="1" applyFont="1" applyBorder="1" applyAlignment="1" applyProtection="1">
      <alignment horizontal="center" vertical="center" wrapText="1"/>
      <protection locked="0"/>
    </xf>
    <xf numFmtId="0" fontId="2" fillId="0" borderId="41" xfId="1" applyFont="1" applyFill="1" applyBorder="1" applyAlignment="1" applyProtection="1">
      <alignment horizontal="left" vertical="center" wrapText="1"/>
      <protection locked="0"/>
    </xf>
    <xf numFmtId="3" fontId="2" fillId="0" borderId="41" xfId="1" applyNumberFormat="1" applyFont="1" applyFill="1" applyBorder="1" applyAlignment="1">
      <alignment horizontal="center" vertical="center" wrapText="1"/>
    </xf>
    <xf numFmtId="3" fontId="2" fillId="0" borderId="41" xfId="6" applyNumberFormat="1" applyFont="1" applyFill="1" applyBorder="1" applyAlignment="1" applyProtection="1">
      <alignment horizontal="center" vertical="center" wrapText="1"/>
      <protection locked="0"/>
    </xf>
    <xf numFmtId="0" fontId="2" fillId="0" borderId="41" xfId="1" applyFont="1" applyFill="1" applyBorder="1" applyAlignment="1">
      <alignment horizontal="center" vertical="center" wrapText="1"/>
    </xf>
    <xf numFmtId="0" fontId="2" fillId="0" borderId="41" xfId="1" applyFont="1" applyFill="1" applyBorder="1" applyAlignment="1" applyProtection="1">
      <alignment horizontal="center" vertical="center" wrapText="1"/>
      <protection locked="0"/>
    </xf>
    <xf numFmtId="0" fontId="3" fillId="0" borderId="4" xfId="1" applyFont="1" applyFill="1" applyBorder="1" applyAlignment="1" applyProtection="1">
      <alignment vertical="center"/>
    </xf>
    <xf numFmtId="0" fontId="3" fillId="0" borderId="19" xfId="1" applyFont="1" applyFill="1" applyBorder="1" applyAlignment="1" applyProtection="1">
      <alignment vertical="center"/>
    </xf>
    <xf numFmtId="0" fontId="3" fillId="0" borderId="20" xfId="1" applyFont="1" applyFill="1" applyBorder="1" applyAlignment="1" applyProtection="1">
      <alignment vertical="center"/>
      <protection locked="0"/>
    </xf>
    <xf numFmtId="0" fontId="3" fillId="0" borderId="21" xfId="1" applyFont="1" applyFill="1" applyBorder="1" applyAlignment="1" applyProtection="1">
      <alignment vertical="center"/>
    </xf>
    <xf numFmtId="0" fontId="3" fillId="0" borderId="4" xfId="1" applyFont="1" applyFill="1" applyBorder="1" applyAlignment="1" applyProtection="1">
      <alignment vertical="center"/>
      <protection locked="0"/>
    </xf>
    <xf numFmtId="0" fontId="3" fillId="0" borderId="21" xfId="1" applyFont="1" applyFill="1" applyBorder="1" applyAlignment="1" applyProtection="1">
      <alignment vertical="center"/>
      <protection locked="0"/>
    </xf>
    <xf numFmtId="3" fontId="3" fillId="0" borderId="90" xfId="1" applyNumberFormat="1" applyFont="1" applyFill="1" applyBorder="1" applyAlignment="1" applyProtection="1">
      <alignment horizontal="right" vertical="center"/>
    </xf>
    <xf numFmtId="3" fontId="3" fillId="0" borderId="91" xfId="1" applyNumberFormat="1" applyFont="1" applyFill="1" applyBorder="1" applyAlignment="1" applyProtection="1">
      <alignment horizontal="right" vertical="center"/>
    </xf>
    <xf numFmtId="3" fontId="3" fillId="0" borderId="92" xfId="1" applyNumberFormat="1" applyFont="1" applyFill="1" applyBorder="1" applyAlignment="1" applyProtection="1">
      <alignment horizontal="right" vertical="center"/>
    </xf>
    <xf numFmtId="3" fontId="3" fillId="0" borderId="92" xfId="1" applyNumberFormat="1" applyFont="1" applyFill="1" applyBorder="1" applyAlignment="1" applyProtection="1">
      <alignment horizontal="right" vertical="center"/>
      <protection locked="0"/>
    </xf>
    <xf numFmtId="3" fontId="2" fillId="0" borderId="28" xfId="1" applyNumberFormat="1" applyFont="1" applyFill="1" applyBorder="1" applyAlignment="1" applyProtection="1">
      <alignment horizontal="right" vertical="center"/>
    </xf>
    <xf numFmtId="3" fontId="2" fillId="0" borderId="32"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xf>
    <xf numFmtId="3" fontId="2" fillId="0" borderId="33" xfId="1" applyNumberFormat="1" applyFont="1" applyFill="1" applyBorder="1" applyAlignment="1" applyProtection="1">
      <alignment horizontal="right" vertical="center"/>
      <protection locked="0"/>
    </xf>
    <xf numFmtId="3" fontId="2" fillId="0" borderId="4" xfId="1" applyNumberFormat="1" applyFont="1" applyFill="1" applyBorder="1" applyAlignment="1" applyProtection="1">
      <alignment horizontal="right" vertical="center"/>
    </xf>
    <xf numFmtId="3" fontId="2" fillId="0" borderId="20"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xf>
    <xf numFmtId="3" fontId="2" fillId="0" borderId="4" xfId="1" applyNumberFormat="1" applyFont="1" applyFill="1" applyBorder="1" applyAlignment="1" applyProtection="1">
      <alignment horizontal="right" vertical="center"/>
      <protection locked="0"/>
    </xf>
    <xf numFmtId="3" fontId="2" fillId="0" borderId="21" xfId="1" applyNumberFormat="1" applyFont="1" applyFill="1" applyBorder="1" applyAlignment="1" applyProtection="1">
      <alignment horizontal="right" vertical="center"/>
      <protection locked="0"/>
    </xf>
    <xf numFmtId="3" fontId="2" fillId="0" borderId="93" xfId="1" applyNumberFormat="1" applyFont="1" applyFill="1" applyBorder="1" applyAlignment="1" applyProtection="1">
      <alignment horizontal="right" vertical="center"/>
    </xf>
    <xf numFmtId="3" fontId="2" fillId="0" borderId="81"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xf>
    <xf numFmtId="3" fontId="2" fillId="0" borderId="93" xfId="1" applyNumberFormat="1" applyFont="1" applyFill="1" applyBorder="1" applyAlignment="1" applyProtection="1">
      <alignment horizontal="right" vertical="center"/>
      <protection locked="0"/>
    </xf>
    <xf numFmtId="3" fontId="2" fillId="0" borderId="6" xfId="1" applyNumberFormat="1" applyFont="1" applyFill="1" applyBorder="1" applyAlignment="1" applyProtection="1">
      <alignment horizontal="right" vertical="center"/>
      <protection locked="0"/>
    </xf>
    <xf numFmtId="0" fontId="3" fillId="7" borderId="22" xfId="1" applyFont="1" applyFill="1" applyBorder="1" applyAlignment="1" applyProtection="1">
      <alignment horizontal="left" vertical="center" wrapText="1"/>
    </xf>
    <xf numFmtId="3" fontId="2" fillId="7" borderId="88" xfId="1" applyNumberFormat="1" applyFont="1" applyFill="1" applyBorder="1" applyAlignment="1" applyProtection="1">
      <alignment vertical="center"/>
    </xf>
    <xf numFmtId="3" fontId="2" fillId="7" borderId="23" xfId="1" applyNumberFormat="1" applyFont="1" applyFill="1" applyBorder="1" applyAlignment="1" applyProtection="1">
      <alignment vertical="center"/>
      <protection locked="0"/>
    </xf>
    <xf numFmtId="3" fontId="2" fillId="7" borderId="24" xfId="1" applyNumberFormat="1" applyFont="1" applyFill="1" applyBorder="1" applyAlignment="1" applyProtection="1">
      <alignment vertical="center"/>
      <protection locked="0"/>
    </xf>
    <xf numFmtId="3" fontId="2" fillId="7" borderId="89" xfId="1" applyNumberFormat="1" applyFont="1" applyFill="1" applyBorder="1" applyAlignment="1" applyProtection="1">
      <alignment vertical="center"/>
      <protection locked="0"/>
    </xf>
    <xf numFmtId="3" fontId="2" fillId="7" borderId="26" xfId="1" applyNumberFormat="1" applyFont="1" applyFill="1" applyBorder="1" applyAlignment="1" applyProtection="1">
      <alignment vertical="center"/>
    </xf>
    <xf numFmtId="3" fontId="2" fillId="7" borderId="89" xfId="1" applyNumberFormat="1" applyFont="1" applyFill="1" applyBorder="1" applyAlignment="1" applyProtection="1">
      <alignment horizontal="center" vertical="center"/>
    </xf>
    <xf numFmtId="3" fontId="2" fillId="7" borderId="88" xfId="1" applyNumberFormat="1" applyFont="1" applyFill="1" applyBorder="1" applyAlignment="1" applyProtection="1">
      <alignment horizontal="center" vertical="center"/>
    </xf>
    <xf numFmtId="3" fontId="2" fillId="7" borderId="26"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vertical="center"/>
    </xf>
    <xf numFmtId="3" fontId="2" fillId="0" borderId="94" xfId="1" applyNumberFormat="1" applyFont="1" applyFill="1" applyBorder="1" applyAlignment="1" applyProtection="1">
      <alignment horizontal="center" vertical="center"/>
    </xf>
    <xf numFmtId="3" fontId="2" fillId="0" borderId="95" xfId="1" applyNumberFormat="1" applyFont="1" applyFill="1" applyBorder="1" applyAlignment="1" applyProtection="1">
      <alignment horizontal="center" vertical="center"/>
    </xf>
    <xf numFmtId="3" fontId="2" fillId="0" borderId="7" xfId="1" applyNumberFormat="1" applyFont="1" applyFill="1" applyBorder="1" applyAlignment="1" applyProtection="1">
      <alignment horizontal="center" vertical="center"/>
    </xf>
    <xf numFmtId="3" fontId="2" fillId="0" borderId="95" xfId="1" applyNumberFormat="1" applyFont="1" applyFill="1" applyBorder="1" applyAlignment="1" applyProtection="1">
      <alignment horizontal="center" vertical="center"/>
      <protection locked="0"/>
    </xf>
    <xf numFmtId="3" fontId="2" fillId="0" borderId="94" xfId="1" applyNumberFormat="1" applyFont="1" applyFill="1" applyBorder="1" applyAlignment="1" applyProtection="1">
      <alignment vertical="center"/>
    </xf>
    <xf numFmtId="3" fontId="2" fillId="0" borderId="4" xfId="1" applyNumberFormat="1" applyFont="1" applyFill="1" applyBorder="1" applyAlignment="1" applyProtection="1">
      <alignment vertical="center"/>
    </xf>
    <xf numFmtId="3" fontId="2" fillId="0" borderId="20"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xf>
    <xf numFmtId="3" fontId="2" fillId="0" borderId="20" xfId="1" applyNumberFormat="1" applyFont="1" applyFill="1" applyBorder="1" applyAlignment="1" applyProtection="1">
      <alignment vertical="center"/>
      <protection locked="0"/>
    </xf>
    <xf numFmtId="3" fontId="2" fillId="0" borderId="4" xfId="1" applyNumberFormat="1" applyFont="1" applyFill="1" applyBorder="1" applyAlignment="1" applyProtection="1">
      <alignment horizontal="center" vertical="center"/>
    </xf>
    <xf numFmtId="3" fontId="2" fillId="0" borderId="21" xfId="1" applyNumberFormat="1" applyFont="1" applyFill="1" applyBorder="1" applyAlignment="1" applyProtection="1">
      <alignment horizontal="center" vertical="center"/>
      <protection locked="0"/>
    </xf>
    <xf numFmtId="3" fontId="2" fillId="0" borderId="93" xfId="1" applyNumberFormat="1" applyFont="1" applyFill="1" applyBorder="1" applyAlignment="1" applyProtection="1">
      <alignment vertical="center"/>
    </xf>
    <xf numFmtId="3" fontId="2" fillId="0" borderId="81"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xf>
    <xf numFmtId="3" fontId="2" fillId="0" borderId="81" xfId="1" applyNumberFormat="1" applyFont="1" applyFill="1" applyBorder="1" applyAlignment="1" applyProtection="1">
      <alignment vertical="center"/>
      <protection locked="0"/>
    </xf>
    <xf numFmtId="3" fontId="2" fillId="0" borderId="93" xfId="1" applyNumberFormat="1" applyFont="1" applyFill="1" applyBorder="1" applyAlignment="1" applyProtection="1">
      <alignment horizontal="center" vertical="center"/>
    </xf>
    <xf numFmtId="3" fontId="2" fillId="0" borderId="6" xfId="1" applyNumberFormat="1" applyFont="1" applyFill="1" applyBorder="1" applyAlignment="1" applyProtection="1">
      <alignment horizontal="center" vertical="center"/>
      <protection locked="0"/>
    </xf>
    <xf numFmtId="3" fontId="2" fillId="0" borderId="12" xfId="1" applyNumberFormat="1" applyFont="1" applyFill="1" applyBorder="1" applyAlignment="1" applyProtection="1">
      <alignment vertical="center"/>
    </xf>
    <xf numFmtId="3" fontId="2" fillId="0" borderId="96"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xf>
    <xf numFmtId="3" fontId="2" fillId="0" borderId="96" xfId="1" applyNumberFormat="1" applyFont="1" applyFill="1" applyBorder="1" applyAlignment="1" applyProtection="1">
      <alignment vertical="center"/>
      <protection locked="0"/>
    </xf>
    <xf numFmtId="3" fontId="2" fillId="0" borderId="12" xfId="1" applyNumberFormat="1" applyFont="1" applyFill="1" applyBorder="1" applyAlignment="1" applyProtection="1">
      <alignment horizontal="center" vertical="center"/>
    </xf>
    <xf numFmtId="3" fontId="2" fillId="0" borderId="14" xfId="1" applyNumberFormat="1" applyFont="1" applyFill="1" applyBorder="1" applyAlignment="1" applyProtection="1">
      <alignment horizontal="center" vertical="center"/>
      <protection locked="0"/>
    </xf>
    <xf numFmtId="3" fontId="2" fillId="0" borderId="97" xfId="1" applyNumberFormat="1" applyFont="1" applyFill="1" applyBorder="1" applyAlignment="1" applyProtection="1">
      <alignment vertical="center"/>
    </xf>
    <xf numFmtId="3" fontId="2" fillId="0" borderId="98"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xf>
    <xf numFmtId="3" fontId="2" fillId="0" borderId="98" xfId="1" applyNumberFormat="1" applyFont="1" applyFill="1" applyBorder="1" applyAlignment="1" applyProtection="1">
      <alignment vertical="center"/>
      <protection locked="0"/>
    </xf>
    <xf numFmtId="3" fontId="2" fillId="0" borderId="53" xfId="1" applyNumberFormat="1" applyFont="1" applyFill="1" applyBorder="1" applyAlignment="1" applyProtection="1">
      <alignment vertical="center"/>
      <protection locked="0"/>
    </xf>
    <xf numFmtId="3" fontId="2" fillId="0" borderId="97" xfId="1" applyNumberFormat="1" applyFont="1" applyFill="1" applyBorder="1" applyAlignment="1" applyProtection="1">
      <alignment horizontal="center" vertical="center"/>
    </xf>
    <xf numFmtId="3" fontId="2" fillId="0" borderId="10" xfId="1" applyNumberFormat="1" applyFont="1" applyFill="1" applyBorder="1" applyAlignment="1" applyProtection="1">
      <alignment horizontal="center" vertical="center"/>
      <protection locked="0"/>
    </xf>
    <xf numFmtId="3" fontId="2" fillId="0" borderId="70" xfId="1" applyNumberFormat="1" applyFont="1" applyFill="1" applyBorder="1" applyAlignment="1" applyProtection="1">
      <alignment horizontal="right" vertical="center"/>
    </xf>
    <xf numFmtId="3" fontId="2" fillId="0" borderId="82" xfId="1" applyNumberFormat="1" applyFont="1" applyFill="1" applyBorder="1" applyAlignment="1" applyProtection="1">
      <alignment horizontal="center" vertical="center"/>
    </xf>
    <xf numFmtId="3" fontId="2" fillId="0" borderId="99" xfId="1" applyNumberFormat="1" applyFont="1" applyFill="1" applyBorder="1" applyAlignment="1" applyProtection="1">
      <alignment horizontal="center" vertical="center"/>
    </xf>
    <xf numFmtId="3" fontId="2" fillId="0" borderId="70" xfId="1" applyNumberFormat="1" applyFont="1" applyFill="1" applyBorder="1" applyAlignment="1" applyProtection="1">
      <alignment horizontal="center" vertical="center"/>
    </xf>
    <xf numFmtId="3" fontId="2" fillId="0" borderId="99" xfId="1" applyNumberFormat="1" applyFont="1" applyFill="1" applyBorder="1" applyAlignment="1" applyProtection="1">
      <alignment horizontal="center" vertical="center"/>
      <protection locked="0"/>
    </xf>
    <xf numFmtId="3" fontId="2" fillId="0" borderId="7" xfId="1" applyNumberFormat="1" applyFont="1" applyFill="1" applyBorder="1" applyAlignment="1" applyProtection="1">
      <alignment horizontal="right" vertical="center"/>
    </xf>
    <xf numFmtId="3" fontId="2" fillId="0" borderId="94" xfId="1" applyNumberFormat="1" applyFont="1" applyFill="1" applyBorder="1" applyAlignment="1" applyProtection="1">
      <alignment horizontal="right" vertical="center"/>
    </xf>
    <xf numFmtId="3" fontId="2" fillId="0" borderId="95" xfId="1" applyNumberFormat="1" applyFont="1" applyFill="1" applyBorder="1" applyAlignment="1" applyProtection="1">
      <alignment horizontal="right" vertical="center"/>
    </xf>
    <xf numFmtId="3" fontId="2" fillId="0" borderId="12" xfId="1" applyNumberFormat="1" applyFont="1" applyFill="1" applyBorder="1" applyAlignment="1" applyProtection="1">
      <alignment horizontal="right" vertical="center"/>
    </xf>
    <xf numFmtId="3" fontId="2" fillId="0" borderId="96" xfId="1" applyNumberFormat="1" applyFont="1" applyFill="1" applyBorder="1" applyAlignment="1" applyProtection="1">
      <alignment horizontal="right" vertical="center"/>
      <protection locked="0"/>
    </xf>
    <xf numFmtId="3" fontId="2" fillId="0" borderId="14" xfId="1" applyNumberFormat="1" applyFont="1" applyFill="1" applyBorder="1" applyAlignment="1" applyProtection="1">
      <alignment horizontal="right" vertical="center"/>
    </xf>
    <xf numFmtId="3" fontId="2" fillId="0" borderId="95"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horizontal="right" vertical="center"/>
      <protection locked="0"/>
    </xf>
    <xf numFmtId="3" fontId="2" fillId="0" borderId="99" xfId="1" applyNumberFormat="1" applyFont="1" applyFill="1" applyBorder="1" applyAlignment="1" applyProtection="1">
      <alignment horizontal="right" vertical="center"/>
    </xf>
    <xf numFmtId="3" fontId="2" fillId="0" borderId="99" xfId="1" applyNumberFormat="1" applyFont="1" applyFill="1" applyBorder="1" applyAlignment="1" applyProtection="1">
      <alignment horizontal="right" vertical="center"/>
      <protection locked="0"/>
    </xf>
    <xf numFmtId="3" fontId="2" fillId="0" borderId="70" xfId="1" applyNumberFormat="1" applyFont="1" applyFill="1" applyBorder="1" applyAlignment="1" applyProtection="1">
      <alignment vertical="center"/>
    </xf>
    <xf numFmtId="3" fontId="2" fillId="0" borderId="82" xfId="1" applyNumberFormat="1" applyFont="1" applyFill="1" applyBorder="1" applyAlignment="1" applyProtection="1">
      <alignment horizontal="center" vertical="center"/>
      <protection locked="0"/>
    </xf>
    <xf numFmtId="3" fontId="2" fillId="0" borderId="82" xfId="1" applyNumberFormat="1" applyFont="1" applyFill="1" applyBorder="1" applyAlignment="1" applyProtection="1">
      <alignment horizontal="right" vertical="center"/>
      <protection locked="0"/>
    </xf>
    <xf numFmtId="3" fontId="3" fillId="0" borderId="4" xfId="1" applyNumberFormat="1" applyFont="1" applyBorder="1" applyAlignment="1" applyProtection="1">
      <alignment vertical="center"/>
    </xf>
    <xf numFmtId="3" fontId="3" fillId="0" borderId="17" xfId="1" applyNumberFormat="1" applyFont="1" applyBorder="1" applyAlignment="1" applyProtection="1">
      <alignment vertical="center"/>
      <protection locked="0"/>
    </xf>
    <xf numFmtId="3" fontId="3" fillId="0" borderId="18" xfId="1" applyNumberFormat="1" applyFont="1" applyBorder="1" applyAlignment="1" applyProtection="1">
      <alignment vertical="center"/>
      <protection locked="0"/>
    </xf>
    <xf numFmtId="3" fontId="3" fillId="0" borderId="20" xfId="1" applyNumberFormat="1" applyFont="1" applyBorder="1" applyAlignment="1" applyProtection="1">
      <alignment vertical="center"/>
      <protection locked="0"/>
    </xf>
    <xf numFmtId="3" fontId="3" fillId="0" borderId="21" xfId="1" applyNumberFormat="1" applyFont="1" applyBorder="1" applyAlignment="1" applyProtection="1">
      <alignment vertical="center"/>
    </xf>
    <xf numFmtId="3" fontId="3" fillId="0" borderId="4" xfId="1" applyNumberFormat="1" applyFont="1" applyBorder="1" applyAlignment="1" applyProtection="1">
      <alignment vertical="center"/>
      <protection locked="0"/>
    </xf>
    <xf numFmtId="3" fontId="3" fillId="0" borderId="21" xfId="1" applyNumberFormat="1" applyFont="1" applyBorder="1" applyAlignment="1" applyProtection="1">
      <alignment vertical="center"/>
      <protection locked="0"/>
    </xf>
    <xf numFmtId="3" fontId="3" fillId="0" borderId="90" xfId="1" applyNumberFormat="1" applyFont="1" applyFill="1" applyBorder="1" applyAlignment="1" applyProtection="1">
      <alignment vertical="center"/>
    </xf>
    <xf numFmtId="3" fontId="3" fillId="0" borderId="91" xfId="1" applyNumberFormat="1" applyFont="1" applyFill="1" applyBorder="1" applyAlignment="1" applyProtection="1">
      <alignment vertical="center"/>
    </xf>
    <xf numFmtId="3" fontId="3" fillId="0" borderId="92" xfId="1" applyNumberFormat="1" applyFont="1" applyFill="1" applyBorder="1" applyAlignment="1" applyProtection="1">
      <alignment vertical="center"/>
    </xf>
    <xf numFmtId="3" fontId="3" fillId="0" borderId="92" xfId="1" applyNumberFormat="1" applyFont="1" applyFill="1" applyBorder="1" applyAlignment="1" applyProtection="1">
      <alignment vertical="center"/>
      <protection locked="0"/>
    </xf>
    <xf numFmtId="3" fontId="3" fillId="0" borderId="100" xfId="1" applyNumberFormat="1" applyFont="1" applyFill="1" applyBorder="1" applyAlignment="1" applyProtection="1">
      <alignment vertical="center"/>
    </xf>
    <xf numFmtId="3" fontId="3" fillId="0" borderId="101" xfId="1" applyNumberFormat="1" applyFont="1" applyFill="1" applyBorder="1" applyAlignment="1" applyProtection="1">
      <alignment vertical="center"/>
    </xf>
    <xf numFmtId="3" fontId="3" fillId="0" borderId="102" xfId="1" applyNumberFormat="1" applyFont="1" applyFill="1" applyBorder="1" applyAlignment="1" applyProtection="1">
      <alignment vertical="center"/>
    </xf>
    <xf numFmtId="3" fontId="3" fillId="0" borderId="102" xfId="1" applyNumberFormat="1" applyFont="1" applyFill="1" applyBorder="1" applyAlignment="1" applyProtection="1">
      <alignment vertical="center"/>
      <protection locked="0"/>
    </xf>
    <xf numFmtId="3" fontId="3" fillId="0" borderId="4" xfId="1" applyNumberFormat="1" applyFont="1" applyFill="1" applyBorder="1" applyAlignment="1" applyProtection="1">
      <alignment vertical="center"/>
    </xf>
    <xf numFmtId="3" fontId="3" fillId="0" borderId="20"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xf>
    <xf numFmtId="3" fontId="3" fillId="0" borderId="21" xfId="1" applyNumberFormat="1" applyFont="1" applyFill="1" applyBorder="1" applyAlignment="1" applyProtection="1">
      <alignment vertical="center"/>
      <protection locked="0"/>
    </xf>
    <xf numFmtId="3" fontId="3" fillId="3" borderId="103" xfId="1" applyNumberFormat="1" applyFont="1" applyFill="1" applyBorder="1" applyAlignment="1" applyProtection="1">
      <alignment vertical="center"/>
    </xf>
    <xf numFmtId="3" fontId="3" fillId="3" borderId="104" xfId="1" applyNumberFormat="1" applyFont="1" applyFill="1" applyBorder="1" applyAlignment="1" applyProtection="1">
      <alignment vertical="center"/>
    </xf>
    <xf numFmtId="3" fontId="3" fillId="3" borderId="105" xfId="1" applyNumberFormat="1" applyFont="1" applyFill="1" applyBorder="1" applyAlignment="1" applyProtection="1">
      <alignment vertical="center"/>
    </xf>
    <xf numFmtId="3" fontId="3" fillId="3" borderId="105" xfId="1" applyNumberFormat="1" applyFont="1" applyFill="1" applyBorder="1" applyAlignment="1" applyProtection="1">
      <alignment vertical="center"/>
      <protection locked="0"/>
    </xf>
    <xf numFmtId="3" fontId="2" fillId="0" borderId="95" xfId="1" applyNumberFormat="1" applyFont="1" applyFill="1" applyBorder="1" applyAlignment="1" applyProtection="1">
      <alignment vertical="center"/>
    </xf>
    <xf numFmtId="3" fontId="2" fillId="0" borderId="103" xfId="1" applyNumberFormat="1" applyFont="1" applyFill="1" applyBorder="1" applyAlignment="1" applyProtection="1">
      <alignment vertical="center"/>
    </xf>
    <xf numFmtId="3" fontId="2" fillId="0" borderId="105" xfId="1" applyNumberFormat="1" applyFont="1" applyFill="1" applyBorder="1" applyAlignment="1" applyProtection="1">
      <alignment vertical="center"/>
    </xf>
    <xf numFmtId="3" fontId="2" fillId="0" borderId="105" xfId="1" applyNumberFormat="1" applyFont="1" applyFill="1" applyBorder="1" applyAlignment="1" applyProtection="1">
      <alignment vertical="center"/>
      <protection locked="0"/>
    </xf>
    <xf numFmtId="3" fontId="2" fillId="0" borderId="82"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xf>
    <xf numFmtId="3" fontId="2" fillId="0" borderId="99"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xf>
    <xf numFmtId="3" fontId="2" fillId="0" borderId="4" xfId="1" applyNumberFormat="1" applyFont="1" applyFill="1" applyBorder="1" applyAlignment="1" applyProtection="1">
      <alignment vertical="center"/>
      <protection locked="0"/>
    </xf>
    <xf numFmtId="3" fontId="2" fillId="0" borderId="21" xfId="1" applyNumberFormat="1" applyFont="1" applyFill="1" applyBorder="1" applyAlignment="1" applyProtection="1">
      <alignment vertical="center"/>
      <protection locked="0"/>
    </xf>
    <xf numFmtId="3" fontId="2" fillId="0" borderId="6" xfId="1" applyNumberFormat="1" applyFont="1" applyFill="1" applyBorder="1" applyAlignment="1" applyProtection="1">
      <alignment vertical="center"/>
    </xf>
    <xf numFmtId="3" fontId="2" fillId="0" borderId="93" xfId="1" applyNumberFormat="1" applyFont="1" applyFill="1" applyBorder="1" applyAlignment="1" applyProtection="1">
      <alignment vertical="center"/>
      <protection locked="0"/>
    </xf>
    <xf numFmtId="3" fontId="2" fillId="0" borderId="81" xfId="1" applyNumberFormat="1" applyFont="1" applyFill="1" applyBorder="1" applyAlignment="1" applyProtection="1">
      <alignment vertical="center"/>
    </xf>
    <xf numFmtId="3" fontId="2" fillId="0" borderId="6" xfId="1" applyNumberFormat="1" applyFont="1" applyFill="1" applyBorder="1" applyAlignment="1" applyProtection="1">
      <alignment vertical="center"/>
      <protection locked="0"/>
    </xf>
    <xf numFmtId="3" fontId="2" fillId="7" borderId="93" xfId="1" applyNumberFormat="1" applyFont="1" applyFill="1" applyBorder="1" applyAlignment="1" applyProtection="1">
      <alignment vertical="center"/>
    </xf>
    <xf numFmtId="3" fontId="2" fillId="7" borderId="81" xfId="1" applyNumberFormat="1" applyFont="1" applyFill="1" applyBorder="1" applyAlignment="1" applyProtection="1">
      <alignment vertical="center"/>
      <protection locked="0"/>
    </xf>
    <xf numFmtId="3" fontId="2" fillId="7" borderId="6" xfId="1" applyNumberFormat="1" applyFont="1" applyFill="1" applyBorder="1" applyAlignment="1" applyProtection="1">
      <alignment vertical="center"/>
    </xf>
    <xf numFmtId="3" fontId="2" fillId="7" borderId="93" xfId="1" applyNumberFormat="1" applyFont="1" applyFill="1" applyBorder="1" applyAlignment="1" applyProtection="1">
      <alignment vertical="center"/>
      <protection locked="0"/>
    </xf>
    <xf numFmtId="3" fontId="2" fillId="7" borderId="6" xfId="1" applyNumberFormat="1" applyFont="1" applyFill="1" applyBorder="1" applyAlignment="1" applyProtection="1">
      <alignment vertical="center" wrapText="1"/>
      <protection locked="0"/>
    </xf>
    <xf numFmtId="0" fontId="2" fillId="7" borderId="55" xfId="1" applyFont="1" applyFill="1" applyBorder="1" applyAlignment="1" applyProtection="1">
      <alignment horizontal="center" vertical="center" wrapText="1"/>
    </xf>
    <xf numFmtId="0" fontId="2" fillId="7" borderId="55" xfId="1" applyFont="1" applyFill="1" applyBorder="1" applyAlignment="1" applyProtection="1">
      <alignment horizontal="left" vertical="center" wrapText="1"/>
    </xf>
    <xf numFmtId="3" fontId="2" fillId="7" borderId="70" xfId="1" applyNumberFormat="1" applyFont="1" applyFill="1" applyBorder="1" applyAlignment="1" applyProtection="1">
      <alignment vertical="center"/>
    </xf>
    <xf numFmtId="3" fontId="2" fillId="7" borderId="82" xfId="1" applyNumberFormat="1" applyFont="1" applyFill="1" applyBorder="1" applyAlignment="1" applyProtection="1">
      <alignment vertical="center"/>
      <protection locked="0"/>
    </xf>
    <xf numFmtId="3" fontId="2" fillId="7" borderId="99" xfId="1" applyNumberFormat="1" applyFont="1" applyFill="1" applyBorder="1" applyAlignment="1" applyProtection="1">
      <alignment vertical="center"/>
    </xf>
    <xf numFmtId="3" fontId="2" fillId="7" borderId="70" xfId="1" applyNumberFormat="1" applyFont="1" applyFill="1" applyBorder="1" applyAlignment="1" applyProtection="1">
      <alignment vertical="center"/>
      <protection locked="0"/>
    </xf>
    <xf numFmtId="3" fontId="2" fillId="7" borderId="99" xfId="1" applyNumberFormat="1" applyFont="1" applyFill="1" applyBorder="1" applyAlignment="1" applyProtection="1">
      <alignment vertical="center" wrapText="1"/>
      <protection locked="0"/>
    </xf>
    <xf numFmtId="3" fontId="2" fillId="0" borderId="95" xfId="1" applyNumberFormat="1" applyFont="1" applyFill="1" applyBorder="1" applyAlignment="1" applyProtection="1">
      <alignment vertical="center"/>
      <protection locked="0"/>
    </xf>
    <xf numFmtId="3" fontId="2" fillId="0" borderId="2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xf>
    <xf numFmtId="3" fontId="2" fillId="0" borderId="10" xfId="1" applyNumberFormat="1" applyFont="1" applyFill="1" applyBorder="1" applyAlignment="1" applyProtection="1">
      <alignment vertical="center"/>
      <protection locked="0"/>
    </xf>
    <xf numFmtId="3" fontId="2" fillId="7" borderId="6" xfId="1" applyNumberFormat="1" applyFont="1" applyFill="1" applyBorder="1" applyAlignment="1" applyProtection="1">
      <alignment vertical="center"/>
      <protection locked="0"/>
    </xf>
    <xf numFmtId="0" fontId="2" fillId="7" borderId="15" xfId="1" applyFont="1" applyFill="1" applyBorder="1" applyAlignment="1" applyProtection="1">
      <alignment horizontal="right" vertical="center" wrapText="1"/>
    </xf>
    <xf numFmtId="0" fontId="2" fillId="7" borderId="15" xfId="1" applyFont="1" applyFill="1" applyBorder="1" applyAlignment="1" applyProtection="1">
      <alignment horizontal="left" vertical="center" wrapText="1"/>
    </xf>
    <xf numFmtId="3" fontId="2" fillId="7" borderId="4" xfId="1" applyNumberFormat="1" applyFont="1" applyFill="1" applyBorder="1" applyAlignment="1" applyProtection="1">
      <alignment vertical="center"/>
    </xf>
    <xf numFmtId="3" fontId="2" fillId="7" borderId="20" xfId="1" applyNumberFormat="1" applyFont="1" applyFill="1" applyBorder="1" applyAlignment="1" applyProtection="1">
      <alignment vertical="center"/>
      <protection locked="0"/>
    </xf>
    <xf numFmtId="3" fontId="2" fillId="7" borderId="21" xfId="1" applyNumberFormat="1" applyFont="1" applyFill="1" applyBorder="1" applyAlignment="1" applyProtection="1">
      <alignment vertical="center"/>
    </xf>
    <xf numFmtId="3" fontId="2" fillId="7" borderId="4" xfId="1" applyNumberFormat="1" applyFont="1" applyFill="1" applyBorder="1" applyAlignment="1" applyProtection="1">
      <alignment vertical="center"/>
      <protection locked="0"/>
    </xf>
    <xf numFmtId="3" fontId="2" fillId="7" borderId="21" xfId="1" applyNumberFormat="1" applyFont="1" applyFill="1" applyBorder="1" applyAlignment="1" applyProtection="1">
      <alignment vertical="center" wrapText="1"/>
      <protection locked="0"/>
    </xf>
    <xf numFmtId="0" fontId="2" fillId="7" borderId="39" xfId="1" applyFont="1" applyFill="1" applyBorder="1" applyAlignment="1" applyProtection="1">
      <alignment vertical="center" wrapText="1"/>
    </xf>
    <xf numFmtId="3" fontId="2" fillId="0" borderId="82" xfId="1" applyNumberFormat="1" applyFont="1" applyFill="1" applyBorder="1" applyAlignment="1" applyProtection="1">
      <alignment vertical="center"/>
      <protection locked="0"/>
    </xf>
    <xf numFmtId="3" fontId="2" fillId="0" borderId="70" xfId="1" applyNumberFormat="1" applyFont="1" applyFill="1" applyBorder="1" applyAlignment="1" applyProtection="1">
      <alignment vertical="center"/>
      <protection locked="0"/>
    </xf>
    <xf numFmtId="3" fontId="2" fillId="0" borderId="94" xfId="1" applyNumberFormat="1" applyFont="1" applyFill="1" applyBorder="1" applyAlignment="1" applyProtection="1">
      <alignment vertical="center"/>
      <protection locked="0"/>
    </xf>
    <xf numFmtId="3" fontId="2" fillId="0" borderId="7" xfId="1" applyNumberFormat="1" applyFont="1" applyFill="1" applyBorder="1" applyAlignment="1" applyProtection="1">
      <alignment vertical="center"/>
      <protection locked="0"/>
    </xf>
    <xf numFmtId="3" fontId="2" fillId="0" borderId="49"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xf>
    <xf numFmtId="3" fontId="2" fillId="0" borderId="14"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xf>
    <xf numFmtId="3" fontId="2" fillId="0" borderId="68" xfId="1" applyNumberFormat="1" applyFont="1" applyFill="1" applyBorder="1" applyAlignment="1" applyProtection="1">
      <alignment vertical="center"/>
    </xf>
    <xf numFmtId="3" fontId="2" fillId="0" borderId="87" xfId="1" applyNumberFormat="1" applyFont="1" applyFill="1" applyBorder="1" applyAlignment="1" applyProtection="1">
      <alignment vertical="center"/>
    </xf>
    <xf numFmtId="3" fontId="2" fillId="0" borderId="87" xfId="1" applyNumberFormat="1" applyFont="1" applyFill="1" applyBorder="1" applyAlignment="1" applyProtection="1">
      <alignment vertical="center"/>
      <protection locked="0"/>
    </xf>
    <xf numFmtId="3" fontId="2" fillId="0" borderId="80" xfId="1" applyNumberFormat="1" applyFont="1" applyFill="1" applyBorder="1" applyAlignment="1" applyProtection="1">
      <alignment vertical="center"/>
      <protection locked="0"/>
    </xf>
    <xf numFmtId="3" fontId="2" fillId="0" borderId="86" xfId="1" applyNumberFormat="1" applyFont="1" applyFill="1" applyBorder="1" applyAlignment="1" applyProtection="1">
      <alignment vertical="center"/>
      <protection locked="0"/>
    </xf>
    <xf numFmtId="3" fontId="2" fillId="0" borderId="104" xfId="1" applyNumberFormat="1" applyFont="1" applyFill="1" applyBorder="1" applyAlignment="1" applyProtection="1">
      <alignment vertical="center"/>
    </xf>
    <xf numFmtId="3" fontId="3" fillId="0" borderId="97" xfId="1" applyNumberFormat="1" applyFont="1" applyFill="1" applyBorder="1" applyAlignment="1" applyProtection="1">
      <alignment vertical="center"/>
    </xf>
    <xf numFmtId="3" fontId="3" fillId="0" borderId="53"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xf>
    <xf numFmtId="3" fontId="3" fillId="0" borderId="10" xfId="1" applyNumberFormat="1" applyFont="1" applyFill="1" applyBorder="1" applyAlignment="1" applyProtection="1">
      <alignment vertical="center"/>
      <protection locked="0"/>
    </xf>
    <xf numFmtId="3" fontId="3" fillId="3" borderId="7" xfId="1" applyNumberFormat="1" applyFont="1" applyFill="1" applyBorder="1" applyAlignment="1" applyProtection="1">
      <alignment vertical="center"/>
    </xf>
    <xf numFmtId="3" fontId="3" fillId="3" borderId="94" xfId="1" applyNumberFormat="1" applyFont="1" applyFill="1" applyBorder="1" applyAlignment="1" applyProtection="1">
      <alignment vertical="center"/>
    </xf>
    <xf numFmtId="3" fontId="3" fillId="3" borderId="95" xfId="1" applyNumberFormat="1" applyFont="1" applyFill="1" applyBorder="1" applyAlignment="1" applyProtection="1">
      <alignment vertical="center"/>
    </xf>
    <xf numFmtId="3" fontId="3" fillId="3" borderId="97" xfId="1" applyNumberFormat="1" applyFont="1" applyFill="1" applyBorder="1" applyAlignment="1" applyProtection="1">
      <alignment vertical="center"/>
    </xf>
    <xf numFmtId="3" fontId="3" fillId="3" borderId="53" xfId="1" applyNumberFormat="1" applyFont="1" applyFill="1" applyBorder="1" applyAlignment="1" applyProtection="1">
      <alignment vertical="center"/>
    </xf>
    <xf numFmtId="3" fontId="3" fillId="3" borderId="10" xfId="1" applyNumberFormat="1" applyFont="1" applyFill="1" applyBorder="1" applyAlignment="1" applyProtection="1">
      <alignment vertical="center"/>
    </xf>
    <xf numFmtId="3" fontId="3" fillId="3" borderId="10" xfId="1" applyNumberFormat="1" applyFont="1" applyFill="1" applyBorder="1" applyAlignment="1" applyProtection="1">
      <alignment vertical="center"/>
      <protection locked="0"/>
    </xf>
    <xf numFmtId="0" fontId="2" fillId="7" borderId="39" xfId="1" applyFont="1" applyFill="1" applyBorder="1" applyAlignment="1" applyProtection="1">
      <alignment horizontal="center" vertical="center" wrapText="1"/>
    </xf>
    <xf numFmtId="3" fontId="2" fillId="0" borderId="98" xfId="1" applyNumberFormat="1" applyFont="1" applyFill="1" applyBorder="1" applyAlignment="1" applyProtection="1">
      <alignment vertical="center"/>
    </xf>
    <xf numFmtId="3" fontId="2" fillId="0" borderId="12" xfId="1" applyNumberFormat="1" applyFont="1" applyFill="1" applyBorder="1" applyAlignment="1" applyProtection="1">
      <alignment vertical="center"/>
      <protection locked="0"/>
    </xf>
    <xf numFmtId="3" fontId="2" fillId="0" borderId="90" xfId="1" applyNumberFormat="1" applyFont="1" applyFill="1" applyBorder="1" applyAlignment="1" applyProtection="1">
      <alignment vertical="center"/>
    </xf>
    <xf numFmtId="3" fontId="2" fillId="0" borderId="91" xfId="1" applyNumberFormat="1" applyFont="1" applyFill="1" applyBorder="1" applyAlignment="1" applyProtection="1">
      <alignment vertical="center"/>
    </xf>
    <xf numFmtId="3" fontId="2" fillId="0" borderId="92" xfId="1" applyNumberFormat="1" applyFont="1" applyFill="1" applyBorder="1" applyAlignment="1" applyProtection="1">
      <alignment vertical="center"/>
    </xf>
    <xf numFmtId="3" fontId="2" fillId="0" borderId="92" xfId="1" applyNumberFormat="1" applyFont="1" applyFill="1" applyBorder="1" applyAlignment="1" applyProtection="1">
      <alignment vertical="center"/>
      <protection locked="0"/>
    </xf>
    <xf numFmtId="3" fontId="3" fillId="0" borderId="106" xfId="1" applyNumberFormat="1" applyFont="1" applyFill="1" applyBorder="1" applyAlignment="1" applyProtection="1">
      <alignment vertical="center"/>
    </xf>
    <xf numFmtId="3" fontId="3" fillId="0" borderId="107" xfId="1" applyNumberFormat="1" applyFont="1" applyFill="1" applyBorder="1" applyAlignment="1" applyProtection="1">
      <alignment vertical="center"/>
    </xf>
    <xf numFmtId="3" fontId="3" fillId="0" borderId="108" xfId="1" applyNumberFormat="1" applyFont="1" applyFill="1" applyBorder="1" applyAlignment="1" applyProtection="1">
      <alignment vertical="center"/>
    </xf>
    <xf numFmtId="3" fontId="3" fillId="0" borderId="108" xfId="1" applyNumberFormat="1" applyFont="1" applyFill="1" applyBorder="1" applyAlignment="1" applyProtection="1">
      <alignment vertical="center"/>
      <protection locked="0"/>
    </xf>
    <xf numFmtId="3" fontId="3" fillId="0" borderId="7" xfId="1" applyNumberFormat="1" applyFont="1" applyFill="1" applyBorder="1" applyAlignment="1" applyProtection="1">
      <alignment vertical="center"/>
    </xf>
    <xf numFmtId="3" fontId="3" fillId="0" borderId="94" xfId="1" applyNumberFormat="1" applyFont="1" applyFill="1" applyBorder="1" applyAlignment="1" applyProtection="1">
      <alignment vertical="center"/>
    </xf>
    <xf numFmtId="3" fontId="3" fillId="0" borderId="95" xfId="1" applyNumberFormat="1" applyFont="1" applyFill="1" applyBorder="1" applyAlignment="1" applyProtection="1">
      <alignment vertical="center"/>
    </xf>
    <xf numFmtId="3" fontId="3" fillId="0" borderId="95" xfId="1" applyNumberFormat="1" applyFont="1" applyFill="1" applyBorder="1" applyAlignment="1" applyProtection="1">
      <alignment vertical="center"/>
      <protection locked="0"/>
    </xf>
    <xf numFmtId="3" fontId="3" fillId="0" borderId="107" xfId="1" applyNumberFormat="1" applyFont="1" applyFill="1" applyBorder="1" applyAlignment="1" applyProtection="1">
      <alignment vertical="center"/>
      <protection locked="0"/>
    </xf>
    <xf numFmtId="3" fontId="3" fillId="0" borderId="106" xfId="1" applyNumberFormat="1" applyFont="1" applyFill="1" applyBorder="1" applyAlignment="1" applyProtection="1">
      <alignment vertical="center"/>
      <protection locked="0"/>
    </xf>
    <xf numFmtId="3" fontId="2" fillId="0" borderId="25" xfId="1" applyNumberFormat="1" applyFont="1" applyFill="1" applyBorder="1" applyAlignment="1" applyProtection="1">
      <alignment horizontal="justify" vertical="center" wrapText="1"/>
      <protection locked="0"/>
    </xf>
    <xf numFmtId="3" fontId="2" fillId="0" borderId="46" xfId="1" applyNumberFormat="1" applyFont="1" applyFill="1" applyBorder="1" applyAlignment="1" applyProtection="1">
      <alignment horizontal="justify" vertical="center" wrapText="1"/>
      <protection locked="0"/>
    </xf>
    <xf numFmtId="3" fontId="2" fillId="0" borderId="42" xfId="1" applyNumberFormat="1" applyFont="1" applyFill="1" applyBorder="1" applyAlignment="1" applyProtection="1">
      <alignment horizontal="justify" vertical="center" wrapText="1"/>
      <protection locked="0"/>
    </xf>
    <xf numFmtId="3" fontId="2" fillId="7" borderId="39" xfId="1" applyNumberFormat="1" applyFont="1" applyFill="1" applyBorder="1" applyAlignment="1" applyProtection="1">
      <alignment horizontal="right" vertical="center"/>
    </xf>
    <xf numFmtId="3" fontId="2" fillId="7" borderId="22" xfId="1" applyNumberFormat="1" applyFont="1" applyFill="1" applyBorder="1" applyAlignment="1" applyProtection="1">
      <alignment vertical="center"/>
    </xf>
    <xf numFmtId="3" fontId="9" fillId="7" borderId="25" xfId="1" applyNumberFormat="1" applyFont="1" applyFill="1" applyBorder="1" applyAlignment="1" applyProtection="1">
      <alignment horizontal="justify" vertical="center" wrapText="1"/>
      <protection locked="0"/>
    </xf>
    <xf numFmtId="0" fontId="3" fillId="7" borderId="0" xfId="1" applyFont="1" applyFill="1" applyBorder="1" applyAlignment="1" applyProtection="1">
      <alignment vertical="center"/>
    </xf>
    <xf numFmtId="0" fontId="3" fillId="7" borderId="43" xfId="1" applyFont="1" applyFill="1" applyBorder="1" applyAlignment="1" applyProtection="1">
      <alignment horizontal="left" vertical="center" wrapText="1"/>
      <protection locked="0"/>
    </xf>
    <xf numFmtId="0" fontId="3" fillId="7" borderId="43" xfId="1" applyFont="1" applyFill="1" applyBorder="1" applyAlignment="1" applyProtection="1">
      <alignment horizontal="left" vertical="center" wrapText="1"/>
    </xf>
    <xf numFmtId="3" fontId="2" fillId="7" borderId="43" xfId="1" applyNumberFormat="1" applyFont="1" applyFill="1" applyBorder="1" applyAlignment="1" applyProtection="1">
      <alignment vertical="center"/>
    </xf>
    <xf numFmtId="3" fontId="2" fillId="7" borderId="46" xfId="1" applyNumberFormat="1" applyFont="1" applyFill="1" applyBorder="1" applyAlignment="1" applyProtection="1">
      <alignment horizontal="left" vertical="center" wrapText="1"/>
      <protection locked="0"/>
    </xf>
    <xf numFmtId="3" fontId="2" fillId="7" borderId="42" xfId="1" applyNumberFormat="1" applyFont="1" applyFill="1" applyBorder="1" applyAlignment="1" applyProtection="1">
      <alignment horizontal="justify" vertical="center" wrapText="1"/>
      <protection locked="0"/>
    </xf>
    <xf numFmtId="0" fontId="2" fillId="0" borderId="15" xfId="1" applyFont="1" applyFill="1" applyBorder="1" applyAlignment="1" applyProtection="1">
      <alignment horizontal="center" vertical="center" wrapText="1"/>
    </xf>
    <xf numFmtId="3" fontId="2" fillId="0" borderId="41" xfId="1" applyNumberFormat="1" applyFont="1" applyFill="1" applyBorder="1" applyAlignment="1" applyProtection="1">
      <alignment horizontal="center" vertical="center" wrapText="1"/>
      <protection locked="0"/>
    </xf>
    <xf numFmtId="0" fontId="2" fillId="0" borderId="0" xfId="1" applyFont="1" applyAlignment="1">
      <alignment horizontal="right"/>
    </xf>
    <xf numFmtId="0" fontId="3" fillId="0" borderId="41" xfId="6" applyFont="1" applyBorder="1" applyAlignment="1">
      <alignment horizontal="right" vertical="center" wrapText="1"/>
    </xf>
    <xf numFmtId="0" fontId="2" fillId="0" borderId="41" xfId="6" applyFont="1" applyBorder="1" applyAlignment="1" applyProtection="1">
      <alignment horizontal="center" vertical="center" wrapText="1"/>
      <protection locked="0"/>
    </xf>
    <xf numFmtId="0" fontId="2" fillId="0" borderId="41" xfId="6" applyFont="1" applyBorder="1" applyAlignment="1" applyProtection="1">
      <alignment horizontal="left" vertical="center" wrapText="1"/>
      <protection locked="0"/>
    </xf>
    <xf numFmtId="0" fontId="2" fillId="0" borderId="41" xfId="6" applyFont="1" applyBorder="1" applyAlignment="1" applyProtection="1">
      <alignment horizontal="center" vertical="center"/>
      <protection locked="0"/>
    </xf>
    <xf numFmtId="3" fontId="2" fillId="0" borderId="41" xfId="6" applyNumberFormat="1" applyFont="1" applyFill="1" applyBorder="1" applyAlignment="1" applyProtection="1">
      <alignment horizontal="center" vertical="center" wrapText="1"/>
      <protection locked="0"/>
    </xf>
    <xf numFmtId="0" fontId="2" fillId="0" borderId="41" xfId="6" applyFont="1" applyFill="1" applyBorder="1" applyAlignment="1" applyProtection="1">
      <alignment horizontal="center" vertical="center"/>
      <protection locked="0"/>
    </xf>
    <xf numFmtId="0" fontId="2" fillId="0" borderId="41" xfId="6" applyFont="1" applyFill="1" applyBorder="1" applyAlignment="1">
      <alignment horizontal="left" vertical="center" wrapText="1"/>
    </xf>
    <xf numFmtId="0" fontId="2" fillId="0" borderId="41" xfId="6" applyFont="1" applyFill="1" applyBorder="1" applyAlignment="1" applyProtection="1">
      <alignment horizontal="left" vertical="center" wrapText="1"/>
      <protection locked="0"/>
    </xf>
    <xf numFmtId="0" fontId="2" fillId="0" borderId="0" xfId="6" applyFont="1" applyBorder="1" applyAlignment="1" applyProtection="1">
      <alignment horizontal="left" vertical="center" wrapText="1"/>
      <protection locked="0"/>
    </xf>
    <xf numFmtId="0" fontId="2" fillId="0" borderId="41" xfId="6" applyFont="1" applyFill="1" applyBorder="1" applyAlignment="1" applyProtection="1">
      <alignment horizontal="center" vertical="center" wrapText="1"/>
      <protection locked="0"/>
    </xf>
    <xf numFmtId="0" fontId="11" fillId="0" borderId="0" xfId="6" applyFont="1" applyBorder="1" applyAlignment="1">
      <alignment horizontal="center"/>
    </xf>
    <xf numFmtId="0" fontId="2" fillId="0" borderId="0" xfId="1" applyFont="1" applyFill="1" applyAlignment="1">
      <alignment horizontal="left"/>
    </xf>
    <xf numFmtId="0" fontId="11" fillId="0" borderId="0" xfId="1" applyFont="1" applyFill="1" applyAlignment="1">
      <alignment horizontal="center"/>
    </xf>
    <xf numFmtId="0" fontId="13" fillId="0" borderId="0" xfId="1" applyFont="1" applyFill="1" applyAlignment="1"/>
    <xf numFmtId="49" fontId="3" fillId="0" borderId="0" xfId="1" applyNumberFormat="1" applyFont="1" applyFill="1" applyAlignment="1">
      <alignment horizontal="left"/>
    </xf>
    <xf numFmtId="0" fontId="3" fillId="0" borderId="0" xfId="1" applyFont="1" applyFill="1" applyAlignment="1">
      <alignment horizontal="left"/>
    </xf>
    <xf numFmtId="0" fontId="2" fillId="0" borderId="41" xfId="1" applyFont="1" applyFill="1" applyBorder="1" applyAlignment="1">
      <alignment vertical="center" wrapText="1"/>
    </xf>
    <xf numFmtId="0" fontId="2" fillId="0" borderId="41" xfId="13" applyFont="1" applyBorder="1" applyAlignment="1">
      <alignment horizontal="center" vertical="center" wrapText="1"/>
    </xf>
    <xf numFmtId="0" fontId="2" fillId="0" borderId="41" xfId="1" applyFont="1" applyFill="1" applyBorder="1" applyAlignment="1">
      <alignment horizontal="center" vertical="center"/>
    </xf>
    <xf numFmtId="0" fontId="3" fillId="0" borderId="41" xfId="1" applyFont="1" applyFill="1" applyBorder="1" applyAlignment="1">
      <alignment horizontal="center" vertical="center"/>
    </xf>
    <xf numFmtId="0" fontId="2" fillId="0" borderId="41" xfId="12" applyFont="1" applyFill="1" applyBorder="1" applyAlignment="1" applyProtection="1">
      <alignment horizontal="center" vertical="center" wrapText="1"/>
      <protection locked="0"/>
    </xf>
    <xf numFmtId="3" fontId="3" fillId="0" borderId="41" xfId="12" applyNumberFormat="1" applyFont="1" applyFill="1" applyBorder="1" applyAlignment="1" applyProtection="1">
      <alignment vertical="center" wrapText="1"/>
      <protection locked="0"/>
    </xf>
    <xf numFmtId="0" fontId="2" fillId="0" borderId="68" xfId="1" applyFont="1" applyFill="1" applyBorder="1" applyAlignment="1" applyProtection="1">
      <alignment horizontal="center" vertical="center" wrapText="1"/>
      <protection locked="0"/>
    </xf>
    <xf numFmtId="0" fontId="2" fillId="0" borderId="85" xfId="12" applyFont="1" applyFill="1" applyBorder="1" applyAlignment="1" applyProtection="1">
      <alignment horizontal="right" vertical="top" wrapText="1"/>
      <protection locked="0"/>
    </xf>
    <xf numFmtId="0" fontId="2" fillId="0" borderId="85" xfId="12" applyFont="1" applyFill="1" applyBorder="1" applyAlignment="1" applyProtection="1">
      <alignment horizontal="left" vertical="top" wrapText="1"/>
      <protection locked="0"/>
    </xf>
    <xf numFmtId="1" fontId="2" fillId="0" borderId="0" xfId="12" applyNumberFormat="1" applyFont="1" applyFill="1" applyBorder="1" applyAlignment="1" applyProtection="1">
      <alignment wrapText="1"/>
      <protection locked="0"/>
    </xf>
    <xf numFmtId="3" fontId="2" fillId="0" borderId="0" xfId="12" applyNumberFormat="1" applyFont="1" applyFill="1" applyBorder="1" applyAlignment="1" applyProtection="1">
      <alignment wrapText="1"/>
      <protection locked="0"/>
    </xf>
    <xf numFmtId="3" fontId="2" fillId="0" borderId="85" xfId="12" applyNumberFormat="1" applyFont="1" applyFill="1" applyBorder="1" applyAlignment="1" applyProtection="1">
      <alignment wrapText="1"/>
      <protection locked="0"/>
    </xf>
    <xf numFmtId="49" fontId="3" fillId="0" borderId="76" xfId="1" applyNumberFormat="1" applyFont="1" applyFill="1" applyBorder="1" applyAlignment="1">
      <alignment horizontal="left"/>
    </xf>
    <xf numFmtId="3" fontId="37" fillId="0" borderId="76" xfId="1" applyNumberFormat="1" applyFont="1" applyFill="1" applyBorder="1" applyAlignment="1" applyProtection="1">
      <alignment wrapText="1"/>
      <protection locked="0"/>
    </xf>
    <xf numFmtId="1" fontId="2" fillId="0" borderId="85" xfId="1" applyNumberFormat="1" applyFont="1" applyFill="1" applyBorder="1" applyAlignment="1" applyProtection="1">
      <alignment wrapText="1"/>
      <protection locked="0"/>
    </xf>
    <xf numFmtId="3" fontId="2" fillId="0" borderId="85" xfId="1" applyNumberFormat="1" applyFont="1" applyFill="1" applyBorder="1" applyAlignment="1" applyProtection="1">
      <alignment wrapText="1"/>
      <protection locked="0"/>
    </xf>
    <xf numFmtId="0" fontId="3" fillId="0" borderId="76" xfId="1" applyFont="1" applyFill="1" applyBorder="1" applyAlignment="1">
      <alignment horizontal="center"/>
    </xf>
    <xf numFmtId="0" fontId="3" fillId="0" borderId="76" xfId="1" applyFont="1" applyFill="1" applyBorder="1" applyAlignment="1">
      <alignment horizontal="left"/>
    </xf>
    <xf numFmtId="3" fontId="3" fillId="10" borderId="41" xfId="1" applyNumberFormat="1" applyFont="1" applyFill="1" applyBorder="1" applyAlignment="1" applyProtection="1">
      <alignment vertical="center" wrapText="1"/>
      <protection locked="0"/>
    </xf>
    <xf numFmtId="1" fontId="2" fillId="0" borderId="0" xfId="12" applyNumberFormat="1" applyFont="1" applyFill="1" applyBorder="1" applyAlignment="1" applyProtection="1">
      <alignment horizontal="center" wrapText="1"/>
      <protection locked="0"/>
    </xf>
    <xf numFmtId="0" fontId="2" fillId="0" borderId="0" xfId="1" applyFont="1" applyFill="1" applyAlignment="1">
      <alignment horizontal="center"/>
    </xf>
    <xf numFmtId="1" fontId="2" fillId="0" borderId="0" xfId="1" applyNumberFormat="1" applyFont="1" applyFill="1" applyBorder="1" applyAlignment="1" applyProtection="1">
      <alignment wrapText="1"/>
      <protection locked="0"/>
    </xf>
    <xf numFmtId="0" fontId="3" fillId="0" borderId="0" xfId="1" applyFont="1" applyFill="1" applyAlignment="1">
      <alignment horizontal="center"/>
    </xf>
    <xf numFmtId="1" fontId="3" fillId="0" borderId="0" xfId="1" applyNumberFormat="1" applyFont="1" applyFill="1" applyBorder="1" applyAlignment="1" applyProtection="1">
      <alignment horizontal="center" wrapText="1"/>
      <protection locked="0"/>
    </xf>
    <xf numFmtId="3" fontId="2" fillId="0" borderId="41" xfId="1" applyNumberFormat="1" applyFont="1" applyFill="1" applyBorder="1" applyAlignment="1">
      <alignment horizontal="right" vertical="center" wrapText="1"/>
    </xf>
    <xf numFmtId="0" fontId="2" fillId="0" borderId="0" xfId="1" applyFont="1" applyFill="1" applyBorder="1" applyAlignment="1" applyProtection="1">
      <alignment horizontal="center" vertical="top"/>
      <protection locked="0"/>
    </xf>
    <xf numFmtId="0" fontId="2" fillId="0" borderId="0" xfId="1" applyFont="1" applyFill="1" applyBorder="1" applyAlignment="1" applyProtection="1">
      <alignment horizontal="left" vertical="top" wrapText="1"/>
      <protection locked="0"/>
    </xf>
    <xf numFmtId="0" fontId="25" fillId="0" borderId="85" xfId="1" applyFont="1" applyFill="1" applyBorder="1"/>
    <xf numFmtId="3" fontId="25" fillId="0" borderId="85" xfId="1" applyNumberFormat="1" applyFont="1" applyFill="1" applyBorder="1"/>
    <xf numFmtId="0" fontId="38" fillId="0" borderId="0" xfId="1" applyFont="1" applyBorder="1"/>
    <xf numFmtId="0" fontId="2" fillId="7" borderId="0" xfId="1" applyFont="1" applyFill="1"/>
    <xf numFmtId="0" fontId="2" fillId="0" borderId="0" xfId="1" applyFont="1" applyFill="1" applyAlignment="1">
      <alignment horizontal="right"/>
    </xf>
    <xf numFmtId="3" fontId="25" fillId="0" borderId="0" xfId="1" applyNumberFormat="1" applyFont="1" applyFill="1" applyBorder="1"/>
    <xf numFmtId="0" fontId="13" fillId="0" borderId="0" xfId="1" applyFont="1" applyBorder="1" applyAlignment="1" applyProtection="1">
      <alignment horizontal="left"/>
      <protection locked="0"/>
    </xf>
    <xf numFmtId="49" fontId="3" fillId="0" borderId="76" xfId="1" applyNumberFormat="1" applyFont="1" applyFill="1" applyBorder="1" applyAlignment="1" applyProtection="1">
      <alignment horizontal="left"/>
      <protection locked="0"/>
    </xf>
    <xf numFmtId="3" fontId="2" fillId="0" borderId="41" xfId="1" applyNumberFormat="1" applyFont="1" applyFill="1" applyBorder="1" applyAlignment="1">
      <alignment vertical="center"/>
    </xf>
    <xf numFmtId="3" fontId="3" fillId="0" borderId="41" xfId="1" applyNumberFormat="1" applyFont="1" applyFill="1" applyBorder="1" applyAlignment="1">
      <alignment vertical="center"/>
    </xf>
    <xf numFmtId="3" fontId="3" fillId="7" borderId="41" xfId="1" applyNumberFormat="1" applyFont="1" applyFill="1" applyBorder="1" applyAlignment="1">
      <alignment vertical="center"/>
    </xf>
    <xf numFmtId="3" fontId="2" fillId="10" borderId="41" xfId="1" applyNumberFormat="1" applyFont="1" applyFill="1" applyBorder="1" applyAlignment="1" applyProtection="1">
      <alignment vertical="center" wrapText="1"/>
      <protection locked="0"/>
    </xf>
    <xf numFmtId="3" fontId="2" fillId="0" borderId="41" xfId="1" applyNumberFormat="1" applyFont="1" applyBorder="1" applyAlignment="1" applyProtection="1">
      <alignment horizontal="right" vertical="center" wrapText="1"/>
      <protection locked="0"/>
    </xf>
    <xf numFmtId="3" fontId="3" fillId="0" borderId="41" xfId="1" applyNumberFormat="1" applyFont="1" applyFill="1" applyBorder="1" applyAlignment="1" applyProtection="1">
      <alignment horizontal="right" vertical="center" wrapText="1"/>
      <protection locked="0"/>
    </xf>
    <xf numFmtId="3" fontId="2" fillId="0" borderId="0" xfId="1" applyNumberFormat="1" applyFont="1" applyAlignment="1">
      <alignment vertical="center"/>
    </xf>
    <xf numFmtId="0" fontId="3" fillId="0" borderId="0" xfId="1" applyFont="1" applyAlignment="1">
      <alignment horizontal="left" indent="1"/>
    </xf>
    <xf numFmtId="3" fontId="2" fillId="0" borderId="0" xfId="1" applyNumberFormat="1" applyFont="1" applyFill="1" applyAlignment="1">
      <alignment vertical="center"/>
    </xf>
    <xf numFmtId="0" fontId="43" fillId="0" borderId="0" xfId="14" applyFont="1" applyAlignment="1">
      <alignment wrapText="1"/>
    </xf>
    <xf numFmtId="0" fontId="25" fillId="0" borderId="109" xfId="1" applyFont="1" applyFill="1" applyBorder="1" applyAlignment="1">
      <alignment wrapText="1"/>
    </xf>
    <xf numFmtId="0" fontId="5" fillId="0" borderId="109" xfId="1" applyFont="1" applyFill="1" applyBorder="1" applyAlignment="1">
      <alignment horizontal="right" vertical="justify" wrapText="1"/>
    </xf>
    <xf numFmtId="3" fontId="5" fillId="0" borderId="109" xfId="1" applyNumberFormat="1" applyFont="1" applyBorder="1" applyAlignment="1">
      <alignment wrapText="1"/>
    </xf>
    <xf numFmtId="0" fontId="1" fillId="0" borderId="109" xfId="1" applyFont="1" applyBorder="1" applyAlignment="1">
      <alignment wrapText="1"/>
    </xf>
    <xf numFmtId="0" fontId="1" fillId="0" borderId="109" xfId="1" applyFont="1" applyFill="1" applyBorder="1" applyAlignment="1">
      <alignment wrapText="1"/>
    </xf>
    <xf numFmtId="0" fontId="11" fillId="0" borderId="110" xfId="1" applyFont="1" applyFill="1" applyBorder="1" applyAlignment="1">
      <alignment horizontal="center" vertical="center" wrapText="1"/>
    </xf>
    <xf numFmtId="0" fontId="11" fillId="0" borderId="111" xfId="1" applyFont="1" applyFill="1" applyBorder="1" applyAlignment="1">
      <alignment horizontal="center" vertical="center" wrapText="1"/>
    </xf>
    <xf numFmtId="3" fontId="11" fillId="0" borderId="111" xfId="1" applyNumberFormat="1" applyFont="1" applyFill="1" applyBorder="1" applyAlignment="1">
      <alignment horizontal="center" vertical="center" wrapText="1"/>
    </xf>
    <xf numFmtId="0" fontId="11" fillId="0" borderId="112" xfId="1" applyFont="1" applyFill="1" applyBorder="1" applyAlignment="1">
      <alignment horizontal="center" vertical="center" wrapText="1"/>
    </xf>
    <xf numFmtId="0" fontId="11" fillId="0" borderId="113" xfId="1" applyFont="1" applyFill="1" applyBorder="1" applyAlignment="1">
      <alignment horizontal="center" vertical="center" wrapText="1"/>
    </xf>
    <xf numFmtId="0" fontId="11" fillId="0" borderId="114" xfId="1" applyFont="1" applyFill="1" applyBorder="1" applyAlignment="1">
      <alignment horizontal="center" vertical="center" wrapText="1"/>
    </xf>
    <xf numFmtId="0" fontId="11" fillId="0" borderId="115" xfId="1" applyFont="1" applyFill="1" applyBorder="1" applyAlignment="1">
      <alignment horizontal="center" vertical="center" wrapText="1"/>
    </xf>
    <xf numFmtId="0" fontId="11" fillId="0" borderId="116" xfId="1" applyFont="1" applyFill="1" applyBorder="1" applyAlignment="1">
      <alignment vertical="center" wrapText="1"/>
    </xf>
    <xf numFmtId="0" fontId="11" fillId="0" borderId="43" xfId="1" applyFont="1" applyFill="1" applyBorder="1" applyAlignment="1">
      <alignment vertical="center" wrapText="1"/>
    </xf>
    <xf numFmtId="0" fontId="11" fillId="0" borderId="43" xfId="1" applyFont="1" applyFill="1" applyBorder="1" applyAlignment="1">
      <alignment horizontal="center" vertical="center" wrapText="1"/>
    </xf>
    <xf numFmtId="3" fontId="45" fillId="0" borderId="43" xfId="1" applyNumberFormat="1" applyFont="1" applyFill="1" applyBorder="1" applyAlignment="1">
      <alignment wrapText="1"/>
    </xf>
    <xf numFmtId="3" fontId="45" fillId="0" borderId="117" xfId="1" applyNumberFormat="1" applyFont="1" applyFill="1" applyBorder="1" applyAlignment="1">
      <alignment wrapText="1"/>
    </xf>
    <xf numFmtId="0" fontId="11" fillId="0" borderId="118" xfId="1" applyFont="1" applyFill="1" applyBorder="1" applyAlignment="1">
      <alignment vertical="center" wrapText="1"/>
    </xf>
    <xf numFmtId="0" fontId="11" fillId="0" borderId="63" xfId="1" applyFont="1" applyFill="1" applyBorder="1" applyAlignment="1">
      <alignment vertical="center" wrapText="1"/>
    </xf>
    <xf numFmtId="0" fontId="11" fillId="11" borderId="63" xfId="1" applyFont="1" applyFill="1" applyBorder="1" applyAlignment="1">
      <alignment horizontal="left" vertical="center" wrapText="1"/>
    </xf>
    <xf numFmtId="10" fontId="11" fillId="11" borderId="63" xfId="1" applyNumberFormat="1" applyFont="1" applyFill="1" applyBorder="1" applyAlignment="1">
      <alignment wrapText="1"/>
    </xf>
    <xf numFmtId="10" fontId="11" fillId="11" borderId="103" xfId="1" applyNumberFormat="1" applyFont="1" applyFill="1" applyBorder="1" applyAlignment="1">
      <alignment wrapText="1"/>
    </xf>
    <xf numFmtId="10" fontId="11" fillId="14" borderId="117" xfId="1" applyNumberFormat="1" applyFont="1" applyFill="1" applyBorder="1" applyAlignment="1">
      <alignment wrapText="1"/>
    </xf>
    <xf numFmtId="3" fontId="45" fillId="0" borderId="63" xfId="1" applyNumberFormat="1" applyFont="1" applyFill="1" applyBorder="1" applyAlignment="1">
      <alignment wrapText="1"/>
    </xf>
    <xf numFmtId="3" fontId="45" fillId="0" borderId="103" xfId="1" applyNumberFormat="1" applyFont="1" applyFill="1" applyBorder="1" applyAlignment="1">
      <alignment wrapText="1"/>
    </xf>
    <xf numFmtId="3" fontId="46" fillId="0" borderId="63" xfId="1" applyNumberFormat="1" applyFont="1" applyBorder="1" applyAlignment="1">
      <alignment wrapText="1"/>
    </xf>
    <xf numFmtId="3" fontId="46" fillId="0" borderId="103" xfId="1" applyNumberFormat="1" applyFont="1" applyBorder="1" applyAlignment="1">
      <alignment wrapText="1"/>
    </xf>
    <xf numFmtId="3" fontId="46" fillId="0" borderId="117" xfId="1" applyNumberFormat="1" applyFont="1" applyFill="1" applyBorder="1" applyAlignment="1">
      <alignment wrapText="1"/>
    </xf>
    <xf numFmtId="10" fontId="13" fillId="0" borderId="63" xfId="1" applyNumberFormat="1" applyFont="1" applyFill="1" applyBorder="1" applyAlignment="1">
      <alignment wrapText="1"/>
    </xf>
    <xf numFmtId="10" fontId="13" fillId="0" borderId="103" xfId="1" applyNumberFormat="1" applyFont="1" applyFill="1" applyBorder="1" applyAlignment="1">
      <alignment wrapText="1"/>
    </xf>
    <xf numFmtId="10" fontId="13" fillId="0" borderId="117" xfId="1" applyNumberFormat="1" applyFont="1" applyFill="1" applyBorder="1" applyAlignment="1">
      <alignment wrapText="1"/>
    </xf>
    <xf numFmtId="0" fontId="11" fillId="0" borderId="119" xfId="1" applyFont="1" applyFill="1" applyBorder="1" applyAlignment="1">
      <alignment vertical="center" wrapText="1"/>
    </xf>
    <xf numFmtId="0" fontId="11" fillId="0" borderId="11" xfId="1" applyFont="1" applyFill="1" applyBorder="1" applyAlignment="1">
      <alignment vertical="center" wrapText="1"/>
    </xf>
    <xf numFmtId="0" fontId="11" fillId="0" borderId="11" xfId="1" applyFont="1" applyFill="1" applyBorder="1" applyAlignment="1">
      <alignment horizontal="center" vertical="center" wrapText="1"/>
    </xf>
    <xf numFmtId="3" fontId="45" fillId="0" borderId="120" xfId="1" applyNumberFormat="1" applyFont="1" applyFill="1" applyBorder="1" applyAlignment="1">
      <alignment wrapText="1"/>
    </xf>
    <xf numFmtId="3" fontId="45" fillId="0" borderId="121" xfId="1" applyNumberFormat="1" applyFont="1" applyFill="1" applyBorder="1" applyAlignment="1">
      <alignment wrapText="1"/>
    </xf>
    <xf numFmtId="3" fontId="11" fillId="15" borderId="122" xfId="1" applyNumberFormat="1" applyFont="1" applyFill="1" applyBorder="1" applyAlignment="1">
      <alignment horizontal="center" vertical="center" wrapText="1"/>
    </xf>
    <xf numFmtId="0" fontId="11" fillId="16" borderId="123" xfId="1" applyFont="1" applyFill="1" applyBorder="1" applyAlignment="1">
      <alignment horizontal="center" vertical="center" wrapText="1"/>
    </xf>
    <xf numFmtId="3" fontId="11" fillId="16" borderId="123" xfId="1" applyNumberFormat="1" applyFont="1" applyFill="1" applyBorder="1" applyAlignment="1">
      <alignment horizontal="center" vertical="center" wrapText="1"/>
    </xf>
    <xf numFmtId="3" fontId="11" fillId="16" borderId="124" xfId="1" applyNumberFormat="1" applyFont="1" applyFill="1" applyBorder="1" applyAlignment="1">
      <alignment horizontal="center" vertical="center" wrapText="1"/>
    </xf>
    <xf numFmtId="3" fontId="11" fillId="0" borderId="125" xfId="1" applyNumberFormat="1" applyFont="1" applyFill="1" applyBorder="1" applyAlignment="1">
      <alignment horizontal="center" wrapText="1"/>
    </xf>
    <xf numFmtId="0" fontId="11" fillId="0" borderId="126" xfId="1" applyFont="1" applyFill="1" applyBorder="1" applyAlignment="1">
      <alignment horizontal="center" wrapText="1"/>
    </xf>
    <xf numFmtId="0" fontId="11" fillId="0" borderId="126" xfId="1" applyFont="1" applyFill="1" applyBorder="1" applyAlignment="1">
      <alignment horizontal="center" vertical="center" wrapText="1"/>
    </xf>
    <xf numFmtId="3" fontId="46" fillId="0" borderId="127" xfId="1" applyNumberFormat="1" applyFont="1" applyFill="1" applyBorder="1" applyAlignment="1">
      <alignment wrapText="1"/>
    </xf>
    <xf numFmtId="3" fontId="46" fillId="0" borderId="126" xfId="1" applyNumberFormat="1" applyFont="1" applyFill="1" applyBorder="1" applyAlignment="1">
      <alignment wrapText="1"/>
    </xf>
    <xf numFmtId="3" fontId="46" fillId="0" borderId="128" xfId="1" applyNumberFormat="1" applyFont="1" applyFill="1" applyBorder="1" applyAlignment="1">
      <alignment wrapText="1"/>
    </xf>
    <xf numFmtId="3" fontId="11" fillId="0" borderId="129" xfId="1" applyNumberFormat="1" applyFont="1" applyFill="1" applyBorder="1" applyAlignment="1">
      <alignment horizontal="center" wrapText="1"/>
    </xf>
    <xf numFmtId="0" fontId="11" fillId="0" borderId="15" xfId="1" applyFont="1" applyFill="1" applyBorder="1" applyAlignment="1">
      <alignment horizontal="center" wrapText="1"/>
    </xf>
    <xf numFmtId="0" fontId="46" fillId="0" borderId="15" xfId="1" applyFont="1" applyFill="1" applyBorder="1" applyAlignment="1">
      <alignment horizontal="center" vertical="center" wrapText="1"/>
    </xf>
    <xf numFmtId="3" fontId="46" fillId="0" borderId="86" xfId="1" applyNumberFormat="1" applyFont="1" applyFill="1" applyBorder="1" applyAlignment="1">
      <alignment horizontal="right" wrapText="1"/>
    </xf>
    <xf numFmtId="3" fontId="46" fillId="0" borderId="4" xfId="1" applyNumberFormat="1" applyFont="1" applyFill="1" applyBorder="1" applyAlignment="1">
      <alignment horizontal="right" wrapText="1"/>
    </xf>
    <xf numFmtId="3" fontId="46" fillId="0" borderId="15" xfId="1" applyNumberFormat="1" applyFont="1" applyFill="1" applyBorder="1" applyAlignment="1">
      <alignment horizontal="right" wrapText="1"/>
    </xf>
    <xf numFmtId="3" fontId="46" fillId="0" borderId="15" xfId="1" applyNumberFormat="1" applyFont="1" applyFill="1" applyBorder="1" applyAlignment="1">
      <alignment wrapText="1"/>
    </xf>
    <xf numFmtId="3" fontId="46" fillId="0" borderId="130" xfId="1" applyNumberFormat="1" applyFont="1" applyFill="1" applyBorder="1" applyAlignment="1">
      <alignment wrapText="1"/>
    </xf>
    <xf numFmtId="0" fontId="46" fillId="0" borderId="126" xfId="1" applyFont="1" applyFill="1" applyBorder="1" applyAlignment="1">
      <alignment wrapText="1"/>
    </xf>
    <xf numFmtId="3" fontId="46" fillId="0" borderId="127" xfId="1" applyNumberFormat="1" applyFont="1" applyFill="1" applyBorder="1" applyAlignment="1">
      <alignment horizontal="right" wrapText="1"/>
    </xf>
    <xf numFmtId="3" fontId="46" fillId="0" borderId="126" xfId="1" applyNumberFormat="1" applyFont="1" applyFill="1" applyBorder="1" applyAlignment="1">
      <alignment horizontal="right" wrapText="1"/>
    </xf>
    <xf numFmtId="3" fontId="46" fillId="0" borderId="128" xfId="1" applyNumberFormat="1" applyFont="1" applyFill="1" applyBorder="1" applyAlignment="1">
      <alignment horizontal="right" wrapText="1"/>
    </xf>
    <xf numFmtId="3" fontId="1" fillId="0" borderId="0" xfId="6" applyNumberFormat="1"/>
    <xf numFmtId="3" fontId="11" fillId="0" borderId="131" xfId="1" applyNumberFormat="1" applyFont="1" applyFill="1" applyBorder="1" applyAlignment="1">
      <alignment horizontal="center" wrapText="1"/>
    </xf>
    <xf numFmtId="0" fontId="11" fillId="0" borderId="132" xfId="1" applyFont="1" applyFill="1" applyBorder="1" applyAlignment="1">
      <alignment horizontal="center" vertical="center" wrapText="1"/>
    </xf>
    <xf numFmtId="0" fontId="46" fillId="0" borderId="132" xfId="1" applyFont="1" applyFill="1" applyBorder="1" applyAlignment="1">
      <alignment horizontal="center" vertical="center" wrapText="1"/>
    </xf>
    <xf numFmtId="3" fontId="46" fillId="0" borderId="133" xfId="1" applyNumberFormat="1" applyFont="1" applyFill="1" applyBorder="1" applyAlignment="1">
      <alignment horizontal="right" wrapText="1"/>
    </xf>
    <xf numFmtId="3" fontId="46" fillId="0" borderId="132" xfId="1" applyNumberFormat="1" applyFont="1" applyFill="1" applyBorder="1" applyAlignment="1">
      <alignment horizontal="right" wrapText="1"/>
    </xf>
    <xf numFmtId="3" fontId="46" fillId="0" borderId="134" xfId="1" applyNumberFormat="1" applyFont="1" applyFill="1" applyBorder="1" applyAlignment="1">
      <alignment horizontal="right" wrapText="1"/>
    </xf>
    <xf numFmtId="0" fontId="11" fillId="0" borderId="15" xfId="1" applyFont="1" applyFill="1" applyBorder="1" applyAlignment="1">
      <alignment horizontal="center" vertical="center" wrapText="1"/>
    </xf>
    <xf numFmtId="3" fontId="46" fillId="0" borderId="4" xfId="1" applyNumberFormat="1" applyFont="1" applyFill="1" applyBorder="1" applyAlignment="1">
      <alignment wrapText="1"/>
    </xf>
    <xf numFmtId="0" fontId="11" fillId="0" borderId="132" xfId="1" applyFont="1" applyFill="1" applyBorder="1" applyAlignment="1">
      <alignment horizontal="center" wrapText="1"/>
    </xf>
    <xf numFmtId="3" fontId="46" fillId="0" borderId="132" xfId="1" applyNumberFormat="1" applyFont="1" applyFill="1" applyBorder="1" applyAlignment="1">
      <alignment wrapText="1"/>
    </xf>
    <xf numFmtId="3" fontId="46" fillId="0" borderId="133" xfId="1" applyNumberFormat="1" applyFont="1" applyFill="1" applyBorder="1" applyAlignment="1">
      <alignment wrapText="1"/>
    </xf>
    <xf numFmtId="3" fontId="46" fillId="0" borderId="134" xfId="1" applyNumberFormat="1" applyFont="1" applyFill="1" applyBorder="1" applyAlignment="1">
      <alignment wrapText="1"/>
    </xf>
    <xf numFmtId="3" fontId="11" fillId="0" borderId="135" xfId="1" applyNumberFormat="1" applyFont="1" applyFill="1" applyBorder="1" applyAlignment="1">
      <alignment horizontal="center" wrapText="1"/>
    </xf>
    <xf numFmtId="0" fontId="11" fillId="0" borderId="136" xfId="1" applyFont="1" applyFill="1" applyBorder="1" applyAlignment="1">
      <alignment horizontal="center" wrapText="1"/>
    </xf>
    <xf numFmtId="0" fontId="11" fillId="0" borderId="136" xfId="1" applyFont="1" applyFill="1" applyBorder="1" applyAlignment="1">
      <alignment horizontal="center" vertical="center" wrapText="1"/>
    </xf>
    <xf numFmtId="3" fontId="46" fillId="0" borderId="137" xfId="1" applyNumberFormat="1" applyFont="1" applyFill="1" applyBorder="1" applyAlignment="1">
      <alignment wrapText="1"/>
    </xf>
    <xf numFmtId="3" fontId="46" fillId="0" borderId="136" xfId="1" applyNumberFormat="1" applyFont="1" applyFill="1" applyBorder="1" applyAlignment="1">
      <alignment wrapText="1"/>
    </xf>
    <xf numFmtId="3" fontId="46" fillId="0" borderId="138" xfId="1" applyNumberFormat="1" applyFont="1" applyFill="1" applyBorder="1" applyAlignment="1">
      <alignment wrapText="1"/>
    </xf>
    <xf numFmtId="3" fontId="46" fillId="0" borderId="139" xfId="1" applyNumberFormat="1" applyFont="1" applyFill="1" applyBorder="1" applyAlignment="1">
      <alignment wrapText="1"/>
    </xf>
    <xf numFmtId="3" fontId="46" fillId="0" borderId="140" xfId="1" applyNumberFormat="1" applyFont="1" applyFill="1" applyBorder="1" applyAlignment="1">
      <alignment wrapText="1"/>
    </xf>
    <xf numFmtId="3" fontId="11" fillId="0" borderId="141" xfId="1" applyNumberFormat="1" applyFont="1" applyFill="1" applyBorder="1" applyAlignment="1">
      <alignment horizontal="center" wrapText="1"/>
    </xf>
    <xf numFmtId="0" fontId="11" fillId="0" borderId="142" xfId="1" applyFont="1" applyFill="1" applyBorder="1" applyAlignment="1">
      <alignment horizontal="center" wrapText="1"/>
    </xf>
    <xf numFmtId="0" fontId="46" fillId="0" borderId="142" xfId="1" applyFont="1" applyFill="1" applyBorder="1" applyAlignment="1">
      <alignment horizontal="center" vertical="center" wrapText="1"/>
    </xf>
    <xf numFmtId="3" fontId="46" fillId="0" borderId="143" xfId="1" applyNumberFormat="1" applyFont="1" applyFill="1" applyBorder="1" applyAlignment="1">
      <alignment wrapText="1"/>
    </xf>
    <xf numFmtId="3" fontId="46" fillId="0" borderId="142" xfId="1" applyNumberFormat="1" applyFont="1" applyFill="1" applyBorder="1" applyAlignment="1">
      <alignment wrapText="1"/>
    </xf>
    <xf numFmtId="3" fontId="46" fillId="0" borderId="144" xfId="1" applyNumberFormat="1" applyFont="1" applyFill="1" applyBorder="1" applyAlignment="1">
      <alignment wrapText="1"/>
    </xf>
    <xf numFmtId="0" fontId="11" fillId="0" borderId="142" xfId="1" applyFont="1" applyFill="1" applyBorder="1" applyAlignment="1">
      <alignment horizontal="center" vertical="center" wrapText="1"/>
    </xf>
    <xf numFmtId="0" fontId="46" fillId="0" borderId="142" xfId="1" applyFont="1" applyFill="1" applyBorder="1" applyAlignment="1">
      <alignment horizontal="center" wrapText="1"/>
    </xf>
    <xf numFmtId="3" fontId="46" fillId="0" borderId="142" xfId="1" applyNumberFormat="1" applyFont="1" applyFill="1" applyBorder="1" applyAlignment="1">
      <alignment horizontal="right" wrapText="1"/>
    </xf>
    <xf numFmtId="3" fontId="46" fillId="0" borderId="143" xfId="1" applyNumberFormat="1" applyFont="1" applyFill="1" applyBorder="1" applyAlignment="1">
      <alignment horizontal="right" wrapText="1"/>
    </xf>
    <xf numFmtId="3" fontId="46" fillId="0" borderId="144" xfId="1" applyNumberFormat="1" applyFont="1" applyFill="1" applyBorder="1" applyAlignment="1">
      <alignment horizontal="right" wrapText="1"/>
    </xf>
    <xf numFmtId="0" fontId="1" fillId="0" borderId="0" xfId="1" applyFill="1" applyBorder="1" applyAlignment="1">
      <alignment wrapText="1"/>
    </xf>
    <xf numFmtId="3" fontId="46" fillId="0" borderId="130" xfId="1" applyNumberFormat="1" applyFont="1" applyFill="1" applyBorder="1" applyAlignment="1">
      <alignment horizontal="right" wrapText="1"/>
    </xf>
    <xf numFmtId="3" fontId="11" fillId="0" borderId="110" xfId="1" applyNumberFormat="1" applyFont="1" applyFill="1" applyBorder="1" applyAlignment="1">
      <alignment horizontal="center" wrapText="1"/>
    </xf>
    <xf numFmtId="0" fontId="11" fillId="0" borderId="111" xfId="1" applyFont="1" applyFill="1" applyBorder="1" applyAlignment="1">
      <alignment horizontal="center" wrapText="1"/>
    </xf>
    <xf numFmtId="3" fontId="46" fillId="0" borderId="114" xfId="1" applyNumberFormat="1" applyFont="1" applyFill="1" applyBorder="1" applyAlignment="1">
      <alignment wrapText="1"/>
    </xf>
    <xf numFmtId="3" fontId="46" fillId="0" borderId="111" xfId="1" applyNumberFormat="1" applyFont="1" applyFill="1" applyBorder="1" applyAlignment="1">
      <alignment wrapText="1"/>
    </xf>
    <xf numFmtId="3" fontId="46" fillId="0" borderId="115" xfId="1" applyNumberFormat="1" applyFont="1" applyFill="1" applyBorder="1" applyAlignment="1">
      <alignment wrapText="1"/>
    </xf>
    <xf numFmtId="3" fontId="11" fillId="0" borderId="145" xfId="1" applyNumberFormat="1" applyFont="1" applyFill="1" applyBorder="1" applyAlignment="1">
      <alignment horizontal="center" wrapText="1"/>
    </xf>
    <xf numFmtId="0" fontId="11" fillId="0" borderId="120" xfId="1" applyFont="1" applyFill="1" applyBorder="1" applyAlignment="1">
      <alignment horizontal="center" wrapText="1"/>
    </xf>
    <xf numFmtId="3" fontId="46" fillId="0" borderId="146" xfId="1" applyNumberFormat="1" applyFont="1" applyFill="1" applyBorder="1" applyAlignment="1">
      <alignment wrapText="1"/>
    </xf>
    <xf numFmtId="3" fontId="46" fillId="0" borderId="120" xfId="1" applyNumberFormat="1" applyFont="1" applyFill="1" applyBorder="1" applyAlignment="1">
      <alignment wrapText="1"/>
    </xf>
    <xf numFmtId="3" fontId="46" fillId="0" borderId="147" xfId="1" applyNumberFormat="1" applyFont="1" applyFill="1" applyBorder="1" applyAlignment="1">
      <alignment wrapText="1"/>
    </xf>
    <xf numFmtId="3" fontId="11" fillId="15" borderId="122" xfId="1" applyNumberFormat="1" applyFont="1" applyFill="1" applyBorder="1" applyAlignment="1">
      <alignment horizontal="center" wrapText="1"/>
    </xf>
    <xf numFmtId="0" fontId="11" fillId="16" borderId="142" xfId="1" applyFont="1" applyFill="1" applyBorder="1" applyAlignment="1">
      <alignment horizontal="center" vertical="center" wrapText="1"/>
    </xf>
    <xf numFmtId="3" fontId="11" fillId="16" borderId="109" xfId="1" applyNumberFormat="1" applyFont="1" applyFill="1" applyBorder="1" applyAlignment="1">
      <alignment horizontal="center" vertical="center" wrapText="1"/>
    </xf>
    <xf numFmtId="3" fontId="46" fillId="15" borderId="143" xfId="1" applyNumberFormat="1" applyFont="1" applyFill="1" applyBorder="1" applyAlignment="1">
      <alignment wrapText="1"/>
    </xf>
    <xf numFmtId="3" fontId="46" fillId="15" borderId="142" xfId="1" applyNumberFormat="1" applyFont="1" applyFill="1" applyBorder="1" applyAlignment="1">
      <alignment wrapText="1"/>
    </xf>
    <xf numFmtId="3" fontId="46" fillId="15" borderId="148" xfId="1" applyNumberFormat="1" applyFont="1" applyFill="1" applyBorder="1" applyAlignment="1">
      <alignment wrapText="1"/>
    </xf>
    <xf numFmtId="3" fontId="46" fillId="15" borderId="123" xfId="1" applyNumberFormat="1" applyFont="1" applyFill="1" applyBorder="1" applyAlignment="1">
      <alignment wrapText="1"/>
    </xf>
    <xf numFmtId="3" fontId="46" fillId="15" borderId="149" xfId="1" applyNumberFormat="1" applyFont="1" applyFill="1" applyBorder="1" applyAlignment="1">
      <alignment wrapText="1"/>
    </xf>
    <xf numFmtId="3" fontId="11" fillId="7" borderId="125" xfId="1" applyNumberFormat="1" applyFont="1" applyFill="1" applyBorder="1" applyAlignment="1">
      <alignment horizontal="center" wrapText="1"/>
    </xf>
    <xf numFmtId="0" fontId="11" fillId="0" borderId="127" xfId="1" applyFont="1" applyFill="1" applyBorder="1" applyAlignment="1">
      <alignment horizontal="center" wrapText="1"/>
    </xf>
    <xf numFmtId="3" fontId="46" fillId="0" borderId="70" xfId="1" applyNumberFormat="1" applyFont="1" applyFill="1" applyBorder="1" applyAlignment="1">
      <alignment wrapText="1"/>
    </xf>
    <xf numFmtId="3" fontId="46" fillId="0" borderId="55" xfId="1" applyNumberFormat="1" applyFont="1" applyFill="1" applyBorder="1" applyAlignment="1">
      <alignment wrapText="1"/>
    </xf>
    <xf numFmtId="3" fontId="11" fillId="7" borderId="141" xfId="1" applyNumberFormat="1" applyFont="1" applyFill="1" applyBorder="1" applyAlignment="1">
      <alignment horizontal="center" wrapText="1"/>
    </xf>
    <xf numFmtId="0" fontId="11" fillId="7" borderId="126" xfId="1" applyFont="1" applyFill="1" applyBorder="1" applyAlignment="1">
      <alignment horizontal="center" wrapText="1"/>
    </xf>
    <xf numFmtId="3" fontId="46" fillId="7" borderId="127" xfId="1" applyNumberFormat="1" applyFont="1" applyFill="1" applyBorder="1" applyAlignment="1">
      <alignment wrapText="1"/>
    </xf>
    <xf numFmtId="3" fontId="46" fillId="7" borderId="126" xfId="1" applyNumberFormat="1" applyFont="1" applyFill="1" applyBorder="1" applyAlignment="1">
      <alignment wrapText="1"/>
    </xf>
    <xf numFmtId="0" fontId="11" fillId="7" borderId="142" xfId="1" applyFont="1" applyFill="1" applyBorder="1" applyAlignment="1">
      <alignment horizontal="center" vertical="center" wrapText="1"/>
    </xf>
    <xf numFmtId="0" fontId="46" fillId="7" borderId="142" xfId="1" applyFont="1" applyFill="1" applyBorder="1" applyAlignment="1">
      <alignment horizontal="center" wrapText="1"/>
    </xf>
    <xf numFmtId="3" fontId="46" fillId="7" borderId="7" xfId="1" applyNumberFormat="1" applyFont="1" applyFill="1" applyBorder="1" applyAlignment="1">
      <alignment wrapText="1"/>
    </xf>
    <xf numFmtId="3" fontId="46" fillId="7" borderId="143" xfId="1" applyNumberFormat="1" applyFont="1" applyFill="1" applyBorder="1" applyAlignment="1">
      <alignment wrapText="1"/>
    </xf>
    <xf numFmtId="3" fontId="46" fillId="7" borderId="142" xfId="1" applyNumberFormat="1" applyFont="1" applyFill="1" applyBorder="1" applyAlignment="1">
      <alignment wrapText="1"/>
    </xf>
    <xf numFmtId="0" fontId="11" fillId="7" borderId="142" xfId="1" applyFont="1" applyFill="1" applyBorder="1" applyAlignment="1">
      <alignment horizontal="center" wrapText="1"/>
    </xf>
    <xf numFmtId="0" fontId="47" fillId="0" borderId="126" xfId="1" applyFont="1" applyFill="1" applyBorder="1" applyAlignment="1">
      <alignment horizontal="center" vertical="center" wrapText="1"/>
    </xf>
    <xf numFmtId="0" fontId="46" fillId="7" borderId="132" xfId="1" applyFont="1" applyFill="1" applyBorder="1" applyAlignment="1">
      <alignment horizontal="center" wrapText="1"/>
    </xf>
    <xf numFmtId="0" fontId="1" fillId="7" borderId="0" xfId="1" applyFill="1" applyBorder="1" applyAlignment="1">
      <alignment wrapText="1"/>
    </xf>
    <xf numFmtId="0" fontId="46" fillId="7" borderId="15" xfId="1" applyFont="1" applyFill="1" applyBorder="1" applyAlignment="1">
      <alignment horizontal="center" wrapText="1"/>
    </xf>
    <xf numFmtId="3" fontId="46" fillId="7" borderId="15" xfId="1" applyNumberFormat="1" applyFont="1" applyFill="1" applyBorder="1" applyAlignment="1">
      <alignment wrapText="1"/>
    </xf>
    <xf numFmtId="3" fontId="46" fillId="7" borderId="4" xfId="1" applyNumberFormat="1" applyFont="1" applyFill="1" applyBorder="1" applyAlignment="1">
      <alignment wrapText="1"/>
    </xf>
    <xf numFmtId="3" fontId="46" fillId="7" borderId="132" xfId="1" applyNumberFormat="1" applyFont="1" applyFill="1" applyBorder="1" applyAlignment="1">
      <alignment wrapText="1"/>
    </xf>
    <xf numFmtId="3" fontId="46" fillId="7" borderId="133" xfId="1" applyNumberFormat="1" applyFont="1" applyFill="1" applyBorder="1" applyAlignment="1">
      <alignment wrapText="1"/>
    </xf>
    <xf numFmtId="0" fontId="11" fillId="0" borderId="150" xfId="1" applyFont="1" applyFill="1" applyBorder="1" applyAlignment="1">
      <alignment horizontal="center" wrapText="1"/>
    </xf>
    <xf numFmtId="0" fontId="46" fillId="0" borderId="151" xfId="1" applyFont="1" applyFill="1" applyBorder="1" applyAlignment="1">
      <alignment horizontal="center" wrapText="1"/>
    </xf>
    <xf numFmtId="0" fontId="46" fillId="0" borderId="132" xfId="1" applyFont="1" applyFill="1" applyBorder="1" applyAlignment="1">
      <alignment horizontal="center" wrapText="1"/>
    </xf>
    <xf numFmtId="3" fontId="11" fillId="0" borderId="125" xfId="6" applyNumberFormat="1" applyFont="1" applyFill="1" applyBorder="1" applyAlignment="1">
      <alignment horizontal="center"/>
    </xf>
    <xf numFmtId="0" fontId="11" fillId="0" borderId="126" xfId="6" applyFont="1" applyFill="1" applyBorder="1" applyAlignment="1">
      <alignment horizontal="center"/>
    </xf>
    <xf numFmtId="3" fontId="46" fillId="0" borderId="126" xfId="6" applyNumberFormat="1" applyFont="1" applyFill="1" applyBorder="1"/>
    <xf numFmtId="3" fontId="46" fillId="0" borderId="139" xfId="6" applyNumberFormat="1" applyFont="1" applyFill="1" applyBorder="1"/>
    <xf numFmtId="3" fontId="11" fillId="0" borderId="131" xfId="1" applyNumberFormat="1" applyFont="1" applyFill="1" applyBorder="1" applyAlignment="1">
      <alignment horizontal="center" vertical="center" wrapText="1"/>
    </xf>
    <xf numFmtId="3" fontId="11" fillId="0" borderId="141" xfId="1" applyNumberFormat="1" applyFont="1" applyFill="1" applyBorder="1" applyAlignment="1">
      <alignment horizontal="center" vertical="center" wrapText="1"/>
    </xf>
    <xf numFmtId="3" fontId="11" fillId="0" borderId="129" xfId="1" applyNumberFormat="1" applyFont="1" applyFill="1" applyBorder="1" applyAlignment="1">
      <alignment horizontal="center" vertical="center" wrapText="1"/>
    </xf>
    <xf numFmtId="0" fontId="11" fillId="7" borderId="136" xfId="1" applyFont="1" applyFill="1" applyBorder="1" applyAlignment="1">
      <alignment horizontal="center" wrapText="1"/>
    </xf>
    <xf numFmtId="3" fontId="46" fillId="7" borderId="137" xfId="1" applyNumberFormat="1" applyFont="1" applyFill="1" applyBorder="1" applyAlignment="1">
      <alignment wrapText="1"/>
    </xf>
    <xf numFmtId="3" fontId="46" fillId="7" borderId="136" xfId="1" applyNumberFormat="1" applyFont="1" applyFill="1" applyBorder="1" applyAlignment="1">
      <alignment wrapText="1"/>
    </xf>
    <xf numFmtId="3" fontId="11" fillId="7" borderId="131" xfId="1" applyNumberFormat="1" applyFont="1" applyFill="1" applyBorder="1" applyAlignment="1">
      <alignment horizontal="center" wrapText="1"/>
    </xf>
    <xf numFmtId="0" fontId="11" fillId="7" borderId="132" xfId="1" applyFont="1" applyFill="1" applyBorder="1" applyAlignment="1">
      <alignment horizontal="center" wrapText="1"/>
    </xf>
    <xf numFmtId="3" fontId="46" fillId="0" borderId="132" xfId="1" applyNumberFormat="1" applyFont="1" applyBorder="1" applyAlignment="1">
      <alignment wrapText="1"/>
    </xf>
    <xf numFmtId="3" fontId="11" fillId="15" borderId="141" xfId="1" applyNumberFormat="1" applyFont="1" applyFill="1" applyBorder="1" applyAlignment="1">
      <alignment horizontal="center" wrapText="1"/>
    </xf>
    <xf numFmtId="0" fontId="11" fillId="16" borderId="142" xfId="1" applyFont="1" applyFill="1" applyBorder="1" applyAlignment="1">
      <alignment horizontal="center" wrapText="1"/>
    </xf>
    <xf numFmtId="3" fontId="11" fillId="15" borderId="123" xfId="1" applyNumberFormat="1" applyFont="1" applyFill="1" applyBorder="1" applyAlignment="1">
      <alignment horizontal="center" vertical="center" wrapText="1"/>
    </xf>
    <xf numFmtId="0" fontId="11" fillId="7" borderId="126" xfId="1" applyFont="1" applyFill="1" applyBorder="1" applyAlignment="1">
      <alignment horizontal="center" vertical="center" wrapText="1"/>
    </xf>
    <xf numFmtId="0" fontId="46" fillId="7" borderId="142" xfId="1" applyFont="1" applyFill="1" applyBorder="1" applyAlignment="1">
      <alignment horizontal="center" vertical="center" wrapText="1"/>
    </xf>
    <xf numFmtId="3" fontId="11" fillId="7" borderId="122" xfId="1" applyNumberFormat="1" applyFont="1" applyFill="1" applyBorder="1" applyAlignment="1">
      <alignment horizontal="center" wrapText="1"/>
    </xf>
    <xf numFmtId="0" fontId="11" fillId="7" borderId="123" xfId="1" applyFont="1" applyFill="1" applyBorder="1" applyAlignment="1">
      <alignment horizontal="center" wrapText="1"/>
    </xf>
    <xf numFmtId="3" fontId="46" fillId="7" borderId="148" xfId="1" applyNumberFormat="1" applyFont="1" applyFill="1" applyBorder="1" applyAlignment="1">
      <alignment wrapText="1"/>
    </xf>
    <xf numFmtId="3" fontId="46" fillId="7" borderId="123" xfId="1" applyNumberFormat="1" applyFont="1" applyFill="1" applyBorder="1" applyAlignment="1">
      <alignment wrapText="1"/>
    </xf>
    <xf numFmtId="3" fontId="46" fillId="0" borderId="123" xfId="1" applyNumberFormat="1" applyFont="1" applyFill="1" applyBorder="1" applyAlignment="1">
      <alignment wrapText="1"/>
    </xf>
    <xf numFmtId="3" fontId="46" fillId="0" borderId="148" xfId="1" applyNumberFormat="1" applyFont="1" applyFill="1" applyBorder="1" applyAlignment="1">
      <alignment wrapText="1"/>
    </xf>
    <xf numFmtId="3" fontId="46" fillId="0" borderId="149" xfId="1" applyNumberFormat="1" applyFont="1" applyFill="1" applyBorder="1" applyAlignment="1">
      <alignment wrapText="1"/>
    </xf>
    <xf numFmtId="3" fontId="11" fillId="0" borderId="152" xfId="1" applyNumberFormat="1" applyFont="1" applyFill="1" applyBorder="1" applyAlignment="1">
      <alignment horizontal="center" wrapText="1"/>
    </xf>
    <xf numFmtId="0" fontId="48" fillId="0" borderId="126" xfId="1" applyFont="1" applyFill="1" applyBorder="1" applyAlignment="1">
      <alignment wrapText="1"/>
    </xf>
    <xf numFmtId="0" fontId="48" fillId="0" borderId="127" xfId="1" applyFont="1" applyFill="1" applyBorder="1" applyAlignment="1">
      <alignment wrapText="1"/>
    </xf>
    <xf numFmtId="0" fontId="48" fillId="0" borderId="128" xfId="1" applyFont="1" applyFill="1" applyBorder="1" applyAlignment="1">
      <alignment wrapText="1"/>
    </xf>
    <xf numFmtId="3" fontId="11" fillId="7" borderId="145" xfId="1" applyNumberFormat="1" applyFont="1" applyFill="1" applyBorder="1" applyAlignment="1">
      <alignment horizontal="center" wrapText="1"/>
    </xf>
    <xf numFmtId="0" fontId="11" fillId="7" borderId="153" xfId="1" applyFont="1" applyFill="1" applyBorder="1" applyAlignment="1">
      <alignment horizontal="center" wrapText="1"/>
    </xf>
    <xf numFmtId="0" fontId="11" fillId="7" borderId="152" xfId="1" applyFont="1" applyFill="1" applyBorder="1" applyAlignment="1">
      <alignment horizontal="center" wrapText="1"/>
    </xf>
    <xf numFmtId="0" fontId="11" fillId="7" borderId="151" xfId="1" applyFont="1" applyFill="1" applyBorder="1" applyAlignment="1">
      <alignment horizontal="center" wrapText="1"/>
    </xf>
    <xf numFmtId="0" fontId="11" fillId="0" borderId="122" xfId="1" applyFont="1" applyFill="1" applyBorder="1" applyAlignment="1">
      <alignment vertical="center" wrapText="1"/>
    </xf>
    <xf numFmtId="0" fontId="11" fillId="0" borderId="123" xfId="1" applyFont="1" applyFill="1" applyBorder="1" applyAlignment="1">
      <alignment vertical="center" wrapText="1"/>
    </xf>
    <xf numFmtId="0" fontId="46" fillId="0" borderId="154" xfId="1" applyFont="1" applyFill="1" applyBorder="1" applyAlignment="1">
      <alignment horizontal="center" wrapText="1"/>
    </xf>
    <xf numFmtId="3" fontId="46" fillId="0" borderId="124" xfId="1" applyNumberFormat="1" applyFont="1" applyFill="1" applyBorder="1" applyAlignment="1">
      <alignment wrapText="1"/>
    </xf>
    <xf numFmtId="0" fontId="46" fillId="0" borderId="0" xfId="1" applyFont="1" applyFill="1" applyBorder="1" applyAlignment="1">
      <alignment wrapText="1"/>
    </xf>
    <xf numFmtId="3" fontId="46" fillId="0" borderId="0" xfId="1" applyNumberFormat="1" applyFont="1" applyFill="1" applyBorder="1" applyAlignment="1">
      <alignment wrapText="1"/>
    </xf>
    <xf numFmtId="3" fontId="46" fillId="0" borderId="0" xfId="1" applyNumberFormat="1" applyFont="1" applyBorder="1" applyAlignment="1">
      <alignment wrapText="1"/>
    </xf>
    <xf numFmtId="0" fontId="48" fillId="0" borderId="0" xfId="1" applyFont="1" applyBorder="1" applyAlignment="1">
      <alignment wrapText="1"/>
    </xf>
    <xf numFmtId="0" fontId="48" fillId="0" borderId="155" xfId="1" applyFont="1" applyBorder="1" applyAlignment="1">
      <alignment wrapText="1"/>
    </xf>
    <xf numFmtId="0" fontId="48" fillId="0" borderId="155" xfId="1" applyFont="1" applyFill="1" applyBorder="1" applyAlignment="1">
      <alignment wrapText="1"/>
    </xf>
    <xf numFmtId="0" fontId="1" fillId="0" borderId="0" xfId="1" applyBorder="1" applyAlignment="1">
      <alignment wrapText="1"/>
    </xf>
    <xf numFmtId="0" fontId="46" fillId="0" borderId="0" xfId="1" applyFont="1" applyBorder="1" applyAlignment="1">
      <alignment wrapText="1"/>
    </xf>
    <xf numFmtId="0" fontId="46" fillId="15" borderId="0" xfId="1" applyFont="1" applyFill="1" applyBorder="1" applyAlignment="1">
      <alignment wrapText="1"/>
    </xf>
    <xf numFmtId="0" fontId="1" fillId="0" borderId="0" xfId="1" applyFont="1" applyBorder="1" applyAlignment="1">
      <alignment wrapText="1"/>
    </xf>
    <xf numFmtId="3" fontId="1" fillId="0" borderId="0" xfId="1" applyNumberFormat="1" applyFont="1" applyBorder="1" applyAlignment="1">
      <alignment wrapText="1"/>
    </xf>
    <xf numFmtId="0" fontId="1" fillId="0" borderId="0" xfId="1" applyFont="1" applyFill="1" applyBorder="1" applyAlignment="1">
      <alignment wrapText="1"/>
    </xf>
    <xf numFmtId="3" fontId="1" fillId="0" borderId="0" xfId="6" applyNumberFormat="1" applyFill="1"/>
    <xf numFmtId="0" fontId="1" fillId="0" borderId="0" xfId="6" applyFill="1"/>
    <xf numFmtId="1" fontId="1" fillId="0" borderId="0" xfId="6" applyNumberFormat="1" applyFill="1"/>
    <xf numFmtId="1" fontId="1" fillId="0" borderId="0" xfId="6" applyNumberFormat="1"/>
    <xf numFmtId="0" fontId="2" fillId="0" borderId="15" xfId="1" applyFont="1" applyFill="1" applyBorder="1" applyAlignment="1" applyProtection="1">
      <alignment horizontal="center" vertical="center" wrapText="1"/>
    </xf>
    <xf numFmtId="0" fontId="2" fillId="0" borderId="41" xfId="6" applyFont="1" applyBorder="1" applyAlignment="1" applyProtection="1">
      <alignment horizontal="left" vertical="center" wrapText="1"/>
      <protection locked="0"/>
    </xf>
    <xf numFmtId="0" fontId="2" fillId="0" borderId="41" xfId="6" applyFont="1" applyBorder="1" applyAlignment="1" applyProtection="1">
      <alignment horizontal="center" vertical="center" wrapText="1"/>
      <protection locked="0"/>
    </xf>
    <xf numFmtId="3" fontId="2" fillId="0" borderId="57" xfId="6" applyNumberFormat="1" applyFont="1" applyBorder="1" applyAlignment="1" applyProtection="1">
      <alignment horizontal="center" vertical="center" wrapText="1"/>
      <protection locked="0"/>
    </xf>
    <xf numFmtId="0" fontId="2" fillId="0" borderId="41" xfId="6" applyFont="1" applyFill="1" applyBorder="1" applyAlignment="1" applyProtection="1">
      <alignment horizontal="center" vertical="center" wrapText="1"/>
      <protection locked="0"/>
    </xf>
    <xf numFmtId="3" fontId="2" fillId="4" borderId="45" xfId="1" applyNumberFormat="1" applyFont="1" applyFill="1" applyBorder="1" applyAlignment="1" applyProtection="1">
      <alignment horizontal="right" vertical="center"/>
      <protection locked="0"/>
    </xf>
    <xf numFmtId="3" fontId="3" fillId="7" borderId="35" xfId="1" applyNumberFormat="1" applyFont="1" applyFill="1" applyBorder="1" applyAlignment="1" applyProtection="1">
      <alignment horizontal="right" vertical="center"/>
    </xf>
    <xf numFmtId="3" fontId="2" fillId="7" borderId="27" xfId="1" applyNumberFormat="1" applyFont="1" applyFill="1" applyBorder="1" applyAlignment="1" applyProtection="1">
      <alignment horizontal="right" vertical="center"/>
    </xf>
    <xf numFmtId="3" fontId="2" fillId="7" borderId="15" xfId="1" applyNumberFormat="1" applyFont="1" applyFill="1" applyBorder="1" applyAlignment="1" applyProtection="1">
      <alignment horizontal="right" vertical="center"/>
    </xf>
    <xf numFmtId="3" fontId="3" fillId="7" borderId="35" xfId="1" applyNumberFormat="1" applyFont="1" applyFill="1" applyBorder="1" applyAlignment="1" applyProtection="1">
      <alignment vertical="center"/>
    </xf>
    <xf numFmtId="3" fontId="3" fillId="7" borderId="59" xfId="1" applyNumberFormat="1" applyFont="1" applyFill="1" applyBorder="1" applyAlignment="1" applyProtection="1">
      <alignment vertical="center"/>
    </xf>
    <xf numFmtId="3" fontId="3" fillId="7" borderId="15" xfId="1" applyNumberFormat="1" applyFont="1" applyFill="1" applyBorder="1" applyAlignment="1" applyProtection="1">
      <alignment vertical="center"/>
    </xf>
    <xf numFmtId="3" fontId="3" fillId="17" borderId="63" xfId="1" applyNumberFormat="1" applyFont="1" applyFill="1" applyBorder="1" applyAlignment="1" applyProtection="1">
      <alignment vertical="center"/>
    </xf>
    <xf numFmtId="3" fontId="3" fillId="17" borderId="64" xfId="1" applyNumberFormat="1" applyFont="1" applyFill="1" applyBorder="1" applyAlignment="1" applyProtection="1">
      <alignment vertical="center"/>
    </xf>
    <xf numFmtId="3" fontId="3" fillId="17" borderId="65" xfId="1" applyNumberFormat="1" applyFont="1" applyFill="1" applyBorder="1" applyAlignment="1" applyProtection="1">
      <alignment vertical="center"/>
    </xf>
    <xf numFmtId="3" fontId="3" fillId="17" borderId="66" xfId="1" applyNumberFormat="1" applyFont="1" applyFill="1" applyBorder="1" applyAlignment="1" applyProtection="1">
      <alignment vertical="center"/>
    </xf>
    <xf numFmtId="3" fontId="2" fillId="7" borderId="55" xfId="1" applyNumberFormat="1" applyFont="1" applyFill="1" applyBorder="1" applyAlignment="1" applyProtection="1">
      <alignment vertical="center"/>
    </xf>
    <xf numFmtId="3" fontId="2" fillId="7" borderId="15" xfId="1" applyNumberFormat="1" applyFont="1" applyFill="1" applyBorder="1" applyAlignment="1" applyProtection="1">
      <alignment vertical="center"/>
    </xf>
    <xf numFmtId="3" fontId="2" fillId="7" borderId="16" xfId="1" applyNumberFormat="1" applyFont="1" applyFill="1" applyBorder="1" applyAlignment="1" applyProtection="1">
      <alignment vertical="center"/>
    </xf>
    <xf numFmtId="3" fontId="2" fillId="7" borderId="63" xfId="1" applyNumberFormat="1" applyFont="1" applyFill="1" applyBorder="1" applyAlignment="1" applyProtection="1">
      <alignment vertical="center"/>
    </xf>
    <xf numFmtId="3" fontId="3" fillId="17" borderId="43" xfId="1" applyNumberFormat="1" applyFont="1" applyFill="1" applyBorder="1" applyAlignment="1" applyProtection="1">
      <alignment vertical="center"/>
    </xf>
    <xf numFmtId="3" fontId="3" fillId="17" borderId="44" xfId="1" applyNumberFormat="1" applyFont="1" applyFill="1" applyBorder="1" applyAlignment="1" applyProtection="1">
      <alignment vertical="center"/>
    </xf>
    <xf numFmtId="3" fontId="3" fillId="17" borderId="45" xfId="1" applyNumberFormat="1" applyFont="1" applyFill="1" applyBorder="1" applyAlignment="1" applyProtection="1">
      <alignment vertical="center"/>
    </xf>
    <xf numFmtId="3" fontId="3" fillId="17" borderId="46" xfId="1" applyNumberFormat="1" applyFont="1" applyFill="1" applyBorder="1" applyAlignment="1" applyProtection="1">
      <alignment vertical="center"/>
    </xf>
    <xf numFmtId="3" fontId="2" fillId="7" borderId="51" xfId="1" applyNumberFormat="1" applyFont="1" applyFill="1" applyBorder="1" applyAlignment="1" applyProtection="1">
      <alignment vertical="center"/>
    </xf>
    <xf numFmtId="3" fontId="2" fillId="7" borderId="47" xfId="1" applyNumberFormat="1" applyFont="1" applyFill="1" applyBorder="1" applyAlignment="1" applyProtection="1">
      <alignment vertical="center"/>
    </xf>
    <xf numFmtId="3" fontId="3" fillId="17" borderId="55" xfId="1" applyNumberFormat="1" applyFont="1" applyFill="1" applyBorder="1" applyAlignment="1" applyProtection="1">
      <alignment vertical="center"/>
    </xf>
    <xf numFmtId="3" fontId="3" fillId="17" borderId="56" xfId="1" applyNumberFormat="1" applyFont="1" applyFill="1" applyBorder="1" applyAlignment="1" applyProtection="1">
      <alignment vertical="center"/>
    </xf>
    <xf numFmtId="3" fontId="3" fillId="17" borderId="57" xfId="1" applyNumberFormat="1" applyFont="1" applyFill="1" applyBorder="1" applyAlignment="1" applyProtection="1">
      <alignment vertical="center"/>
    </xf>
    <xf numFmtId="3" fontId="3" fillId="17" borderId="58" xfId="1" applyNumberFormat="1" applyFont="1" applyFill="1" applyBorder="1" applyAlignment="1" applyProtection="1">
      <alignment vertical="center"/>
    </xf>
    <xf numFmtId="3" fontId="2" fillId="7" borderId="35" xfId="1" applyNumberFormat="1" applyFont="1" applyFill="1" applyBorder="1" applyAlignment="1" applyProtection="1">
      <alignment vertical="center"/>
    </xf>
    <xf numFmtId="3" fontId="3" fillId="7" borderId="73" xfId="1" applyNumberFormat="1" applyFont="1" applyFill="1" applyBorder="1" applyAlignment="1" applyProtection="1">
      <alignment vertical="center"/>
    </xf>
    <xf numFmtId="3" fontId="3" fillId="7" borderId="43" xfId="1" applyNumberFormat="1" applyFont="1" applyFill="1" applyBorder="1" applyAlignment="1" applyProtection="1">
      <alignment vertical="center"/>
    </xf>
    <xf numFmtId="3" fontId="3" fillId="7" borderId="51" xfId="1" applyNumberFormat="1" applyFont="1" applyFill="1" applyBorder="1" applyAlignment="1" applyProtection="1">
      <alignment vertical="center"/>
    </xf>
    <xf numFmtId="3" fontId="3" fillId="7" borderId="52" xfId="1" applyNumberFormat="1" applyFont="1" applyFill="1" applyBorder="1" applyAlignment="1" applyProtection="1">
      <alignment vertical="center"/>
    </xf>
    <xf numFmtId="3" fontId="3" fillId="7" borderId="53" xfId="1" applyNumberFormat="1" applyFont="1" applyFill="1" applyBorder="1" applyAlignment="1" applyProtection="1">
      <alignment vertical="center"/>
    </xf>
    <xf numFmtId="3" fontId="3" fillId="7" borderId="54" xfId="1" applyNumberFormat="1" applyFont="1" applyFill="1" applyBorder="1" applyAlignment="1" applyProtection="1">
      <alignment vertical="center"/>
    </xf>
    <xf numFmtId="3" fontId="3" fillId="0" borderId="52" xfId="1" applyNumberFormat="1" applyFont="1" applyFill="1" applyBorder="1" applyAlignment="1" applyProtection="1">
      <alignment vertical="center"/>
    </xf>
    <xf numFmtId="3" fontId="3" fillId="0" borderId="54" xfId="1" applyNumberFormat="1" applyFont="1" applyFill="1" applyBorder="1" applyAlignment="1" applyProtection="1">
      <alignment vertical="center"/>
    </xf>
    <xf numFmtId="3" fontId="3" fillId="0" borderId="54" xfId="1" applyNumberFormat="1" applyFont="1" applyFill="1" applyBorder="1" applyAlignment="1" applyProtection="1">
      <alignment horizontal="left" vertical="center" wrapText="1"/>
      <protection locked="0"/>
    </xf>
    <xf numFmtId="0" fontId="2" fillId="0" borderId="0" xfId="6" applyFont="1" applyBorder="1" applyAlignment="1" applyProtection="1">
      <alignment horizontal="left" wrapText="1"/>
      <protection locked="0"/>
    </xf>
    <xf numFmtId="0" fontId="13" fillId="0" borderId="0" xfId="6" applyFont="1" applyBorder="1" applyAlignment="1" applyProtection="1">
      <protection locked="0"/>
    </xf>
    <xf numFmtId="0" fontId="2" fillId="0" borderId="76" xfId="6" applyFont="1" applyBorder="1"/>
    <xf numFmtId="49" fontId="3" fillId="0" borderId="76" xfId="6" applyNumberFormat="1" applyFont="1" applyFill="1" applyBorder="1" applyAlignment="1" applyProtection="1">
      <protection locked="0"/>
    </xf>
    <xf numFmtId="3" fontId="3" fillId="0" borderId="41" xfId="6" applyNumberFormat="1" applyFont="1" applyBorder="1" applyAlignment="1">
      <alignment horizontal="right" vertical="center" wrapText="1"/>
    </xf>
    <xf numFmtId="3" fontId="3" fillId="13" borderId="41" xfId="6" applyNumberFormat="1" applyFont="1" applyFill="1" applyBorder="1" applyAlignment="1" applyProtection="1">
      <alignment horizontal="right" vertical="center"/>
      <protection locked="0"/>
    </xf>
    <xf numFmtId="0" fontId="3" fillId="0" borderId="41" xfId="6" applyFont="1" applyBorder="1" applyAlignment="1" applyProtection="1">
      <alignment horizontal="center" vertical="center" wrapText="1"/>
      <protection locked="0"/>
    </xf>
    <xf numFmtId="0" fontId="2" fillId="0" borderId="0" xfId="6" applyFont="1" applyBorder="1" applyAlignment="1" applyProtection="1">
      <alignment horizontal="center" vertical="center" wrapText="1"/>
      <protection locked="0"/>
    </xf>
    <xf numFmtId="3" fontId="2" fillId="0" borderId="0" xfId="6" applyNumberFormat="1" applyFont="1" applyBorder="1" applyAlignment="1" applyProtection="1">
      <alignment horizontal="center" vertical="center" wrapText="1"/>
      <protection locked="0"/>
    </xf>
    <xf numFmtId="3" fontId="2" fillId="0" borderId="0" xfId="6" applyNumberFormat="1" applyFont="1" applyBorder="1" applyProtection="1">
      <protection locked="0"/>
    </xf>
    <xf numFmtId="3" fontId="2" fillId="0" borderId="0" xfId="6" applyNumberFormat="1" applyFont="1" applyBorder="1" applyAlignment="1" applyProtection="1">
      <alignment horizontal="center" vertical="center"/>
      <protection locked="0"/>
    </xf>
    <xf numFmtId="3" fontId="3" fillId="13" borderId="41" xfId="6" applyNumberFormat="1" applyFont="1" applyFill="1" applyBorder="1" applyAlignment="1" applyProtection="1">
      <alignment horizontal="right" vertical="center" wrapText="1"/>
      <protection locked="0"/>
    </xf>
    <xf numFmtId="3" fontId="2" fillId="0" borderId="41" xfId="0" applyNumberFormat="1" applyFont="1" applyFill="1" applyBorder="1" applyAlignment="1" applyProtection="1">
      <alignment horizontal="center" vertical="center" wrapText="1"/>
      <protection locked="0"/>
    </xf>
    <xf numFmtId="3" fontId="2" fillId="0" borderId="0" xfId="6" applyNumberFormat="1" applyFont="1" applyBorder="1" applyAlignment="1" applyProtection="1">
      <alignment horizontal="left" vertical="center" wrapText="1"/>
      <protection locked="0"/>
    </xf>
    <xf numFmtId="3" fontId="2" fillId="0" borderId="41" xfId="6" applyNumberFormat="1" applyFont="1" applyBorder="1" applyAlignment="1">
      <alignment horizontal="right" vertical="center" wrapText="1"/>
    </xf>
    <xf numFmtId="3" fontId="3" fillId="18" borderId="41" xfId="6" applyNumberFormat="1" applyFont="1" applyFill="1" applyBorder="1" applyAlignment="1">
      <alignment horizontal="right" vertical="center" wrapText="1"/>
    </xf>
    <xf numFmtId="3" fontId="2" fillId="0" borderId="41" xfId="6" applyNumberFormat="1" applyFont="1" applyBorder="1" applyAlignment="1">
      <alignment horizontal="left" vertical="center" wrapText="1"/>
    </xf>
    <xf numFmtId="3" fontId="2" fillId="0" borderId="41" xfId="1" applyNumberFormat="1" applyFont="1" applyFill="1" applyBorder="1" applyAlignment="1">
      <alignment horizontal="left" vertical="center" wrapText="1"/>
    </xf>
    <xf numFmtId="0" fontId="2" fillId="0" borderId="0" xfId="6" applyFont="1" applyBorder="1" applyProtection="1">
      <protection locked="0"/>
    </xf>
    <xf numFmtId="0" fontId="2" fillId="0" borderId="0" xfId="6" applyFont="1" applyFill="1" applyBorder="1" applyAlignment="1" applyProtection="1">
      <alignment vertical="center" wrapText="1"/>
      <protection locked="0"/>
    </xf>
    <xf numFmtId="0" fontId="3" fillId="0" borderId="0" xfId="6" applyFont="1" applyFill="1" applyAlignment="1">
      <alignment horizontal="left" vertical="center"/>
    </xf>
    <xf numFmtId="0" fontId="3" fillId="0" borderId="0" xfId="6" applyFont="1" applyFill="1" applyBorder="1" applyAlignment="1" applyProtection="1">
      <alignment vertical="center" wrapText="1"/>
      <protection locked="0"/>
    </xf>
    <xf numFmtId="0" fontId="3" fillId="0" borderId="0" xfId="6" applyFont="1" applyFill="1" applyBorder="1" applyAlignment="1">
      <alignment vertical="center"/>
    </xf>
    <xf numFmtId="0" fontId="3" fillId="0" borderId="0" xfId="6" applyFont="1" applyFill="1" applyBorder="1" applyAlignment="1" applyProtection="1">
      <alignment vertical="center"/>
      <protection locked="0"/>
    </xf>
    <xf numFmtId="0" fontId="9" fillId="0" borderId="0" xfId="6" applyFont="1" applyFill="1" applyAlignment="1">
      <alignment vertical="center"/>
    </xf>
    <xf numFmtId="0" fontId="35" fillId="0" borderId="0" xfId="6" applyFont="1" applyFill="1" applyAlignment="1">
      <alignment vertical="center"/>
    </xf>
    <xf numFmtId="0" fontId="2" fillId="0" borderId="0" xfId="6" applyFont="1" applyFill="1" applyBorder="1" applyAlignment="1">
      <alignment horizontal="left" vertical="center"/>
    </xf>
    <xf numFmtId="0" fontId="3" fillId="0" borderId="0" xfId="6" applyFont="1" applyAlignment="1">
      <alignment vertical="top"/>
    </xf>
    <xf numFmtId="0" fontId="3" fillId="0" borderId="0" xfId="6" applyFont="1" applyAlignment="1"/>
    <xf numFmtId="0" fontId="3" fillId="0" borderId="0" xfId="1" applyFont="1" applyAlignment="1"/>
    <xf numFmtId="0" fontId="3" fillId="0" borderId="0" xfId="0" applyFont="1"/>
    <xf numFmtId="0" fontId="2" fillId="0" borderId="0" xfId="0" applyFont="1"/>
    <xf numFmtId="0" fontId="26" fillId="0" borderId="0" xfId="14" applyFont="1"/>
    <xf numFmtId="0" fontId="2" fillId="0" borderId="15" xfId="1" applyFont="1" applyFill="1" applyBorder="1" applyAlignment="1" applyProtection="1">
      <alignment horizontal="center" vertical="center" wrapText="1"/>
    </xf>
    <xf numFmtId="0" fontId="2" fillId="0" borderId="41" xfId="6" applyFont="1" applyBorder="1" applyAlignment="1">
      <alignment horizontal="center" vertical="center" wrapText="1"/>
    </xf>
    <xf numFmtId="0" fontId="2" fillId="0" borderId="41" xfId="6" applyFont="1" applyBorder="1" applyAlignment="1" applyProtection="1">
      <alignment horizontal="center" vertical="center" wrapText="1"/>
      <protection locked="0"/>
    </xf>
    <xf numFmtId="3" fontId="2" fillId="0" borderId="41" xfId="6" applyNumberFormat="1" applyFont="1" applyBorder="1" applyAlignment="1" applyProtection="1">
      <alignment horizontal="center" vertical="center" wrapText="1"/>
      <protection locked="0"/>
    </xf>
    <xf numFmtId="0" fontId="2" fillId="0" borderId="0" xfId="1" applyFont="1" applyAlignment="1">
      <alignment horizontal="right"/>
    </xf>
    <xf numFmtId="0" fontId="11" fillId="0" borderId="0" xfId="6" applyFont="1" applyAlignment="1">
      <alignment horizontal="center"/>
    </xf>
    <xf numFmtId="0" fontId="2" fillId="0" borderId="41" xfId="6" applyFont="1" applyBorder="1" applyAlignment="1" applyProtection="1">
      <alignment horizontal="center" vertical="center"/>
      <protection locked="0"/>
    </xf>
    <xf numFmtId="3" fontId="2" fillId="0" borderId="41" xfId="6" applyNumberFormat="1" applyFont="1" applyFill="1" applyBorder="1" applyAlignment="1" applyProtection="1">
      <alignment horizontal="center" vertical="center" wrapText="1"/>
      <protection locked="0"/>
    </xf>
    <xf numFmtId="0" fontId="2" fillId="2" borderId="1" xfId="1" applyFont="1" applyFill="1" applyBorder="1" applyAlignment="1" applyProtection="1">
      <alignment vertical="center"/>
      <protection locked="0"/>
    </xf>
    <xf numFmtId="0" fontId="2" fillId="2" borderId="2" xfId="1" applyFont="1" applyFill="1" applyBorder="1" applyAlignment="1" applyProtection="1">
      <alignment vertical="center"/>
      <protection locked="0"/>
    </xf>
    <xf numFmtId="0" fontId="2" fillId="2" borderId="3" xfId="1" applyFont="1" applyFill="1" applyBorder="1" applyAlignment="1" applyProtection="1">
      <alignment vertical="center"/>
      <protection locked="0"/>
    </xf>
    <xf numFmtId="0" fontId="7" fillId="0" borderId="0" xfId="3" applyFont="1"/>
    <xf numFmtId="0" fontId="46" fillId="0" borderId="0" xfId="3" applyFont="1"/>
    <xf numFmtId="49" fontId="46" fillId="0" borderId="0" xfId="3" applyNumberFormat="1" applyFont="1"/>
    <xf numFmtId="49" fontId="46" fillId="0" borderId="0" xfId="3" applyNumberFormat="1" applyFont="1" applyFill="1"/>
    <xf numFmtId="49" fontId="5" fillId="0" borderId="0" xfId="3" applyNumberFormat="1" applyFont="1" applyFill="1"/>
    <xf numFmtId="3" fontId="5" fillId="0" borderId="0" xfId="3" applyNumberFormat="1" applyFont="1" applyFill="1"/>
    <xf numFmtId="0" fontId="46" fillId="0" borderId="0" xfId="3" applyFont="1" applyFill="1"/>
    <xf numFmtId="0" fontId="5" fillId="0" borderId="0" xfId="3" applyFont="1" applyAlignment="1">
      <alignment horizontal="right"/>
    </xf>
    <xf numFmtId="2" fontId="46" fillId="0" borderId="0" xfId="3" applyNumberFormat="1" applyFont="1"/>
    <xf numFmtId="3" fontId="7" fillId="0" borderId="0" xfId="3" applyNumberFormat="1" applyFont="1"/>
    <xf numFmtId="3" fontId="46" fillId="0" borderId="0" xfId="3" applyNumberFormat="1" applyFont="1"/>
    <xf numFmtId="3" fontId="46" fillId="0" borderId="0" xfId="3" applyNumberFormat="1" applyFont="1" applyFill="1"/>
    <xf numFmtId="3" fontId="5" fillId="8" borderId="0" xfId="3" applyNumberFormat="1" applyFont="1" applyFill="1"/>
    <xf numFmtId="3" fontId="5" fillId="7" borderId="0" xfId="3" applyNumberFormat="1" applyFont="1" applyFill="1"/>
    <xf numFmtId="3" fontId="46" fillId="7" borderId="0" xfId="3" applyNumberFormat="1" applyFont="1" applyFill="1"/>
    <xf numFmtId="0" fontId="25" fillId="0" borderId="0" xfId="3" applyFont="1" applyFill="1" applyAlignment="1">
      <alignment horizontal="center" wrapText="1"/>
    </xf>
    <xf numFmtId="3" fontId="11" fillId="0" borderId="0" xfId="3" applyNumberFormat="1" applyFont="1" applyFill="1" applyAlignment="1">
      <alignment horizontal="left" wrapText="1"/>
    </xf>
    <xf numFmtId="0" fontId="52" fillId="0" borderId="0" xfId="3" applyFont="1" applyFill="1"/>
    <xf numFmtId="2" fontId="46" fillId="0" borderId="0" xfId="3" applyNumberFormat="1" applyFont="1" applyFill="1"/>
    <xf numFmtId="0" fontId="7" fillId="0" borderId="0" xfId="3" applyFont="1" applyFill="1"/>
    <xf numFmtId="0" fontId="12" fillId="0" borderId="0" xfId="3" applyFont="1" applyFill="1" applyAlignment="1">
      <alignment horizontal="left"/>
    </xf>
    <xf numFmtId="0" fontId="12" fillId="0" borderId="0" xfId="3" applyFont="1" applyFill="1" applyBorder="1" applyAlignment="1">
      <alignment horizontal="left"/>
    </xf>
    <xf numFmtId="49" fontId="12" fillId="0" borderId="0" xfId="3" applyNumberFormat="1" applyFont="1" applyFill="1" applyBorder="1" applyAlignment="1">
      <alignment horizontal="left"/>
    </xf>
    <xf numFmtId="3" fontId="17" fillId="0" borderId="0" xfId="3" applyNumberFormat="1" applyFont="1" applyFill="1" applyAlignment="1">
      <alignment horizontal="left"/>
    </xf>
    <xf numFmtId="49" fontId="12" fillId="0" borderId="0" xfId="3" applyNumberFormat="1" applyFont="1" applyFill="1" applyAlignment="1">
      <alignment horizontal="left"/>
    </xf>
    <xf numFmtId="0" fontId="28" fillId="0" borderId="0" xfId="3" applyFont="1" applyFill="1" applyBorder="1" applyAlignment="1"/>
    <xf numFmtId="0" fontId="54" fillId="0" borderId="0" xfId="3" applyFont="1" applyFill="1" applyBorder="1" applyAlignment="1">
      <alignment horizontal="right"/>
    </xf>
    <xf numFmtId="0" fontId="2" fillId="0" borderId="0" xfId="3" applyFont="1" applyFill="1"/>
    <xf numFmtId="2" fontId="2" fillId="0" borderId="0" xfId="3" applyNumberFormat="1" applyFont="1" applyFill="1"/>
    <xf numFmtId="3" fontId="2" fillId="0" borderId="40" xfId="3" applyNumberFormat="1" applyFont="1" applyFill="1" applyBorder="1" applyAlignment="1">
      <alignment horizontal="center" vertical="center" wrapText="1"/>
    </xf>
    <xf numFmtId="3" fontId="2" fillId="0" borderId="41" xfId="3" applyNumberFormat="1" applyFont="1" applyFill="1" applyBorder="1" applyAlignment="1">
      <alignment horizontal="center" vertical="center" wrapText="1"/>
    </xf>
    <xf numFmtId="3" fontId="2" fillId="0" borderId="42" xfId="3" applyNumberFormat="1" applyFont="1" applyFill="1" applyBorder="1" applyAlignment="1">
      <alignment horizontal="center" vertical="center" wrapText="1"/>
    </xf>
    <xf numFmtId="3" fontId="2" fillId="0" borderId="75" xfId="3" applyNumberFormat="1" applyFont="1" applyFill="1" applyBorder="1" applyAlignment="1">
      <alignment horizontal="center" vertical="center" wrapText="1"/>
    </xf>
    <xf numFmtId="0" fontId="3" fillId="0" borderId="93" xfId="3" applyFont="1" applyFill="1" applyBorder="1" applyAlignment="1">
      <alignment horizontal="center" vertical="center"/>
    </xf>
    <xf numFmtId="0" fontId="3" fillId="0" borderId="5" xfId="3" applyFont="1" applyFill="1" applyBorder="1" applyAlignment="1">
      <alignment horizontal="center" vertical="center" wrapText="1"/>
    </xf>
    <xf numFmtId="3" fontId="3" fillId="0" borderId="40" xfId="3" applyNumberFormat="1" applyFont="1" applyFill="1" applyBorder="1" applyAlignment="1">
      <alignment horizontal="center" vertical="center" wrapText="1"/>
    </xf>
    <xf numFmtId="3" fontId="3" fillId="0" borderId="41" xfId="3" applyNumberFormat="1" applyFont="1" applyFill="1" applyBorder="1" applyAlignment="1">
      <alignment horizontal="center" vertical="center" wrapText="1"/>
    </xf>
    <xf numFmtId="3" fontId="3" fillId="0" borderId="42" xfId="3" applyNumberFormat="1" applyFont="1" applyFill="1" applyBorder="1" applyAlignment="1">
      <alignment horizontal="right" vertical="center" wrapText="1"/>
    </xf>
    <xf numFmtId="3" fontId="3" fillId="0" borderId="42" xfId="3" applyNumberFormat="1" applyFont="1" applyFill="1" applyBorder="1" applyAlignment="1">
      <alignment horizontal="center" vertical="center" wrapText="1"/>
    </xf>
    <xf numFmtId="3" fontId="3" fillId="0" borderId="75" xfId="3" applyNumberFormat="1" applyFont="1" applyFill="1" applyBorder="1" applyAlignment="1">
      <alignment horizontal="right" vertical="center" wrapText="1"/>
    </xf>
    <xf numFmtId="3" fontId="3" fillId="0" borderId="5" xfId="3" applyNumberFormat="1" applyFont="1" applyFill="1" applyBorder="1" applyAlignment="1">
      <alignment horizontal="center" vertical="center" wrapText="1"/>
    </xf>
    <xf numFmtId="3" fontId="2" fillId="0" borderId="39" xfId="1" applyNumberFormat="1" applyFont="1" applyBorder="1" applyAlignment="1" applyProtection="1">
      <alignment horizontal="center" vertical="center" wrapText="1"/>
      <protection locked="0"/>
    </xf>
    <xf numFmtId="3" fontId="3" fillId="0" borderId="0" xfId="3" applyNumberFormat="1" applyFont="1" applyFill="1"/>
    <xf numFmtId="3" fontId="2" fillId="0" borderId="0" xfId="3" applyNumberFormat="1" applyFont="1" applyFill="1"/>
    <xf numFmtId="0" fontId="2" fillId="0" borderId="5" xfId="3" applyFont="1" applyFill="1" applyBorder="1" applyAlignment="1">
      <alignment horizontal="center" vertical="center" wrapText="1"/>
    </xf>
    <xf numFmtId="49" fontId="2" fillId="0" borderId="6" xfId="3" applyNumberFormat="1" applyFont="1" applyFill="1" applyBorder="1" applyAlignment="1">
      <alignment horizontal="center" vertical="center" wrapText="1"/>
    </xf>
    <xf numFmtId="3" fontId="2" fillId="0" borderId="4" xfId="3" applyNumberFormat="1" applyFont="1" applyFill="1" applyBorder="1" applyAlignment="1">
      <alignment horizontal="center" vertical="center" wrapText="1"/>
    </xf>
    <xf numFmtId="3" fontId="2" fillId="0" borderId="0" xfId="3" applyNumberFormat="1" applyFont="1" applyFill="1" applyBorder="1" applyAlignment="1">
      <alignment horizontal="center" vertical="center" wrapText="1"/>
    </xf>
    <xf numFmtId="3" fontId="2" fillId="0" borderId="21" xfId="3" applyNumberFormat="1" applyFont="1" applyFill="1" applyBorder="1" applyAlignment="1">
      <alignment horizontal="center" vertical="center" wrapText="1"/>
    </xf>
    <xf numFmtId="3" fontId="2" fillId="0" borderId="6" xfId="3" applyNumberFormat="1" applyFont="1" applyFill="1" applyBorder="1" applyAlignment="1">
      <alignment horizontal="center" vertical="center" wrapText="1"/>
    </xf>
    <xf numFmtId="3" fontId="2" fillId="0" borderId="21" xfId="3" applyNumberFormat="1" applyFont="1" applyFill="1" applyBorder="1" applyAlignment="1">
      <alignment horizontal="right" vertical="center" wrapText="1"/>
    </xf>
    <xf numFmtId="0" fontId="2" fillId="0" borderId="39" xfId="3" applyFont="1" applyFill="1" applyBorder="1" applyAlignment="1">
      <alignment vertical="center"/>
    </xf>
    <xf numFmtId="0" fontId="3" fillId="0" borderId="0" xfId="3" applyFont="1" applyFill="1" applyAlignment="1">
      <alignment horizontal="center" vertical="center"/>
    </xf>
    <xf numFmtId="9" fontId="3" fillId="0" borderId="0" xfId="3" applyNumberFormat="1" applyFont="1" applyFill="1" applyAlignment="1">
      <alignment horizontal="center" vertical="center" wrapText="1"/>
    </xf>
    <xf numFmtId="0" fontId="2" fillId="0" borderId="0" xfId="3" applyFont="1" applyFill="1" applyBorder="1" applyAlignment="1">
      <alignment horizontal="center" vertical="center" wrapText="1"/>
    </xf>
    <xf numFmtId="49" fontId="3" fillId="0" borderId="21" xfId="3" applyNumberFormat="1" applyFont="1" applyFill="1" applyBorder="1" applyAlignment="1">
      <alignment horizontal="right" vertical="center" wrapText="1"/>
    </xf>
    <xf numFmtId="3" fontId="3" fillId="0" borderId="40" xfId="3" applyNumberFormat="1" applyFont="1" applyFill="1" applyBorder="1" applyAlignment="1">
      <alignment vertical="center" wrapText="1"/>
    </xf>
    <xf numFmtId="3" fontId="3" fillId="0" borderId="41" xfId="3" applyNumberFormat="1" applyFont="1" applyFill="1" applyBorder="1" applyAlignment="1">
      <alignment vertical="center" wrapText="1"/>
    </xf>
    <xf numFmtId="3" fontId="3" fillId="0" borderId="6" xfId="3" applyNumberFormat="1" applyFont="1" applyFill="1" applyBorder="1" applyAlignment="1">
      <alignment vertical="center" wrapText="1"/>
    </xf>
    <xf numFmtId="3" fontId="3" fillId="0" borderId="5" xfId="3" applyNumberFormat="1" applyFont="1" applyFill="1" applyBorder="1" applyAlignment="1">
      <alignment vertical="center" wrapText="1"/>
    </xf>
    <xf numFmtId="3" fontId="3" fillId="0" borderId="81" xfId="3" applyNumberFormat="1" applyFont="1" applyFill="1" applyBorder="1" applyAlignment="1">
      <alignment vertical="center" wrapText="1"/>
    </xf>
    <xf numFmtId="3" fontId="2" fillId="0" borderId="39" xfId="1" applyNumberFormat="1" applyFont="1" applyBorder="1" applyAlignment="1" applyProtection="1">
      <alignment vertical="center" wrapText="1"/>
      <protection locked="0"/>
    </xf>
    <xf numFmtId="0" fontId="3" fillId="0" borderId="40" xfId="3" applyFont="1" applyFill="1" applyBorder="1" applyAlignment="1">
      <alignment horizontal="center" vertical="center"/>
    </xf>
    <xf numFmtId="0" fontId="3" fillId="0" borderId="41" xfId="3" applyFont="1" applyFill="1" applyBorder="1" applyAlignment="1">
      <alignment vertical="center" wrapText="1"/>
    </xf>
    <xf numFmtId="3" fontId="3" fillId="0" borderId="41" xfId="3" applyNumberFormat="1" applyFont="1" applyFill="1" applyBorder="1" applyAlignment="1">
      <alignment horizontal="center" vertical="center"/>
    </xf>
    <xf numFmtId="49" fontId="3" fillId="0" borderId="42" xfId="3" applyNumberFormat="1" applyFont="1" applyFill="1" applyBorder="1" applyAlignment="1">
      <alignment horizontal="center" vertical="center"/>
    </xf>
    <xf numFmtId="3" fontId="3" fillId="0" borderId="40" xfId="3" applyNumberFormat="1" applyFont="1" applyFill="1" applyBorder="1" applyAlignment="1">
      <alignment vertical="center"/>
    </xf>
    <xf numFmtId="3" fontId="3" fillId="0" borderId="41" xfId="3" applyNumberFormat="1" applyFont="1" applyFill="1" applyBorder="1" applyAlignment="1">
      <alignment vertical="center"/>
    </xf>
    <xf numFmtId="3" fontId="3" fillId="0" borderId="42" xfId="3" applyNumberFormat="1" applyFont="1" applyFill="1" applyBorder="1" applyAlignment="1">
      <alignment vertical="center"/>
    </xf>
    <xf numFmtId="3" fontId="3" fillId="0" borderId="75" xfId="3" applyNumberFormat="1" applyFont="1" applyFill="1" applyBorder="1" applyAlignment="1">
      <alignment vertical="center"/>
    </xf>
    <xf numFmtId="3" fontId="3" fillId="0" borderId="6" xfId="3" applyNumberFormat="1" applyFont="1" applyFill="1" applyBorder="1" applyAlignment="1">
      <alignment vertical="center"/>
    </xf>
    <xf numFmtId="3" fontId="3" fillId="0" borderId="5" xfId="3" applyNumberFormat="1" applyFont="1" applyFill="1" applyBorder="1" applyAlignment="1">
      <alignment vertical="center"/>
    </xf>
    <xf numFmtId="0" fontId="2" fillId="0" borderId="67" xfId="3" applyFont="1" applyFill="1" applyBorder="1" applyAlignment="1">
      <alignment horizontal="center" vertical="center"/>
    </xf>
    <xf numFmtId="0" fontId="2" fillId="0" borderId="68" xfId="3" applyFont="1" applyFill="1" applyBorder="1" applyAlignment="1">
      <alignment vertical="center" wrapText="1"/>
    </xf>
    <xf numFmtId="3" fontId="2" fillId="0" borderId="68" xfId="3" applyNumberFormat="1" applyFont="1" applyFill="1" applyBorder="1" applyAlignment="1">
      <alignment horizontal="center" vertical="center"/>
    </xf>
    <xf numFmtId="3" fontId="2" fillId="0" borderId="68" xfId="3" applyNumberFormat="1" applyFont="1" applyFill="1" applyBorder="1" applyAlignment="1">
      <alignment vertical="center"/>
    </xf>
    <xf numFmtId="3" fontId="2" fillId="0" borderId="40" xfId="3" applyNumberFormat="1" applyFont="1" applyFill="1" applyBorder="1" applyAlignment="1">
      <alignment vertical="center"/>
    </xf>
    <xf numFmtId="3" fontId="2" fillId="0" borderId="41" xfId="3" applyNumberFormat="1" applyFont="1" applyFill="1" applyBorder="1" applyAlignment="1">
      <alignment vertical="center"/>
    </xf>
    <xf numFmtId="3" fontId="2" fillId="0" borderId="42" xfId="3" applyNumberFormat="1" applyFont="1" applyFill="1" applyBorder="1" applyAlignment="1">
      <alignment vertical="center"/>
    </xf>
    <xf numFmtId="3" fontId="2" fillId="0" borderId="75" xfId="3" applyNumberFormat="1" applyFont="1" applyFill="1" applyBorder="1" applyAlignment="1">
      <alignment vertical="center"/>
    </xf>
    <xf numFmtId="3" fontId="2" fillId="10" borderId="41" xfId="3" applyNumberFormat="1" applyFont="1" applyFill="1" applyBorder="1" applyAlignment="1">
      <alignment vertical="center"/>
    </xf>
    <xf numFmtId="3" fontId="2" fillId="0" borderId="6" xfId="3" applyNumberFormat="1" applyFont="1" applyFill="1" applyBorder="1" applyAlignment="1">
      <alignment vertical="center"/>
    </xf>
    <xf numFmtId="3" fontId="2" fillId="0" borderId="5" xfId="3" applyNumberFormat="1" applyFont="1" applyFill="1" applyBorder="1" applyAlignment="1">
      <alignment vertical="center" wrapText="1"/>
    </xf>
    <xf numFmtId="3" fontId="2" fillId="0" borderId="40" xfId="3" applyNumberFormat="1" applyFont="1" applyFill="1" applyBorder="1" applyAlignment="1">
      <alignment horizontal="center" vertical="center"/>
    </xf>
    <xf numFmtId="3" fontId="2" fillId="0" borderId="42" xfId="3" applyNumberFormat="1" applyFont="1" applyFill="1" applyBorder="1" applyAlignment="1">
      <alignment horizontal="right" vertical="center"/>
    </xf>
    <xf numFmtId="0" fontId="2" fillId="0" borderId="40" xfId="3" applyFont="1" applyFill="1" applyBorder="1" applyAlignment="1">
      <alignment horizontal="center" vertical="center"/>
    </xf>
    <xf numFmtId="0" fontId="2" fillId="0" borderId="41" xfId="3" applyFont="1" applyFill="1" applyBorder="1" applyAlignment="1">
      <alignment vertical="center" wrapText="1"/>
    </xf>
    <xf numFmtId="3" fontId="2" fillId="0" borderId="41" xfId="3" applyNumberFormat="1" applyFont="1" applyFill="1" applyBorder="1" applyAlignment="1">
      <alignment horizontal="center" vertical="center"/>
    </xf>
    <xf numFmtId="3" fontId="3" fillId="7" borderId="41" xfId="3" applyNumberFormat="1" applyFont="1" applyFill="1" applyBorder="1" applyAlignment="1">
      <alignment vertical="center"/>
    </xf>
    <xf numFmtId="0" fontId="2" fillId="0" borderId="41" xfId="1" applyFont="1" applyFill="1" applyBorder="1" applyAlignment="1">
      <alignment horizontal="left" vertical="center" wrapText="1"/>
    </xf>
    <xf numFmtId="0" fontId="2" fillId="0" borderId="0" xfId="3" applyFont="1" applyFill="1" applyAlignment="1">
      <alignment wrapText="1"/>
    </xf>
    <xf numFmtId="0" fontId="2" fillId="0" borderId="39" xfId="3" applyFont="1" applyFill="1" applyBorder="1" applyAlignment="1">
      <alignment horizontal="center" vertical="center"/>
    </xf>
    <xf numFmtId="165" fontId="2" fillId="0" borderId="40" xfId="3" applyNumberFormat="1" applyFont="1" applyFill="1" applyBorder="1" applyAlignment="1">
      <alignment horizontal="center" vertical="center"/>
    </xf>
    <xf numFmtId="165" fontId="2" fillId="0" borderId="67" xfId="3" applyNumberFormat="1" applyFont="1" applyFill="1" applyBorder="1" applyAlignment="1">
      <alignment horizontal="center" vertical="center"/>
    </xf>
    <xf numFmtId="0" fontId="2" fillId="0" borderId="78" xfId="13" applyFont="1" applyFill="1" applyBorder="1" applyAlignment="1">
      <alignment vertical="center" wrapText="1"/>
    </xf>
    <xf numFmtId="3" fontId="2" fillId="0" borderId="5" xfId="3" applyNumberFormat="1" applyFont="1" applyFill="1" applyBorder="1" applyAlignment="1">
      <alignment wrapText="1"/>
    </xf>
    <xf numFmtId="3" fontId="2" fillId="0" borderId="67" xfId="3" applyNumberFormat="1" applyFont="1" applyFill="1" applyBorder="1" applyAlignment="1">
      <alignment horizontal="right" vertical="center"/>
    </xf>
    <xf numFmtId="3" fontId="2" fillId="0" borderId="69" xfId="3" applyNumberFormat="1" applyFont="1" applyFill="1" applyBorder="1" applyAlignment="1">
      <alignment horizontal="right" vertical="center"/>
    </xf>
    <xf numFmtId="3" fontId="3" fillId="0" borderId="40" xfId="3" applyNumberFormat="1" applyFont="1" applyFill="1" applyBorder="1" applyAlignment="1">
      <alignment horizontal="right" vertical="center"/>
    </xf>
    <xf numFmtId="3" fontId="3" fillId="0" borderId="42" xfId="3" applyNumberFormat="1" applyFont="1" applyFill="1" applyBorder="1" applyAlignment="1">
      <alignment horizontal="right" vertical="center"/>
    </xf>
    <xf numFmtId="0" fontId="2" fillId="0" borderId="41" xfId="3" applyFont="1" applyFill="1" applyBorder="1" applyAlignment="1">
      <alignment horizontal="left" vertical="center" wrapText="1"/>
    </xf>
    <xf numFmtId="3" fontId="2" fillId="0" borderId="5" xfId="3" applyNumberFormat="1" applyFont="1" applyFill="1" applyBorder="1" applyAlignment="1">
      <alignment vertical="center"/>
    </xf>
    <xf numFmtId="0" fontId="2" fillId="0" borderId="56" xfId="3" applyFont="1" applyFill="1" applyBorder="1" applyAlignment="1">
      <alignment vertical="center"/>
    </xf>
    <xf numFmtId="0" fontId="2" fillId="0" borderId="57" xfId="3" applyFont="1" applyFill="1" applyBorder="1" applyAlignment="1">
      <alignment vertical="center" wrapText="1"/>
    </xf>
    <xf numFmtId="3" fontId="2" fillId="0" borderId="40" xfId="3" applyNumberFormat="1" applyFont="1" applyFill="1" applyBorder="1" applyAlignment="1">
      <alignment horizontal="right" vertical="center"/>
    </xf>
    <xf numFmtId="0" fontId="2" fillId="0" borderId="41" xfId="3" applyFont="1" applyFill="1" applyBorder="1" applyAlignment="1">
      <alignment horizontal="center" vertical="center" wrapText="1" shrinkToFit="1"/>
    </xf>
    <xf numFmtId="0" fontId="2" fillId="0" borderId="40" xfId="3" applyFont="1" applyFill="1" applyBorder="1" applyAlignment="1">
      <alignment horizontal="center" vertical="center" wrapText="1" shrinkToFit="1"/>
    </xf>
    <xf numFmtId="3" fontId="2" fillId="0" borderId="41" xfId="3" applyNumberFormat="1" applyFont="1" applyFill="1" applyBorder="1" applyAlignment="1">
      <alignment horizontal="right" vertical="center"/>
    </xf>
    <xf numFmtId="3" fontId="2" fillId="0" borderId="75" xfId="3" applyNumberFormat="1" applyFont="1" applyFill="1" applyBorder="1" applyAlignment="1">
      <alignment horizontal="right" vertical="center"/>
    </xf>
    <xf numFmtId="3" fontId="2" fillId="10" borderId="41" xfId="3" applyNumberFormat="1" applyFont="1" applyFill="1" applyBorder="1" applyAlignment="1">
      <alignment horizontal="right" vertical="center"/>
    </xf>
    <xf numFmtId="0" fontId="3" fillId="0" borderId="41" xfId="3" applyFont="1" applyFill="1" applyBorder="1" applyAlignment="1">
      <alignment horizontal="center" vertical="center"/>
    </xf>
    <xf numFmtId="0" fontId="2" fillId="0" borderId="41" xfId="3" applyFont="1" applyFill="1" applyBorder="1" applyAlignment="1">
      <alignment horizontal="center" vertical="center"/>
    </xf>
    <xf numFmtId="0" fontId="8" fillId="0" borderId="0" xfId="3" applyFont="1" applyFill="1"/>
    <xf numFmtId="0" fontId="2" fillId="0" borderId="75" xfId="13" applyFont="1" applyFill="1" applyBorder="1" applyAlignment="1">
      <alignment vertical="center" wrapText="1"/>
    </xf>
    <xf numFmtId="0" fontId="2" fillId="0" borderId="81" xfId="13" applyFont="1" applyBorder="1" applyAlignment="1">
      <alignment horizontal="center" vertical="center" wrapText="1"/>
    </xf>
    <xf numFmtId="3" fontId="2" fillId="0" borderId="0" xfId="3" applyNumberFormat="1" applyFont="1" applyFill="1" applyAlignment="1">
      <alignment vertical="center"/>
    </xf>
    <xf numFmtId="0" fontId="3" fillId="0" borderId="75" xfId="13" applyFont="1" applyFill="1" applyBorder="1" applyAlignment="1">
      <alignment vertical="center" wrapText="1"/>
    </xf>
    <xf numFmtId="0" fontId="3" fillId="0" borderId="39" xfId="3" applyFont="1" applyFill="1" applyBorder="1" applyAlignment="1">
      <alignment horizontal="center" vertical="center"/>
    </xf>
    <xf numFmtId="0" fontId="2" fillId="0" borderId="52" xfId="3" applyFont="1" applyFill="1" applyBorder="1" applyAlignment="1">
      <alignment horizontal="center" vertical="center"/>
    </xf>
    <xf numFmtId="0" fontId="2" fillId="0" borderId="157" xfId="13" applyFont="1" applyFill="1" applyBorder="1" applyAlignment="1">
      <alignment vertical="center" wrapText="1"/>
    </xf>
    <xf numFmtId="0" fontId="2" fillId="0" borderId="53" xfId="13" applyFont="1" applyBorder="1" applyAlignment="1">
      <alignment horizontal="center" vertical="center" wrapText="1"/>
    </xf>
    <xf numFmtId="3" fontId="2" fillId="0" borderId="53" xfId="3" applyNumberFormat="1" applyFont="1" applyFill="1" applyBorder="1" applyAlignment="1">
      <alignment horizontal="center" vertical="center"/>
    </xf>
    <xf numFmtId="49" fontId="3" fillId="0" borderId="54" xfId="3" applyNumberFormat="1" applyFont="1" applyFill="1" applyBorder="1" applyAlignment="1">
      <alignment horizontal="center" vertical="center"/>
    </xf>
    <xf numFmtId="3" fontId="2" fillId="0" borderId="52" xfId="3" applyNumberFormat="1" applyFont="1" applyFill="1" applyBorder="1" applyAlignment="1">
      <alignment vertical="center"/>
    </xf>
    <xf numFmtId="3" fontId="2" fillId="0" borderId="53" xfId="3" applyNumberFormat="1" applyFont="1" applyFill="1" applyBorder="1" applyAlignment="1">
      <alignment horizontal="right" vertical="center"/>
    </xf>
    <xf numFmtId="3" fontId="2" fillId="0" borderId="54" xfId="3" applyNumberFormat="1" applyFont="1" applyFill="1" applyBorder="1" applyAlignment="1">
      <alignment vertical="center"/>
    </xf>
    <xf numFmtId="3" fontId="2" fillId="0" borderId="52" xfId="3" applyNumberFormat="1" applyFont="1" applyFill="1" applyBorder="1" applyAlignment="1">
      <alignment horizontal="center" vertical="center"/>
    </xf>
    <xf numFmtId="3" fontId="2" fillId="0" borderId="158" xfId="3" applyNumberFormat="1" applyFont="1" applyFill="1" applyBorder="1" applyAlignment="1">
      <alignment horizontal="center" vertical="center"/>
    </xf>
    <xf numFmtId="3" fontId="2" fillId="0" borderId="68" xfId="3" applyNumberFormat="1" applyFont="1" applyFill="1" applyBorder="1" applyAlignment="1">
      <alignment horizontal="right" vertical="center"/>
    </xf>
    <xf numFmtId="3" fontId="2" fillId="0" borderId="67" xfId="3" applyNumberFormat="1" applyFont="1" applyFill="1" applyBorder="1" applyAlignment="1">
      <alignment horizontal="center" vertical="center"/>
    </xf>
    <xf numFmtId="3" fontId="2" fillId="0" borderId="78" xfId="3" applyNumberFormat="1" applyFont="1" applyFill="1" applyBorder="1" applyAlignment="1">
      <alignment horizontal="center" vertical="center"/>
    </xf>
    <xf numFmtId="3" fontId="2" fillId="0" borderId="9" xfId="3" applyNumberFormat="1" applyFont="1" applyFill="1" applyBorder="1" applyAlignment="1">
      <alignment horizontal="right" vertical="center"/>
    </xf>
    <xf numFmtId="3" fontId="2" fillId="0" borderId="54" xfId="3" applyNumberFormat="1" applyFont="1" applyFill="1" applyBorder="1" applyAlignment="1">
      <alignment horizontal="center" vertical="center"/>
    </xf>
    <xf numFmtId="0" fontId="2" fillId="0" borderId="13" xfId="3" applyFont="1" applyFill="1" applyBorder="1" applyAlignment="1">
      <alignment vertical="center" wrapText="1"/>
    </xf>
    <xf numFmtId="0" fontId="2" fillId="0" borderId="14" xfId="3" applyFont="1" applyFill="1" applyBorder="1" applyAlignment="1">
      <alignment vertical="center" wrapText="1"/>
    </xf>
    <xf numFmtId="3" fontId="2" fillId="0" borderId="1" xfId="3" applyNumberFormat="1" applyFont="1" applyFill="1" applyBorder="1" applyAlignment="1">
      <alignment vertical="center" wrapText="1"/>
    </xf>
    <xf numFmtId="0" fontId="2" fillId="0" borderId="2" xfId="3" applyFont="1" applyFill="1" applyBorder="1" applyAlignment="1">
      <alignment vertical="center" wrapText="1"/>
    </xf>
    <xf numFmtId="3" fontId="2" fillId="0" borderId="3" xfId="3" applyNumberFormat="1" applyFont="1" applyFill="1" applyBorder="1" applyAlignment="1">
      <alignment vertical="center" wrapText="1"/>
    </xf>
    <xf numFmtId="0" fontId="2" fillId="0" borderId="1" xfId="3" applyFont="1" applyFill="1" applyBorder="1" applyAlignment="1">
      <alignment vertical="center" wrapText="1"/>
    </xf>
    <xf numFmtId="0" fontId="2" fillId="0" borderId="48" xfId="3" applyFont="1" applyFill="1" applyBorder="1" applyAlignment="1">
      <alignment vertical="center" wrapText="1"/>
    </xf>
    <xf numFmtId="0" fontId="2" fillId="0" borderId="49" xfId="3" applyFont="1" applyFill="1" applyBorder="1" applyAlignment="1">
      <alignment vertical="center" wrapText="1"/>
    </xf>
    <xf numFmtId="0" fontId="2" fillId="0" borderId="50" xfId="3" applyFont="1" applyFill="1" applyBorder="1" applyAlignment="1">
      <alignment vertical="center" wrapText="1"/>
    </xf>
    <xf numFmtId="0" fontId="2" fillId="0" borderId="3" xfId="3" applyFont="1" applyFill="1" applyBorder="1" applyAlignment="1">
      <alignment vertical="center" wrapText="1"/>
    </xf>
    <xf numFmtId="0" fontId="2" fillId="0" borderId="47" xfId="3" applyFont="1" applyFill="1" applyBorder="1" applyAlignment="1">
      <alignment horizontal="center" vertical="center"/>
    </xf>
    <xf numFmtId="0" fontId="2" fillId="0" borderId="0" xfId="10" applyFont="1" applyFill="1" applyBorder="1" applyAlignment="1">
      <alignment horizontal="left" vertical="center" wrapText="1"/>
    </xf>
    <xf numFmtId="0" fontId="3" fillId="0" borderId="21" xfId="10" applyFont="1" applyFill="1" applyBorder="1" applyAlignment="1">
      <alignment horizontal="right" vertical="center"/>
    </xf>
    <xf numFmtId="3" fontId="3" fillId="0" borderId="40" xfId="10" applyNumberFormat="1" applyFont="1" applyFill="1" applyBorder="1" applyAlignment="1">
      <alignment vertical="center"/>
    </xf>
    <xf numFmtId="3" fontId="3" fillId="0" borderId="41" xfId="10" applyNumberFormat="1" applyFont="1" applyFill="1" applyBorder="1" applyAlignment="1">
      <alignment vertical="center"/>
    </xf>
    <xf numFmtId="3" fontId="3" fillId="0" borderId="42" xfId="10" applyNumberFormat="1" applyFont="1" applyFill="1" applyBorder="1" applyAlignment="1">
      <alignment vertical="center"/>
    </xf>
    <xf numFmtId="3" fontId="3" fillId="0" borderId="75" xfId="10" applyNumberFormat="1" applyFont="1" applyFill="1" applyBorder="1" applyAlignment="1">
      <alignment vertical="center"/>
    </xf>
    <xf numFmtId="3" fontId="3" fillId="0" borderId="5" xfId="10" applyNumberFormat="1" applyFont="1" applyFill="1" applyBorder="1" applyAlignment="1">
      <alignment vertical="center"/>
    </xf>
    <xf numFmtId="3" fontId="3" fillId="0" borderId="40" xfId="10" applyNumberFormat="1" applyFont="1" applyFill="1" applyBorder="1" applyAlignment="1">
      <alignment horizontal="center" vertical="center"/>
    </xf>
    <xf numFmtId="3" fontId="3" fillId="0" borderId="42" xfId="10" applyNumberFormat="1" applyFont="1" applyFill="1" applyBorder="1" applyAlignment="1">
      <alignment horizontal="center" vertical="center"/>
    </xf>
    <xf numFmtId="3" fontId="3" fillId="0" borderId="42" xfId="10" applyNumberFormat="1" applyFont="1" applyFill="1" applyBorder="1" applyAlignment="1">
      <alignment horizontal="right" vertical="center"/>
    </xf>
    <xf numFmtId="0" fontId="2" fillId="0" borderId="53" xfId="3" applyFont="1" applyFill="1" applyBorder="1" applyAlignment="1">
      <alignment vertical="center" wrapText="1"/>
    </xf>
    <xf numFmtId="0" fontId="2" fillId="0" borderId="53" xfId="3" applyFont="1" applyFill="1" applyBorder="1" applyAlignment="1">
      <alignment horizontal="center" vertical="center"/>
    </xf>
    <xf numFmtId="3" fontId="2" fillId="0" borderId="53" xfId="3" applyNumberFormat="1" applyFont="1" applyFill="1" applyBorder="1" applyAlignment="1">
      <alignment vertical="center"/>
    </xf>
    <xf numFmtId="3" fontId="2" fillId="0" borderId="158" xfId="3" applyNumberFormat="1" applyFont="1" applyFill="1" applyBorder="1" applyAlignment="1">
      <alignment vertical="center"/>
    </xf>
    <xf numFmtId="3" fontId="2" fillId="0" borderId="9" xfId="3" applyNumberFormat="1" applyFont="1" applyFill="1" applyBorder="1" applyAlignment="1">
      <alignment vertical="center"/>
    </xf>
    <xf numFmtId="3" fontId="2" fillId="0" borderId="54" xfId="3" applyNumberFormat="1" applyFont="1" applyFill="1" applyBorder="1" applyAlignment="1">
      <alignment horizontal="right" vertical="center"/>
    </xf>
    <xf numFmtId="0" fontId="2" fillId="0" borderId="51" xfId="3" applyFont="1" applyFill="1" applyBorder="1" applyAlignment="1">
      <alignment horizontal="center" vertical="center"/>
    </xf>
    <xf numFmtId="0" fontId="3" fillId="0" borderId="12" xfId="3" applyFont="1" applyFill="1" applyBorder="1" applyAlignment="1">
      <alignment vertical="center"/>
    </xf>
    <xf numFmtId="0" fontId="2" fillId="0" borderId="13" xfId="3" applyFont="1" applyFill="1" applyBorder="1" applyAlignment="1">
      <alignment vertical="center"/>
    </xf>
    <xf numFmtId="3" fontId="3" fillId="0" borderId="53" xfId="3" applyNumberFormat="1" applyFont="1" applyFill="1" applyBorder="1" applyAlignment="1">
      <alignment horizontal="center" vertical="center"/>
    </xf>
    <xf numFmtId="3" fontId="2" fillId="0" borderId="52" xfId="3" applyNumberFormat="1" applyFont="1" applyFill="1" applyBorder="1" applyAlignment="1">
      <alignment horizontal="right" vertical="center"/>
    </xf>
    <xf numFmtId="0" fontId="2" fillId="0" borderId="0" xfId="3" applyFont="1" applyAlignment="1">
      <alignment vertical="center"/>
    </xf>
    <xf numFmtId="49" fontId="2" fillId="0" borderId="0" xfId="3" applyNumberFormat="1" applyFont="1" applyAlignment="1">
      <alignment vertical="center"/>
    </xf>
    <xf numFmtId="49" fontId="2" fillId="0" borderId="0" xfId="3" applyNumberFormat="1" applyFont="1" applyFill="1" applyAlignment="1">
      <alignment vertical="center"/>
    </xf>
    <xf numFmtId="0" fontId="2" fillId="0" borderId="0" xfId="3" applyFont="1" applyFill="1" applyAlignment="1">
      <alignment vertical="center"/>
    </xf>
    <xf numFmtId="0" fontId="2" fillId="0" borderId="0" xfId="3" applyFont="1" applyAlignment="1">
      <alignment horizontal="left" vertical="center"/>
    </xf>
    <xf numFmtId="0" fontId="2" fillId="0" borderId="0" xfId="3" applyFont="1" applyAlignment="1">
      <alignment horizontal="left" vertical="center" wrapText="1"/>
    </xf>
    <xf numFmtId="0" fontId="2" fillId="0" borderId="0" xfId="3" applyFont="1" applyAlignment="1">
      <alignment vertical="center" wrapText="1"/>
    </xf>
    <xf numFmtId="0" fontId="2" fillId="0" borderId="0" xfId="3" applyFont="1" applyFill="1" applyAlignment="1">
      <alignment horizontal="left" vertical="center"/>
    </xf>
    <xf numFmtId="0" fontId="5" fillId="0" borderId="0" xfId="3" applyFont="1"/>
    <xf numFmtId="0" fontId="2" fillId="0" borderId="39" xfId="3" applyFont="1" applyFill="1" applyBorder="1" applyAlignment="1">
      <alignment horizontal="center" vertical="center" wrapText="1"/>
    </xf>
    <xf numFmtId="3" fontId="2" fillId="8" borderId="41" xfId="1" applyNumberFormat="1" applyFont="1" applyFill="1" applyBorder="1" applyAlignment="1" applyProtection="1">
      <alignment vertical="center"/>
      <protection locked="0"/>
    </xf>
    <xf numFmtId="3" fontId="29" fillId="0" borderId="42" xfId="1" applyNumberFormat="1" applyFont="1" applyFill="1" applyBorder="1" applyAlignment="1" applyProtection="1">
      <alignment horizontal="left" vertical="center" wrapText="1"/>
      <protection locked="0"/>
    </xf>
    <xf numFmtId="3" fontId="3" fillId="0" borderId="0" xfId="1" applyNumberFormat="1" applyFont="1" applyFill="1" applyBorder="1" applyAlignment="1" applyProtection="1">
      <alignment vertical="center"/>
    </xf>
    <xf numFmtId="0" fontId="17" fillId="0" borderId="0" xfId="6" applyFont="1" applyAlignment="1"/>
    <xf numFmtId="49" fontId="3" fillId="0" borderId="0" xfId="6" applyNumberFormat="1" applyFont="1" applyAlignment="1">
      <alignment horizontal="left"/>
    </xf>
    <xf numFmtId="3" fontId="2" fillId="10" borderId="41" xfId="6" applyNumberFormat="1" applyFont="1" applyFill="1" applyBorder="1" applyAlignment="1" applyProtection="1">
      <alignment vertical="center" wrapText="1"/>
      <protection locked="0"/>
    </xf>
    <xf numFmtId="3" fontId="2" fillId="0" borderId="41" xfId="6" applyNumberFormat="1" applyFont="1" applyBorder="1" applyAlignment="1">
      <alignment vertical="center"/>
    </xf>
    <xf numFmtId="0" fontId="2" fillId="0" borderId="41" xfId="6" applyFont="1" applyBorder="1" applyAlignment="1" applyProtection="1">
      <alignment horizontal="left" vertical="center"/>
      <protection locked="0"/>
    </xf>
    <xf numFmtId="3" fontId="2" fillId="0" borderId="0" xfId="6" applyNumberFormat="1" applyFont="1" applyBorder="1"/>
    <xf numFmtId="0" fontId="2" fillId="0" borderId="15" xfId="1" applyFont="1" applyFill="1" applyBorder="1" applyAlignment="1" applyProtection="1">
      <alignment horizontal="center" vertical="center" wrapText="1"/>
    </xf>
    <xf numFmtId="3" fontId="3" fillId="18" borderId="41" xfId="6" applyNumberFormat="1" applyFont="1" applyFill="1" applyBorder="1" applyAlignment="1" applyProtection="1">
      <alignment horizontal="right" vertical="center"/>
      <protection locked="0"/>
    </xf>
    <xf numFmtId="0" fontId="3" fillId="0" borderId="71" xfId="1" applyFont="1" applyFill="1" applyBorder="1" applyAlignment="1" applyProtection="1">
      <alignment horizontal="left" vertical="center"/>
    </xf>
    <xf numFmtId="0" fontId="3" fillId="0" borderId="72" xfId="1" applyFont="1" applyFill="1" applyBorder="1" applyAlignment="1" applyProtection="1">
      <alignment horizontal="left" vertical="center"/>
    </xf>
    <xf numFmtId="0" fontId="3" fillId="0" borderId="44" xfId="1" applyFont="1" applyFill="1" applyBorder="1" applyAlignment="1" applyProtection="1">
      <alignment horizontal="left" vertical="center"/>
    </xf>
    <xf numFmtId="0" fontId="3" fillId="0" borderId="46" xfId="1" applyFont="1" applyFill="1" applyBorder="1" applyAlignment="1" applyProtection="1">
      <alignment horizontal="left" vertical="center"/>
    </xf>
    <xf numFmtId="0" fontId="2" fillId="0" borderId="21" xfId="1" applyNumberFormat="1" applyFont="1" applyFill="1" applyBorder="1" applyAlignment="1" applyProtection="1">
      <alignment horizontal="center" vertical="center" textRotation="90" wrapText="1"/>
    </xf>
    <xf numFmtId="0" fontId="2" fillId="0" borderId="17" xfId="1" applyNumberFormat="1" applyFont="1" applyFill="1" applyBorder="1" applyAlignment="1" applyProtection="1">
      <alignment horizontal="center" vertical="center" textRotation="90" wrapText="1"/>
    </xf>
    <xf numFmtId="0" fontId="2" fillId="0" borderId="20" xfId="1" applyNumberFormat="1" applyFont="1" applyFill="1" applyBorder="1" applyAlignment="1" applyProtection="1">
      <alignment horizontal="center" vertical="center" textRotation="90" wrapText="1"/>
    </xf>
    <xf numFmtId="49" fontId="2" fillId="2" borderId="9" xfId="1" applyNumberFormat="1" applyFont="1" applyFill="1" applyBorder="1" applyAlignment="1" applyProtection="1">
      <alignment horizontal="center" vertical="center"/>
      <protection locked="0"/>
    </xf>
    <xf numFmtId="49" fontId="2" fillId="2" borderId="10" xfId="1" applyNumberFormat="1" applyFont="1" applyFill="1" applyBorder="1" applyAlignment="1" applyProtection="1">
      <alignment horizontal="center" vertical="center"/>
      <protection locked="0"/>
    </xf>
    <xf numFmtId="49" fontId="2" fillId="0" borderId="11" xfId="1" applyNumberFormat="1" applyFont="1" applyFill="1" applyBorder="1" applyAlignment="1" applyProtection="1">
      <alignment horizontal="center" vertical="center" textRotation="90" wrapText="1"/>
    </xf>
    <xf numFmtId="0" fontId="2" fillId="0" borderId="15" xfId="1" applyFont="1" applyFill="1" applyBorder="1" applyAlignment="1" applyProtection="1">
      <alignment horizontal="center" vertical="center" wrapText="1"/>
    </xf>
    <xf numFmtId="0" fontId="2" fillId="0" borderId="22" xfId="1" applyFont="1" applyFill="1" applyBorder="1" applyAlignment="1" applyProtection="1">
      <alignment horizontal="center" vertical="center" wrapText="1"/>
    </xf>
    <xf numFmtId="49" fontId="2" fillId="0" borderId="11" xfId="1" applyNumberFormat="1" applyFont="1" applyFill="1" applyBorder="1" applyAlignment="1" applyProtection="1">
      <alignment horizontal="center" vertical="center" wrapText="1"/>
    </xf>
    <xf numFmtId="49" fontId="2" fillId="0" borderId="15" xfId="1" applyNumberFormat="1" applyFont="1" applyFill="1" applyBorder="1" applyAlignment="1" applyProtection="1">
      <alignment horizontal="center" vertical="center" wrapText="1"/>
    </xf>
    <xf numFmtId="49" fontId="2" fillId="0" borderId="12" xfId="1" applyNumberFormat="1" applyFont="1" applyFill="1" applyBorder="1" applyAlignment="1" applyProtection="1">
      <alignment horizontal="center" vertical="center"/>
    </xf>
    <xf numFmtId="49" fontId="2" fillId="0" borderId="13" xfId="1" applyNumberFormat="1" applyFont="1" applyFill="1" applyBorder="1" applyAlignment="1" applyProtection="1">
      <alignment horizontal="center" vertical="center"/>
    </xf>
    <xf numFmtId="49" fontId="2" fillId="0" borderId="14" xfId="1" applyNumberFormat="1" applyFont="1" applyFill="1" applyBorder="1" applyAlignment="1" applyProtection="1">
      <alignment horizontal="center" vertical="center"/>
    </xf>
    <xf numFmtId="0" fontId="2" fillId="0" borderId="16" xfId="1" applyFont="1" applyFill="1" applyBorder="1" applyAlignment="1" applyProtection="1">
      <alignment horizontal="center" vertical="center" textRotation="90"/>
    </xf>
    <xf numFmtId="0" fontId="2" fillId="0" borderId="22" xfId="1" applyFont="1" applyFill="1" applyBorder="1" applyAlignment="1" applyProtection="1">
      <alignment horizontal="center" vertical="center" textRotation="90"/>
    </xf>
    <xf numFmtId="0" fontId="2" fillId="0" borderId="17" xfId="1" applyFont="1" applyFill="1" applyBorder="1" applyAlignment="1" applyProtection="1">
      <alignment horizontal="center" vertical="center" textRotation="90" wrapText="1"/>
    </xf>
    <xf numFmtId="0" fontId="2" fillId="0" borderId="23" xfId="1" applyFont="1" applyFill="1" applyBorder="1" applyAlignment="1" applyProtection="1">
      <alignment horizontal="center" vertical="center" textRotation="90" wrapText="1"/>
    </xf>
    <xf numFmtId="0" fontId="2" fillId="0" borderId="18" xfId="1" applyFont="1" applyFill="1" applyBorder="1" applyAlignment="1" applyProtection="1">
      <alignment horizontal="center" vertical="center" textRotation="90" wrapText="1"/>
    </xf>
    <xf numFmtId="0" fontId="2" fillId="0" borderId="24" xfId="1" applyFont="1" applyFill="1" applyBorder="1" applyAlignment="1" applyProtection="1">
      <alignment horizontal="center" vertical="center" textRotation="90" wrapText="1"/>
    </xf>
    <xf numFmtId="0" fontId="2" fillId="0" borderId="19" xfId="1" applyFont="1" applyFill="1" applyBorder="1" applyAlignment="1" applyProtection="1">
      <alignment horizontal="center" vertical="center" textRotation="90"/>
    </xf>
    <xf numFmtId="0" fontId="2" fillId="0" borderId="25" xfId="1" applyFont="1" applyFill="1" applyBorder="1" applyAlignment="1" applyProtection="1">
      <alignment horizontal="center" vertical="center" textRotation="90"/>
    </xf>
    <xf numFmtId="0" fontId="2" fillId="0" borderId="21" xfId="1" applyFont="1" applyFill="1" applyBorder="1" applyAlignment="1" applyProtection="1">
      <alignment horizontal="center" vertical="center" wrapText="1"/>
    </xf>
    <xf numFmtId="0" fontId="2" fillId="0" borderId="26" xfId="1" applyFont="1" applyFill="1" applyBorder="1" applyAlignment="1" applyProtection="1">
      <alignment horizontal="center" vertical="center" wrapText="1"/>
    </xf>
    <xf numFmtId="49" fontId="2" fillId="2" borderId="5" xfId="1" applyNumberFormat="1" applyFont="1" applyFill="1" applyBorder="1" applyAlignment="1" applyProtection="1">
      <alignment horizontal="center" vertical="center"/>
      <protection locked="0"/>
    </xf>
    <xf numFmtId="49" fontId="2" fillId="2" borderId="6" xfId="1" applyNumberFormat="1" applyFont="1" applyFill="1" applyBorder="1" applyAlignment="1" applyProtection="1">
      <alignment horizontal="center" vertical="center"/>
      <protection locked="0"/>
    </xf>
    <xf numFmtId="49" fontId="4" fillId="2" borderId="1" xfId="1" applyNumberFormat="1" applyFont="1" applyFill="1" applyBorder="1" applyAlignment="1" applyProtection="1">
      <alignment horizontal="center" vertical="center"/>
    </xf>
    <xf numFmtId="49" fontId="4" fillId="2" borderId="2" xfId="1" applyNumberFormat="1" applyFont="1" applyFill="1" applyBorder="1" applyAlignment="1" applyProtection="1">
      <alignment horizontal="center" vertical="center"/>
    </xf>
    <xf numFmtId="49" fontId="4" fillId="2" borderId="3" xfId="1" applyNumberFormat="1" applyFont="1" applyFill="1" applyBorder="1" applyAlignment="1" applyProtection="1">
      <alignment horizontal="center" vertical="center"/>
    </xf>
    <xf numFmtId="49" fontId="3" fillId="2" borderId="5"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2" fillId="0" borderId="5" xfId="1" applyFont="1" applyBorder="1" applyAlignment="1" applyProtection="1">
      <alignment horizontal="center" vertical="center"/>
      <protection locked="0"/>
    </xf>
    <xf numFmtId="0" fontId="2" fillId="0" borderId="6" xfId="1" applyFont="1" applyBorder="1" applyAlignment="1" applyProtection="1">
      <alignment horizontal="center" vertical="center"/>
      <protection locked="0"/>
    </xf>
    <xf numFmtId="0" fontId="2" fillId="0" borderId="4" xfId="1" applyFont="1" applyFill="1" applyBorder="1" applyAlignment="1" applyProtection="1">
      <alignment horizontal="center" vertical="center" textRotation="90"/>
    </xf>
    <xf numFmtId="0" fontId="2" fillId="0" borderId="88" xfId="1" applyFont="1" applyFill="1" applyBorder="1" applyAlignment="1" applyProtection="1">
      <alignment horizontal="center" vertical="center" textRotation="90"/>
    </xf>
    <xf numFmtId="0" fontId="2" fillId="0" borderId="87" xfId="1" applyFont="1" applyFill="1" applyBorder="1" applyAlignment="1" applyProtection="1">
      <alignment horizontal="center" vertical="center" textRotation="90" wrapText="1"/>
    </xf>
    <xf numFmtId="0" fontId="2" fillId="0" borderId="26" xfId="1" applyFont="1" applyFill="1" applyBorder="1" applyAlignment="1" applyProtection="1">
      <alignment horizontal="center" vertical="center" textRotation="90" wrapText="1"/>
    </xf>
    <xf numFmtId="0" fontId="2" fillId="0" borderId="87" xfId="1" applyFont="1" applyFill="1" applyBorder="1" applyAlignment="1" applyProtection="1">
      <alignment horizontal="center" vertical="center" wrapText="1"/>
    </xf>
    <xf numFmtId="0" fontId="2" fillId="0" borderId="69" xfId="1" applyFont="1" applyFill="1" applyBorder="1" applyAlignment="1" applyProtection="1">
      <alignment horizontal="center" vertical="center" textRotation="90" wrapText="1"/>
    </xf>
    <xf numFmtId="0" fontId="2" fillId="0" borderId="25" xfId="1" applyFont="1" applyFill="1" applyBorder="1" applyAlignment="1" applyProtection="1">
      <alignment horizontal="center" vertical="center" textRotation="90" wrapText="1"/>
    </xf>
    <xf numFmtId="0" fontId="2" fillId="0" borderId="86" xfId="1" applyFont="1" applyFill="1" applyBorder="1" applyAlignment="1" applyProtection="1">
      <alignment horizontal="center" vertical="center" textRotation="90" wrapText="1"/>
    </xf>
    <xf numFmtId="0" fontId="2" fillId="0" borderId="88" xfId="1" applyFont="1" applyFill="1" applyBorder="1" applyAlignment="1" applyProtection="1">
      <alignment horizontal="center" vertical="center" textRotation="90" wrapText="1"/>
    </xf>
    <xf numFmtId="0" fontId="2" fillId="0" borderId="68" xfId="1" applyFont="1" applyFill="1" applyBorder="1" applyAlignment="1" applyProtection="1">
      <alignment horizontal="center" vertical="center" textRotation="90" wrapText="1"/>
    </xf>
    <xf numFmtId="0" fontId="2" fillId="0" borderId="20" xfId="1" applyFont="1" applyFill="1" applyBorder="1" applyAlignment="1" applyProtection="1">
      <alignment horizontal="center" vertical="center" textRotation="90" wrapText="1"/>
    </xf>
    <xf numFmtId="0" fontId="2" fillId="0" borderId="89" xfId="1" applyFont="1" applyFill="1" applyBorder="1" applyAlignment="1" applyProtection="1">
      <alignment horizontal="center" vertical="center" textRotation="90" wrapText="1"/>
    </xf>
    <xf numFmtId="0" fontId="2" fillId="0" borderId="0" xfId="1" applyFont="1" applyFill="1" applyBorder="1" applyAlignment="1" applyProtection="1">
      <alignment horizontal="center" vertical="center" wrapText="1"/>
    </xf>
    <xf numFmtId="49" fontId="8" fillId="2" borderId="5" xfId="1" applyNumberFormat="1" applyFont="1" applyFill="1" applyBorder="1" applyAlignment="1" applyProtection="1">
      <alignment horizontal="center" vertical="center"/>
      <protection locked="0"/>
    </xf>
    <xf numFmtId="49" fontId="8" fillId="2" borderId="6" xfId="1" applyNumberFormat="1" applyFont="1" applyFill="1" applyBorder="1" applyAlignment="1" applyProtection="1">
      <alignment horizontal="center" vertical="center"/>
      <protection locked="0"/>
    </xf>
    <xf numFmtId="49" fontId="9" fillId="2" borderId="5" xfId="1" applyNumberFormat="1" applyFont="1" applyFill="1" applyBorder="1" applyAlignment="1" applyProtection="1">
      <alignment horizontal="center" vertical="center"/>
      <protection locked="0"/>
    </xf>
    <xf numFmtId="49" fontId="9" fillId="2" borderId="6" xfId="1" applyNumberFormat="1" applyFont="1" applyFill="1" applyBorder="1" applyAlignment="1" applyProtection="1">
      <alignment horizontal="center" vertical="center"/>
      <protection locked="0"/>
    </xf>
    <xf numFmtId="49" fontId="35" fillId="2" borderId="5" xfId="1" applyNumberFormat="1" applyFont="1" applyFill="1" applyBorder="1" applyAlignment="1" applyProtection="1">
      <alignment horizontal="center" vertical="center" wrapText="1"/>
      <protection locked="0"/>
    </xf>
    <xf numFmtId="49" fontId="35" fillId="2" borderId="6" xfId="1" applyNumberFormat="1" applyFont="1" applyFill="1" applyBorder="1" applyAlignment="1" applyProtection="1">
      <alignment horizontal="center" vertical="center" wrapText="1"/>
      <protection locked="0"/>
    </xf>
    <xf numFmtId="0" fontId="8" fillId="0" borderId="5" xfId="1" applyFont="1" applyBorder="1" applyAlignment="1" applyProtection="1">
      <alignment horizontal="center" vertical="center"/>
      <protection locked="0"/>
    </xf>
    <xf numFmtId="0" fontId="8" fillId="0" borderId="6" xfId="1" applyFont="1" applyBorder="1" applyAlignment="1" applyProtection="1">
      <alignment horizontal="center" vertical="center"/>
      <protection locked="0"/>
    </xf>
    <xf numFmtId="0" fontId="9" fillId="0" borderId="5" xfId="1" applyFont="1" applyBorder="1" applyAlignment="1" applyProtection="1">
      <alignment horizontal="center" vertical="center"/>
      <protection locked="0"/>
    </xf>
    <xf numFmtId="0" fontId="9" fillId="0" borderId="6" xfId="1" applyFont="1" applyBorder="1" applyAlignment="1" applyProtection="1">
      <alignment horizontal="center" vertical="center"/>
      <protection locked="0"/>
    </xf>
    <xf numFmtId="0" fontId="3" fillId="0" borderId="5" xfId="1" applyFont="1" applyBorder="1" applyAlignment="1" applyProtection="1">
      <alignment horizontal="center" vertical="center" wrapText="1"/>
      <protection locked="0"/>
    </xf>
    <xf numFmtId="0" fontId="3" fillId="0" borderId="5" xfId="1" applyFont="1" applyBorder="1" applyAlignment="1" applyProtection="1">
      <alignment horizontal="center" vertical="center"/>
      <protection locked="0"/>
    </xf>
    <xf numFmtId="0" fontId="3" fillId="0" borderId="6" xfId="1" applyFont="1" applyBorder="1" applyAlignment="1" applyProtection="1">
      <alignment horizontal="center" vertical="center"/>
      <protection locked="0"/>
    </xf>
    <xf numFmtId="0" fontId="2" fillId="7" borderId="21" xfId="1" applyNumberFormat="1" applyFont="1" applyFill="1" applyBorder="1" applyAlignment="1" applyProtection="1">
      <alignment horizontal="center" vertical="center" textRotation="90" wrapText="1"/>
    </xf>
    <xf numFmtId="0" fontId="2" fillId="7" borderId="17" xfId="1" applyNumberFormat="1" applyFont="1" applyFill="1" applyBorder="1" applyAlignment="1" applyProtection="1">
      <alignment horizontal="center" vertical="center" textRotation="90" wrapText="1"/>
    </xf>
    <xf numFmtId="0" fontId="2" fillId="7" borderId="20" xfId="1" applyNumberFormat="1" applyFont="1" applyFill="1" applyBorder="1" applyAlignment="1" applyProtection="1">
      <alignment horizontal="center" vertical="center" textRotation="90" wrapText="1"/>
    </xf>
    <xf numFmtId="0" fontId="2" fillId="7" borderId="17" xfId="1" applyFont="1" applyFill="1" applyBorder="1" applyAlignment="1" applyProtection="1">
      <alignment horizontal="center" vertical="center" textRotation="90" wrapText="1"/>
    </xf>
    <xf numFmtId="0" fontId="2" fillId="7" borderId="23" xfId="1" applyFont="1" applyFill="1" applyBorder="1" applyAlignment="1" applyProtection="1">
      <alignment horizontal="center" vertical="center" textRotation="90" wrapText="1"/>
    </xf>
    <xf numFmtId="0" fontId="2" fillId="7" borderId="18" xfId="1" applyFont="1" applyFill="1" applyBorder="1" applyAlignment="1" applyProtection="1">
      <alignment horizontal="center" vertical="center" textRotation="90" wrapText="1"/>
    </xf>
    <xf numFmtId="0" fontId="2" fillId="7" borderId="24" xfId="1" applyFont="1" applyFill="1" applyBorder="1" applyAlignment="1" applyProtection="1">
      <alignment horizontal="center" vertical="center" textRotation="90" wrapText="1"/>
    </xf>
    <xf numFmtId="0" fontId="2" fillId="7" borderId="19" xfId="1" applyFont="1" applyFill="1" applyBorder="1" applyAlignment="1" applyProtection="1">
      <alignment horizontal="center" vertical="center" textRotation="90"/>
    </xf>
    <xf numFmtId="0" fontId="2" fillId="7" borderId="25" xfId="1" applyFont="1" applyFill="1" applyBorder="1" applyAlignment="1" applyProtection="1">
      <alignment horizontal="center" vertical="center" textRotation="90"/>
    </xf>
    <xf numFmtId="0" fontId="2" fillId="0" borderId="4" xfId="10" applyFont="1" applyFill="1" applyBorder="1" applyAlignment="1">
      <alignment horizontal="left" vertical="center" wrapText="1"/>
    </xf>
    <xf numFmtId="0" fontId="2" fillId="0" borderId="0" xfId="10" applyFont="1" applyFill="1" applyBorder="1" applyAlignment="1">
      <alignment horizontal="left" vertical="center" wrapText="1"/>
    </xf>
    <xf numFmtId="0" fontId="3" fillId="0" borderId="5" xfId="3" applyFont="1" applyFill="1" applyBorder="1" applyAlignment="1">
      <alignment horizontal="right" vertical="center" wrapText="1"/>
    </xf>
    <xf numFmtId="0" fontId="3" fillId="0" borderId="6" xfId="3" applyFont="1" applyFill="1" applyBorder="1" applyAlignment="1">
      <alignment horizontal="right" vertical="center" wrapText="1"/>
    </xf>
    <xf numFmtId="0" fontId="2" fillId="0" borderId="93" xfId="3" applyFont="1" applyFill="1" applyBorder="1" applyAlignment="1">
      <alignment horizontal="left" vertical="center" wrapText="1"/>
    </xf>
    <xf numFmtId="0" fontId="2" fillId="0" borderId="5" xfId="3" applyFont="1" applyFill="1" applyBorder="1" applyAlignment="1">
      <alignment horizontal="left" vertical="center" wrapText="1"/>
    </xf>
    <xf numFmtId="0" fontId="2" fillId="0" borderId="4" xfId="3" applyFont="1" applyFill="1" applyBorder="1" applyAlignment="1">
      <alignment horizontal="left" vertical="center" wrapText="1"/>
    </xf>
    <xf numFmtId="0" fontId="2" fillId="0" borderId="0" xfId="3" applyFont="1" applyFill="1" applyBorder="1" applyAlignment="1">
      <alignment horizontal="left" vertical="center" wrapText="1"/>
    </xf>
    <xf numFmtId="0" fontId="2" fillId="0" borderId="40" xfId="3" applyFont="1" applyFill="1" applyBorder="1" applyAlignment="1">
      <alignment horizontal="center" vertical="center"/>
    </xf>
    <xf numFmtId="0" fontId="2" fillId="0" borderId="41" xfId="3" applyFont="1" applyFill="1" applyBorder="1" applyAlignment="1">
      <alignment horizontal="left" vertical="center" wrapText="1"/>
    </xf>
    <xf numFmtId="0" fontId="2" fillId="0" borderId="12" xfId="3" applyFont="1" applyFill="1" applyBorder="1" applyAlignment="1">
      <alignment horizontal="left" vertical="center" wrapText="1"/>
    </xf>
    <xf numFmtId="0" fontId="2" fillId="0" borderId="13" xfId="3" applyFont="1" applyFill="1" applyBorder="1" applyAlignment="1">
      <alignment horizontal="left" vertical="center" wrapText="1"/>
    </xf>
    <xf numFmtId="0" fontId="2" fillId="0" borderId="47" xfId="1" applyFont="1" applyBorder="1" applyAlignment="1">
      <alignment horizontal="center" vertical="center" wrapText="1"/>
    </xf>
    <xf numFmtId="0" fontId="2" fillId="0" borderId="39" xfId="1" applyFont="1" applyBorder="1" applyAlignment="1">
      <alignment horizontal="center" vertical="center" wrapText="1"/>
    </xf>
    <xf numFmtId="3" fontId="5" fillId="0" borderId="0" xfId="3" applyNumberFormat="1" applyFont="1" applyAlignment="1">
      <alignment horizontal="center"/>
    </xf>
    <xf numFmtId="0" fontId="2" fillId="0" borderId="0" xfId="1" applyFont="1" applyFill="1" applyAlignment="1">
      <alignment horizontal="right"/>
    </xf>
    <xf numFmtId="0" fontId="10" fillId="0" borderId="0" xfId="3" applyFont="1" applyFill="1" applyAlignment="1">
      <alignment horizontal="center" wrapText="1"/>
    </xf>
    <xf numFmtId="49" fontId="2" fillId="0" borderId="48" xfId="3" applyNumberFormat="1" applyFont="1" applyFill="1" applyBorder="1" applyAlignment="1">
      <alignment horizontal="center" vertical="center" wrapText="1"/>
    </xf>
    <xf numFmtId="49" fontId="2" fillId="0" borderId="49" xfId="3" applyNumberFormat="1" applyFont="1" applyFill="1" applyBorder="1" applyAlignment="1">
      <alignment horizontal="center" vertical="center" wrapText="1"/>
    </xf>
    <xf numFmtId="49" fontId="2" fillId="0" borderId="50" xfId="3" applyNumberFormat="1" applyFont="1" applyFill="1" applyBorder="1" applyAlignment="1">
      <alignment horizontal="center" vertical="center" wrapText="1"/>
    </xf>
    <xf numFmtId="49" fontId="2" fillId="0" borderId="156" xfId="3" applyNumberFormat="1" applyFont="1" applyFill="1" applyBorder="1" applyAlignment="1">
      <alignment horizontal="center" vertical="center" wrapText="1"/>
    </xf>
    <xf numFmtId="49" fontId="2" fillId="0" borderId="3" xfId="3" applyNumberFormat="1" applyFont="1" applyFill="1" applyBorder="1" applyAlignment="1">
      <alignment horizontal="center" vertical="center" wrapText="1"/>
    </xf>
    <xf numFmtId="49" fontId="2" fillId="0" borderId="99" xfId="3" applyNumberFormat="1" applyFont="1" applyFill="1" applyBorder="1" applyAlignment="1">
      <alignment horizontal="center" vertical="center" wrapText="1"/>
    </xf>
    <xf numFmtId="3" fontId="2" fillId="0" borderId="48" xfId="3" applyNumberFormat="1" applyFont="1" applyFill="1" applyBorder="1" applyAlignment="1">
      <alignment horizontal="center" vertical="center" wrapText="1"/>
    </xf>
    <xf numFmtId="3" fontId="2" fillId="0" borderId="50" xfId="3" applyNumberFormat="1" applyFont="1" applyFill="1" applyBorder="1" applyAlignment="1">
      <alignment horizontal="center" vertical="center" wrapText="1"/>
    </xf>
    <xf numFmtId="0" fontId="3" fillId="0" borderId="48" xfId="3" applyFont="1" applyFill="1" applyBorder="1" applyAlignment="1">
      <alignment horizontal="center" vertical="center"/>
    </xf>
    <xf numFmtId="0" fontId="3" fillId="0" borderId="40" xfId="3" applyFont="1" applyFill="1" applyBorder="1" applyAlignment="1">
      <alignment horizontal="center" vertical="center"/>
    </xf>
    <xf numFmtId="0" fontId="3" fillId="0" borderId="49" xfId="3" applyFont="1" applyFill="1" applyBorder="1" applyAlignment="1">
      <alignment horizontal="center" vertical="center" wrapText="1"/>
    </xf>
    <xf numFmtId="0" fontId="3" fillId="0" borderId="41" xfId="3" applyFont="1" applyFill="1" applyBorder="1" applyAlignment="1">
      <alignment horizontal="center" vertical="center" wrapText="1"/>
    </xf>
    <xf numFmtId="0" fontId="2" fillId="0" borderId="49" xfId="3" applyFont="1" applyFill="1" applyBorder="1" applyAlignment="1">
      <alignment horizontal="center" vertical="center" wrapText="1"/>
    </xf>
    <xf numFmtId="0" fontId="2" fillId="0" borderId="41" xfId="3" applyFont="1" applyFill="1" applyBorder="1" applyAlignment="1">
      <alignment horizontal="center" vertical="center" wrapText="1"/>
    </xf>
    <xf numFmtId="49" fontId="2" fillId="0" borderId="41" xfId="3" applyNumberFormat="1" applyFont="1" applyFill="1" applyBorder="1" applyAlignment="1">
      <alignment horizontal="center" vertical="center" wrapText="1"/>
    </xf>
    <xf numFmtId="49" fontId="2" fillId="0" borderId="42" xfId="3" applyNumberFormat="1" applyFont="1" applyFill="1" applyBorder="1" applyAlignment="1">
      <alignment horizontal="center" vertical="center" wrapText="1"/>
    </xf>
    <xf numFmtId="0" fontId="2" fillId="0" borderId="0" xfId="1" applyFont="1" applyAlignment="1">
      <alignment horizontal="left" wrapText="1"/>
    </xf>
    <xf numFmtId="0" fontId="2" fillId="0" borderId="41" xfId="1" applyFont="1" applyFill="1" applyBorder="1" applyAlignment="1" applyProtection="1">
      <alignment horizontal="left" vertical="center" wrapText="1"/>
      <protection locked="0"/>
    </xf>
    <xf numFmtId="0" fontId="2" fillId="0" borderId="75" xfId="1" applyFont="1" applyFill="1" applyBorder="1" applyAlignment="1" applyProtection="1">
      <alignment horizontal="left" vertical="center" wrapText="1"/>
      <protection locked="0"/>
    </xf>
    <xf numFmtId="0" fontId="2" fillId="0" borderId="81" xfId="1" applyFont="1" applyFill="1" applyBorder="1" applyAlignment="1" applyProtection="1">
      <alignment horizontal="left" vertical="center" wrapText="1"/>
      <protection locked="0"/>
    </xf>
    <xf numFmtId="0" fontId="2" fillId="0" borderId="0" xfId="1" applyFont="1" applyFill="1" applyBorder="1" applyAlignment="1">
      <alignment horizontal="left"/>
    </xf>
    <xf numFmtId="0" fontId="2" fillId="0" borderId="76" xfId="1" applyFont="1" applyFill="1" applyBorder="1" applyAlignment="1">
      <alignment horizontal="left"/>
    </xf>
    <xf numFmtId="0" fontId="2" fillId="0" borderId="41" xfId="1" applyFont="1" applyFill="1" applyBorder="1" applyAlignment="1">
      <alignment horizontal="center" vertical="center" wrapText="1"/>
    </xf>
    <xf numFmtId="0" fontId="3" fillId="0" borderId="41" xfId="1" applyFont="1" applyFill="1" applyBorder="1" applyAlignment="1">
      <alignment horizontal="right" vertical="center" wrapText="1"/>
    </xf>
    <xf numFmtId="0" fontId="2" fillId="0" borderId="41" xfId="12" applyFont="1" applyFill="1" applyBorder="1" applyAlignment="1" applyProtection="1">
      <alignment horizontal="left" vertical="center" wrapText="1"/>
      <protection locked="0"/>
    </xf>
    <xf numFmtId="0" fontId="2" fillId="0" borderId="0" xfId="1" applyFont="1" applyFill="1" applyAlignment="1">
      <alignment horizontal="left"/>
    </xf>
    <xf numFmtId="0" fontId="2" fillId="0" borderId="41" xfId="1" applyFont="1" applyFill="1" applyBorder="1" applyAlignment="1" applyProtection="1">
      <alignment horizontal="center" vertical="center" wrapText="1"/>
      <protection locked="0"/>
    </xf>
    <xf numFmtId="3" fontId="2" fillId="0" borderId="41" xfId="1" applyNumberFormat="1" applyFont="1" applyFill="1" applyBorder="1" applyAlignment="1" applyProtection="1">
      <alignment horizontal="center" vertical="center" wrapText="1"/>
      <protection locked="0"/>
    </xf>
    <xf numFmtId="0" fontId="2" fillId="0" borderId="41" xfId="6" applyFont="1" applyFill="1" applyBorder="1" applyAlignment="1" applyProtection="1">
      <alignment horizontal="left" vertical="center" wrapText="1"/>
      <protection locked="0"/>
    </xf>
    <xf numFmtId="0" fontId="2" fillId="0" borderId="78" xfId="6" applyFont="1" applyFill="1" applyBorder="1" applyAlignment="1" applyProtection="1">
      <alignment horizontal="left" vertical="center" wrapText="1"/>
      <protection locked="0"/>
    </xf>
    <xf numFmtId="0" fontId="2" fillId="0" borderId="80" xfId="6" applyFont="1" applyFill="1" applyBorder="1" applyAlignment="1" applyProtection="1">
      <alignment horizontal="left" vertical="center" wrapText="1"/>
      <protection locked="0"/>
    </xf>
    <xf numFmtId="0" fontId="11" fillId="0" borderId="0" xfId="12" applyFont="1" applyAlignment="1">
      <alignment horizontal="center" vertical="center"/>
    </xf>
    <xf numFmtId="0" fontId="2" fillId="0" borderId="41" xfId="1" applyFont="1" applyFill="1" applyBorder="1" applyAlignment="1">
      <alignment vertical="center" wrapText="1"/>
    </xf>
    <xf numFmtId="0" fontId="11" fillId="0" borderId="0" xfId="6" applyFont="1" applyBorder="1" applyAlignment="1">
      <alignment horizontal="center"/>
    </xf>
    <xf numFmtId="0" fontId="2" fillId="0" borderId="0" xfId="6" applyFont="1" applyBorder="1" applyAlignment="1">
      <alignment horizontal="left"/>
    </xf>
    <xf numFmtId="0" fontId="2" fillId="0" borderId="41" xfId="6" applyFont="1" applyBorder="1" applyAlignment="1">
      <alignment horizontal="center" vertical="center" wrapText="1"/>
    </xf>
    <xf numFmtId="0" fontId="2" fillId="0" borderId="41" xfId="0" applyFont="1" applyBorder="1" applyAlignment="1">
      <alignment horizontal="center" vertical="center" wrapText="1"/>
    </xf>
    <xf numFmtId="0" fontId="3" fillId="0" borderId="41" xfId="6" applyFont="1" applyBorder="1" applyAlignment="1">
      <alignment horizontal="right" vertical="center" wrapText="1"/>
    </xf>
    <xf numFmtId="0" fontId="2" fillId="0" borderId="41" xfId="6" applyFont="1" applyBorder="1" applyAlignment="1" applyProtection="1">
      <alignment horizontal="center" vertical="center" wrapText="1"/>
      <protection locked="0"/>
    </xf>
    <xf numFmtId="0" fontId="2" fillId="0" borderId="41" xfId="6" applyFont="1" applyBorder="1" applyAlignment="1" applyProtection="1">
      <alignment horizontal="left" vertical="center" wrapText="1"/>
      <protection locked="0"/>
    </xf>
    <xf numFmtId="3" fontId="2" fillId="0" borderId="41" xfId="6" applyNumberFormat="1" applyFont="1" applyBorder="1" applyAlignment="1" applyProtection="1">
      <alignment horizontal="center" vertical="center" wrapText="1"/>
      <protection locked="0"/>
    </xf>
    <xf numFmtId="3" fontId="2" fillId="0" borderId="41" xfId="6" applyNumberFormat="1" applyFont="1" applyBorder="1" applyAlignment="1" applyProtection="1">
      <alignment horizontal="center" vertical="center"/>
      <protection locked="0"/>
    </xf>
    <xf numFmtId="0" fontId="2" fillId="0" borderId="41" xfId="6" applyFont="1" applyFill="1" applyBorder="1" applyAlignment="1" applyProtection="1">
      <alignment horizontal="center" vertical="center" wrapText="1"/>
      <protection locked="0"/>
    </xf>
    <xf numFmtId="3" fontId="2" fillId="0" borderId="0" xfId="6" applyNumberFormat="1" applyFont="1" applyBorder="1" applyAlignment="1" applyProtection="1">
      <alignment horizontal="left" vertical="center" wrapText="1"/>
      <protection locked="0"/>
    </xf>
    <xf numFmtId="0" fontId="51" fillId="0" borderId="0" xfId="14" applyFont="1" applyAlignment="1">
      <alignment horizontal="left" wrapText="1"/>
    </xf>
    <xf numFmtId="0" fontId="2" fillId="0" borderId="68" xfId="6" applyFont="1" applyBorder="1" applyAlignment="1" applyProtection="1">
      <alignment horizontal="center" vertical="center" wrapText="1"/>
      <protection locked="0"/>
    </xf>
    <xf numFmtId="0" fontId="2" fillId="0" borderId="18" xfId="6" applyFont="1" applyBorder="1" applyAlignment="1" applyProtection="1">
      <alignment horizontal="center" vertical="center" wrapText="1"/>
      <protection locked="0"/>
    </xf>
    <xf numFmtId="0" fontId="2" fillId="0" borderId="57" xfId="6" applyFont="1" applyBorder="1" applyAlignment="1" applyProtection="1">
      <alignment horizontal="center" vertical="center" wrapText="1"/>
      <protection locked="0"/>
    </xf>
    <xf numFmtId="3" fontId="2" fillId="0" borderId="41" xfId="1" applyNumberFormat="1" applyFont="1" applyFill="1" applyBorder="1" applyAlignment="1">
      <alignment horizontal="center" vertical="center" wrapText="1"/>
    </xf>
    <xf numFmtId="0" fontId="2" fillId="0" borderId="0" xfId="1" applyFont="1" applyAlignment="1">
      <alignment horizontal="left"/>
    </xf>
    <xf numFmtId="0" fontId="2" fillId="0" borderId="41" xfId="1" applyFont="1" applyBorder="1" applyAlignment="1">
      <alignment horizontal="center" vertical="center" wrapText="1"/>
    </xf>
    <xf numFmtId="0" fontId="3" fillId="0" borderId="41" xfId="1" applyFont="1" applyBorder="1" applyAlignment="1">
      <alignment horizontal="right" vertical="center" wrapText="1"/>
    </xf>
    <xf numFmtId="3" fontId="2" fillId="0" borderId="41"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left" vertical="center" wrapText="1"/>
      <protection locked="0"/>
    </xf>
    <xf numFmtId="0" fontId="2" fillId="0" borderId="0" xfId="1" applyFont="1" applyAlignment="1">
      <alignment horizontal="right"/>
    </xf>
    <xf numFmtId="0" fontId="11" fillId="0" borderId="0" xfId="1" applyFont="1" applyAlignment="1">
      <alignment horizontal="center"/>
    </xf>
    <xf numFmtId="0" fontId="2" fillId="0" borderId="0" xfId="1" applyFont="1" applyBorder="1" applyAlignment="1">
      <alignment horizontal="left"/>
    </xf>
    <xf numFmtId="0" fontId="2" fillId="0" borderId="41" xfId="1" applyFont="1" applyBorder="1" applyAlignment="1" applyProtection="1">
      <alignment horizontal="center" vertical="center" wrapText="1"/>
      <protection locked="0"/>
    </xf>
    <xf numFmtId="0" fontId="2" fillId="0" borderId="78" xfId="1" applyFont="1" applyBorder="1" applyAlignment="1" applyProtection="1">
      <alignment horizontal="left" vertical="center" wrapText="1"/>
      <protection locked="0"/>
    </xf>
    <xf numFmtId="0" fontId="2" fillId="0" borderId="80" xfId="1" applyFont="1" applyBorder="1" applyAlignment="1" applyProtection="1">
      <alignment horizontal="left" vertical="center" wrapText="1"/>
      <protection locked="0"/>
    </xf>
    <xf numFmtId="0" fontId="2" fillId="0" borderId="77" xfId="1" applyFont="1" applyBorder="1" applyAlignment="1" applyProtection="1">
      <alignment horizontal="left" vertical="center" wrapText="1"/>
      <protection locked="0"/>
    </xf>
    <xf numFmtId="0" fontId="2" fillId="0" borderId="20" xfId="1" applyFont="1" applyBorder="1" applyAlignment="1" applyProtection="1">
      <alignment horizontal="left" vertical="center" wrapText="1"/>
      <protection locked="0"/>
    </xf>
    <xf numFmtId="3" fontId="2" fillId="0" borderId="68" xfId="1" applyNumberFormat="1" applyFont="1" applyFill="1" applyBorder="1" applyAlignment="1" applyProtection="1">
      <alignment horizontal="center" vertical="center" wrapText="1"/>
      <protection locked="0"/>
    </xf>
    <xf numFmtId="3" fontId="2" fillId="0" borderId="18" xfId="1" applyNumberFormat="1" applyFont="1" applyFill="1" applyBorder="1" applyAlignment="1" applyProtection="1">
      <alignment horizontal="center" vertical="center" wrapText="1"/>
      <protection locked="0"/>
    </xf>
    <xf numFmtId="0" fontId="2" fillId="0" borderId="68" xfId="1" applyFont="1" applyBorder="1" applyAlignment="1" applyProtection="1">
      <alignment horizontal="center" vertical="center" wrapText="1"/>
      <protection locked="0"/>
    </xf>
    <xf numFmtId="0" fontId="2" fillId="0" borderId="57" xfId="1" applyFont="1" applyBorder="1" applyAlignment="1" applyProtection="1">
      <alignment horizontal="center" vertical="center" wrapText="1"/>
      <protection locked="0"/>
    </xf>
    <xf numFmtId="0" fontId="2" fillId="0" borderId="79" xfId="1" applyFont="1" applyBorder="1" applyAlignment="1" applyProtection="1">
      <alignment horizontal="left" vertical="center" wrapText="1"/>
      <protection locked="0"/>
    </xf>
    <xf numFmtId="0" fontId="2" fillId="0" borderId="82" xfId="1" applyFont="1" applyBorder="1" applyAlignment="1" applyProtection="1">
      <alignment horizontal="left" vertical="center" wrapText="1"/>
      <protection locked="0"/>
    </xf>
    <xf numFmtId="3" fontId="2" fillId="0" borderId="57" xfId="1" applyNumberFormat="1" applyFont="1" applyFill="1" applyBorder="1" applyAlignment="1" applyProtection="1">
      <alignment horizontal="center" vertical="center" wrapText="1"/>
      <protection locked="0"/>
    </xf>
    <xf numFmtId="0" fontId="2" fillId="0" borderId="68" xfId="12" applyFont="1" applyBorder="1" applyAlignment="1" applyProtection="1">
      <alignment horizontal="center" vertical="center" wrapText="1"/>
      <protection locked="0"/>
    </xf>
    <xf numFmtId="0" fontId="2" fillId="0" borderId="57" xfId="12" applyFont="1" applyBorder="1" applyAlignment="1" applyProtection="1">
      <alignment horizontal="center" vertical="center" wrapText="1"/>
      <protection locked="0"/>
    </xf>
    <xf numFmtId="0" fontId="2" fillId="0" borderId="78" xfId="12" applyFont="1" applyFill="1" applyBorder="1" applyAlignment="1" applyProtection="1">
      <alignment horizontal="left" vertical="center" wrapText="1"/>
      <protection locked="0"/>
    </xf>
    <xf numFmtId="0" fontId="2" fillId="0" borderId="80" xfId="12" applyFont="1" applyFill="1" applyBorder="1" applyAlignment="1" applyProtection="1">
      <alignment horizontal="left" vertical="center" wrapText="1"/>
      <protection locked="0"/>
    </xf>
    <xf numFmtId="0" fontId="2" fillId="0" borderId="79" xfId="12" applyFont="1" applyFill="1" applyBorder="1" applyAlignment="1" applyProtection="1">
      <alignment horizontal="left" vertical="center" wrapText="1"/>
      <protection locked="0"/>
    </xf>
    <xf numFmtId="0" fontId="2" fillId="0" borderId="82" xfId="12" applyFont="1" applyFill="1" applyBorder="1" applyAlignment="1" applyProtection="1">
      <alignment horizontal="left" vertical="center" wrapText="1"/>
      <protection locked="0"/>
    </xf>
    <xf numFmtId="3" fontId="2" fillId="0" borderId="68" xfId="12" applyNumberFormat="1" applyFont="1" applyFill="1" applyBorder="1" applyAlignment="1" applyProtection="1">
      <alignment horizontal="center" vertical="center" wrapText="1"/>
      <protection locked="0"/>
    </xf>
    <xf numFmtId="3" fontId="2" fillId="0" borderId="57" xfId="12" applyNumberFormat="1" applyFont="1" applyFill="1" applyBorder="1" applyAlignment="1" applyProtection="1">
      <alignment horizontal="center" vertical="center" wrapText="1"/>
      <protection locked="0"/>
    </xf>
    <xf numFmtId="0" fontId="2" fillId="0" borderId="41" xfId="1" applyFont="1" applyFill="1" applyBorder="1" applyAlignment="1">
      <alignment horizontal="left" vertical="center"/>
    </xf>
    <xf numFmtId="0" fontId="2" fillId="0" borderId="41" xfId="1" quotePrefix="1" applyFont="1" applyFill="1" applyBorder="1" applyAlignment="1">
      <alignment horizontal="left" vertical="center" wrapText="1"/>
    </xf>
    <xf numFmtId="0" fontId="2" fillId="0" borderId="78" xfId="1" quotePrefix="1" applyFont="1" applyFill="1" applyBorder="1" applyAlignment="1" applyProtection="1">
      <alignment horizontal="left" vertical="center" wrapText="1"/>
      <protection locked="0"/>
    </xf>
    <xf numFmtId="0" fontId="2" fillId="0" borderId="80" xfId="1" quotePrefix="1" applyFont="1" applyFill="1" applyBorder="1" applyAlignment="1" applyProtection="1">
      <alignment horizontal="left" vertical="center" wrapText="1"/>
      <protection locked="0"/>
    </xf>
    <xf numFmtId="0" fontId="2" fillId="0" borderId="78" xfId="1" applyFont="1" applyFill="1" applyBorder="1" applyAlignment="1" applyProtection="1">
      <alignment horizontal="left" vertical="center" wrapText="1"/>
      <protection locked="0"/>
    </xf>
    <xf numFmtId="0" fontId="2" fillId="0" borderId="80" xfId="1" applyFont="1" applyFill="1" applyBorder="1" applyAlignment="1" applyProtection="1">
      <alignment horizontal="left" vertical="center" wrapText="1"/>
      <protection locked="0"/>
    </xf>
    <xf numFmtId="0" fontId="2" fillId="0" borderId="41" xfId="6" applyFont="1" applyBorder="1" applyAlignment="1" applyProtection="1">
      <alignment horizontal="center" vertical="center"/>
      <protection locked="0"/>
    </xf>
    <xf numFmtId="3" fontId="2" fillId="0" borderId="68" xfId="6" applyNumberFormat="1" applyFont="1" applyBorder="1" applyAlignment="1" applyProtection="1">
      <alignment horizontal="center" vertical="center" wrapText="1"/>
      <protection locked="0"/>
    </xf>
    <xf numFmtId="3" fontId="3" fillId="0" borderId="57" xfId="6" applyNumberFormat="1" applyFont="1" applyBorder="1" applyAlignment="1" applyProtection="1">
      <alignment horizontal="center" vertical="center" wrapText="1"/>
      <protection locked="0"/>
    </xf>
    <xf numFmtId="0" fontId="2" fillId="0" borderId="68" xfId="6" applyFont="1" applyBorder="1" applyAlignment="1" applyProtection="1">
      <alignment horizontal="center" vertical="center"/>
      <protection locked="0"/>
    </xf>
    <xf numFmtId="0" fontId="2" fillId="0" borderId="18" xfId="6" applyFont="1" applyBorder="1" applyAlignment="1" applyProtection="1">
      <alignment horizontal="center" vertical="center"/>
      <protection locked="0"/>
    </xf>
    <xf numFmtId="0" fontId="2" fillId="0" borderId="57" xfId="6" applyFont="1" applyBorder="1" applyAlignment="1" applyProtection="1">
      <alignment horizontal="center" vertical="center"/>
      <protection locked="0"/>
    </xf>
    <xf numFmtId="0" fontId="2" fillId="0" borderId="68" xfId="6" applyFont="1" applyBorder="1" applyAlignment="1" applyProtection="1">
      <alignment horizontal="left" vertical="center" wrapText="1"/>
      <protection locked="0"/>
    </xf>
    <xf numFmtId="0" fontId="2" fillId="0" borderId="18" xfId="6" applyFont="1" applyBorder="1" applyAlignment="1" applyProtection="1">
      <alignment horizontal="left" vertical="center" wrapText="1"/>
      <protection locked="0"/>
    </xf>
    <xf numFmtId="0" fontId="2" fillId="0" borderId="57" xfId="6" applyFont="1" applyBorder="1" applyAlignment="1" applyProtection="1">
      <alignment horizontal="left" vertical="center" wrapText="1"/>
      <protection locked="0"/>
    </xf>
    <xf numFmtId="3" fontId="2" fillId="0" borderId="18" xfId="6" applyNumberFormat="1" applyFont="1" applyBorder="1" applyAlignment="1" applyProtection="1">
      <alignment horizontal="center" vertical="center" wrapText="1"/>
      <protection locked="0"/>
    </xf>
    <xf numFmtId="3" fontId="2" fillId="0" borderId="57" xfId="6" applyNumberFormat="1" applyFont="1" applyBorder="1" applyAlignment="1" applyProtection="1">
      <alignment horizontal="center" vertical="center" wrapText="1"/>
      <protection locked="0"/>
    </xf>
    <xf numFmtId="0" fontId="25" fillId="0" borderId="41" xfId="6" applyFont="1" applyBorder="1" applyAlignment="1" applyProtection="1">
      <alignment horizontal="left" vertical="center" wrapText="1"/>
      <protection locked="0"/>
    </xf>
    <xf numFmtId="0" fontId="2" fillId="0" borderId="0" xfId="6" applyFont="1" applyAlignment="1">
      <alignment horizontal="left"/>
    </xf>
    <xf numFmtId="0" fontId="11" fillId="0" borderId="0" xfId="6" applyFont="1" applyAlignment="1">
      <alignment horizontal="center"/>
    </xf>
    <xf numFmtId="16" fontId="2" fillId="0" borderId="68" xfId="6" applyNumberFormat="1" applyFont="1" applyBorder="1" applyAlignment="1" applyProtection="1">
      <alignment horizontal="center" vertical="center" wrapText="1"/>
      <protection locked="0"/>
    </xf>
    <xf numFmtId="16" fontId="2" fillId="0" borderId="57" xfId="6" applyNumberFormat="1" applyFont="1" applyBorder="1" applyAlignment="1" applyProtection="1">
      <alignment horizontal="center" vertical="center" wrapText="1"/>
      <protection locked="0"/>
    </xf>
    <xf numFmtId="0" fontId="2" fillId="0" borderId="41" xfId="6" applyFont="1" applyFill="1" applyBorder="1" applyAlignment="1" applyProtection="1">
      <alignment horizontal="right" wrapText="1"/>
      <protection locked="0"/>
    </xf>
    <xf numFmtId="0" fontId="2" fillId="0" borderId="0" xfId="6" applyFont="1" applyFill="1" applyAlignment="1">
      <alignment horizontal="left" vertical="center" wrapText="1"/>
    </xf>
    <xf numFmtId="0" fontId="2" fillId="0" borderId="68" xfId="6" applyFont="1" applyBorder="1" applyAlignment="1">
      <alignment horizontal="center" vertical="center"/>
    </xf>
    <xf numFmtId="0" fontId="2" fillId="0" borderId="57" xfId="6" applyFont="1" applyBorder="1" applyAlignment="1">
      <alignment horizontal="center" vertical="center"/>
    </xf>
    <xf numFmtId="0" fontId="2" fillId="0" borderId="0" xfId="1" applyFont="1" applyAlignment="1">
      <alignment horizontal="left" vertical="center"/>
    </xf>
    <xf numFmtId="0" fontId="2" fillId="0" borderId="68" xfId="1" applyFont="1" applyFill="1" applyBorder="1" applyAlignment="1">
      <alignment horizontal="center" vertical="center" wrapText="1"/>
    </xf>
    <xf numFmtId="0" fontId="2" fillId="0" borderId="57" xfId="1" applyFont="1" applyFill="1" applyBorder="1" applyAlignment="1">
      <alignment horizontal="center" vertical="center" wrapText="1"/>
    </xf>
    <xf numFmtId="0" fontId="2" fillId="0" borderId="68" xfId="0" applyFont="1" applyBorder="1" applyAlignment="1">
      <alignment horizontal="center" vertical="center" wrapText="1"/>
    </xf>
    <xf numFmtId="0" fontId="2" fillId="0" borderId="57" xfId="0" applyFont="1" applyBorder="1" applyAlignment="1">
      <alignment horizontal="center" vertical="center" wrapText="1"/>
    </xf>
    <xf numFmtId="3" fontId="2" fillId="0" borderId="41" xfId="6" applyNumberFormat="1" applyFont="1" applyFill="1" applyBorder="1" applyAlignment="1" applyProtection="1">
      <alignment horizontal="center" vertical="center" wrapText="1"/>
      <protection locked="0"/>
    </xf>
    <xf numFmtId="0" fontId="2" fillId="0" borderId="0" xfId="6" applyFont="1" applyBorder="1" applyAlignment="1" applyProtection="1">
      <alignment horizontal="left" vertical="center" wrapText="1"/>
      <protection locked="0"/>
    </xf>
    <xf numFmtId="0" fontId="3" fillId="0" borderId="75" xfId="6" applyFont="1" applyFill="1" applyBorder="1" applyAlignment="1">
      <alignment horizontal="right" wrapText="1"/>
    </xf>
    <xf numFmtId="0" fontId="3" fillId="0" borderId="5" xfId="6" applyFont="1" applyFill="1" applyBorder="1" applyAlignment="1">
      <alignment horizontal="right" wrapText="1"/>
    </xf>
    <xf numFmtId="0" fontId="2" fillId="0" borderId="80" xfId="6" applyFont="1" applyBorder="1" applyAlignment="1">
      <alignment horizontal="center" vertical="center" wrapText="1"/>
    </xf>
    <xf numFmtId="0" fontId="2" fillId="0" borderId="82" xfId="6" applyFont="1" applyBorder="1" applyAlignment="1">
      <alignment horizontal="center" vertical="center" wrapText="1"/>
    </xf>
    <xf numFmtId="0" fontId="2" fillId="0" borderId="68" xfId="6" applyFont="1" applyBorder="1" applyAlignment="1">
      <alignment horizontal="center" vertical="center" wrapText="1"/>
    </xf>
    <xf numFmtId="0" fontId="2" fillId="0" borderId="57" xfId="6" applyFont="1" applyBorder="1" applyAlignment="1">
      <alignment horizontal="center" vertical="center" wrapText="1"/>
    </xf>
    <xf numFmtId="0" fontId="2" fillId="0" borderId="41" xfId="6" applyFont="1" applyFill="1" applyBorder="1" applyAlignment="1">
      <alignment horizontal="left" vertical="center" wrapText="1"/>
    </xf>
    <xf numFmtId="0" fontId="2" fillId="0" borderId="41" xfId="6" applyFont="1" applyFill="1" applyBorder="1" applyAlignment="1" applyProtection="1">
      <alignment horizontal="center" vertical="center"/>
      <protection locked="0"/>
    </xf>
    <xf numFmtId="0" fontId="2" fillId="0" borderId="75" xfId="6" applyFont="1" applyFill="1" applyBorder="1" applyAlignment="1" applyProtection="1">
      <alignment horizontal="left" vertical="center" wrapText="1"/>
      <protection locked="0"/>
    </xf>
    <xf numFmtId="0" fontId="2" fillId="0" borderId="77" xfId="6" applyFont="1" applyBorder="1" applyAlignment="1" applyProtection="1">
      <alignment horizontal="left" vertical="center" wrapText="1"/>
      <protection locked="0"/>
    </xf>
    <xf numFmtId="0" fontId="2" fillId="0" borderId="79" xfId="6" applyFont="1" applyBorder="1" applyAlignment="1" applyProtection="1">
      <alignment horizontal="left" vertical="center" wrapText="1"/>
      <protection locked="0"/>
    </xf>
    <xf numFmtId="0" fontId="11" fillId="7" borderId="0" xfId="1" applyFont="1" applyFill="1" applyAlignment="1">
      <alignment horizontal="center"/>
    </xf>
    <xf numFmtId="0" fontId="2" fillId="0" borderId="78" xfId="6" applyFont="1" applyBorder="1" applyAlignment="1" applyProtection="1">
      <alignment horizontal="left" vertical="center" wrapText="1"/>
      <protection locked="0"/>
    </xf>
    <xf numFmtId="3" fontId="2" fillId="0" borderId="68" xfId="6" applyNumberFormat="1" applyFont="1" applyFill="1" applyBorder="1" applyAlignment="1" applyProtection="1">
      <alignment horizontal="center" vertical="center" wrapText="1"/>
      <protection locked="0"/>
    </xf>
    <xf numFmtId="3" fontId="2" fillId="0" borderId="18" xfId="6" applyNumberFormat="1" applyFont="1" applyFill="1" applyBorder="1" applyAlignment="1" applyProtection="1">
      <alignment horizontal="center" vertical="center" wrapText="1"/>
      <protection locked="0"/>
    </xf>
    <xf numFmtId="0" fontId="11" fillId="0" borderId="0" xfId="1" applyFont="1" applyAlignment="1">
      <alignment horizontal="center" vertical="center"/>
    </xf>
    <xf numFmtId="0" fontId="3" fillId="0" borderId="41" xfId="1" applyFont="1" applyBorder="1" applyAlignment="1" applyProtection="1">
      <alignment vertical="center" wrapText="1"/>
      <protection locked="0"/>
    </xf>
    <xf numFmtId="0" fontId="3" fillId="0" borderId="41" xfId="1" applyFont="1" applyBorder="1" applyAlignment="1" applyProtection="1">
      <alignment horizontal="left" vertical="center" wrapText="1"/>
      <protection locked="0"/>
    </xf>
    <xf numFmtId="0" fontId="2" fillId="0" borderId="41" xfId="1" applyFont="1" applyFill="1" applyBorder="1" applyAlignment="1" applyProtection="1">
      <alignment horizontal="left" vertical="center"/>
      <protection locked="0"/>
    </xf>
    <xf numFmtId="0" fontId="3" fillId="0" borderId="41" xfId="6" applyFont="1" applyFill="1" applyBorder="1" applyAlignment="1">
      <alignment horizontal="left" vertical="center" wrapText="1"/>
    </xf>
    <xf numFmtId="16" fontId="2" fillId="0" borderId="41" xfId="6" applyNumberFormat="1" applyFont="1" applyFill="1" applyBorder="1" applyAlignment="1" applyProtection="1">
      <alignment horizontal="center" vertical="center" wrapText="1"/>
      <protection locked="0"/>
    </xf>
    <xf numFmtId="0" fontId="2" fillId="0" borderId="41" xfId="0" applyFont="1" applyFill="1" applyBorder="1" applyAlignment="1" applyProtection="1">
      <alignment horizontal="left" vertical="center" wrapText="1"/>
      <protection locked="0"/>
    </xf>
    <xf numFmtId="0" fontId="2" fillId="0" borderId="41" xfId="0" applyFont="1" applyFill="1" applyBorder="1" applyAlignment="1" applyProtection="1">
      <alignment vertical="center" wrapText="1"/>
      <protection locked="0"/>
    </xf>
    <xf numFmtId="0" fontId="2" fillId="0" borderId="41" xfId="1" applyFont="1" applyBorder="1" applyAlignment="1" applyProtection="1">
      <alignment vertical="center" wrapText="1"/>
      <protection locked="0"/>
    </xf>
    <xf numFmtId="0" fontId="2" fillId="0" borderId="41" xfId="1" applyFont="1" applyFill="1" applyBorder="1" applyAlignment="1" applyProtection="1">
      <alignment vertical="center" wrapText="1"/>
      <protection locked="0"/>
    </xf>
    <xf numFmtId="0" fontId="2" fillId="0" borderId="0" xfId="1" applyFont="1" applyFill="1" applyAlignment="1">
      <alignment horizontal="left" wrapText="1"/>
    </xf>
    <xf numFmtId="0" fontId="3" fillId="0" borderId="75" xfId="6" applyFont="1" applyBorder="1" applyAlignment="1">
      <alignment horizontal="right" wrapText="1"/>
    </xf>
    <xf numFmtId="0" fontId="3" fillId="0" borderId="5" xfId="6" applyFont="1" applyBorder="1" applyAlignment="1">
      <alignment horizontal="right" wrapText="1"/>
    </xf>
    <xf numFmtId="0" fontId="3" fillId="0" borderId="0" xfId="1" applyFont="1" applyFill="1" applyAlignment="1">
      <alignment horizontal="left" vertical="center"/>
    </xf>
    <xf numFmtId="0" fontId="2" fillId="0" borderId="0" xfId="1" applyFont="1" applyFill="1" applyAlignment="1">
      <alignment horizontal="left" vertical="center" wrapText="1"/>
    </xf>
    <xf numFmtId="0" fontId="2" fillId="0" borderId="18" xfId="1" applyFont="1" applyBorder="1" applyAlignment="1" applyProtection="1">
      <alignment horizontal="center" vertical="center" wrapText="1"/>
      <protection locked="0"/>
    </xf>
    <xf numFmtId="0" fontId="2" fillId="0" borderId="68" xfId="1" applyFont="1" applyBorder="1" applyAlignment="1" applyProtection="1">
      <alignment horizontal="left" vertical="center" wrapText="1"/>
      <protection locked="0"/>
    </xf>
    <xf numFmtId="0" fontId="2" fillId="0" borderId="18" xfId="1" applyFont="1" applyBorder="1" applyAlignment="1" applyProtection="1">
      <alignment horizontal="left" vertical="center" wrapText="1"/>
      <protection locked="0"/>
    </xf>
    <xf numFmtId="0" fontId="2" fillId="0" borderId="57" xfId="1" applyFont="1" applyBorder="1" applyAlignment="1" applyProtection="1">
      <alignment horizontal="left" vertical="center" wrapText="1"/>
      <protection locked="0"/>
    </xf>
    <xf numFmtId="3" fontId="2" fillId="0" borderId="68" xfId="1" applyNumberFormat="1" applyFont="1" applyBorder="1" applyAlignment="1">
      <alignment horizontal="left" vertical="center" wrapText="1"/>
    </xf>
    <xf numFmtId="3" fontId="2" fillId="0" borderId="18" xfId="1" applyNumberFormat="1" applyFont="1" applyBorder="1" applyAlignment="1">
      <alignment horizontal="left" vertical="center" wrapText="1"/>
    </xf>
    <xf numFmtId="3" fontId="2" fillId="0" borderId="57" xfId="1" applyNumberFormat="1" applyFont="1" applyBorder="1" applyAlignment="1">
      <alignment horizontal="left" vertical="center" wrapText="1"/>
    </xf>
    <xf numFmtId="3" fontId="2" fillId="0" borderId="68" xfId="1" applyNumberFormat="1" applyFont="1" applyBorder="1" applyAlignment="1" applyProtection="1">
      <alignment horizontal="center" vertical="center" wrapText="1"/>
      <protection locked="0"/>
    </xf>
    <xf numFmtId="3" fontId="2" fillId="0" borderId="18" xfId="1" applyNumberFormat="1" applyFont="1" applyBorder="1" applyAlignment="1" applyProtection="1">
      <alignment horizontal="center" vertical="center" wrapText="1"/>
      <protection locked="0"/>
    </xf>
    <xf numFmtId="3" fontId="2" fillId="0" borderId="57" xfId="1" applyNumberFormat="1" applyFont="1" applyBorder="1" applyAlignment="1" applyProtection="1">
      <alignment horizontal="center" vertical="center" wrapText="1"/>
      <protection locked="0"/>
    </xf>
    <xf numFmtId="0" fontId="2" fillId="0" borderId="41" xfId="1" applyFont="1" applyBorder="1" applyAlignment="1" applyProtection="1">
      <alignment horizontal="center" vertical="center"/>
      <protection locked="0"/>
    </xf>
    <xf numFmtId="3" fontId="2" fillId="7" borderId="68" xfId="1" applyNumberFormat="1" applyFont="1" applyFill="1" applyBorder="1" applyAlignment="1" applyProtection="1">
      <alignment horizontal="center" vertical="center" wrapText="1"/>
      <protection locked="0"/>
    </xf>
    <xf numFmtId="3" fontId="2" fillId="7" borderId="18" xfId="1" applyNumberFormat="1" applyFont="1" applyFill="1" applyBorder="1" applyAlignment="1" applyProtection="1">
      <alignment horizontal="center" vertical="center" wrapText="1"/>
      <protection locked="0"/>
    </xf>
    <xf numFmtId="3" fontId="2" fillId="7" borderId="57" xfId="1" applyNumberFormat="1" applyFont="1" applyFill="1" applyBorder="1" applyAlignment="1" applyProtection="1">
      <alignment horizontal="center" vertical="center" wrapText="1"/>
      <protection locked="0"/>
    </xf>
    <xf numFmtId="3" fontId="2" fillId="0" borderId="68" xfId="1" applyNumberFormat="1" applyFont="1" applyFill="1" applyBorder="1" applyAlignment="1" applyProtection="1">
      <alignment horizontal="left" vertical="center" wrapText="1"/>
      <protection locked="0"/>
    </xf>
    <xf numFmtId="3" fontId="2" fillId="0" borderId="57" xfId="1" applyNumberFormat="1" applyFont="1" applyFill="1" applyBorder="1" applyAlignment="1" applyProtection="1">
      <alignment horizontal="left" vertical="center" wrapText="1"/>
      <protection locked="0"/>
    </xf>
    <xf numFmtId="0" fontId="2" fillId="0" borderId="0" xfId="6" applyFont="1" applyBorder="1" applyAlignment="1">
      <alignment horizontal="center" vertical="center" wrapText="1"/>
    </xf>
    <xf numFmtId="0" fontId="2" fillId="0" borderId="76" xfId="6" applyFont="1" applyBorder="1" applyAlignment="1">
      <alignment horizontal="center" vertical="center" wrapText="1"/>
    </xf>
    <xf numFmtId="0" fontId="2" fillId="0" borderId="20" xfId="6" applyFont="1" applyBorder="1" applyAlignment="1">
      <alignment horizontal="center" vertical="center" wrapText="1"/>
    </xf>
    <xf numFmtId="3" fontId="2" fillId="0" borderId="68" xfId="6" applyNumberFormat="1" applyFont="1" applyBorder="1" applyAlignment="1">
      <alignment horizontal="center" vertical="center" wrapText="1"/>
    </xf>
    <xf numFmtId="3" fontId="2" fillId="0" borderId="57" xfId="6" applyNumberFormat="1" applyFont="1" applyBorder="1" applyAlignment="1">
      <alignment horizontal="center" vertical="center" wrapText="1"/>
    </xf>
    <xf numFmtId="0" fontId="2" fillId="0" borderId="68" xfId="6" applyFont="1" applyFill="1" applyBorder="1" applyAlignment="1" applyProtection="1">
      <alignment horizontal="center" vertical="center" wrapText="1"/>
      <protection locked="0"/>
    </xf>
    <xf numFmtId="0" fontId="2" fillId="0" borderId="18" xfId="6" applyFont="1" applyFill="1" applyBorder="1" applyAlignment="1" applyProtection="1">
      <alignment horizontal="center" vertical="center" wrapText="1"/>
      <protection locked="0"/>
    </xf>
    <xf numFmtId="0" fontId="2" fillId="0" borderId="57" xfId="6" applyFont="1" applyFill="1" applyBorder="1" applyAlignment="1" applyProtection="1">
      <alignment horizontal="center" vertical="center" wrapText="1"/>
      <protection locked="0"/>
    </xf>
    <xf numFmtId="3" fontId="3" fillId="0" borderId="52" xfId="6" applyNumberFormat="1" applyFont="1" applyFill="1" applyBorder="1" applyAlignment="1" applyProtection="1">
      <alignment horizontal="center" vertical="center" wrapText="1"/>
      <protection locked="0"/>
    </xf>
    <xf numFmtId="3" fontId="3" fillId="0" borderId="64" xfId="6" applyNumberFormat="1" applyFont="1" applyFill="1" applyBorder="1" applyAlignment="1" applyProtection="1">
      <alignment horizontal="center" vertical="center" wrapText="1"/>
      <protection locked="0"/>
    </xf>
    <xf numFmtId="3" fontId="3" fillId="0" borderId="48" xfId="6" applyNumberFormat="1" applyFont="1" applyFill="1" applyBorder="1" applyAlignment="1" applyProtection="1">
      <alignment horizontal="center" vertical="center" wrapText="1"/>
      <protection locked="0"/>
    </xf>
    <xf numFmtId="0" fontId="3" fillId="0" borderId="53" xfId="6" applyFont="1" applyBorder="1" applyAlignment="1" applyProtection="1">
      <alignment horizontal="left" vertical="center" wrapText="1"/>
      <protection locked="0"/>
    </xf>
    <xf numFmtId="0" fontId="3" fillId="0" borderId="65" xfId="6" applyFont="1" applyBorder="1" applyAlignment="1" applyProtection="1">
      <alignment horizontal="left" vertical="center" wrapText="1"/>
      <protection locked="0"/>
    </xf>
    <xf numFmtId="0" fontId="3" fillId="0" borderId="49" xfId="6" applyFont="1" applyBorder="1" applyAlignment="1" applyProtection="1">
      <alignment horizontal="left" vertical="center" wrapText="1"/>
      <protection locked="0"/>
    </xf>
    <xf numFmtId="49" fontId="2" fillId="0" borderId="68" xfId="6" applyNumberFormat="1" applyFont="1" applyFill="1" applyBorder="1" applyAlignment="1">
      <alignment horizontal="center" vertical="center" wrapText="1"/>
    </xf>
    <xf numFmtId="49" fontId="2" fillId="0" borderId="18" xfId="6" applyNumberFormat="1" applyFont="1" applyFill="1" applyBorder="1" applyAlignment="1">
      <alignment horizontal="center" vertical="center" wrapText="1"/>
    </xf>
    <xf numFmtId="49" fontId="2" fillId="0" borderId="57" xfId="6" applyNumberFormat="1" applyFont="1" applyFill="1" applyBorder="1" applyAlignment="1">
      <alignment horizontal="center" vertical="center" wrapText="1"/>
    </xf>
    <xf numFmtId="0" fontId="2" fillId="0" borderId="0" xfId="6" applyFont="1" applyBorder="1" applyAlignment="1">
      <alignment horizontal="left" vertical="center" wrapText="1"/>
    </xf>
    <xf numFmtId="0" fontId="2" fillId="0" borderId="68" xfId="6" applyFont="1" applyFill="1" applyBorder="1" applyAlignment="1" applyProtection="1">
      <alignment horizontal="left" vertical="center" wrapText="1"/>
      <protection locked="0"/>
    </xf>
    <xf numFmtId="3" fontId="3" fillId="0" borderId="68" xfId="6" applyNumberFormat="1" applyFont="1" applyFill="1" applyBorder="1" applyAlignment="1" applyProtection="1">
      <alignment horizontal="center" vertical="center" wrapText="1"/>
      <protection locked="0"/>
    </xf>
    <xf numFmtId="3" fontId="3" fillId="0" borderId="18" xfId="6" applyNumberFormat="1" applyFont="1" applyFill="1" applyBorder="1" applyAlignment="1" applyProtection="1">
      <alignment horizontal="center" vertical="center" wrapText="1"/>
      <protection locked="0"/>
    </xf>
    <xf numFmtId="3" fontId="3" fillId="0" borderId="57" xfId="6" applyNumberFormat="1" applyFont="1" applyFill="1" applyBorder="1" applyAlignment="1" applyProtection="1">
      <alignment horizontal="center" vertical="center" wrapText="1"/>
      <protection locked="0"/>
    </xf>
    <xf numFmtId="0" fontId="3" fillId="0" borderId="80" xfId="6" applyFont="1" applyFill="1" applyBorder="1" applyAlignment="1" applyProtection="1">
      <alignment horizontal="left" vertical="center" wrapText="1"/>
      <protection locked="0"/>
    </xf>
    <xf numFmtId="0" fontId="3" fillId="0" borderId="20" xfId="6" applyFont="1" applyFill="1" applyBorder="1" applyAlignment="1" applyProtection="1">
      <alignment horizontal="left" vertical="center" wrapText="1"/>
      <protection locked="0"/>
    </xf>
    <xf numFmtId="49" fontId="2" fillId="0" borderId="41" xfId="6" applyNumberFormat="1" applyFont="1" applyFill="1" applyBorder="1" applyAlignment="1">
      <alignment horizontal="center" vertical="center" wrapText="1"/>
    </xf>
    <xf numFmtId="0" fontId="3" fillId="0" borderId="41" xfId="6" applyFont="1" applyFill="1" applyBorder="1" applyAlignment="1" applyProtection="1">
      <alignment horizontal="center" vertical="center" wrapText="1"/>
      <protection locked="0"/>
    </xf>
    <xf numFmtId="0" fontId="3" fillId="0" borderId="41" xfId="6" applyFont="1" applyFill="1" applyBorder="1" applyAlignment="1" applyProtection="1">
      <alignment horizontal="left" vertical="center" wrapText="1"/>
      <protection locked="0"/>
    </xf>
    <xf numFmtId="4" fontId="2" fillId="0" borderId="68" xfId="6" applyNumberFormat="1" applyFont="1" applyFill="1" applyBorder="1" applyAlignment="1" applyProtection="1">
      <alignment horizontal="center" vertical="center" wrapText="1"/>
      <protection locked="0"/>
    </xf>
    <xf numFmtId="4" fontId="2" fillId="0" borderId="18" xfId="6" applyNumberFormat="1" applyFont="1" applyFill="1" applyBorder="1" applyAlignment="1" applyProtection="1">
      <alignment horizontal="center" vertical="center" wrapText="1"/>
      <protection locked="0"/>
    </xf>
    <xf numFmtId="4" fontId="2" fillId="0" borderId="57" xfId="6" applyNumberFormat="1" applyFont="1" applyFill="1" applyBorder="1" applyAlignment="1" applyProtection="1">
      <alignment horizontal="center" vertical="center" wrapText="1"/>
      <protection locked="0"/>
    </xf>
    <xf numFmtId="0" fontId="3" fillId="0" borderId="41" xfId="6" applyFont="1" applyFill="1" applyBorder="1" applyAlignment="1" applyProtection="1">
      <alignment horizontal="center" vertical="center"/>
      <protection locked="0"/>
    </xf>
    <xf numFmtId="0" fontId="2" fillId="0" borderId="78" xfId="6" applyFont="1" applyFill="1" applyBorder="1" applyAlignment="1" applyProtection="1">
      <alignment horizontal="center" vertical="center" wrapText="1"/>
      <protection locked="0"/>
    </xf>
    <xf numFmtId="0" fontId="2" fillId="0" borderId="77" xfId="6" applyFont="1" applyFill="1" applyBorder="1" applyAlignment="1" applyProtection="1">
      <alignment horizontal="center" vertical="center" wrapText="1"/>
      <protection locked="0"/>
    </xf>
    <xf numFmtId="0" fontId="2" fillId="0" borderId="79" xfId="6" applyFont="1" applyFill="1" applyBorder="1" applyAlignment="1" applyProtection="1">
      <alignment horizontal="center" vertical="center" wrapText="1"/>
      <protection locked="0"/>
    </xf>
    <xf numFmtId="0" fontId="2" fillId="0" borderId="20" xfId="6" applyFont="1" applyFill="1" applyBorder="1" applyAlignment="1" applyProtection="1">
      <alignment horizontal="left" vertical="center" wrapText="1"/>
      <protection locked="0"/>
    </xf>
    <xf numFmtId="0" fontId="2" fillId="0" borderId="82" xfId="6" applyFont="1" applyFill="1" applyBorder="1" applyAlignment="1" applyProtection="1">
      <alignment horizontal="left" vertical="center" wrapText="1"/>
      <protection locked="0"/>
    </xf>
    <xf numFmtId="4" fontId="2" fillId="0" borderId="68" xfId="6" applyNumberFormat="1" applyFont="1" applyFill="1" applyBorder="1" applyAlignment="1">
      <alignment horizontal="center" vertical="center" wrapText="1"/>
    </xf>
    <xf numFmtId="4" fontId="2" fillId="0" borderId="18" xfId="6" applyNumberFormat="1" applyFont="1" applyFill="1" applyBorder="1" applyAlignment="1">
      <alignment horizontal="center" vertical="center" wrapText="1"/>
    </xf>
    <xf numFmtId="4" fontId="2" fillId="0" borderId="57" xfId="6" applyNumberFormat="1" applyFont="1" applyFill="1" applyBorder="1" applyAlignment="1">
      <alignment horizontal="center" vertical="center" wrapText="1"/>
    </xf>
    <xf numFmtId="0" fontId="2" fillId="0" borderId="41" xfId="6" applyFont="1" applyFill="1" applyBorder="1" applyAlignment="1" applyProtection="1">
      <alignment horizontal="left" vertical="center"/>
      <protection locked="0"/>
    </xf>
    <xf numFmtId="2" fontId="2" fillId="0" borderId="41" xfId="6" applyNumberFormat="1" applyFont="1" applyFill="1" applyBorder="1" applyAlignment="1" applyProtection="1">
      <alignment horizontal="center" vertical="center" wrapText="1"/>
      <protection locked="0"/>
    </xf>
    <xf numFmtId="0" fontId="3" fillId="0" borderId="68" xfId="6" applyFont="1" applyFill="1" applyBorder="1" applyAlignment="1" applyProtection="1">
      <alignment horizontal="center" vertical="center" wrapText="1"/>
      <protection locked="0"/>
    </xf>
    <xf numFmtId="0" fontId="3" fillId="0" borderId="18" xfId="6" applyFont="1" applyFill="1" applyBorder="1" applyAlignment="1" applyProtection="1">
      <alignment horizontal="center" vertical="center" wrapText="1"/>
      <protection locked="0"/>
    </xf>
    <xf numFmtId="0" fontId="3" fillId="0" borderId="68" xfId="6" applyFont="1" applyFill="1" applyBorder="1" applyAlignment="1" applyProtection="1">
      <alignment horizontal="left" vertical="center" wrapText="1"/>
      <protection locked="0"/>
    </xf>
    <xf numFmtId="0" fontId="3" fillId="0" borderId="18" xfId="6" applyFont="1" applyFill="1" applyBorder="1" applyAlignment="1" applyProtection="1">
      <alignment horizontal="left" vertical="center" wrapText="1"/>
      <protection locked="0"/>
    </xf>
    <xf numFmtId="0" fontId="3" fillId="0" borderId="57" xfId="6" applyFont="1" applyFill="1" applyBorder="1" applyAlignment="1" applyProtection="1">
      <alignment horizontal="center" vertical="center" wrapText="1"/>
      <protection locked="0"/>
    </xf>
    <xf numFmtId="0" fontId="3" fillId="7" borderId="68" xfId="6" applyFont="1" applyFill="1" applyBorder="1" applyAlignment="1" applyProtection="1">
      <alignment horizontal="left" vertical="center" wrapText="1"/>
      <protection locked="0"/>
    </xf>
    <xf numFmtId="0" fontId="3" fillId="7" borderId="18" xfId="6" applyFont="1" applyFill="1" applyBorder="1" applyAlignment="1" applyProtection="1">
      <alignment horizontal="left" vertical="center" wrapText="1"/>
      <protection locked="0"/>
    </xf>
    <xf numFmtId="0" fontId="3" fillId="7" borderId="57" xfId="6" applyFont="1" applyFill="1" applyBorder="1" applyAlignment="1" applyProtection="1">
      <alignment horizontal="left" vertical="center" wrapText="1"/>
      <protection locked="0"/>
    </xf>
    <xf numFmtId="0" fontId="3" fillId="0" borderId="68" xfId="6" applyFont="1" applyFill="1" applyBorder="1" applyAlignment="1">
      <alignment horizontal="left" vertical="center" wrapText="1"/>
    </xf>
    <xf numFmtId="0" fontId="3" fillId="0" borderId="18" xfId="6" applyFont="1" applyFill="1" applyBorder="1" applyAlignment="1">
      <alignment horizontal="left" vertical="center" wrapText="1"/>
    </xf>
    <xf numFmtId="0" fontId="3" fillId="0" borderId="57" xfId="6" applyFont="1" applyFill="1" applyBorder="1" applyAlignment="1">
      <alignment horizontal="left" vertical="center" wrapText="1"/>
    </xf>
    <xf numFmtId="166" fontId="3" fillId="0" borderId="41" xfId="6" applyNumberFormat="1" applyFont="1" applyFill="1" applyBorder="1" applyAlignment="1" applyProtection="1">
      <alignment horizontal="center" vertical="center" wrapText="1"/>
      <protection locked="0"/>
    </xf>
    <xf numFmtId="0" fontId="2" fillId="0" borderId="18" xfId="6" applyFont="1" applyFill="1" applyBorder="1" applyAlignment="1" applyProtection="1">
      <alignment horizontal="left" vertical="center" wrapText="1"/>
      <protection locked="0"/>
    </xf>
    <xf numFmtId="0" fontId="2" fillId="0" borderId="57" xfId="6" applyFont="1" applyFill="1" applyBorder="1" applyAlignment="1" applyProtection="1">
      <alignment horizontal="left" vertical="center" wrapText="1"/>
      <protection locked="0"/>
    </xf>
    <xf numFmtId="3" fontId="2" fillId="0" borderId="57" xfId="6" applyNumberFormat="1" applyFont="1" applyFill="1" applyBorder="1" applyAlignment="1" applyProtection="1">
      <alignment horizontal="center" vertical="center" wrapText="1"/>
      <protection locked="0"/>
    </xf>
    <xf numFmtId="165" fontId="2" fillId="0" borderId="41" xfId="6" applyNumberFormat="1" applyFont="1" applyFill="1" applyBorder="1" applyAlignment="1" applyProtection="1">
      <alignment horizontal="center" vertical="center"/>
      <protection locked="0"/>
    </xf>
    <xf numFmtId="2" fontId="2" fillId="0" borderId="68" xfId="6" applyNumberFormat="1" applyFont="1" applyFill="1" applyBorder="1" applyAlignment="1" applyProtection="1">
      <alignment horizontal="center" vertical="center" wrapText="1"/>
      <protection locked="0"/>
    </xf>
    <xf numFmtId="2" fontId="2" fillId="0" borderId="18" xfId="6" applyNumberFormat="1" applyFont="1" applyFill="1" applyBorder="1" applyAlignment="1" applyProtection="1">
      <alignment horizontal="center" vertical="center" wrapText="1"/>
      <protection locked="0"/>
    </xf>
    <xf numFmtId="2" fontId="2" fillId="0" borderId="57" xfId="6" applyNumberFormat="1" applyFont="1" applyFill="1" applyBorder="1" applyAlignment="1" applyProtection="1">
      <alignment horizontal="center" vertical="center" wrapText="1"/>
      <protection locked="0"/>
    </xf>
    <xf numFmtId="165" fontId="3" fillId="0" borderId="41" xfId="6" applyNumberFormat="1" applyFont="1" applyFill="1" applyBorder="1" applyAlignment="1" applyProtection="1">
      <alignment horizontal="center" vertical="center" wrapText="1"/>
      <protection locked="0"/>
    </xf>
    <xf numFmtId="0" fontId="3" fillId="0" borderId="41" xfId="6" applyFont="1" applyFill="1" applyBorder="1" applyAlignment="1">
      <alignment horizontal="right" wrapText="1"/>
    </xf>
    <xf numFmtId="0" fontId="2" fillId="0" borderId="68" xfId="1" applyFont="1" applyBorder="1" applyAlignment="1">
      <alignment horizontal="center" vertical="center" wrapText="1"/>
    </xf>
    <xf numFmtId="0" fontId="2" fillId="0" borderId="57" xfId="1" applyFont="1" applyBorder="1" applyAlignment="1">
      <alignment horizontal="center" vertical="center" wrapText="1"/>
    </xf>
    <xf numFmtId="3" fontId="2" fillId="0" borderId="0" xfId="3" applyNumberFormat="1" applyFont="1" applyAlignment="1">
      <alignment horizontal="left"/>
    </xf>
    <xf numFmtId="0" fontId="11" fillId="0" borderId="0" xfId="2" applyFont="1" applyAlignment="1">
      <alignment horizontal="center"/>
    </xf>
    <xf numFmtId="0" fontId="13" fillId="0" borderId="0" xfId="2" applyFont="1" applyAlignment="1">
      <alignment horizontal="left"/>
    </xf>
    <xf numFmtId="0" fontId="2" fillId="0" borderId="0" xfId="4" applyFont="1" applyBorder="1" applyAlignment="1">
      <alignment horizontal="left" vertical="center" wrapText="1"/>
    </xf>
    <xf numFmtId="0" fontId="2" fillId="0" borderId="68" xfId="4" applyFont="1" applyBorder="1" applyAlignment="1">
      <alignment horizontal="center" vertical="center" wrapText="1"/>
    </xf>
    <xf numFmtId="0" fontId="2" fillId="0" borderId="18" xfId="4" applyFont="1" applyBorder="1" applyAlignment="1">
      <alignment horizontal="center" vertical="center" wrapText="1"/>
    </xf>
    <xf numFmtId="0" fontId="2" fillId="0" borderId="57" xfId="4" applyFont="1" applyBorder="1" applyAlignment="1">
      <alignment horizontal="center" vertical="center" wrapText="1"/>
    </xf>
    <xf numFmtId="0" fontId="2" fillId="0" borderId="41" xfId="7" applyFont="1" applyBorder="1" applyAlignment="1">
      <alignment horizontal="left" vertical="center" wrapText="1"/>
    </xf>
    <xf numFmtId="0" fontId="2" fillId="0" borderId="41" xfId="2" applyFont="1" applyBorder="1" applyAlignment="1">
      <alignment horizontal="center" vertical="center" wrapText="1"/>
    </xf>
    <xf numFmtId="0" fontId="3" fillId="0" borderId="75" xfId="1" applyFont="1" applyBorder="1" applyAlignment="1">
      <alignment horizontal="right" wrapText="1"/>
    </xf>
    <xf numFmtId="0" fontId="3" fillId="0" borderId="5" xfId="1" applyFont="1" applyBorder="1" applyAlignment="1">
      <alignment horizontal="right" wrapText="1"/>
    </xf>
    <xf numFmtId="3" fontId="2" fillId="0" borderId="68" xfId="7" applyNumberFormat="1" applyFont="1" applyBorder="1" applyAlignment="1" applyProtection="1">
      <alignment horizontal="center" vertical="center" wrapText="1"/>
      <protection locked="0"/>
    </xf>
    <xf numFmtId="3" fontId="2" fillId="0" borderId="57" xfId="7" applyNumberFormat="1" applyFont="1" applyBorder="1" applyAlignment="1" applyProtection="1">
      <alignment horizontal="center" vertical="center" wrapText="1"/>
      <protection locked="0"/>
    </xf>
    <xf numFmtId="3" fontId="2" fillId="0" borderId="78" xfId="7" applyNumberFormat="1" applyFont="1" applyBorder="1" applyAlignment="1">
      <alignment horizontal="left" vertical="center" wrapText="1"/>
    </xf>
    <xf numFmtId="3" fontId="2" fillId="0" borderId="79" xfId="7" applyNumberFormat="1" applyFont="1" applyBorder="1" applyAlignment="1">
      <alignment horizontal="left" vertical="center" wrapText="1"/>
    </xf>
    <xf numFmtId="3" fontId="2" fillId="0" borderId="68" xfId="4" applyNumberFormat="1" applyFont="1" applyFill="1" applyBorder="1" applyAlignment="1">
      <alignment horizontal="center" vertical="center" wrapText="1"/>
    </xf>
    <xf numFmtId="3" fontId="2" fillId="0" borderId="18" xfId="4" applyNumberFormat="1" applyFont="1" applyFill="1" applyBorder="1" applyAlignment="1">
      <alignment horizontal="center" vertical="center" wrapText="1"/>
    </xf>
    <xf numFmtId="3" fontId="2" fillId="0" borderId="57" xfId="4" applyNumberFormat="1" applyFont="1" applyFill="1" applyBorder="1" applyAlignment="1">
      <alignment horizontal="center" vertical="center" wrapText="1"/>
    </xf>
    <xf numFmtId="3" fontId="2" fillId="0" borderId="68" xfId="7" applyNumberFormat="1" applyFont="1" applyFill="1" applyBorder="1" applyAlignment="1" applyProtection="1">
      <alignment horizontal="center" vertical="center" wrapText="1"/>
      <protection locked="0"/>
    </xf>
    <xf numFmtId="3" fontId="2" fillId="0" borderId="18" xfId="7" applyNumberFormat="1" applyFont="1" applyFill="1" applyBorder="1" applyAlignment="1" applyProtection="1">
      <alignment horizontal="center" vertical="center" wrapText="1"/>
      <protection locked="0"/>
    </xf>
    <xf numFmtId="3" fontId="2" fillId="0" borderId="57" xfId="7" applyNumberFormat="1" applyFont="1" applyFill="1" applyBorder="1" applyAlignment="1" applyProtection="1">
      <alignment horizontal="center" vertical="center" wrapText="1"/>
      <protection locked="0"/>
    </xf>
    <xf numFmtId="0" fontId="2" fillId="0" borderId="68" xfId="7" applyFont="1" applyBorder="1" applyAlignment="1" applyProtection="1">
      <alignment horizontal="center" vertical="center" wrapText="1"/>
      <protection locked="0"/>
    </xf>
    <xf numFmtId="0" fontId="2" fillId="0" borderId="18" xfId="7" applyFont="1" applyBorder="1" applyAlignment="1" applyProtection="1">
      <alignment horizontal="center" vertical="center" wrapText="1"/>
      <protection locked="0"/>
    </xf>
    <xf numFmtId="0" fontId="2" fillId="0" borderId="57" xfId="7" applyFont="1" applyBorder="1" applyAlignment="1" applyProtection="1">
      <alignment horizontal="center" vertical="center" wrapText="1"/>
      <protection locked="0"/>
    </xf>
    <xf numFmtId="0" fontId="2" fillId="0" borderId="68" xfId="7" applyFont="1" applyBorder="1" applyAlignment="1" applyProtection="1">
      <alignment horizontal="left" vertical="center" wrapText="1"/>
      <protection locked="0"/>
    </xf>
    <xf numFmtId="0" fontId="2" fillId="0" borderId="18" xfId="7" applyFont="1" applyBorder="1" applyAlignment="1" applyProtection="1">
      <alignment horizontal="left" vertical="center" wrapText="1"/>
      <protection locked="0"/>
    </xf>
    <xf numFmtId="0" fontId="2" fillId="0" borderId="57" xfId="7" applyFont="1" applyBorder="1" applyAlignment="1" applyProtection="1">
      <alignment horizontal="left" vertical="center" wrapText="1"/>
      <protection locked="0"/>
    </xf>
    <xf numFmtId="3" fontId="2" fillId="7" borderId="68" xfId="4" applyNumberFormat="1" applyFont="1" applyFill="1" applyBorder="1" applyAlignment="1">
      <alignment horizontal="center" vertical="center" wrapText="1"/>
    </xf>
    <xf numFmtId="3" fontId="2" fillId="7" borderId="18" xfId="4" applyNumberFormat="1" applyFont="1" applyFill="1" applyBorder="1" applyAlignment="1">
      <alignment horizontal="center" vertical="center" wrapText="1"/>
    </xf>
    <xf numFmtId="3" fontId="2" fillId="7" borderId="57" xfId="4" applyNumberFormat="1" applyFont="1" applyFill="1" applyBorder="1" applyAlignment="1">
      <alignment horizontal="center" vertical="center" wrapText="1"/>
    </xf>
    <xf numFmtId="3" fontId="2" fillId="0" borderId="68" xfId="7" applyNumberFormat="1" applyFont="1" applyBorder="1" applyAlignment="1">
      <alignment horizontal="left" vertical="center" wrapText="1"/>
    </xf>
    <xf numFmtId="3" fontId="2" fillId="0" borderId="57" xfId="7" applyNumberFormat="1" applyFont="1" applyBorder="1" applyAlignment="1">
      <alignment horizontal="left" vertical="center" wrapText="1"/>
    </xf>
    <xf numFmtId="0" fontId="3" fillId="0" borderId="75" xfId="4" applyFont="1" applyBorder="1" applyAlignment="1">
      <alignment horizontal="right" wrapText="1"/>
    </xf>
    <xf numFmtId="0" fontId="3" fillId="0" borderId="80" xfId="4" applyFont="1" applyBorder="1" applyAlignment="1">
      <alignment horizontal="right" wrapText="1"/>
    </xf>
    <xf numFmtId="0" fontId="3" fillId="0" borderId="81" xfId="4" applyFont="1" applyBorder="1" applyAlignment="1">
      <alignment horizontal="right" wrapText="1"/>
    </xf>
    <xf numFmtId="0" fontId="2" fillId="0" borderId="0" xfId="8" applyFont="1" applyAlignment="1">
      <alignment horizontal="left"/>
    </xf>
    <xf numFmtId="3" fontId="11" fillId="0" borderId="0" xfId="3" applyNumberFormat="1" applyFont="1" applyAlignment="1">
      <alignment horizontal="center"/>
    </xf>
    <xf numFmtId="0" fontId="2" fillId="0" borderId="68" xfId="7" applyFont="1" applyFill="1" applyBorder="1" applyAlignment="1">
      <alignment horizontal="left" vertical="center" wrapText="1"/>
    </xf>
    <xf numFmtId="0" fontId="2" fillId="0" borderId="18" xfId="7" applyFont="1" applyFill="1" applyBorder="1" applyAlignment="1">
      <alignment horizontal="left" vertical="center" wrapText="1"/>
    </xf>
    <xf numFmtId="0" fontId="2" fillId="0" borderId="57" xfId="7" applyFont="1" applyFill="1" applyBorder="1" applyAlignment="1">
      <alignment horizontal="left" vertical="center" wrapText="1"/>
    </xf>
    <xf numFmtId="3" fontId="2" fillId="0" borderId="75" xfId="3" applyNumberFormat="1" applyFont="1" applyBorder="1" applyAlignment="1">
      <alignment horizontal="center" vertical="center" wrapText="1"/>
    </xf>
    <xf numFmtId="3" fontId="2" fillId="0" borderId="81" xfId="3" applyNumberFormat="1" applyFont="1" applyBorder="1" applyAlignment="1">
      <alignment horizontal="center" vertical="center" wrapText="1"/>
    </xf>
    <xf numFmtId="3" fontId="3" fillId="0" borderId="75" xfId="3" applyNumberFormat="1" applyFont="1" applyBorder="1" applyAlignment="1">
      <alignment horizontal="right" wrapText="1"/>
    </xf>
    <xf numFmtId="3" fontId="3" fillId="0" borderId="5" xfId="3" applyNumberFormat="1" applyFont="1" applyBorder="1" applyAlignment="1">
      <alignment horizontal="right" wrapText="1"/>
    </xf>
    <xf numFmtId="3" fontId="3" fillId="0" borderId="81" xfId="3" applyNumberFormat="1" applyFont="1" applyBorder="1" applyAlignment="1">
      <alignment horizontal="right" wrapText="1"/>
    </xf>
    <xf numFmtId="3" fontId="2" fillId="0" borderId="75" xfId="3" applyNumberFormat="1" applyFont="1" applyBorder="1" applyAlignment="1" applyProtection="1">
      <alignment horizontal="left" vertical="center" wrapText="1"/>
      <protection locked="0"/>
    </xf>
    <xf numFmtId="3" fontId="2" fillId="0" borderId="81" xfId="3" applyNumberFormat="1" applyFont="1" applyBorder="1" applyAlignment="1" applyProtection="1">
      <alignment horizontal="left" vertical="center" wrapText="1"/>
      <protection locked="0"/>
    </xf>
    <xf numFmtId="3" fontId="2" fillId="0" borderId="68" xfId="2" applyNumberFormat="1" applyFont="1" applyBorder="1" applyAlignment="1">
      <alignment horizontal="center" vertical="center" wrapText="1"/>
    </xf>
    <xf numFmtId="3" fontId="2" fillId="0" borderId="57" xfId="2" applyNumberFormat="1" applyFont="1" applyBorder="1" applyAlignment="1">
      <alignment horizontal="center" vertical="center" wrapText="1"/>
    </xf>
    <xf numFmtId="3" fontId="2" fillId="0" borderId="18" xfId="2" applyNumberFormat="1" applyFont="1" applyBorder="1" applyAlignment="1">
      <alignment horizontal="center" vertical="center" wrapText="1"/>
    </xf>
    <xf numFmtId="3" fontId="2" fillId="0" borderId="68" xfId="3" applyNumberFormat="1" applyFont="1" applyBorder="1" applyAlignment="1" applyProtection="1">
      <alignment horizontal="center" vertical="center" wrapText="1"/>
      <protection locked="0"/>
    </xf>
    <xf numFmtId="3" fontId="2" fillId="0" borderId="18" xfId="3" applyNumberFormat="1" applyFont="1" applyBorder="1" applyAlignment="1" applyProtection="1">
      <alignment horizontal="center" vertical="center" wrapText="1"/>
      <protection locked="0"/>
    </xf>
    <xf numFmtId="3" fontId="2" fillId="0" borderId="57" xfId="3" applyNumberFormat="1" applyFont="1" applyBorder="1" applyAlignment="1" applyProtection="1">
      <alignment horizontal="center" vertical="center" wrapText="1"/>
      <protection locked="0"/>
    </xf>
    <xf numFmtId="3" fontId="2" fillId="0" borderId="78" xfId="3" applyNumberFormat="1" applyFont="1" applyBorder="1" applyAlignment="1" applyProtection="1">
      <alignment horizontal="left" vertical="center" wrapText="1"/>
      <protection locked="0"/>
    </xf>
    <xf numFmtId="3" fontId="2" fillId="0" borderId="80" xfId="3" applyNumberFormat="1" applyFont="1" applyBorder="1" applyAlignment="1" applyProtection="1">
      <alignment horizontal="left" vertical="center" wrapText="1"/>
      <protection locked="0"/>
    </xf>
    <xf numFmtId="3" fontId="2" fillId="0" borderId="77" xfId="3" applyNumberFormat="1" applyFont="1" applyBorder="1" applyAlignment="1" applyProtection="1">
      <alignment horizontal="left" vertical="center" wrapText="1"/>
      <protection locked="0"/>
    </xf>
    <xf numFmtId="3" fontId="2" fillId="0" borderId="20" xfId="3" applyNumberFormat="1" applyFont="1" applyBorder="1" applyAlignment="1" applyProtection="1">
      <alignment horizontal="left" vertical="center" wrapText="1"/>
      <protection locked="0"/>
    </xf>
    <xf numFmtId="3" fontId="2" fillId="0" borderId="79" xfId="3" applyNumberFormat="1" applyFont="1" applyBorder="1" applyAlignment="1" applyProtection="1">
      <alignment horizontal="left" vertical="center" wrapText="1"/>
      <protection locked="0"/>
    </xf>
    <xf numFmtId="3" fontId="2" fillId="0" borderId="82" xfId="3" applyNumberFormat="1" applyFont="1" applyBorder="1" applyAlignment="1" applyProtection="1">
      <alignment horizontal="left" vertical="center" wrapText="1"/>
      <protection locked="0"/>
    </xf>
    <xf numFmtId="0" fontId="2" fillId="0" borderId="75" xfId="1" applyFont="1" applyBorder="1" applyAlignment="1">
      <alignment horizontal="left" vertical="center" wrapText="1"/>
    </xf>
    <xf numFmtId="0" fontId="2" fillId="0" borderId="81" xfId="1" applyFont="1" applyBorder="1" applyAlignment="1">
      <alignment horizontal="left" vertical="center" wrapText="1"/>
    </xf>
    <xf numFmtId="0" fontId="2" fillId="0" borderId="78" xfId="1" applyFont="1" applyFill="1" applyBorder="1" applyAlignment="1">
      <alignment horizontal="left" vertical="center" wrapText="1"/>
    </xf>
    <xf numFmtId="0" fontId="2" fillId="0" borderId="80" xfId="1" applyFont="1" applyFill="1" applyBorder="1" applyAlignment="1">
      <alignment horizontal="left" vertical="center" wrapText="1"/>
    </xf>
    <xf numFmtId="0" fontId="2" fillId="0" borderId="75" xfId="1" applyFont="1" applyFill="1" applyBorder="1" applyAlignment="1">
      <alignment horizontal="left" vertical="center" wrapText="1"/>
    </xf>
    <xf numFmtId="0" fontId="2" fillId="0" borderId="81" xfId="1" applyFont="1" applyFill="1" applyBorder="1" applyAlignment="1">
      <alignment horizontal="left" vertical="center" wrapText="1"/>
    </xf>
    <xf numFmtId="0" fontId="2" fillId="0" borderId="0" xfId="3" applyFont="1" applyFill="1" applyAlignment="1">
      <alignment horizontal="left" vertical="top" wrapText="1"/>
    </xf>
    <xf numFmtId="3" fontId="2" fillId="0" borderId="0" xfId="1" applyNumberFormat="1" applyFont="1" applyAlignment="1">
      <alignment horizontal="left" vertical="top" wrapText="1"/>
    </xf>
    <xf numFmtId="0" fontId="2" fillId="0" borderId="83" xfId="1" applyFont="1" applyBorder="1" applyAlignment="1">
      <alignment horizontal="left" vertical="center" wrapText="1"/>
    </xf>
    <xf numFmtId="0" fontId="2" fillId="0" borderId="78" xfId="1" applyFont="1" applyBorder="1" applyAlignment="1">
      <alignment horizontal="left" vertical="center" wrapText="1"/>
    </xf>
    <xf numFmtId="0" fontId="2" fillId="0" borderId="80" xfId="1" applyFont="1" applyBorder="1" applyAlignment="1">
      <alignment horizontal="left" vertical="center" wrapText="1"/>
    </xf>
    <xf numFmtId="0" fontId="2" fillId="0" borderId="77" xfId="1" applyFont="1" applyBorder="1" applyAlignment="1">
      <alignment horizontal="left" vertical="center" wrapText="1"/>
    </xf>
    <xf numFmtId="0" fontId="2" fillId="0" borderId="20" xfId="1" applyFont="1" applyBorder="1" applyAlignment="1">
      <alignment horizontal="left" vertical="center" wrapText="1"/>
    </xf>
    <xf numFmtId="0" fontId="2" fillId="0" borderId="79" xfId="1" applyFont="1" applyBorder="1" applyAlignment="1">
      <alignment horizontal="left" vertical="center" wrapText="1"/>
    </xf>
    <xf numFmtId="0" fontId="2" fillId="0" borderId="82" xfId="1" applyFont="1" applyBorder="1" applyAlignment="1">
      <alignment horizontal="left" vertical="center" wrapText="1"/>
    </xf>
    <xf numFmtId="3" fontId="2" fillId="0" borderId="68" xfId="3" applyNumberFormat="1" applyFont="1" applyBorder="1" applyAlignment="1">
      <alignment horizontal="center" vertical="center" wrapText="1"/>
    </xf>
    <xf numFmtId="3" fontId="2" fillId="0" borderId="18" xfId="3" applyNumberFormat="1" applyFont="1" applyBorder="1" applyAlignment="1">
      <alignment horizontal="center" vertical="center" wrapText="1"/>
    </xf>
    <xf numFmtId="3" fontId="2" fillId="0" borderId="57" xfId="3" applyNumberFormat="1" applyFont="1" applyBorder="1" applyAlignment="1">
      <alignment horizontal="center" vertical="center" wrapText="1"/>
    </xf>
    <xf numFmtId="3" fontId="2" fillId="0" borderId="68" xfId="3" applyNumberFormat="1" applyFont="1" applyBorder="1" applyAlignment="1" applyProtection="1">
      <alignment horizontal="left" wrapText="1"/>
      <protection locked="0"/>
    </xf>
    <xf numFmtId="3" fontId="2" fillId="0" borderId="57" xfId="3" applyNumberFormat="1" applyFont="1" applyBorder="1" applyAlignment="1" applyProtection="1">
      <alignment horizontal="left" wrapText="1"/>
      <protection locked="0"/>
    </xf>
    <xf numFmtId="3" fontId="2" fillId="0" borderId="75" xfId="3" applyNumberFormat="1" applyFont="1" applyBorder="1" applyAlignment="1" applyProtection="1">
      <alignment horizontal="left" vertical="center"/>
      <protection locked="0"/>
    </xf>
    <xf numFmtId="3" fontId="2" fillId="0" borderId="81" xfId="3" applyNumberFormat="1" applyFont="1" applyBorder="1" applyAlignment="1" applyProtection="1">
      <alignment horizontal="left" vertical="center"/>
      <protection locked="0"/>
    </xf>
    <xf numFmtId="3" fontId="2" fillId="0" borderId="78" xfId="3" applyNumberFormat="1" applyFont="1" applyBorder="1" applyAlignment="1" applyProtection="1">
      <alignment horizontal="left" vertical="center"/>
      <protection locked="0"/>
    </xf>
    <xf numFmtId="3" fontId="2" fillId="0" borderId="80" xfId="3" applyNumberFormat="1" applyFont="1" applyBorder="1" applyAlignment="1" applyProtection="1">
      <alignment horizontal="left" vertical="center"/>
      <protection locked="0"/>
    </xf>
    <xf numFmtId="3" fontId="2" fillId="0" borderId="79" xfId="3" applyNumberFormat="1" applyFont="1" applyBorder="1" applyAlignment="1" applyProtection="1">
      <alignment horizontal="left" vertical="center"/>
      <protection locked="0"/>
    </xf>
    <xf numFmtId="3" fontId="2" fillId="0" borderId="82" xfId="3" applyNumberFormat="1" applyFont="1" applyBorder="1" applyAlignment="1" applyProtection="1">
      <alignment horizontal="left" vertical="center"/>
      <protection locked="0"/>
    </xf>
    <xf numFmtId="3" fontId="2" fillId="0" borderId="85" xfId="3" applyNumberFormat="1" applyFont="1" applyBorder="1" applyAlignment="1" applyProtection="1">
      <alignment horizontal="center" vertical="center" wrapText="1"/>
      <protection locked="0"/>
    </xf>
    <xf numFmtId="3" fontId="2" fillId="0" borderId="0" xfId="3" applyNumberFormat="1" applyFont="1" applyBorder="1" applyAlignment="1" applyProtection="1">
      <alignment horizontal="center" vertical="center" wrapText="1"/>
      <protection locked="0"/>
    </xf>
    <xf numFmtId="3" fontId="2" fillId="0" borderId="76" xfId="3" applyNumberFormat="1" applyFont="1" applyBorder="1" applyAlignment="1" applyProtection="1">
      <alignment horizontal="center" vertical="center" wrapText="1"/>
      <protection locked="0"/>
    </xf>
    <xf numFmtId="3" fontId="2" fillId="0" borderId="85" xfId="3" applyNumberFormat="1" applyFont="1" applyBorder="1" applyAlignment="1" applyProtection="1">
      <alignment horizontal="left" vertical="center" wrapText="1"/>
      <protection locked="0"/>
    </xf>
    <xf numFmtId="3" fontId="2" fillId="0" borderId="0" xfId="3" applyNumberFormat="1" applyFont="1" applyBorder="1" applyAlignment="1" applyProtection="1">
      <alignment horizontal="left" vertical="center" wrapText="1"/>
      <protection locked="0"/>
    </xf>
    <xf numFmtId="3" fontId="2" fillId="0" borderId="76" xfId="3" applyNumberFormat="1" applyFont="1" applyBorder="1" applyAlignment="1" applyProtection="1">
      <alignment horizontal="left" vertical="center" wrapText="1"/>
      <protection locked="0"/>
    </xf>
    <xf numFmtId="3" fontId="2" fillId="0" borderId="41" xfId="3" applyNumberFormat="1" applyFont="1" applyBorder="1" applyAlignment="1">
      <alignment horizontal="left" vertical="center"/>
    </xf>
    <xf numFmtId="3" fontId="2" fillId="0" borderId="41" xfId="3" applyNumberFormat="1" applyFont="1" applyBorder="1" applyAlignment="1">
      <alignment horizontal="center" vertical="center"/>
    </xf>
    <xf numFmtId="3" fontId="2" fillId="0" borderId="41" xfId="3" applyNumberFormat="1" applyFont="1" applyBorder="1" applyAlignment="1">
      <alignment horizontal="left" vertical="center" wrapText="1"/>
    </xf>
    <xf numFmtId="3" fontId="2" fillId="0" borderId="41" xfId="3" applyNumberFormat="1" applyFont="1" applyBorder="1" applyAlignment="1">
      <alignment horizontal="center" vertical="center" wrapText="1"/>
    </xf>
    <xf numFmtId="3" fontId="2" fillId="0" borderId="41" xfId="3" applyNumberFormat="1" applyFont="1" applyBorder="1" applyAlignment="1" applyProtection="1">
      <alignment horizontal="center" vertical="center" wrapText="1"/>
      <protection locked="0"/>
    </xf>
    <xf numFmtId="3" fontId="2" fillId="0" borderId="75" xfId="3" applyNumberFormat="1" applyFont="1" applyBorder="1" applyAlignment="1">
      <alignment horizontal="left" vertical="center" wrapText="1"/>
    </xf>
    <xf numFmtId="3" fontId="2" fillId="0" borderId="81" xfId="3" applyNumberFormat="1" applyFont="1" applyBorder="1" applyAlignment="1">
      <alignment horizontal="left" vertical="center" wrapText="1"/>
    </xf>
    <xf numFmtId="3" fontId="2" fillId="0" borderId="41" xfId="3" applyNumberFormat="1" applyFont="1" applyBorder="1" applyAlignment="1" applyProtection="1">
      <alignment horizontal="left" vertical="center" wrapText="1"/>
      <protection locked="0"/>
    </xf>
    <xf numFmtId="0" fontId="44" fillId="0" borderId="0" xfId="1" applyFont="1" applyBorder="1" applyAlignment="1">
      <alignment horizontal="center" wrapText="1"/>
    </xf>
    <xf numFmtId="0" fontId="11" fillId="0" borderId="63" xfId="1" applyFont="1" applyFill="1" applyBorder="1" applyAlignment="1">
      <alignment horizontal="left" vertical="center"/>
    </xf>
    <xf numFmtId="0" fontId="11" fillId="0" borderId="63" xfId="1" applyFont="1" applyFill="1" applyBorder="1" applyAlignment="1">
      <alignment horizontal="left" vertical="center" wrapText="1"/>
    </xf>
  </cellXfs>
  <cellStyles count="16">
    <cellStyle name="Normal" xfId="0" builtinId="0"/>
    <cellStyle name="Normal 11" xfId="6"/>
    <cellStyle name="Normal 2" xfId="1"/>
    <cellStyle name="Normal 2 2" xfId="7"/>
    <cellStyle name="Normal 2 2 2" xfId="5"/>
    <cellStyle name="Normal 2 3 2" xfId="9"/>
    <cellStyle name="Normal 2 3 2 2" xfId="10"/>
    <cellStyle name="Normal 2 3 2 3" xfId="11"/>
    <cellStyle name="Normal 3" xfId="12"/>
    <cellStyle name="Normal 3 2" xfId="14"/>
    <cellStyle name="Normal 3 2 2" xfId="15"/>
    <cellStyle name="Normal 3 2 2 2 2" xfId="3"/>
    <cellStyle name="Normal 4" xfId="8"/>
    <cellStyle name="Normal 5" xfId="13"/>
    <cellStyle name="Normal 6" xfId="2"/>
    <cellStyle name="Normal_budžeta nod.2"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theme" Target="theme/theme1.xml"/><Relationship Id="rId9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oneCellAnchor>
    <xdr:from>
      <xdr:col>9</xdr:col>
      <xdr:colOff>0</xdr:colOff>
      <xdr:row>22</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65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65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5" name="Picture 14"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6" name="Picture 15"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9525" cy="9525"/>
    <xdr:pic>
      <xdr:nvPicPr>
        <xdr:cNvPr id="17" name="Picture 1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58864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18" name="Picture 17"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65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9525" cy="9525"/>
    <xdr:pic>
      <xdr:nvPicPr>
        <xdr:cNvPr id="19" name="Picture 18"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65341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0" name="Picture 1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1"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2" name="Picture 2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3" name="Picture 2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4" name="Picture 2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5" name="Picture 24"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6" name="Picture 25"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50</xdr:row>
      <xdr:rowOff>0</xdr:rowOff>
    </xdr:from>
    <xdr:ext cx="9525" cy="9525"/>
    <xdr:pic>
      <xdr:nvPicPr>
        <xdr:cNvPr id="27" name="Picture 2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17554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28" name="Picture 27"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942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29" name="Picture 28"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942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30" name="Picture 29"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942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9525" cy="9525"/>
    <xdr:pic>
      <xdr:nvPicPr>
        <xdr:cNvPr id="31" name="Picture 30"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887200" y="942975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9</xdr:col>
      <xdr:colOff>0</xdr:colOff>
      <xdr:row>53</xdr:row>
      <xdr:rowOff>0</xdr:rowOff>
    </xdr:from>
    <xdr:ext cx="9525" cy="9525"/>
    <xdr:pic>
      <xdr:nvPicPr>
        <xdr:cNvPr id="2" name="Picture 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69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53</xdr:row>
      <xdr:rowOff>0</xdr:rowOff>
    </xdr:from>
    <xdr:ext cx="9525" cy="9525"/>
    <xdr:pic>
      <xdr:nvPicPr>
        <xdr:cNvPr id="3" name="Picture 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69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53</xdr:row>
      <xdr:rowOff>0</xdr:rowOff>
    </xdr:from>
    <xdr:ext cx="9525" cy="9525"/>
    <xdr:pic>
      <xdr:nvPicPr>
        <xdr:cNvPr id="4" name="Picture 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1696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57</xdr:row>
      <xdr:rowOff>0</xdr:rowOff>
    </xdr:from>
    <xdr:ext cx="9525" cy="9525"/>
    <xdr:pic>
      <xdr:nvPicPr>
        <xdr:cNvPr id="5" name="Picture 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487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57</xdr:row>
      <xdr:rowOff>0</xdr:rowOff>
    </xdr:from>
    <xdr:ext cx="9525" cy="9525"/>
    <xdr:pic>
      <xdr:nvPicPr>
        <xdr:cNvPr id="6" name="Picture 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4872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7" name="Picture 6"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2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8" name="Picture 9853" descr="Blank"/>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982200" y="252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9" name="Picture 8"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2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0" name="Picture 9"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2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1" name="Picture 10"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2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2" name="Picture 11"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2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3" name="Picture 12"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2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104</xdr:row>
      <xdr:rowOff>0</xdr:rowOff>
    </xdr:from>
    <xdr:ext cx="9525" cy="9525"/>
    <xdr:pic>
      <xdr:nvPicPr>
        <xdr:cNvPr id="14" name="Picture 13" descr="http://serv4/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25260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58</xdr:row>
      <xdr:rowOff>0</xdr:rowOff>
    </xdr:from>
    <xdr:ext cx="9525" cy="9525"/>
    <xdr:pic>
      <xdr:nvPicPr>
        <xdr:cNvPr id="15" name="Picture 14"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639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58</xdr:row>
      <xdr:rowOff>0</xdr:rowOff>
    </xdr:from>
    <xdr:ext cx="9525" cy="9525"/>
    <xdr:pic>
      <xdr:nvPicPr>
        <xdr:cNvPr id="16" name="Picture 15" descr="https://doclogix.jpd.gov.lv/DocLogix/Images/Blank.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82200" y="126396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R5" sqref="R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1714</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1715</v>
      </c>
      <c r="D6" s="1972"/>
      <c r="E6" s="1972"/>
      <c r="F6" s="1972"/>
      <c r="G6" s="1972"/>
      <c r="H6" s="1972"/>
      <c r="I6" s="1972"/>
      <c r="J6" s="1972"/>
      <c r="K6" s="1972"/>
      <c r="L6" s="1972"/>
      <c r="M6" s="1972"/>
      <c r="N6" s="1972"/>
      <c r="O6" s="1972"/>
      <c r="P6" s="1973"/>
      <c r="Q6" s="276"/>
    </row>
    <row r="7" spans="1:17" x14ac:dyDescent="0.25">
      <c r="A7" s="7" t="s">
        <v>10</v>
      </c>
      <c r="B7" s="8"/>
      <c r="C7" s="1977" t="s">
        <v>11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14</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18</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911015</v>
      </c>
      <c r="D20" s="32">
        <f>SUM(D21,D24,D25,D41,D43)</f>
        <v>891913</v>
      </c>
      <c r="E20" s="33">
        <f t="shared" ref="E20:F20" si="1">SUM(E21,E24,E25,E41,E43)</f>
        <v>10000</v>
      </c>
      <c r="F20" s="34">
        <f t="shared" si="1"/>
        <v>901913</v>
      </c>
      <c r="G20" s="32">
        <f>SUM(G21,G24,G43)</f>
        <v>0</v>
      </c>
      <c r="H20" s="33">
        <f t="shared" ref="H20:I20" si="2">SUM(H21,H24,H43)</f>
        <v>0</v>
      </c>
      <c r="I20" s="34">
        <f t="shared" si="2"/>
        <v>0</v>
      </c>
      <c r="J20" s="32">
        <f>SUM(J21,J26,J43)</f>
        <v>9102</v>
      </c>
      <c r="K20" s="33">
        <f t="shared" ref="K20:L20" si="3">SUM(K21,K26,K43)</f>
        <v>0</v>
      </c>
      <c r="L20" s="34">
        <f t="shared" si="3"/>
        <v>9102</v>
      </c>
      <c r="M20" s="32">
        <f>SUM(M21,M45)</f>
        <v>0</v>
      </c>
      <c r="N20" s="33">
        <f t="shared" ref="N20:O20" si="4">SUM(N21,N45)</f>
        <v>0</v>
      </c>
      <c r="O20" s="34">
        <f t="shared" si="4"/>
        <v>0</v>
      </c>
      <c r="P20" s="35"/>
    </row>
    <row r="21" spans="1:16" ht="12.75" thickTop="1" x14ac:dyDescent="0.25">
      <c r="A21" s="36"/>
      <c r="B21" s="37" t="s">
        <v>40</v>
      </c>
      <c r="C21" s="38">
        <f t="shared" si="0"/>
        <v>2</v>
      </c>
      <c r="D21" s="39">
        <f>SUM(D22:D23)</f>
        <v>0</v>
      </c>
      <c r="E21" s="40">
        <f t="shared" ref="E21:F21" si="5">SUM(E22:E23)</f>
        <v>0</v>
      </c>
      <c r="F21" s="41">
        <f t="shared" si="5"/>
        <v>0</v>
      </c>
      <c r="G21" s="39">
        <f>SUM(G22:G23)</f>
        <v>0</v>
      </c>
      <c r="H21" s="40">
        <f t="shared" ref="H21:I21" si="6">SUM(H22:H23)</f>
        <v>0</v>
      </c>
      <c r="I21" s="41">
        <f t="shared" si="6"/>
        <v>0</v>
      </c>
      <c r="J21" s="39">
        <f>SUM(J22:J23)</f>
        <v>2</v>
      </c>
      <c r="K21" s="40">
        <f t="shared" ref="K21:L21" si="7">SUM(K22:K23)</f>
        <v>0</v>
      </c>
      <c r="L21" s="41">
        <f t="shared" si="7"/>
        <v>2</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2</v>
      </c>
      <c r="D23" s="53"/>
      <c r="E23" s="54"/>
      <c r="F23" s="55">
        <f t="shared" ref="F23:F25" si="9">D23+E23</f>
        <v>0</v>
      </c>
      <c r="G23" s="53"/>
      <c r="H23" s="54"/>
      <c r="I23" s="55">
        <f t="shared" ref="I23:I24" si="10">G23+H23</f>
        <v>0</v>
      </c>
      <c r="J23" s="53">
        <v>2</v>
      </c>
      <c r="K23" s="54"/>
      <c r="L23" s="56">
        <f>K23+J23</f>
        <v>2</v>
      </c>
      <c r="M23" s="53"/>
      <c r="N23" s="54"/>
      <c r="O23" s="55">
        <f>N23+M23</f>
        <v>0</v>
      </c>
      <c r="P23" s="57"/>
    </row>
    <row r="24" spans="1:16" s="28" customFormat="1" ht="24.75" customHeight="1" thickBot="1" x14ac:dyDescent="0.3">
      <c r="A24" s="58">
        <v>19300</v>
      </c>
      <c r="B24" s="58" t="s">
        <v>43</v>
      </c>
      <c r="C24" s="59">
        <f>F24+I24</f>
        <v>901913</v>
      </c>
      <c r="D24" s="60">
        <v>891913</v>
      </c>
      <c r="E24" s="741">
        <v>10000</v>
      </c>
      <c r="F24" s="62">
        <f t="shared" si="9"/>
        <v>901913</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9100</v>
      </c>
      <c r="D26" s="73" t="s">
        <v>44</v>
      </c>
      <c r="E26" s="74" t="s">
        <v>44</v>
      </c>
      <c r="F26" s="75" t="s">
        <v>44</v>
      </c>
      <c r="G26" s="73" t="s">
        <v>44</v>
      </c>
      <c r="H26" s="74" t="s">
        <v>44</v>
      </c>
      <c r="I26" s="75" t="s">
        <v>44</v>
      </c>
      <c r="J26" s="77">
        <f>SUM(J27,J31,J33,J36)</f>
        <v>9100</v>
      </c>
      <c r="K26" s="78">
        <f t="shared" ref="K26:L26" si="11">SUM(K27,K31,K33,K36)</f>
        <v>0</v>
      </c>
      <c r="L26" s="79">
        <f t="shared" si="11"/>
        <v>9100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customHeight="1" x14ac:dyDescent="0.25">
      <c r="A36" s="80">
        <v>21390</v>
      </c>
      <c r="B36" s="68" t="s">
        <v>56</v>
      </c>
      <c r="C36" s="69">
        <f t="shared" si="16"/>
        <v>9100</v>
      </c>
      <c r="D36" s="73" t="s">
        <v>44</v>
      </c>
      <c r="E36" s="74" t="s">
        <v>44</v>
      </c>
      <c r="F36" s="75" t="s">
        <v>44</v>
      </c>
      <c r="G36" s="73" t="s">
        <v>44</v>
      </c>
      <c r="H36" s="74" t="s">
        <v>44</v>
      </c>
      <c r="I36" s="75" t="s">
        <v>44</v>
      </c>
      <c r="J36" s="77">
        <f>SUM(J37:J40)</f>
        <v>9100</v>
      </c>
      <c r="K36" s="78">
        <f t="shared" ref="K36:L36" si="19">SUM(K37:K40)</f>
        <v>0</v>
      </c>
      <c r="L36" s="79">
        <f t="shared" si="19"/>
        <v>9100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9100</v>
      </c>
      <c r="D40" s="110" t="s">
        <v>44</v>
      </c>
      <c r="E40" s="111" t="s">
        <v>44</v>
      </c>
      <c r="F40" s="112" t="s">
        <v>44</v>
      </c>
      <c r="G40" s="110" t="s">
        <v>44</v>
      </c>
      <c r="H40" s="111" t="s">
        <v>44</v>
      </c>
      <c r="I40" s="112" t="s">
        <v>44</v>
      </c>
      <c r="J40" s="113">
        <v>9100</v>
      </c>
      <c r="K40" s="114"/>
      <c r="L40" s="115">
        <f t="shared" si="20"/>
        <v>9100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911015</v>
      </c>
      <c r="D50" s="158">
        <f>SUM(D51,D286)</f>
        <v>891913</v>
      </c>
      <c r="E50" s="159">
        <f t="shared" ref="E50:F50" si="26">SUM(E51,E286)</f>
        <v>10000</v>
      </c>
      <c r="F50" s="160">
        <f t="shared" si="26"/>
        <v>901913</v>
      </c>
      <c r="G50" s="158">
        <f>SUM(G51,G286)</f>
        <v>0</v>
      </c>
      <c r="H50" s="159">
        <f>SUM(H51,H286)</f>
        <v>0</v>
      </c>
      <c r="I50" s="160">
        <f t="shared" ref="I50" si="27">SUM(I51,I286)</f>
        <v>0</v>
      </c>
      <c r="J50" s="32">
        <f>SUM(J51,J286)</f>
        <v>9102</v>
      </c>
      <c r="K50" s="33">
        <f t="shared" ref="K50:L50" si="28">SUM(K51,K286)</f>
        <v>0</v>
      </c>
      <c r="L50" s="34">
        <f t="shared" si="28"/>
        <v>9102</v>
      </c>
      <c r="M50" s="32">
        <f>SUM(M51,M286)</f>
        <v>0</v>
      </c>
      <c r="N50" s="33">
        <f t="shared" ref="N50:O50" si="29">SUM(N51,N286)</f>
        <v>0</v>
      </c>
      <c r="O50" s="34">
        <f t="shared" si="29"/>
        <v>0</v>
      </c>
      <c r="P50" s="35"/>
    </row>
    <row r="51" spans="1:16" s="28" customFormat="1" ht="36.75" thickTop="1" x14ac:dyDescent="0.25">
      <c r="A51" s="161"/>
      <c r="B51" s="162" t="s">
        <v>70</v>
      </c>
      <c r="C51" s="163">
        <f t="shared" si="0"/>
        <v>911015</v>
      </c>
      <c r="D51" s="164">
        <f>SUM(D52,D194)</f>
        <v>891913</v>
      </c>
      <c r="E51" s="165">
        <f t="shared" ref="E51:F51" si="30">SUM(E52,E194)</f>
        <v>10000</v>
      </c>
      <c r="F51" s="166">
        <f t="shared" si="30"/>
        <v>901913</v>
      </c>
      <c r="G51" s="164">
        <f>SUM(G52,G194)</f>
        <v>0</v>
      </c>
      <c r="H51" s="165">
        <f t="shared" ref="H51:I51" si="31">SUM(H52,H194)</f>
        <v>0</v>
      </c>
      <c r="I51" s="166">
        <f t="shared" si="31"/>
        <v>0</v>
      </c>
      <c r="J51" s="167">
        <f>SUM(J52,J194)</f>
        <v>9102</v>
      </c>
      <c r="K51" s="168">
        <f t="shared" ref="K51:L51" si="32">SUM(K52,K194)</f>
        <v>0</v>
      </c>
      <c r="L51" s="169">
        <f t="shared" si="32"/>
        <v>9102</v>
      </c>
      <c r="M51" s="167">
        <f>SUM(M52,M194)</f>
        <v>0</v>
      </c>
      <c r="N51" s="168">
        <f t="shared" ref="N51:O51" si="33">SUM(N52,N194)</f>
        <v>0</v>
      </c>
      <c r="O51" s="169">
        <f t="shared" si="33"/>
        <v>0</v>
      </c>
      <c r="P51" s="170"/>
    </row>
    <row r="52" spans="1:16" s="28" customFormat="1" ht="24" x14ac:dyDescent="0.25">
      <c r="A52" s="24"/>
      <c r="B52" s="22" t="s">
        <v>71</v>
      </c>
      <c r="C52" s="171">
        <f t="shared" si="0"/>
        <v>891515</v>
      </c>
      <c r="D52" s="172">
        <f>SUM(D53,D75,D173,D187)</f>
        <v>872413</v>
      </c>
      <c r="E52" s="173">
        <f t="shared" ref="E52:F52" si="34">SUM(E53,E75,E173,E187)</f>
        <v>10000</v>
      </c>
      <c r="F52" s="174">
        <f t="shared" si="34"/>
        <v>882413</v>
      </c>
      <c r="G52" s="172">
        <f>SUM(G53,G75,G173,G187)</f>
        <v>0</v>
      </c>
      <c r="H52" s="173">
        <f t="shared" ref="H52:I52" si="35">SUM(H53,H75,H173,H187)</f>
        <v>0</v>
      </c>
      <c r="I52" s="174">
        <f t="shared" si="35"/>
        <v>0</v>
      </c>
      <c r="J52" s="172">
        <f>SUM(J53,J75,J173,J187)</f>
        <v>9102</v>
      </c>
      <c r="K52" s="173">
        <f t="shared" ref="K52:L52" si="36">SUM(K53,K75,K173,K187)</f>
        <v>0</v>
      </c>
      <c r="L52" s="174">
        <f t="shared" si="36"/>
        <v>9102</v>
      </c>
      <c r="M52" s="172">
        <f>SUM(M53,M75,M173,M187)</f>
        <v>0</v>
      </c>
      <c r="N52" s="173">
        <f t="shared" ref="N52:O52" si="37">SUM(N53,N75,N173,N187)</f>
        <v>0</v>
      </c>
      <c r="O52" s="174">
        <f t="shared" si="37"/>
        <v>0</v>
      </c>
      <c r="P52" s="175"/>
    </row>
    <row r="53" spans="1:16" s="28" customFormat="1" x14ac:dyDescent="0.25">
      <c r="A53" s="176">
        <v>1000</v>
      </c>
      <c r="B53" s="176" t="s">
        <v>72</v>
      </c>
      <c r="C53" s="177">
        <f t="shared" si="0"/>
        <v>733002</v>
      </c>
      <c r="D53" s="178">
        <f>SUM(D54,D67)</f>
        <v>723002</v>
      </c>
      <c r="E53" s="179">
        <f t="shared" ref="E53:F53" si="38">SUM(E54,E67)</f>
        <v>10000</v>
      </c>
      <c r="F53" s="180">
        <f t="shared" si="38"/>
        <v>733002</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571029</v>
      </c>
      <c r="D54" s="183">
        <f>SUM(D55,D58,D66)</f>
        <v>569029</v>
      </c>
      <c r="E54" s="184">
        <f t="shared" ref="E54:F54" si="42">SUM(E55,E58,E66)</f>
        <v>2000</v>
      </c>
      <c r="F54" s="72">
        <f t="shared" si="42"/>
        <v>571029</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531448</v>
      </c>
      <c r="D55" s="186">
        <f>SUM(D56:D57)</f>
        <v>531448</v>
      </c>
      <c r="E55" s="187">
        <f t="shared" ref="E55:F55" si="46">SUM(E56:E57)</f>
        <v>0</v>
      </c>
      <c r="F55" s="140">
        <f t="shared" si="46"/>
        <v>531448</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customHeight="1" x14ac:dyDescent="0.25">
      <c r="A56" s="44">
        <v>1111</v>
      </c>
      <c r="B56" s="81" t="s">
        <v>75</v>
      </c>
      <c r="C56" s="82">
        <f t="shared" si="0"/>
        <v>396001</v>
      </c>
      <c r="D56" s="46">
        <v>78339</v>
      </c>
      <c r="E56" s="47">
        <v>317662</v>
      </c>
      <c r="F56" s="133">
        <f t="shared" ref="F56:F57" si="50">D56+E56</f>
        <v>396001</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135447</v>
      </c>
      <c r="D57" s="53">
        <v>453109</v>
      </c>
      <c r="E57" s="54">
        <v>-317662</v>
      </c>
      <c r="F57" s="55">
        <f t="shared" si="50"/>
        <v>135447</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39581</v>
      </c>
      <c r="D58" s="189">
        <f>SUM(D59:D65)</f>
        <v>37581</v>
      </c>
      <c r="E58" s="190">
        <f>SUM(E59:E65)</f>
        <v>2000</v>
      </c>
      <c r="F58" s="55">
        <f t="shared" ref="F58" si="54">SUM(F59:F65)</f>
        <v>39581</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1300</v>
      </c>
      <c r="D60" s="53">
        <v>1300</v>
      </c>
      <c r="E60" s="54"/>
      <c r="F60" s="55">
        <f t="shared" si="58"/>
        <v>1300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8" t="s">
        <v>81</v>
      </c>
      <c r="C62" s="89">
        <f t="shared" si="0"/>
        <v>8460</v>
      </c>
      <c r="D62" s="53">
        <v>8460</v>
      </c>
      <c r="E62" s="54"/>
      <c r="F62" s="55">
        <f t="shared" si="58"/>
        <v>8460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19880</v>
      </c>
      <c r="D63" s="53">
        <v>17880</v>
      </c>
      <c r="E63" s="201">
        <v>2000</v>
      </c>
      <c r="F63" s="55">
        <f t="shared" si="58"/>
        <v>19880</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9941</v>
      </c>
      <c r="D64" s="53">
        <v>9941</v>
      </c>
      <c r="E64" s="54"/>
      <c r="F64" s="55">
        <f t="shared" si="58"/>
        <v>9941</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161973</v>
      </c>
      <c r="D67" s="183">
        <f>SUM(D68:D69)</f>
        <v>153973</v>
      </c>
      <c r="E67" s="184">
        <f t="shared" ref="E67:F67" si="62">SUM(E68:E69)</f>
        <v>8000</v>
      </c>
      <c r="F67" s="72">
        <f t="shared" si="62"/>
        <v>161973</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095">
        <v>1210</v>
      </c>
      <c r="B68" s="81" t="s">
        <v>87</v>
      </c>
      <c r="C68" s="82">
        <f t="shared" si="0"/>
        <v>132942</v>
      </c>
      <c r="D68" s="46">
        <v>124942</v>
      </c>
      <c r="E68" s="743">
        <v>8000</v>
      </c>
      <c r="F68" s="133">
        <f>D68+E68</f>
        <v>132942</v>
      </c>
      <c r="G68" s="46"/>
      <c r="H68" s="47"/>
      <c r="I68" s="133">
        <f>G68+H68</f>
        <v>0</v>
      </c>
      <c r="J68" s="46"/>
      <c r="K68" s="47"/>
      <c r="L68" s="133">
        <f>K68+J68</f>
        <v>0</v>
      </c>
      <c r="M68" s="46"/>
      <c r="N68" s="47"/>
      <c r="O68" s="133">
        <f>N68+M68</f>
        <v>0</v>
      </c>
      <c r="P68" s="49"/>
    </row>
    <row r="69" spans="1:16" ht="24" x14ac:dyDescent="0.25">
      <c r="A69" s="188">
        <v>1220</v>
      </c>
      <c r="B69" s="88" t="s">
        <v>88</v>
      </c>
      <c r="C69" s="89">
        <f t="shared" si="0"/>
        <v>29031</v>
      </c>
      <c r="D69" s="189">
        <f>SUM(D70:D74)</f>
        <v>29031</v>
      </c>
      <c r="E69" s="190">
        <f t="shared" ref="E69:F69" si="66">SUM(E70:E74)</f>
        <v>0</v>
      </c>
      <c r="F69" s="55">
        <f t="shared" si="66"/>
        <v>29031</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18584</v>
      </c>
      <c r="D70" s="53">
        <v>18584</v>
      </c>
      <c r="E70" s="54"/>
      <c r="F70" s="55">
        <f t="shared" ref="F70:F74" si="70">D70+E70</f>
        <v>18584</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4697</v>
      </c>
      <c r="D73" s="53">
        <v>4697</v>
      </c>
      <c r="E73" s="54"/>
      <c r="F73" s="55">
        <f t="shared" si="70"/>
        <v>4697</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5750</v>
      </c>
      <c r="D74" s="53">
        <v>5750</v>
      </c>
      <c r="E74" s="54"/>
      <c r="F74" s="55">
        <f t="shared" si="70"/>
        <v>5750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158513</v>
      </c>
      <c r="D75" s="178">
        <f>SUM(D76,D83,D130,D164,D165,D172)</f>
        <v>149411</v>
      </c>
      <c r="E75" s="179">
        <f t="shared" ref="E75:F75" si="74">SUM(E76,E83,E130,E164,E165,E172)</f>
        <v>0</v>
      </c>
      <c r="F75" s="180">
        <f t="shared" si="74"/>
        <v>149411</v>
      </c>
      <c r="G75" s="178">
        <f>SUM(G76,G83,G130,G164,G165,G172)</f>
        <v>0</v>
      </c>
      <c r="H75" s="179">
        <f t="shared" ref="H75:I75" si="75">SUM(H76,H83,H130,H164,H165,H172)</f>
        <v>0</v>
      </c>
      <c r="I75" s="180">
        <f t="shared" si="75"/>
        <v>0</v>
      </c>
      <c r="J75" s="178">
        <f>SUM(J76,J83,J130,J164,J165,J172)</f>
        <v>9102</v>
      </c>
      <c r="K75" s="179">
        <f t="shared" ref="K75:L75" si="76">SUM(K76,K83,K130,K164,K165,K172)</f>
        <v>0</v>
      </c>
      <c r="L75" s="180">
        <f t="shared" si="76"/>
        <v>9102</v>
      </c>
      <c r="M75" s="178">
        <f>SUM(M76,M83,M130,M164,M165,M172)</f>
        <v>0</v>
      </c>
      <c r="N75" s="179">
        <f t="shared" ref="N75:O75" si="77">SUM(N76,N83,N130,N164,N165,N172)</f>
        <v>0</v>
      </c>
      <c r="O75" s="180">
        <f t="shared" si="77"/>
        <v>0</v>
      </c>
      <c r="P75" s="181"/>
    </row>
    <row r="76" spans="1:16" ht="24" x14ac:dyDescent="0.25">
      <c r="A76" s="68">
        <v>2100</v>
      </c>
      <c r="B76" s="182" t="s">
        <v>95</v>
      </c>
      <c r="C76" s="69">
        <f t="shared" si="0"/>
        <v>64776</v>
      </c>
      <c r="D76" s="183">
        <f>SUM(D77,D80)</f>
        <v>64776</v>
      </c>
      <c r="E76" s="184">
        <f t="shared" ref="E76:F76" si="78">SUM(E77,E80)</f>
        <v>0</v>
      </c>
      <c r="F76" s="72">
        <f t="shared" si="78"/>
        <v>64776</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x14ac:dyDescent="0.25">
      <c r="A77" s="1095">
        <v>2110</v>
      </c>
      <c r="B77" s="81" t="s">
        <v>96</v>
      </c>
      <c r="C77" s="82">
        <f t="shared" si="0"/>
        <v>830</v>
      </c>
      <c r="D77" s="192">
        <f>SUM(D78:D79)</f>
        <v>830</v>
      </c>
      <c r="E77" s="193">
        <f t="shared" ref="E77:F77" si="82">SUM(E78:E79)</f>
        <v>0</v>
      </c>
      <c r="F77" s="133">
        <f t="shared" si="82"/>
        <v>830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customHeight="1" x14ac:dyDescent="0.25">
      <c r="A78" s="51">
        <v>2111</v>
      </c>
      <c r="B78" s="88" t="s">
        <v>97</v>
      </c>
      <c r="C78" s="89">
        <f t="shared" si="0"/>
        <v>245</v>
      </c>
      <c r="D78" s="194">
        <v>245</v>
      </c>
      <c r="E78" s="195"/>
      <c r="F78" s="55">
        <f t="shared" ref="F78:F79" si="86">D78+E78</f>
        <v>245</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8" t="s">
        <v>98</v>
      </c>
      <c r="C79" s="89">
        <f t="shared" si="0"/>
        <v>585</v>
      </c>
      <c r="D79" s="194">
        <v>585</v>
      </c>
      <c r="E79" s="195"/>
      <c r="F79" s="55">
        <f t="shared" si="86"/>
        <v>585</v>
      </c>
      <c r="G79" s="53"/>
      <c r="H79" s="54"/>
      <c r="I79" s="55">
        <f t="shared" si="87"/>
        <v>0</v>
      </c>
      <c r="J79" s="53"/>
      <c r="K79" s="54"/>
      <c r="L79" s="55">
        <f t="shared" si="88"/>
        <v>0</v>
      </c>
      <c r="M79" s="53"/>
      <c r="N79" s="54"/>
      <c r="O79" s="55">
        <f t="shared" si="89"/>
        <v>0</v>
      </c>
      <c r="P79" s="57"/>
    </row>
    <row r="80" spans="1:16" ht="24" x14ac:dyDescent="0.25">
      <c r="A80" s="188">
        <v>2120</v>
      </c>
      <c r="B80" s="88" t="s">
        <v>99</v>
      </c>
      <c r="C80" s="89">
        <f t="shared" si="0"/>
        <v>63946</v>
      </c>
      <c r="D80" s="189">
        <f>SUM(D81:D82)</f>
        <v>63946</v>
      </c>
      <c r="E80" s="190">
        <f t="shared" ref="E80:F80" si="90">SUM(E81:E82)</f>
        <v>0</v>
      </c>
      <c r="F80" s="55">
        <f t="shared" si="90"/>
        <v>63946</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customHeight="1" x14ac:dyDescent="0.25">
      <c r="A81" s="51">
        <v>2121</v>
      </c>
      <c r="B81" s="88" t="s">
        <v>97</v>
      </c>
      <c r="C81" s="89">
        <f t="shared" si="0"/>
        <v>13100</v>
      </c>
      <c r="D81" s="194">
        <v>13100</v>
      </c>
      <c r="E81" s="195"/>
      <c r="F81" s="55">
        <f t="shared" ref="F81:F82" si="94">D81+E81</f>
        <v>13100</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8" t="s">
        <v>98</v>
      </c>
      <c r="C82" s="89">
        <f t="shared" si="0"/>
        <v>50846</v>
      </c>
      <c r="D82" s="194">
        <v>50846</v>
      </c>
      <c r="E82" s="195"/>
      <c r="F82" s="55">
        <f t="shared" si="94"/>
        <v>50846</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42585</v>
      </c>
      <c r="D83" s="183">
        <f>SUM(D84,D89,D95,D103,D112,D116,D122,D128)</f>
        <v>42585</v>
      </c>
      <c r="E83" s="184">
        <f t="shared" ref="E83:F83" si="98">SUM(E84,E89,E95,E103,E112,E116,E122,E128)</f>
        <v>0</v>
      </c>
      <c r="F83" s="72">
        <f t="shared" si="98"/>
        <v>42585</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15500</v>
      </c>
      <c r="D84" s="186">
        <f>SUM(D85:D88)</f>
        <v>15500</v>
      </c>
      <c r="E84" s="187">
        <f t="shared" ref="E84:F84" si="103">SUM(E85:E88)</f>
        <v>0</v>
      </c>
      <c r="F84" s="140">
        <f t="shared" si="103"/>
        <v>15500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customHeight="1" x14ac:dyDescent="0.25">
      <c r="A88" s="51">
        <v>2219</v>
      </c>
      <c r="B88" s="88" t="s">
        <v>105</v>
      </c>
      <c r="C88" s="89">
        <f t="shared" si="102"/>
        <v>15500</v>
      </c>
      <c r="D88" s="194">
        <v>15500</v>
      </c>
      <c r="E88" s="195"/>
      <c r="F88" s="55">
        <f t="shared" si="107"/>
        <v>15500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24155</v>
      </c>
      <c r="D95" s="189">
        <f>SUM(D96:D102)</f>
        <v>24155</v>
      </c>
      <c r="E95" s="190">
        <f t="shared" ref="E95:F95" si="119">SUM(E96:E102)</f>
        <v>0</v>
      </c>
      <c r="F95" s="55">
        <f t="shared" si="119"/>
        <v>24155</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7500</v>
      </c>
      <c r="D96" s="194">
        <v>7500</v>
      </c>
      <c r="E96" s="195"/>
      <c r="F96" s="55">
        <f t="shared" ref="F96:F102" si="123">D96+E96</f>
        <v>7500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11000</v>
      </c>
      <c r="D100" s="194">
        <v>11000</v>
      </c>
      <c r="E100" s="195"/>
      <c r="F100" s="55">
        <f t="shared" si="123"/>
        <v>11000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5655</v>
      </c>
      <c r="D102" s="194">
        <v>5655</v>
      </c>
      <c r="E102" s="195"/>
      <c r="F102" s="55">
        <f t="shared" si="123"/>
        <v>5655</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2930</v>
      </c>
      <c r="D122" s="189">
        <f>SUM(D123:D127)</f>
        <v>2930</v>
      </c>
      <c r="E122" s="190">
        <f t="shared" ref="E122:F122" si="151">SUM(E123:E127)</f>
        <v>0</v>
      </c>
      <c r="F122" s="55">
        <f t="shared" si="151"/>
        <v>2930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2930</v>
      </c>
      <c r="D127" s="194">
        <v>2930</v>
      </c>
      <c r="E127" s="195"/>
      <c r="F127" s="55">
        <f t="shared" si="155"/>
        <v>2930</v>
      </c>
      <c r="G127" s="53"/>
      <c r="H127" s="54"/>
      <c r="I127" s="55">
        <f t="shared" si="156"/>
        <v>0</v>
      </c>
      <c r="J127" s="53"/>
      <c r="K127" s="54"/>
      <c r="L127" s="55">
        <f t="shared" si="157"/>
        <v>0</v>
      </c>
      <c r="M127" s="53"/>
      <c r="N127" s="54"/>
      <c r="O127" s="55">
        <f t="shared" si="158"/>
        <v>0</v>
      </c>
      <c r="P127" s="57"/>
    </row>
    <row r="128" spans="1:16" ht="48" hidden="1" x14ac:dyDescent="0.25">
      <c r="A128" s="1095">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48450</v>
      </c>
      <c r="D130" s="183">
        <f>SUM(D131,D136,D140,D141,D144,D151,D159,D160,D163)</f>
        <v>42050</v>
      </c>
      <c r="E130" s="184">
        <f t="shared" ref="E130:F130" si="160">SUM(E131,E136,E140,E141,E144,E151,E159,E160,E163)</f>
        <v>0</v>
      </c>
      <c r="F130" s="72">
        <f t="shared" si="160"/>
        <v>42050</v>
      </c>
      <c r="G130" s="183">
        <f>SUM(G131,G136,G140,G141,G144,G151,G159,G160,G163)</f>
        <v>0</v>
      </c>
      <c r="H130" s="184">
        <f t="shared" ref="H130:I130" si="161">SUM(H131,H136,H140,H141,H144,H151,H159,H160,H163)</f>
        <v>0</v>
      </c>
      <c r="I130" s="72">
        <f t="shared" si="161"/>
        <v>0</v>
      </c>
      <c r="J130" s="183">
        <f>SUM(J131,J136,J140,J141,J144,J151,J159,J160,J163)</f>
        <v>6400</v>
      </c>
      <c r="K130" s="184">
        <f t="shared" ref="K130:L130" si="162">SUM(K131,K136,K140,K141,K144,K151,K159,K160,K163)</f>
        <v>0</v>
      </c>
      <c r="L130" s="72">
        <f t="shared" si="162"/>
        <v>6400</v>
      </c>
      <c r="M130" s="183">
        <f>SUM(M131,M136,M140,M141,M144,M151,M159,M160,M163)</f>
        <v>0</v>
      </c>
      <c r="N130" s="184">
        <f t="shared" ref="N130:O130" si="163">SUM(N131,N136,N140,N141,N144,N151,N159,N160,N163)</f>
        <v>0</v>
      </c>
      <c r="O130" s="72">
        <f t="shared" si="163"/>
        <v>0</v>
      </c>
      <c r="P130" s="76"/>
    </row>
    <row r="131" spans="1:16" ht="24" x14ac:dyDescent="0.25">
      <c r="A131" s="1095">
        <v>2310</v>
      </c>
      <c r="B131" s="81" t="s">
        <v>148</v>
      </c>
      <c r="C131" s="82">
        <f t="shared" si="102"/>
        <v>48450</v>
      </c>
      <c r="D131" s="192">
        <f t="shared" ref="D131:O131" si="164">SUM(D132:D135)</f>
        <v>42050</v>
      </c>
      <c r="E131" s="193">
        <f t="shared" si="164"/>
        <v>0</v>
      </c>
      <c r="F131" s="133">
        <f t="shared" si="164"/>
        <v>42050</v>
      </c>
      <c r="G131" s="192">
        <f t="shared" si="164"/>
        <v>0</v>
      </c>
      <c r="H131" s="193">
        <f t="shared" si="164"/>
        <v>0</v>
      </c>
      <c r="I131" s="133">
        <f t="shared" si="164"/>
        <v>0</v>
      </c>
      <c r="J131" s="192">
        <f t="shared" si="164"/>
        <v>6400</v>
      </c>
      <c r="K131" s="193">
        <f t="shared" si="164"/>
        <v>0</v>
      </c>
      <c r="L131" s="133">
        <f t="shared" si="164"/>
        <v>6400</v>
      </c>
      <c r="M131" s="192">
        <f t="shared" si="164"/>
        <v>0</v>
      </c>
      <c r="N131" s="193">
        <f t="shared" si="164"/>
        <v>0</v>
      </c>
      <c r="O131" s="133">
        <f t="shared" si="164"/>
        <v>0</v>
      </c>
      <c r="P131" s="49"/>
    </row>
    <row r="132" spans="1:16" ht="12" customHeight="1" x14ac:dyDescent="0.25">
      <c r="A132" s="51">
        <v>2311</v>
      </c>
      <c r="B132" s="88" t="s">
        <v>149</v>
      </c>
      <c r="C132" s="89">
        <f t="shared" si="102"/>
        <v>2300</v>
      </c>
      <c r="D132" s="194">
        <v>900</v>
      </c>
      <c r="E132" s="195"/>
      <c r="F132" s="55">
        <f t="shared" ref="F132:F135" si="165">D132+E132</f>
        <v>900</v>
      </c>
      <c r="G132" s="53"/>
      <c r="H132" s="54"/>
      <c r="I132" s="55">
        <f t="shared" ref="I132:I135" si="166">G132+H132</f>
        <v>0</v>
      </c>
      <c r="J132" s="53">
        <v>1400</v>
      </c>
      <c r="K132" s="54"/>
      <c r="L132" s="55">
        <f t="shared" ref="L132:L135" si="167">K132+J132</f>
        <v>1400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46150</v>
      </c>
      <c r="D135" s="194">
        <v>41150</v>
      </c>
      <c r="E135" s="195"/>
      <c r="F135" s="55">
        <f t="shared" si="165"/>
        <v>41150</v>
      </c>
      <c r="G135" s="53"/>
      <c r="H135" s="54"/>
      <c r="I135" s="55">
        <f t="shared" si="166"/>
        <v>0</v>
      </c>
      <c r="J135" s="53">
        <v>5000</v>
      </c>
      <c r="K135" s="54"/>
      <c r="L135" s="55">
        <f t="shared" si="167"/>
        <v>5000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x14ac:dyDescent="0.25">
      <c r="A165" s="68">
        <v>2500</v>
      </c>
      <c r="B165" s="182" t="s">
        <v>182</v>
      </c>
      <c r="C165" s="69">
        <f t="shared" si="193"/>
        <v>2702</v>
      </c>
      <c r="D165" s="183">
        <f>SUM(D166,D171)</f>
        <v>0</v>
      </c>
      <c r="E165" s="184">
        <f t="shared" ref="E165:O165" si="210">SUM(E166,E171)</f>
        <v>0</v>
      </c>
      <c r="F165" s="72">
        <f t="shared" si="210"/>
        <v>0</v>
      </c>
      <c r="G165" s="183">
        <f t="shared" si="210"/>
        <v>0</v>
      </c>
      <c r="H165" s="184">
        <f t="shared" si="210"/>
        <v>0</v>
      </c>
      <c r="I165" s="72">
        <f t="shared" si="210"/>
        <v>0</v>
      </c>
      <c r="J165" s="183">
        <f t="shared" si="210"/>
        <v>2702</v>
      </c>
      <c r="K165" s="184">
        <f t="shared" si="210"/>
        <v>0</v>
      </c>
      <c r="L165" s="72">
        <f t="shared" si="210"/>
        <v>2702</v>
      </c>
      <c r="M165" s="183">
        <f t="shared" si="210"/>
        <v>0</v>
      </c>
      <c r="N165" s="184">
        <f t="shared" si="210"/>
        <v>0</v>
      </c>
      <c r="O165" s="72">
        <f t="shared" si="210"/>
        <v>0</v>
      </c>
      <c r="P165" s="76"/>
    </row>
    <row r="166" spans="1:16" ht="24" x14ac:dyDescent="0.25">
      <c r="A166" s="1095">
        <v>2510</v>
      </c>
      <c r="B166" s="81" t="s">
        <v>183</v>
      </c>
      <c r="C166" s="82">
        <f t="shared" si="193"/>
        <v>2702</v>
      </c>
      <c r="D166" s="192">
        <f>SUM(D167:D170)</f>
        <v>0</v>
      </c>
      <c r="E166" s="193">
        <f t="shared" ref="E166:O166" si="211">SUM(E167:E170)</f>
        <v>0</v>
      </c>
      <c r="F166" s="133">
        <f t="shared" si="211"/>
        <v>0</v>
      </c>
      <c r="G166" s="192">
        <f t="shared" si="211"/>
        <v>0</v>
      </c>
      <c r="H166" s="193">
        <f t="shared" si="211"/>
        <v>0</v>
      </c>
      <c r="I166" s="133">
        <f t="shared" si="211"/>
        <v>0</v>
      </c>
      <c r="J166" s="192">
        <f t="shared" si="211"/>
        <v>2702</v>
      </c>
      <c r="K166" s="193">
        <f t="shared" si="211"/>
        <v>0</v>
      </c>
      <c r="L166" s="133">
        <f t="shared" si="211"/>
        <v>2702</v>
      </c>
      <c r="M166" s="192">
        <f t="shared" si="211"/>
        <v>0</v>
      </c>
      <c r="N166" s="193">
        <f t="shared" si="211"/>
        <v>0</v>
      </c>
      <c r="O166" s="133">
        <f t="shared" si="211"/>
        <v>0</v>
      </c>
      <c r="P166" s="49"/>
    </row>
    <row r="167" spans="1:16" ht="24" customHeight="1" x14ac:dyDescent="0.25">
      <c r="A167" s="51">
        <v>2512</v>
      </c>
      <c r="B167" s="88" t="s">
        <v>184</v>
      </c>
      <c r="C167" s="89">
        <f t="shared" si="193"/>
        <v>2702</v>
      </c>
      <c r="D167" s="194"/>
      <c r="E167" s="195"/>
      <c r="F167" s="55">
        <f t="shared" ref="F167:F172" si="212">D167+E167</f>
        <v>0</v>
      </c>
      <c r="G167" s="53"/>
      <c r="H167" s="54"/>
      <c r="I167" s="55">
        <f t="shared" ref="I167:I172" si="213">G167+H167</f>
        <v>0</v>
      </c>
      <c r="J167" s="53">
        <f>2700+2</f>
        <v>2702</v>
      </c>
      <c r="K167" s="54"/>
      <c r="L167" s="55">
        <f t="shared" ref="L167:L172" si="214">K167+J167</f>
        <v>2702</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095">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095">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095">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095">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19500</v>
      </c>
      <c r="D194" s="172">
        <f t="shared" ref="D194:O194" si="259">SUM(D195,D230,D269,D283)</f>
        <v>19500</v>
      </c>
      <c r="E194" s="173">
        <f t="shared" si="259"/>
        <v>0</v>
      </c>
      <c r="F194" s="174">
        <f t="shared" si="259"/>
        <v>19500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095">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19500</v>
      </c>
      <c r="D230" s="178">
        <f>D231+D251+D259</f>
        <v>19500</v>
      </c>
      <c r="E230" s="179">
        <f t="shared" ref="E230:F230" si="305">E231+E251+E259</f>
        <v>0</v>
      </c>
      <c r="F230" s="180">
        <f t="shared" si="305"/>
        <v>19500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095">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095">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095">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19500</v>
      </c>
      <c r="D259" s="183">
        <f>SUM(D260,D264)</f>
        <v>19500</v>
      </c>
      <c r="E259" s="184">
        <f t="shared" ref="E259:O259" si="341">SUM(E260,E264)</f>
        <v>0</v>
      </c>
      <c r="F259" s="72">
        <f t="shared" si="341"/>
        <v>19500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095">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19500</v>
      </c>
      <c r="D264" s="189">
        <f>SUM(D265:D268)</f>
        <v>19500</v>
      </c>
      <c r="E264" s="190">
        <f t="shared" ref="E264:F264" si="347">SUM(E265:E268)</f>
        <v>0</v>
      </c>
      <c r="F264" s="55">
        <f t="shared" si="347"/>
        <v>19500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8" t="s">
        <v>283</v>
      </c>
      <c r="C266" s="89">
        <f t="shared" si="288"/>
        <v>19500</v>
      </c>
      <c r="D266" s="194">
        <v>19500</v>
      </c>
      <c r="E266" s="195"/>
      <c r="F266" s="55">
        <f t="shared" si="351"/>
        <v>19500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095">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095">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911015</v>
      </c>
      <c r="D289" s="251">
        <f t="shared" ref="D289:O289" si="389">SUM(D286,D269,D230,D195,D187,D173,D75,D53,D283)</f>
        <v>891913</v>
      </c>
      <c r="E289" s="252">
        <f t="shared" si="389"/>
        <v>10000</v>
      </c>
      <c r="F289" s="253">
        <f t="shared" si="389"/>
        <v>901913</v>
      </c>
      <c r="G289" s="251">
        <f t="shared" si="389"/>
        <v>0</v>
      </c>
      <c r="H289" s="252">
        <f t="shared" si="389"/>
        <v>0</v>
      </c>
      <c r="I289" s="253">
        <f t="shared" si="389"/>
        <v>0</v>
      </c>
      <c r="J289" s="251">
        <f t="shared" si="389"/>
        <v>9102</v>
      </c>
      <c r="K289" s="252">
        <f t="shared" si="389"/>
        <v>0</v>
      </c>
      <c r="L289" s="253">
        <f t="shared" si="389"/>
        <v>9102</v>
      </c>
      <c r="M289" s="251">
        <f t="shared" si="389"/>
        <v>0</v>
      </c>
      <c r="N289" s="252">
        <f t="shared" si="389"/>
        <v>0</v>
      </c>
      <c r="O289" s="253">
        <f t="shared" si="389"/>
        <v>0</v>
      </c>
      <c r="P289" s="254"/>
    </row>
    <row r="290" spans="1:16" s="28" customFormat="1" ht="13.5" thickTop="1" thickBot="1" x14ac:dyDescent="0.3">
      <c r="A290" s="1945" t="s">
        <v>309</v>
      </c>
      <c r="B290" s="1946"/>
      <c r="C290" s="255">
        <f t="shared" si="371"/>
        <v>-2</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-2</v>
      </c>
      <c r="K290" s="257">
        <f t="shared" ref="K290:L290" si="392">(K26+K43)-K51</f>
        <v>0</v>
      </c>
      <c r="L290" s="258">
        <f t="shared" si="392"/>
        <v>-2</v>
      </c>
      <c r="M290" s="256">
        <f>M45-M51</f>
        <v>0</v>
      </c>
      <c r="N290" s="257">
        <f t="shared" ref="N290:O290" si="393">N45-N51</f>
        <v>0</v>
      </c>
      <c r="O290" s="258">
        <f t="shared" si="393"/>
        <v>0</v>
      </c>
      <c r="P290" s="259"/>
    </row>
    <row r="291" spans="1:16" s="28" customFormat="1" ht="12.75" thickTop="1" x14ac:dyDescent="0.25">
      <c r="A291" s="1947" t="s">
        <v>310</v>
      </c>
      <c r="B291" s="1948"/>
      <c r="C291" s="260">
        <f t="shared" si="371"/>
        <v>2</v>
      </c>
      <c r="D291" s="261">
        <f t="shared" ref="D291:O291" si="394">SUM(D292,D293)-D300+D301</f>
        <v>0</v>
      </c>
      <c r="E291" s="262">
        <f t="shared" si="394"/>
        <v>0</v>
      </c>
      <c r="F291" s="263">
        <f t="shared" si="394"/>
        <v>0</v>
      </c>
      <c r="G291" s="261">
        <f t="shared" si="394"/>
        <v>0</v>
      </c>
      <c r="H291" s="262">
        <f t="shared" si="394"/>
        <v>0</v>
      </c>
      <c r="I291" s="263">
        <f t="shared" si="394"/>
        <v>0</v>
      </c>
      <c r="J291" s="261">
        <f t="shared" si="394"/>
        <v>2</v>
      </c>
      <c r="K291" s="262">
        <f t="shared" si="394"/>
        <v>0</v>
      </c>
      <c r="L291" s="263">
        <f t="shared" si="394"/>
        <v>2</v>
      </c>
      <c r="M291" s="261">
        <f t="shared" si="394"/>
        <v>0</v>
      </c>
      <c r="N291" s="262">
        <f t="shared" si="394"/>
        <v>0</v>
      </c>
      <c r="O291" s="263">
        <f t="shared" si="394"/>
        <v>0</v>
      </c>
      <c r="P291" s="264"/>
    </row>
    <row r="292" spans="1:16" s="28" customFormat="1" ht="12.75" thickBot="1" x14ac:dyDescent="0.3">
      <c r="A292" s="156" t="s">
        <v>311</v>
      </c>
      <c r="B292" s="156" t="s">
        <v>312</v>
      </c>
      <c r="C292" s="157">
        <f t="shared" si="371"/>
        <v>2</v>
      </c>
      <c r="D292" s="158">
        <f t="shared" ref="D292:O292" si="395">D21-D286</f>
        <v>0</v>
      </c>
      <c r="E292" s="159">
        <f t="shared" si="395"/>
        <v>0</v>
      </c>
      <c r="F292" s="160">
        <f t="shared" si="395"/>
        <v>0</v>
      </c>
      <c r="G292" s="158">
        <f t="shared" si="395"/>
        <v>0</v>
      </c>
      <c r="H292" s="159">
        <f t="shared" si="395"/>
        <v>0</v>
      </c>
      <c r="I292" s="160">
        <f t="shared" si="395"/>
        <v>0</v>
      </c>
      <c r="J292" s="158">
        <f t="shared" si="395"/>
        <v>2</v>
      </c>
      <c r="K292" s="159">
        <f t="shared" si="395"/>
        <v>0</v>
      </c>
      <c r="L292" s="160">
        <f t="shared" si="395"/>
        <v>2</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nm1Vh6IDzGSUv+V19WqJbW77inN3L09i+iEv5n7dgSg6l87/GLSNEwCjshuO9L2RGoSXFr7NHanK6dFBgglVNw==" saltValue="2xP8gzYNWE7XU49n10UIGQ==" spinCount="100000" sheet="1" objects="1" scenarios="1" formatCells="0" formatColumns="0" formatRows="0" deleteColumns="0"/>
  <autoFilter ref="A18:P301">
    <filterColumn colId="2">
      <filters>
        <filter val="1 300"/>
        <filter val="11 000"/>
        <filter val="13 100"/>
        <filter val="132 942"/>
        <filter val="15 500"/>
        <filter val="158 513"/>
        <filter val="161 973"/>
        <filter val="18 584"/>
        <filter val="19 500"/>
        <filter val="19 880"/>
        <filter val="2"/>
        <filter val="-2"/>
        <filter val="2 300"/>
        <filter val="2 702"/>
        <filter val="2 930"/>
        <filter val="24 155"/>
        <filter val="245"/>
        <filter val="29 031"/>
        <filter val="39 581"/>
        <filter val="4 697"/>
        <filter val="42 585"/>
        <filter val="453 109"/>
        <filter val="46 150"/>
        <filter val="48 450"/>
        <filter val="5 655"/>
        <filter val="5 750"/>
        <filter val="50 846"/>
        <filter val="531 448"/>
        <filter val="571 029"/>
        <filter val="585"/>
        <filter val="63 946"/>
        <filter val="64 776"/>
        <filter val="7 500"/>
        <filter val="733 002"/>
        <filter val="78 339"/>
        <filter val="8 460"/>
        <filter val="830"/>
        <filter val="891 515"/>
        <filter val="9 100"/>
        <filter val="9 941"/>
        <filter val="901 913"/>
        <filter val="911 0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3.pielikums Jūrmalas pilsētas domes
2019.gada 29.augusta saistošajiem noteikumiem Nr.31
(protokols Nr.12, 20.punkts)
 </firstHeader>
    <firstFooter>&amp;L&amp;9&amp;D; &amp;T&amp;R&amp;9&amp;P (&amp;N)</first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6" sqref="S6"/>
    </sheetView>
  </sheetViews>
  <sheetFormatPr defaultRowHeight="15"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2201</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726"/>
    </row>
    <row r="3" spans="1:17" ht="12.75" customHeight="1" x14ac:dyDescent="0.25">
      <c r="A3" s="5" t="s">
        <v>2</v>
      </c>
      <c r="B3" s="6"/>
      <c r="C3" s="1977" t="s">
        <v>3</v>
      </c>
      <c r="D3" s="1977"/>
      <c r="E3" s="1977"/>
      <c r="F3" s="1977"/>
      <c r="G3" s="1977"/>
      <c r="H3" s="1977"/>
      <c r="I3" s="1977"/>
      <c r="J3" s="1977"/>
      <c r="K3" s="1977"/>
      <c r="L3" s="1977"/>
      <c r="M3" s="1977"/>
      <c r="N3" s="1977"/>
      <c r="O3" s="1977"/>
      <c r="P3" s="1978"/>
      <c r="Q3" s="726"/>
    </row>
    <row r="4" spans="1:17" ht="12.75" customHeight="1" x14ac:dyDescent="0.25">
      <c r="A4" s="5" t="s">
        <v>4</v>
      </c>
      <c r="B4" s="6"/>
      <c r="C4" s="1977" t="s">
        <v>5</v>
      </c>
      <c r="D4" s="1977"/>
      <c r="E4" s="1977"/>
      <c r="F4" s="1977"/>
      <c r="G4" s="1977"/>
      <c r="H4" s="1977"/>
      <c r="I4" s="1977"/>
      <c r="J4" s="1977"/>
      <c r="K4" s="1977"/>
      <c r="L4" s="1977"/>
      <c r="M4" s="1977"/>
      <c r="N4" s="1977"/>
      <c r="O4" s="1977"/>
      <c r="P4" s="1978"/>
      <c r="Q4" s="726"/>
    </row>
    <row r="5" spans="1:17" ht="12.75" customHeight="1" x14ac:dyDescent="0.25">
      <c r="A5" s="7" t="s">
        <v>6</v>
      </c>
      <c r="B5" s="8"/>
      <c r="C5" s="1972" t="s">
        <v>7</v>
      </c>
      <c r="D5" s="1972"/>
      <c r="E5" s="1972"/>
      <c r="F5" s="1972"/>
      <c r="G5" s="1972"/>
      <c r="H5" s="1972"/>
      <c r="I5" s="1972"/>
      <c r="J5" s="1972"/>
      <c r="K5" s="1972"/>
      <c r="L5" s="1972"/>
      <c r="M5" s="1972"/>
      <c r="N5" s="1972"/>
      <c r="O5" s="1972"/>
      <c r="P5" s="1973"/>
      <c r="Q5" s="726"/>
    </row>
    <row r="6" spans="1:17" ht="12.75" customHeight="1" x14ac:dyDescent="0.25">
      <c r="A6" s="7" t="s">
        <v>8</v>
      </c>
      <c r="B6" s="8"/>
      <c r="C6" s="1972" t="s">
        <v>2069</v>
      </c>
      <c r="D6" s="1972"/>
      <c r="E6" s="1972"/>
      <c r="F6" s="1972"/>
      <c r="G6" s="1972"/>
      <c r="H6" s="1972"/>
      <c r="I6" s="1972"/>
      <c r="J6" s="1972"/>
      <c r="K6" s="1972"/>
      <c r="L6" s="1972"/>
      <c r="M6" s="1972"/>
      <c r="N6" s="1972"/>
      <c r="O6" s="1972"/>
      <c r="P6" s="1973"/>
      <c r="Q6" s="726"/>
    </row>
    <row r="7" spans="1:17" ht="26.25" customHeight="1" x14ac:dyDescent="0.25">
      <c r="A7" s="7" t="s">
        <v>10</v>
      </c>
      <c r="B7" s="8"/>
      <c r="C7" s="1977" t="s">
        <v>2202</v>
      </c>
      <c r="D7" s="1977"/>
      <c r="E7" s="1977"/>
      <c r="F7" s="1977"/>
      <c r="G7" s="1977"/>
      <c r="H7" s="1977"/>
      <c r="I7" s="1977"/>
      <c r="J7" s="1977"/>
      <c r="K7" s="1977"/>
      <c r="L7" s="1977"/>
      <c r="M7" s="1977"/>
      <c r="N7" s="1977"/>
      <c r="O7" s="1977"/>
      <c r="P7" s="1978"/>
      <c r="Q7" s="726"/>
    </row>
    <row r="8" spans="1:17" ht="12.75" customHeight="1" x14ac:dyDescent="0.25">
      <c r="A8" s="9" t="s">
        <v>12</v>
      </c>
      <c r="B8" s="8"/>
      <c r="C8" s="1979"/>
      <c r="D8" s="1979"/>
      <c r="E8" s="1979"/>
      <c r="F8" s="1979"/>
      <c r="G8" s="1979"/>
      <c r="H8" s="1979"/>
      <c r="I8" s="1979"/>
      <c r="J8" s="1979"/>
      <c r="K8" s="1979"/>
      <c r="L8" s="1979"/>
      <c r="M8" s="1979"/>
      <c r="N8" s="1979"/>
      <c r="O8" s="1979"/>
      <c r="P8" s="1980"/>
      <c r="Q8" s="726"/>
    </row>
    <row r="9" spans="1:17" ht="12.75" customHeight="1" x14ac:dyDescent="0.25">
      <c r="A9" s="7"/>
      <c r="B9" s="8" t="s">
        <v>13</v>
      </c>
      <c r="C9" s="1972" t="s">
        <v>880</v>
      </c>
      <c r="D9" s="1972"/>
      <c r="E9" s="1972"/>
      <c r="F9" s="1972"/>
      <c r="G9" s="1972"/>
      <c r="H9" s="1972"/>
      <c r="I9" s="1972"/>
      <c r="J9" s="1972"/>
      <c r="K9" s="1972"/>
      <c r="L9" s="1972"/>
      <c r="M9" s="1972"/>
      <c r="N9" s="1972"/>
      <c r="O9" s="1972"/>
      <c r="P9" s="1973"/>
      <c r="Q9" s="72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72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72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72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726"/>
    </row>
    <row r="14" spans="1:17" ht="12.75" customHeight="1" x14ac:dyDescent="0.25">
      <c r="A14" s="10"/>
      <c r="B14" s="11"/>
      <c r="C14" s="1952"/>
      <c r="D14" s="1952"/>
      <c r="E14" s="1952"/>
      <c r="F14" s="1952"/>
      <c r="G14" s="1952"/>
      <c r="H14" s="1952"/>
      <c r="I14" s="1952"/>
      <c r="J14" s="1952"/>
      <c r="K14" s="1952"/>
      <c r="L14" s="1952"/>
      <c r="M14" s="1952"/>
      <c r="N14" s="1952"/>
      <c r="O14" s="1952"/>
      <c r="P14" s="1953"/>
      <c r="Q14" s="72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10.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4.25"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4920934</v>
      </c>
      <c r="D20" s="32">
        <f>SUM(D21,D24,D25,D41,D43)</f>
        <v>3861998</v>
      </c>
      <c r="E20" s="33">
        <f t="shared" ref="E20:F20" si="1">SUM(E21,E24,E25,E41,E43)</f>
        <v>20000</v>
      </c>
      <c r="F20" s="34">
        <f t="shared" si="1"/>
        <v>3881998</v>
      </c>
      <c r="G20" s="32">
        <f>SUM(G21,G24,G43)</f>
        <v>1038936</v>
      </c>
      <c r="H20" s="33">
        <f t="shared" ref="H20:I20" si="2">SUM(H21,H24,H43)</f>
        <v>0</v>
      </c>
      <c r="I20" s="34">
        <f t="shared" si="2"/>
        <v>1038936</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4920934</v>
      </c>
      <c r="D24" s="60">
        <f>D51</f>
        <v>3861998</v>
      </c>
      <c r="E24" s="741">
        <f>24867+84024-24850-25041-30000-11000+2000</f>
        <v>20000</v>
      </c>
      <c r="F24" s="62">
        <f t="shared" si="9"/>
        <v>3881998</v>
      </c>
      <c r="G24" s="60">
        <f>G51</f>
        <v>1038936</v>
      </c>
      <c r="H24" s="741">
        <f>39540-52214-3950+34295-20000+3500+1500+719-3390</f>
        <v>0</v>
      </c>
      <c r="I24" s="62">
        <f t="shared" si="10"/>
        <v>1038936</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4920934</v>
      </c>
      <c r="D50" s="158">
        <f>SUM(D51,D286)</f>
        <v>3861998</v>
      </c>
      <c r="E50" s="159">
        <f t="shared" ref="E50:F50" si="26">SUM(E51,E286)</f>
        <v>20000</v>
      </c>
      <c r="F50" s="160">
        <f t="shared" si="26"/>
        <v>3881998</v>
      </c>
      <c r="G50" s="158">
        <f>SUM(G51,G286)</f>
        <v>1038936</v>
      </c>
      <c r="H50" s="159">
        <f>SUM(H51,H286)</f>
        <v>0</v>
      </c>
      <c r="I50" s="160">
        <f t="shared" ref="I50" si="27">SUM(I51,I286)</f>
        <v>1038936</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4920934</v>
      </c>
      <c r="D51" s="164">
        <f>SUM(D52,D194)</f>
        <v>3861998</v>
      </c>
      <c r="E51" s="165">
        <f t="shared" ref="E51:F51" si="30">SUM(E52,E194)</f>
        <v>20000</v>
      </c>
      <c r="F51" s="166">
        <f t="shared" si="30"/>
        <v>3881998</v>
      </c>
      <c r="G51" s="164">
        <f>SUM(G52,G194)</f>
        <v>1038936</v>
      </c>
      <c r="H51" s="165">
        <f t="shared" ref="H51:I51" si="31">SUM(H52,H194)</f>
        <v>0</v>
      </c>
      <c r="I51" s="166">
        <f t="shared" si="31"/>
        <v>1038936</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642792</v>
      </c>
      <c r="D52" s="172">
        <f>SUM(D53,D75,D173,D187)</f>
        <v>142955</v>
      </c>
      <c r="E52" s="173">
        <f t="shared" ref="E52:F52" si="34">SUM(E53,E75,E173,E187)</f>
        <v>1783</v>
      </c>
      <c r="F52" s="174">
        <f t="shared" si="34"/>
        <v>144738</v>
      </c>
      <c r="G52" s="172">
        <f>SUM(G53,G75,G173,G187)</f>
        <v>478040</v>
      </c>
      <c r="H52" s="173">
        <f t="shared" ref="H52:I52" si="35">SUM(H53,H75,H173,H187)</f>
        <v>20014</v>
      </c>
      <c r="I52" s="174">
        <f t="shared" si="35"/>
        <v>498054</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t="12"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675">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642792</v>
      </c>
      <c r="D75" s="178">
        <f>SUM(D76,D83,D130,D164,D165,D172)</f>
        <v>142955</v>
      </c>
      <c r="E75" s="179">
        <f t="shared" ref="E75:F75" si="74">SUM(E76,E83,E130,E164,E165,E172)</f>
        <v>1783</v>
      </c>
      <c r="F75" s="180">
        <f t="shared" si="74"/>
        <v>144738</v>
      </c>
      <c r="G75" s="178">
        <f>SUM(G76,G83,G130,G164,G165,G172)</f>
        <v>478040</v>
      </c>
      <c r="H75" s="179">
        <f t="shared" ref="H75:I75" si="75">SUM(H76,H83,H130,H164,H165,H172)</f>
        <v>20014</v>
      </c>
      <c r="I75" s="180">
        <f t="shared" si="75"/>
        <v>498054</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675">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597736</v>
      </c>
      <c r="D83" s="183">
        <f>SUM(D84,D89,D95,D103,D112,D116,D122,D128)</f>
        <v>111682</v>
      </c>
      <c r="E83" s="184">
        <f t="shared" ref="E83:F83" si="98">SUM(E84,E89,E95,E103,E112,E116,E122,E128)</f>
        <v>2000</v>
      </c>
      <c r="F83" s="72">
        <f t="shared" si="98"/>
        <v>113682</v>
      </c>
      <c r="G83" s="183">
        <f>SUM(G84,G89,G95,G103,G112,G116,G122,G128)</f>
        <v>464040</v>
      </c>
      <c r="H83" s="184">
        <f t="shared" ref="H83:I83" si="99">SUM(H84,H89,H95,H103,H112,H116,H122,H128)</f>
        <v>20014</v>
      </c>
      <c r="I83" s="72">
        <f t="shared" si="99"/>
        <v>484054</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597736</v>
      </c>
      <c r="D103" s="189">
        <f>SUM(D104:D111)</f>
        <v>111682</v>
      </c>
      <c r="E103" s="190">
        <f t="shared" ref="E103:F103" si="127">SUM(E104:E111)</f>
        <v>2000</v>
      </c>
      <c r="F103" s="55">
        <f t="shared" si="127"/>
        <v>113682</v>
      </c>
      <c r="G103" s="189">
        <f>SUM(G104:G111)</f>
        <v>464040</v>
      </c>
      <c r="H103" s="190">
        <f t="shared" ref="H103:I103" si="128">SUM(H104:H111)</f>
        <v>20014</v>
      </c>
      <c r="I103" s="55">
        <f t="shared" si="128"/>
        <v>484054</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customHeight="1" x14ac:dyDescent="0.25">
      <c r="A108" s="51">
        <v>2246</v>
      </c>
      <c r="B108" s="88" t="s">
        <v>125</v>
      </c>
      <c r="C108" s="89">
        <f t="shared" si="102"/>
        <v>597736</v>
      </c>
      <c r="D108" s="194">
        <v>111682</v>
      </c>
      <c r="E108" s="198">
        <v>2000</v>
      </c>
      <c r="F108" s="55">
        <f t="shared" si="131"/>
        <v>113682</v>
      </c>
      <c r="G108" s="53">
        <v>464040</v>
      </c>
      <c r="H108" s="198">
        <f>34295-20000+3500+1500+719</f>
        <v>20014</v>
      </c>
      <c r="I108" s="55">
        <f t="shared" si="132"/>
        <v>484054</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675">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45056</v>
      </c>
      <c r="D130" s="183">
        <f>SUM(D131,D136,D140,D141,D144,D151,D159,D160,D163)</f>
        <v>31273</v>
      </c>
      <c r="E130" s="184">
        <f t="shared" ref="E130:F130" si="160">SUM(E131,E136,E140,E141,E144,E151,E159,E160,E163)</f>
        <v>-217</v>
      </c>
      <c r="F130" s="72">
        <f t="shared" si="160"/>
        <v>31056</v>
      </c>
      <c r="G130" s="183">
        <f>SUM(G131,G136,G140,G141,G144,G151,G159,G160,G163)</f>
        <v>14000</v>
      </c>
      <c r="H130" s="184">
        <f t="shared" ref="H130:I130" si="161">SUM(H131,H136,H140,H141,H144,H151,H159,H160,H163)</f>
        <v>0</v>
      </c>
      <c r="I130" s="72">
        <f t="shared" si="161"/>
        <v>14000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675">
        <v>2310</v>
      </c>
      <c r="B131" s="81" t="s">
        <v>148</v>
      </c>
      <c r="C131" s="82">
        <f t="shared" si="102"/>
        <v>45056</v>
      </c>
      <c r="D131" s="192">
        <f t="shared" ref="D131:O131" si="164">SUM(D132:D135)</f>
        <v>31273</v>
      </c>
      <c r="E131" s="193">
        <f t="shared" si="164"/>
        <v>-217</v>
      </c>
      <c r="F131" s="133">
        <f t="shared" si="164"/>
        <v>31056</v>
      </c>
      <c r="G131" s="192">
        <f t="shared" si="164"/>
        <v>14000</v>
      </c>
      <c r="H131" s="193">
        <f t="shared" si="164"/>
        <v>0</v>
      </c>
      <c r="I131" s="133">
        <f t="shared" si="164"/>
        <v>14000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45056</v>
      </c>
      <c r="D133" s="194">
        <v>31273</v>
      </c>
      <c r="E133" s="198">
        <v>-217</v>
      </c>
      <c r="F133" s="55">
        <f t="shared" si="165"/>
        <v>31056</v>
      </c>
      <c r="G133" s="53">
        <v>14000</v>
      </c>
      <c r="H133" s="54"/>
      <c r="I133" s="55">
        <f t="shared" si="166"/>
        <v>14000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675">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675">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675">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675">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675">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4278142</v>
      </c>
      <c r="D194" s="172">
        <f>SUM(D195,D230,D269,D283)</f>
        <v>3719043</v>
      </c>
      <c r="E194" s="173">
        <f t="shared" ref="E194:O194" si="259">SUM(E195,E230,E269,E283)</f>
        <v>18217</v>
      </c>
      <c r="F194" s="174">
        <f t="shared" si="259"/>
        <v>3737260</v>
      </c>
      <c r="G194" s="172">
        <f t="shared" si="259"/>
        <v>560896</v>
      </c>
      <c r="H194" s="173">
        <f t="shared" si="259"/>
        <v>-20014</v>
      </c>
      <c r="I194" s="174">
        <f t="shared" si="259"/>
        <v>540882</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4278142</v>
      </c>
      <c r="D195" s="178">
        <f>D196+D204</f>
        <v>3719043</v>
      </c>
      <c r="E195" s="179">
        <f t="shared" ref="E195:F195" si="260">E196+E204</f>
        <v>18217</v>
      </c>
      <c r="F195" s="180">
        <f t="shared" si="260"/>
        <v>3737260</v>
      </c>
      <c r="G195" s="178">
        <f>G196+G204</f>
        <v>560896</v>
      </c>
      <c r="H195" s="179">
        <f t="shared" ref="H195:I195" si="261">H196+H204</f>
        <v>-20014</v>
      </c>
      <c r="I195" s="180">
        <f t="shared" si="261"/>
        <v>540882</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675">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4278142</v>
      </c>
      <c r="D204" s="183">
        <f>D205+D215+D216+D225+D226+D227+D229</f>
        <v>3719043</v>
      </c>
      <c r="E204" s="184">
        <f t="shared" ref="E204:F204" si="276">E205+E215+E216+E225+E226+E227+E229</f>
        <v>18217</v>
      </c>
      <c r="F204" s="72">
        <f t="shared" si="276"/>
        <v>3737260</v>
      </c>
      <c r="G204" s="183">
        <f>G205+G215+G216+G225+G226+G227+G229</f>
        <v>560896</v>
      </c>
      <c r="H204" s="184">
        <f t="shared" ref="H204:I204" si="277">H205+H215+H216+H225+H226+H227+H229</f>
        <v>-20014</v>
      </c>
      <c r="I204" s="72">
        <f t="shared" si="277"/>
        <v>540882</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66000</v>
      </c>
      <c r="D216" s="189">
        <f>SUM(D217:D224)</f>
        <v>0</v>
      </c>
      <c r="E216" s="190">
        <f t="shared" ref="E216:F216" si="289">SUM(E217:E224)</f>
        <v>0</v>
      </c>
      <c r="F216" s="55">
        <f t="shared" si="289"/>
        <v>0</v>
      </c>
      <c r="G216" s="189">
        <f>SUM(G217:G224)</f>
        <v>66000</v>
      </c>
      <c r="H216" s="190">
        <f t="shared" ref="H216:I216" si="290">SUM(H217:H224)</f>
        <v>0</v>
      </c>
      <c r="I216" s="55">
        <f t="shared" si="290"/>
        <v>66000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66000</v>
      </c>
      <c r="D224" s="194">
        <v>0</v>
      </c>
      <c r="E224" s="195"/>
      <c r="F224" s="55">
        <f t="shared" si="293"/>
        <v>0</v>
      </c>
      <c r="G224" s="53">
        <v>66000</v>
      </c>
      <c r="H224" s="54"/>
      <c r="I224" s="55">
        <f t="shared" si="294"/>
        <v>66000</v>
      </c>
      <c r="J224" s="53"/>
      <c r="K224" s="54"/>
      <c r="L224" s="55">
        <f t="shared" si="295"/>
        <v>0</v>
      </c>
      <c r="M224" s="53"/>
      <c r="N224" s="54"/>
      <c r="O224" s="55">
        <f t="shared" si="296"/>
        <v>0</v>
      </c>
      <c r="P224" s="57"/>
    </row>
    <row r="225" spans="1:16" ht="24" customHeight="1" x14ac:dyDescent="0.25">
      <c r="A225" s="188">
        <v>5240</v>
      </c>
      <c r="B225" s="88" t="s">
        <v>242</v>
      </c>
      <c r="C225" s="89">
        <f t="shared" si="288"/>
        <v>455545</v>
      </c>
      <c r="D225" s="194">
        <v>282592</v>
      </c>
      <c r="E225" s="198">
        <f>-24850-11000</f>
        <v>-35850</v>
      </c>
      <c r="F225" s="55">
        <f t="shared" si="293"/>
        <v>246742</v>
      </c>
      <c r="G225" s="53">
        <v>216143</v>
      </c>
      <c r="H225" s="201">
        <f>-3950-3390</f>
        <v>-7340</v>
      </c>
      <c r="I225" s="55">
        <f t="shared" si="294"/>
        <v>208803</v>
      </c>
      <c r="J225" s="53"/>
      <c r="K225" s="54"/>
      <c r="L225" s="55">
        <f t="shared" si="295"/>
        <v>0</v>
      </c>
      <c r="M225" s="53"/>
      <c r="N225" s="54"/>
      <c r="O225" s="55">
        <f t="shared" si="296"/>
        <v>0</v>
      </c>
      <c r="P225" s="57"/>
    </row>
    <row r="226" spans="1:16" ht="12" customHeight="1" x14ac:dyDescent="0.25">
      <c r="A226" s="188">
        <v>5250</v>
      </c>
      <c r="B226" s="88" t="s">
        <v>243</v>
      </c>
      <c r="C226" s="89">
        <f t="shared" si="288"/>
        <v>3756597</v>
      </c>
      <c r="D226" s="194">
        <v>3436451</v>
      </c>
      <c r="E226" s="198">
        <f>24867+84024-25041-30000+217</f>
        <v>54067</v>
      </c>
      <c r="F226" s="55">
        <f t="shared" si="293"/>
        <v>3490518</v>
      </c>
      <c r="G226" s="53">
        <v>278753</v>
      </c>
      <c r="H226" s="198">
        <f>39540-52214</f>
        <v>-12674</v>
      </c>
      <c r="I226" s="55">
        <f t="shared" si="294"/>
        <v>266079</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675">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675">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675">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675">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675">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675">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5.75" thickBot="1" x14ac:dyDescent="0.3">
      <c r="A289" s="249"/>
      <c r="B289" s="249" t="s">
        <v>308</v>
      </c>
      <c r="C289" s="250">
        <f t="shared" si="371"/>
        <v>4920934</v>
      </c>
      <c r="D289" s="251">
        <f t="shared" ref="D289:O289" si="389">SUM(D286,D269,D230,D195,D187,D173,D75,D53,D283)</f>
        <v>3861998</v>
      </c>
      <c r="E289" s="252">
        <f t="shared" si="389"/>
        <v>20000</v>
      </c>
      <c r="F289" s="253">
        <f t="shared" si="389"/>
        <v>3881998</v>
      </c>
      <c r="G289" s="251">
        <f t="shared" si="389"/>
        <v>1038936</v>
      </c>
      <c r="H289" s="252">
        <f t="shared" si="389"/>
        <v>0</v>
      </c>
      <c r="I289" s="253">
        <f t="shared" si="389"/>
        <v>1038936</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customFormat="1" ht="15.75" thickTop="1" x14ac:dyDescent="0.25">
      <c r="A302" s="4"/>
      <c r="B302" s="4"/>
      <c r="C302" s="4"/>
      <c r="D302" s="4"/>
      <c r="E302" s="4"/>
      <c r="F302" s="4"/>
      <c r="G302" s="4"/>
      <c r="H302" s="4"/>
      <c r="I302" s="4"/>
      <c r="J302" s="4"/>
      <c r="K302" s="4"/>
      <c r="L302" s="4"/>
      <c r="M302" s="4"/>
      <c r="N302" s="4"/>
      <c r="O302" s="4"/>
      <c r="P302" s="4"/>
    </row>
    <row r="303" spans="1:16" customFormat="1" x14ac:dyDescent="0.25">
      <c r="A303" s="4"/>
      <c r="B303" s="4"/>
      <c r="C303" s="4"/>
      <c r="D303" s="4"/>
      <c r="E303" s="4"/>
      <c r="F303" s="4"/>
      <c r="G303" s="4"/>
      <c r="H303" s="4"/>
      <c r="I303" s="4"/>
      <c r="J303" s="4"/>
      <c r="K303" s="4"/>
      <c r="L303" s="4"/>
      <c r="M303" s="4"/>
      <c r="N303" s="4"/>
      <c r="O303" s="4"/>
      <c r="P303" s="4"/>
    </row>
    <row r="304" spans="1:16" customFormat="1" x14ac:dyDescent="0.25">
      <c r="A304" s="4"/>
      <c r="B304" s="4"/>
      <c r="C304" s="4"/>
      <c r="D304" s="4"/>
      <c r="E304" s="4"/>
      <c r="F304" s="4"/>
      <c r="G304" s="4"/>
      <c r="H304" s="4"/>
      <c r="I304" s="4"/>
      <c r="J304" s="4"/>
      <c r="K304" s="4"/>
      <c r="L304" s="4"/>
      <c r="M304" s="4"/>
      <c r="N304" s="4"/>
      <c r="O304" s="4"/>
      <c r="P304" s="4"/>
    </row>
    <row r="305" spans="1:16" customFormat="1" x14ac:dyDescent="0.25">
      <c r="A305" s="4"/>
      <c r="B305" s="4"/>
      <c r="C305" s="4"/>
      <c r="D305" s="4"/>
      <c r="E305" s="4"/>
      <c r="F305" s="4"/>
      <c r="G305" s="4"/>
      <c r="H305" s="4"/>
      <c r="I305" s="4"/>
      <c r="J305" s="4"/>
      <c r="K305" s="4"/>
      <c r="L305" s="4"/>
      <c r="M305" s="4"/>
      <c r="N305" s="4"/>
      <c r="O305" s="4"/>
      <c r="P305" s="4"/>
    </row>
    <row r="306" spans="1:16" customFormat="1" x14ac:dyDescent="0.25">
      <c r="A306" s="4"/>
      <c r="B306" s="4"/>
      <c r="C306" s="4"/>
      <c r="D306" s="4"/>
      <c r="E306" s="4"/>
      <c r="F306" s="4"/>
      <c r="G306" s="4"/>
      <c r="H306" s="4"/>
      <c r="I306" s="4"/>
      <c r="J306" s="4"/>
      <c r="K306" s="4"/>
      <c r="L306" s="4"/>
      <c r="M306" s="4"/>
      <c r="N306" s="4"/>
      <c r="O306" s="4"/>
      <c r="P306" s="4"/>
    </row>
    <row r="307" spans="1:16" customFormat="1" x14ac:dyDescent="0.25">
      <c r="A307" s="4"/>
      <c r="B307" s="4"/>
      <c r="C307" s="4"/>
      <c r="D307" s="4"/>
      <c r="E307" s="4"/>
      <c r="F307" s="4"/>
      <c r="G307" s="4"/>
      <c r="H307" s="4"/>
      <c r="I307" s="4"/>
      <c r="J307" s="4"/>
      <c r="K307" s="4"/>
      <c r="L307" s="4"/>
      <c r="M307" s="4"/>
      <c r="N307" s="4"/>
      <c r="O307" s="4"/>
      <c r="P307" s="4"/>
    </row>
    <row r="308" spans="1:16" customFormat="1" x14ac:dyDescent="0.25">
      <c r="A308" s="4"/>
      <c r="B308" s="4"/>
      <c r="C308" s="4"/>
      <c r="D308" s="4"/>
      <c r="E308" s="4"/>
      <c r="F308" s="4"/>
      <c r="G308" s="4"/>
      <c r="H308" s="4"/>
      <c r="I308" s="4"/>
      <c r="J308" s="4"/>
      <c r="K308" s="4"/>
      <c r="L308" s="4"/>
      <c r="M308" s="4"/>
      <c r="N308" s="4"/>
      <c r="O308" s="4"/>
      <c r="P308" s="4"/>
    </row>
    <row r="309" spans="1:16" customFormat="1" x14ac:dyDescent="0.25">
      <c r="A309" s="4"/>
      <c r="B309" s="4"/>
      <c r="C309" s="4"/>
      <c r="D309" s="4"/>
      <c r="E309" s="4"/>
      <c r="F309" s="4"/>
      <c r="G309" s="4"/>
      <c r="H309" s="4"/>
      <c r="I309" s="4"/>
      <c r="J309" s="4"/>
      <c r="K309" s="4"/>
      <c r="L309" s="4"/>
      <c r="M309" s="4"/>
      <c r="N309" s="4"/>
      <c r="O309" s="4"/>
      <c r="P309" s="4"/>
    </row>
    <row r="310" spans="1:16" customFormat="1" x14ac:dyDescent="0.25">
      <c r="A310" s="4"/>
      <c r="B310" s="4"/>
      <c r="C310" s="4"/>
      <c r="D310" s="4"/>
      <c r="E310" s="4"/>
      <c r="F310" s="4"/>
      <c r="G310" s="4"/>
      <c r="H310" s="4"/>
      <c r="I310" s="4"/>
      <c r="J310" s="4"/>
      <c r="K310" s="4"/>
      <c r="L310" s="4"/>
      <c r="M310" s="4"/>
      <c r="N310" s="4"/>
      <c r="O310" s="4"/>
      <c r="P310" s="4"/>
    </row>
    <row r="311" spans="1:16" x14ac:dyDescent="0.25">
      <c r="A311" s="4"/>
      <c r="B311" s="4"/>
      <c r="C311" s="4"/>
      <c r="D311" s="4"/>
      <c r="E311" s="4"/>
      <c r="F311" s="4"/>
      <c r="G311" s="4"/>
      <c r="H311" s="4"/>
      <c r="I311" s="4"/>
      <c r="J311" s="4"/>
      <c r="K311" s="4"/>
      <c r="L311" s="4"/>
      <c r="M311" s="4"/>
    </row>
    <row r="312" spans="1:16" x14ac:dyDescent="0.25">
      <c r="A312" s="4"/>
      <c r="B312" s="4"/>
      <c r="C312" s="4"/>
      <c r="D312" s="4"/>
      <c r="E312" s="4"/>
      <c r="F312" s="4"/>
      <c r="G312" s="4"/>
      <c r="H312" s="4"/>
      <c r="I312" s="4"/>
      <c r="J312" s="4"/>
      <c r="K312" s="4"/>
      <c r="L312" s="4"/>
      <c r="M312" s="4"/>
    </row>
    <row r="313" spans="1:16" x14ac:dyDescent="0.25">
      <c r="A313" s="4"/>
      <c r="B313" s="4"/>
      <c r="C313" s="4"/>
      <c r="D313" s="4"/>
      <c r="E313" s="4"/>
      <c r="F313" s="4"/>
      <c r="G313" s="4"/>
      <c r="H313" s="4"/>
      <c r="I313" s="4"/>
      <c r="J313" s="4"/>
      <c r="K313" s="4"/>
      <c r="L313" s="4"/>
      <c r="M313" s="4"/>
    </row>
    <row r="314" spans="1:16" x14ac:dyDescent="0.25">
      <c r="A314" s="4"/>
      <c r="B314" s="4"/>
      <c r="C314" s="4"/>
      <c r="D314" s="4"/>
      <c r="E314" s="4"/>
      <c r="F314" s="4"/>
      <c r="G314" s="4"/>
      <c r="H314" s="4"/>
      <c r="I314" s="4"/>
      <c r="J314" s="4"/>
      <c r="K314" s="4"/>
      <c r="L314" s="4"/>
      <c r="M314" s="4"/>
    </row>
    <row r="315" spans="1:16" x14ac:dyDescent="0.25">
      <c r="A315" s="4"/>
      <c r="B315" s="4"/>
      <c r="C315" s="4"/>
      <c r="D315" s="4"/>
      <c r="E315" s="4"/>
      <c r="F315" s="4"/>
      <c r="G315" s="4"/>
      <c r="H315" s="4"/>
      <c r="I315" s="4"/>
      <c r="J315" s="4"/>
      <c r="K315" s="4"/>
      <c r="L315" s="4"/>
      <c r="M315" s="4"/>
    </row>
    <row r="316" spans="1:16" x14ac:dyDescent="0.25">
      <c r="A316" s="4"/>
      <c r="B316" s="4"/>
      <c r="C316" s="4"/>
      <c r="D316" s="4"/>
      <c r="E316" s="4"/>
      <c r="F316" s="4"/>
      <c r="G316" s="4"/>
      <c r="H316" s="4"/>
      <c r="I316" s="4"/>
      <c r="J316" s="4"/>
      <c r="K316" s="4"/>
      <c r="L316" s="4"/>
      <c r="M316" s="4"/>
    </row>
    <row r="317" spans="1:16" x14ac:dyDescent="0.25">
      <c r="A317" s="4"/>
      <c r="B317" s="4"/>
      <c r="C317" s="4"/>
      <c r="D317" s="4"/>
      <c r="E317" s="4"/>
      <c r="F317" s="4"/>
      <c r="G317" s="4"/>
      <c r="H317" s="4"/>
      <c r="I317" s="4"/>
      <c r="J317" s="4"/>
      <c r="K317" s="4"/>
      <c r="L317" s="4"/>
      <c r="M317" s="4"/>
    </row>
    <row r="318" spans="1:16" x14ac:dyDescent="0.25">
      <c r="A318" s="4"/>
      <c r="B318" s="4"/>
      <c r="C318" s="4"/>
      <c r="D318" s="4"/>
      <c r="E318" s="4"/>
      <c r="F318" s="4"/>
      <c r="G318" s="4"/>
      <c r="H318" s="4"/>
      <c r="I318" s="4"/>
      <c r="J318" s="4"/>
      <c r="K318" s="4"/>
      <c r="L318" s="4"/>
      <c r="M318" s="4"/>
    </row>
    <row r="319" spans="1:16" x14ac:dyDescent="0.25">
      <c r="A319" s="4"/>
      <c r="B319" s="4"/>
      <c r="C319" s="4"/>
      <c r="D319" s="4"/>
      <c r="E319" s="4"/>
      <c r="F319" s="4"/>
      <c r="G319" s="4"/>
      <c r="H319" s="4"/>
      <c r="I319" s="4"/>
      <c r="J319" s="4"/>
      <c r="K319" s="4"/>
      <c r="L319" s="4"/>
      <c r="M319" s="4"/>
    </row>
  </sheetData>
  <sheetProtection algorithmName="SHA-512" hashValue="WmpyFYC/14c933IMZJXYqTXbWoJl+/Fzb+1XaYeOZusSpk4t2a9tmRBvJzOVtI2+YWCLQQ4Onf2nrqPYZ+Igkg==" saltValue="LDMiREcplUkNTQ7ke3M6ag==" spinCount="100000" sheet="1" objects="1" scenarios="1" formatCells="0" formatColumns="0" formatRows="0" deleteColumns="0"/>
  <autoFilter ref="A18:P301">
    <filterColumn colId="2">
      <filters>
        <filter val="3 756 380"/>
        <filter val="4 277 925"/>
        <filter val="4 920 934"/>
        <filter val="45 273"/>
        <filter val="455 545"/>
        <filter val="597 736"/>
        <filter val="643 009"/>
        <filter val="66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12.pielikums Jūrmalas pilsētas domes
2019.gada 29.augusta saistošajiem noteikumiem Nr.31
(protokols Nr.12, 20.punkts)
 </firstHeader>
    <firstFooter>&amp;L&amp;9&amp;D; &amp;T&amp;R&amp;9&amp;P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S5" sqref="S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7.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1747</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1748</v>
      </c>
      <c r="D6" s="1972"/>
      <c r="E6" s="1972"/>
      <c r="F6" s="1972"/>
      <c r="G6" s="1972"/>
      <c r="H6" s="1972"/>
      <c r="I6" s="1972"/>
      <c r="J6" s="1972"/>
      <c r="K6" s="1972"/>
      <c r="L6" s="1972"/>
      <c r="M6" s="1972"/>
      <c r="N6" s="1972"/>
      <c r="O6" s="1972"/>
      <c r="P6" s="1973"/>
      <c r="Q6" s="276"/>
    </row>
    <row r="7" spans="1:17" ht="37.5" customHeight="1" x14ac:dyDescent="0.25">
      <c r="A7" s="7" t="s">
        <v>10</v>
      </c>
      <c r="B7" s="8"/>
      <c r="C7" s="1977" t="s">
        <v>1749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t="s">
        <v>1750</v>
      </c>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331567</v>
      </c>
      <c r="D20" s="32">
        <f>SUM(D21,D24,D25,D41,D43)</f>
        <v>861427</v>
      </c>
      <c r="E20" s="33">
        <f t="shared" ref="E20:F20" si="1">SUM(E21,E24,E25,E41,E43)</f>
        <v>-529860</v>
      </c>
      <c r="F20" s="34">
        <f t="shared" si="1"/>
        <v>331567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8.25" customHeight="1" thickTop="1" thickBot="1" x14ac:dyDescent="0.3">
      <c r="A24" s="58">
        <v>19300</v>
      </c>
      <c r="B24" s="58" t="s">
        <v>43</v>
      </c>
      <c r="C24" s="59">
        <f>F24+I24</f>
        <v>179607</v>
      </c>
      <c r="D24" s="60">
        <v>445585</v>
      </c>
      <c r="E24" s="61">
        <v>-265978</v>
      </c>
      <c r="F24" s="62">
        <f t="shared" si="9"/>
        <v>179607</v>
      </c>
      <c r="G24" s="60"/>
      <c r="H24" s="61"/>
      <c r="I24" s="62">
        <f t="shared" si="10"/>
        <v>0</v>
      </c>
      <c r="J24" s="63" t="s">
        <v>44</v>
      </c>
      <c r="K24" s="64" t="s">
        <v>44</v>
      </c>
      <c r="L24" s="65" t="s">
        <v>44</v>
      </c>
      <c r="M24" s="63" t="s">
        <v>44</v>
      </c>
      <c r="N24" s="64" t="s">
        <v>44</v>
      </c>
      <c r="O24" s="65" t="s">
        <v>44</v>
      </c>
      <c r="P24" s="1411" t="s">
        <v>1751</v>
      </c>
    </row>
    <row r="25" spans="1:16" s="28" customFormat="1" ht="37.5" customHeight="1" thickTop="1" x14ac:dyDescent="0.25">
      <c r="A25" s="67">
        <v>18630</v>
      </c>
      <c r="B25" s="68" t="s">
        <v>45</v>
      </c>
      <c r="C25" s="69">
        <f>F25</f>
        <v>151960</v>
      </c>
      <c r="D25" s="70">
        <v>415842</v>
      </c>
      <c r="E25" s="71">
        <v>-263882</v>
      </c>
      <c r="F25" s="72">
        <f t="shared" si="9"/>
        <v>151960</v>
      </c>
      <c r="G25" s="73" t="s">
        <v>44</v>
      </c>
      <c r="H25" s="74" t="s">
        <v>44</v>
      </c>
      <c r="I25" s="75" t="s">
        <v>44</v>
      </c>
      <c r="J25" s="73" t="s">
        <v>44</v>
      </c>
      <c r="K25" s="74" t="s">
        <v>44</v>
      </c>
      <c r="L25" s="75" t="s">
        <v>44</v>
      </c>
      <c r="M25" s="73" t="s">
        <v>44</v>
      </c>
      <c r="N25" s="74" t="s">
        <v>44</v>
      </c>
      <c r="O25" s="75" t="s">
        <v>44</v>
      </c>
      <c r="P25" s="1412" t="s">
        <v>1752</v>
      </c>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331567</v>
      </c>
      <c r="D50" s="158">
        <f>SUM(D51,D286)</f>
        <v>861427</v>
      </c>
      <c r="E50" s="159">
        <f t="shared" ref="E50:F50" si="26">SUM(E51,E286)</f>
        <v>-529860</v>
      </c>
      <c r="F50" s="160">
        <f t="shared" si="26"/>
        <v>331567</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42" customHeight="1" thickTop="1" x14ac:dyDescent="0.25">
      <c r="A51" s="161"/>
      <c r="B51" s="162" t="s">
        <v>70</v>
      </c>
      <c r="C51" s="163">
        <f t="shared" si="0"/>
        <v>331567</v>
      </c>
      <c r="D51" s="164">
        <f>SUM(D52,D194)</f>
        <v>861427</v>
      </c>
      <c r="E51" s="165">
        <f t="shared" ref="E51:F51" si="30">SUM(E52,E194)</f>
        <v>-529860</v>
      </c>
      <c r="F51" s="166">
        <f t="shared" si="30"/>
        <v>331567</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hidden="1" x14ac:dyDescent="0.25">
      <c r="A52" s="24"/>
      <c r="B52" s="22" t="s">
        <v>71</v>
      </c>
      <c r="C52" s="171">
        <f t="shared" si="0"/>
        <v>0</v>
      </c>
      <c r="D52" s="172">
        <f>SUM(D53,D75,D173,D187)</f>
        <v>0</v>
      </c>
      <c r="E52" s="173">
        <f t="shared" ref="E52:F52" si="34">SUM(E53,E75,E173,E187)</f>
        <v>0</v>
      </c>
      <c r="F52" s="174">
        <f t="shared" si="34"/>
        <v>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212">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212">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12">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212">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212">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212">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12">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212">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212">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331567</v>
      </c>
      <c r="D194" s="172">
        <f t="shared" ref="D194:O194" si="259">SUM(D195,D230,D269,D283)</f>
        <v>861427</v>
      </c>
      <c r="E194" s="173">
        <f t="shared" si="259"/>
        <v>-529860</v>
      </c>
      <c r="F194" s="174">
        <f t="shared" si="259"/>
        <v>331567</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331567</v>
      </c>
      <c r="D195" s="178">
        <f>D196+D204</f>
        <v>861427</v>
      </c>
      <c r="E195" s="179">
        <f t="shared" ref="E195:F195" si="260">E196+E204</f>
        <v>-529860</v>
      </c>
      <c r="F195" s="180">
        <f t="shared" si="260"/>
        <v>331567</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212">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331567</v>
      </c>
      <c r="D204" s="183">
        <f>D205+D215+D216+D225+D226+D227+D229</f>
        <v>861427</v>
      </c>
      <c r="E204" s="184">
        <f t="shared" ref="E204:F204" si="276">E205+E215+E216+E225+E226+E227+E229</f>
        <v>-529860</v>
      </c>
      <c r="F204" s="72">
        <f t="shared" si="276"/>
        <v>331567</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25.5" customHeight="1" x14ac:dyDescent="0.25">
      <c r="A226" s="188">
        <v>5250</v>
      </c>
      <c r="B226" s="88" t="s">
        <v>243</v>
      </c>
      <c r="C226" s="89">
        <f t="shared" si="288"/>
        <v>331567</v>
      </c>
      <c r="D226" s="194">
        <v>861427</v>
      </c>
      <c r="E226" s="195">
        <v>-529860</v>
      </c>
      <c r="F226" s="55">
        <f t="shared" si="293"/>
        <v>331567</v>
      </c>
      <c r="G226" s="53"/>
      <c r="H226" s="54"/>
      <c r="I226" s="55">
        <f t="shared" si="294"/>
        <v>0</v>
      </c>
      <c r="J226" s="53"/>
      <c r="K226" s="54"/>
      <c r="L226" s="55">
        <f t="shared" si="295"/>
        <v>0</v>
      </c>
      <c r="M226" s="53"/>
      <c r="N226" s="54"/>
      <c r="O226" s="55">
        <f t="shared" si="296"/>
        <v>0</v>
      </c>
      <c r="P226" s="1413" t="s">
        <v>1753</v>
      </c>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212">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12">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212">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212">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212">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12">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331567</v>
      </c>
      <c r="D289" s="251">
        <f t="shared" ref="D289:O289" si="389">SUM(D286,D269,D230,D195,D187,D173,D75,D53,D283)</f>
        <v>861427</v>
      </c>
      <c r="E289" s="252">
        <f t="shared" si="389"/>
        <v>-529860</v>
      </c>
      <c r="F289" s="253">
        <f t="shared" si="389"/>
        <v>331567</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k0CGo9EN8fvh3cJGmCJnGF5ZsF5xCIcNdBuN4S7PJQO5AuF2VNUTPKB5Ubnv/8Stefw7lGbmTL/AgfmhbcnwDw==" saltValue="BkkkX6vXQEcitg4kyDW6Zg==" spinCount="100000" sheet="1" objects="1" scenarios="1" formatCells="0" formatColumns="0" formatRows="0" deleteColumns="0"/>
  <autoFilter ref="A18:P301">
    <filterColumn colId="2">
      <filters>
        <filter val="151 960"/>
        <filter val="179 607"/>
        <filter val="331 56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13.pielikums Jūrmalas pilsētas domes
2019.gada 29.augusta saistošajiem noteikumiem Nr.31
(protokols Nr.12, 20.punkts)
 </firstHeader>
    <firstFooter>&amp;L&amp;9&amp;D; &amp;T&amp;R&amp;9&amp;P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U302"/>
  <sheetViews>
    <sheetView showGridLines="0" view="pageLayout" zoomScaleNormal="100" workbookViewId="0">
      <selection activeCell="T7" sqref="T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2384</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1755</v>
      </c>
      <c r="D3" s="1977"/>
      <c r="E3" s="1977"/>
      <c r="F3" s="1977"/>
      <c r="G3" s="1977"/>
      <c r="H3" s="1977"/>
      <c r="I3" s="1977"/>
      <c r="J3" s="1977"/>
      <c r="K3" s="1977"/>
      <c r="L3" s="1977"/>
      <c r="M3" s="1977"/>
      <c r="N3" s="1977"/>
      <c r="O3" s="1977"/>
      <c r="P3" s="1978"/>
      <c r="Q3" s="276"/>
    </row>
    <row r="4" spans="1:17" ht="12.75" customHeight="1" x14ac:dyDescent="0.25">
      <c r="A4" s="5" t="s">
        <v>4</v>
      </c>
      <c r="B4" s="6"/>
      <c r="C4" s="1977"/>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1579</v>
      </c>
      <c r="D6" s="1972"/>
      <c r="E6" s="1972"/>
      <c r="F6" s="1972"/>
      <c r="G6" s="1972"/>
      <c r="H6" s="1972"/>
      <c r="I6" s="1972"/>
      <c r="J6" s="1972"/>
      <c r="K6" s="1972"/>
      <c r="L6" s="1972"/>
      <c r="M6" s="1972"/>
      <c r="N6" s="1972"/>
      <c r="O6" s="1972"/>
      <c r="P6" s="1973"/>
      <c r="Q6" s="276"/>
    </row>
    <row r="7" spans="1:17" ht="36" customHeight="1" x14ac:dyDescent="0.25">
      <c r="A7" s="7" t="s">
        <v>10</v>
      </c>
      <c r="B7" s="8"/>
      <c r="C7" s="1977" t="s">
        <v>2385</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1758</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21"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21"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21" s="28" customFormat="1" ht="12" hidden="1" customHeight="1" x14ac:dyDescent="0.25">
      <c r="A19" s="22"/>
      <c r="B19" s="23" t="s">
        <v>38</v>
      </c>
      <c r="C19" s="24"/>
      <c r="D19" s="25"/>
      <c r="E19" s="26"/>
      <c r="F19" s="27"/>
      <c r="G19" s="25"/>
      <c r="H19" s="26"/>
      <c r="I19" s="27"/>
      <c r="J19" s="25"/>
      <c r="K19" s="26"/>
      <c r="L19" s="27"/>
      <c r="M19" s="25"/>
      <c r="N19" s="26"/>
      <c r="O19" s="27"/>
      <c r="P19" s="27"/>
    </row>
    <row r="20" spans="1:21" s="28" customFormat="1" ht="12.75" thickBot="1" x14ac:dyDescent="0.3">
      <c r="A20" s="29"/>
      <c r="B20" s="30" t="s">
        <v>39</v>
      </c>
      <c r="C20" s="31">
        <f t="shared" ref="C20:C83" si="0">F20+I20+L20+O20</f>
        <v>25675</v>
      </c>
      <c r="D20" s="32">
        <f>SUM(D21,D24,D25,D41,D43)</f>
        <v>26332</v>
      </c>
      <c r="E20" s="33">
        <f t="shared" ref="E20:F20" si="1">SUM(E21,E24,E25,E41,E43)</f>
        <v>-657</v>
      </c>
      <c r="F20" s="34">
        <f t="shared" si="1"/>
        <v>25675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R20" s="1936"/>
      <c r="S20" s="1936"/>
      <c r="U20" s="1936"/>
    </row>
    <row r="21" spans="1:21"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R21" s="1936"/>
      <c r="S21" s="1936"/>
      <c r="U21" s="1936"/>
    </row>
    <row r="22" spans="1:21"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R22" s="1936"/>
      <c r="S22" s="1936"/>
      <c r="U22" s="1936"/>
    </row>
    <row r="23" spans="1:21"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R23" s="1936"/>
      <c r="S23" s="1936"/>
      <c r="U23" s="1936"/>
    </row>
    <row r="24" spans="1:21" s="28" customFormat="1" ht="24.75" customHeight="1" thickTop="1" thickBot="1" x14ac:dyDescent="0.3">
      <c r="A24" s="58">
        <v>19300</v>
      </c>
      <c r="B24" s="58" t="s">
        <v>43</v>
      </c>
      <c r="C24" s="59">
        <f>F24+I24</f>
        <v>25675</v>
      </c>
      <c r="D24" s="60">
        <v>26332</v>
      </c>
      <c r="E24" s="61">
        <v>-657</v>
      </c>
      <c r="F24" s="62">
        <f t="shared" si="9"/>
        <v>25675</v>
      </c>
      <c r="G24" s="60"/>
      <c r="H24" s="61"/>
      <c r="I24" s="62">
        <f t="shared" si="10"/>
        <v>0</v>
      </c>
      <c r="J24" s="63" t="s">
        <v>44</v>
      </c>
      <c r="K24" s="64" t="s">
        <v>44</v>
      </c>
      <c r="L24" s="65" t="s">
        <v>44</v>
      </c>
      <c r="M24" s="63" t="s">
        <v>44</v>
      </c>
      <c r="N24" s="64" t="s">
        <v>44</v>
      </c>
      <c r="O24" s="65" t="s">
        <v>44</v>
      </c>
      <c r="P24" s="66"/>
      <c r="R24" s="1936"/>
      <c r="S24" s="1936"/>
      <c r="U24" s="1936"/>
    </row>
    <row r="25" spans="1:21"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c r="R25" s="1936"/>
      <c r="S25" s="1936"/>
      <c r="U25" s="1936"/>
    </row>
    <row r="26" spans="1:21"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c r="R26" s="1936"/>
      <c r="S26" s="1936"/>
      <c r="U26" s="1936"/>
    </row>
    <row r="27" spans="1:21"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c r="R27" s="1936"/>
      <c r="S27" s="1936"/>
      <c r="U27" s="1936"/>
    </row>
    <row r="28" spans="1:21"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c r="R28" s="1936"/>
      <c r="S28" s="1936"/>
      <c r="U28" s="1936"/>
    </row>
    <row r="29" spans="1:21"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c r="R29" s="1936"/>
      <c r="S29" s="1936"/>
      <c r="U29" s="1936"/>
    </row>
    <row r="30" spans="1:21"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c r="R30" s="1936"/>
      <c r="S30" s="1936"/>
      <c r="U30" s="1936"/>
    </row>
    <row r="31" spans="1:21"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c r="R31" s="1936"/>
      <c r="S31" s="1936"/>
      <c r="U31" s="1936"/>
    </row>
    <row r="32" spans="1:21"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c r="R32" s="1936"/>
      <c r="S32" s="1936"/>
      <c r="U32" s="1936"/>
    </row>
    <row r="33" spans="1:21"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c r="R33" s="1936"/>
      <c r="S33" s="1936"/>
      <c r="U33" s="1936"/>
    </row>
    <row r="34" spans="1:21"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c r="R34" s="1936"/>
      <c r="S34" s="1936"/>
      <c r="U34" s="1936"/>
    </row>
    <row r="35" spans="1:21"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c r="R35" s="1936"/>
      <c r="S35" s="1936"/>
      <c r="U35" s="1936"/>
    </row>
    <row r="36" spans="1:21"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c r="R36" s="1936"/>
      <c r="S36" s="1936"/>
      <c r="U36" s="1936"/>
    </row>
    <row r="37" spans="1:21"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c r="R37" s="1936"/>
      <c r="S37" s="1936"/>
      <c r="U37" s="1936"/>
    </row>
    <row r="38" spans="1:21"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c r="R38" s="1936"/>
      <c r="S38" s="1936"/>
      <c r="U38" s="1936"/>
    </row>
    <row r="39" spans="1:21"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c r="R39" s="1936"/>
      <c r="S39" s="1936"/>
      <c r="U39" s="1936"/>
    </row>
    <row r="40" spans="1:21"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c r="R40" s="1936"/>
      <c r="S40" s="1936"/>
      <c r="U40" s="1936"/>
    </row>
    <row r="41" spans="1:21"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c r="R41" s="1936"/>
      <c r="S41" s="1936"/>
      <c r="U41" s="1936"/>
    </row>
    <row r="42" spans="1:21"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c r="R42" s="1936"/>
      <c r="S42" s="1936"/>
      <c r="U42" s="1936"/>
    </row>
    <row r="43" spans="1:21"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c r="R43" s="1936"/>
      <c r="S43" s="1936"/>
      <c r="U43" s="1936"/>
    </row>
    <row r="44" spans="1:21"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c r="R44" s="1936"/>
      <c r="S44" s="1936"/>
      <c r="U44" s="1936"/>
    </row>
    <row r="45" spans="1:21"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c r="R45" s="1936"/>
      <c r="S45" s="1936"/>
      <c r="U45" s="1936"/>
    </row>
    <row r="46" spans="1:21"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c r="R46" s="1936"/>
      <c r="S46" s="1936"/>
      <c r="U46" s="1936"/>
    </row>
    <row r="47" spans="1:21"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c r="R47" s="1936"/>
      <c r="S47" s="1936"/>
      <c r="U47" s="1936"/>
    </row>
    <row r="48" spans="1:21" ht="12" hidden="1" customHeight="1" x14ac:dyDescent="0.25">
      <c r="A48" s="141"/>
      <c r="B48" s="137"/>
      <c r="C48" s="142"/>
      <c r="D48" s="143"/>
      <c r="E48" s="144"/>
      <c r="F48" s="140"/>
      <c r="G48" s="143"/>
      <c r="H48" s="144"/>
      <c r="I48" s="140"/>
      <c r="J48" s="143"/>
      <c r="K48" s="144"/>
      <c r="L48" s="124"/>
      <c r="M48" s="143"/>
      <c r="N48" s="144"/>
      <c r="O48" s="140"/>
      <c r="P48" s="128"/>
      <c r="R48" s="1936"/>
      <c r="S48" s="1936"/>
      <c r="U48" s="1936"/>
    </row>
    <row r="49" spans="1:21" s="28" customFormat="1" ht="12" hidden="1" customHeight="1" x14ac:dyDescent="0.25">
      <c r="A49" s="145"/>
      <c r="B49" s="146" t="s">
        <v>68</v>
      </c>
      <c r="C49" s="147"/>
      <c r="D49" s="148"/>
      <c r="E49" s="149"/>
      <c r="F49" s="150"/>
      <c r="G49" s="151"/>
      <c r="H49" s="152"/>
      <c r="I49" s="153"/>
      <c r="J49" s="151"/>
      <c r="K49" s="152"/>
      <c r="L49" s="154"/>
      <c r="M49" s="151"/>
      <c r="N49" s="152"/>
      <c r="O49" s="153"/>
      <c r="P49" s="155"/>
      <c r="R49" s="1936"/>
      <c r="S49" s="1936"/>
      <c r="U49" s="1936"/>
    </row>
    <row r="50" spans="1:21" s="28" customFormat="1" ht="13.5" thickTop="1" thickBot="1" x14ac:dyDescent="0.3">
      <c r="A50" s="156"/>
      <c r="B50" s="29" t="s">
        <v>69</v>
      </c>
      <c r="C50" s="157">
        <f t="shared" si="0"/>
        <v>25675</v>
      </c>
      <c r="D50" s="158">
        <f>SUM(D51,D286)</f>
        <v>26332</v>
      </c>
      <c r="E50" s="159">
        <f t="shared" ref="E50:F50" si="26">SUM(E51,E286)</f>
        <v>-657</v>
      </c>
      <c r="F50" s="160">
        <f t="shared" si="26"/>
        <v>25675</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R50" s="1936"/>
      <c r="S50" s="1936"/>
      <c r="U50" s="1936"/>
    </row>
    <row r="51" spans="1:21" s="28" customFormat="1" ht="36.75" thickTop="1" x14ac:dyDescent="0.25">
      <c r="A51" s="161"/>
      <c r="B51" s="162" t="s">
        <v>70</v>
      </c>
      <c r="C51" s="163">
        <f t="shared" si="0"/>
        <v>25675</v>
      </c>
      <c r="D51" s="164">
        <f>SUM(D52,D194)</f>
        <v>26332</v>
      </c>
      <c r="E51" s="165">
        <f t="shared" ref="E51:F51" si="30">SUM(E52,E194)</f>
        <v>-657</v>
      </c>
      <c r="F51" s="166">
        <f t="shared" si="30"/>
        <v>25675</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c r="R51" s="1936"/>
      <c r="S51" s="1936"/>
      <c r="U51" s="1936"/>
    </row>
    <row r="52" spans="1:21" s="28" customFormat="1" ht="24" x14ac:dyDescent="0.25">
      <c r="A52" s="24"/>
      <c r="B52" s="22" t="s">
        <v>71</v>
      </c>
      <c r="C52" s="171">
        <f t="shared" si="0"/>
        <v>25675</v>
      </c>
      <c r="D52" s="172">
        <f>SUM(D53,D75,D173,D187)</f>
        <v>26332</v>
      </c>
      <c r="E52" s="173">
        <f t="shared" ref="E52:F52" si="34">SUM(E53,E75,E173,E187)</f>
        <v>-657</v>
      </c>
      <c r="F52" s="174">
        <f t="shared" si="34"/>
        <v>25675</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c r="R52" s="1936"/>
      <c r="S52" s="1936"/>
      <c r="U52" s="1936"/>
    </row>
    <row r="53" spans="1:21"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c r="R53" s="1936"/>
      <c r="S53" s="1936"/>
      <c r="U53" s="1936"/>
    </row>
    <row r="54" spans="1:21"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c r="R54" s="1936"/>
      <c r="S54" s="1936"/>
      <c r="U54" s="1936"/>
    </row>
    <row r="55" spans="1:21"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c r="R55" s="1936"/>
      <c r="S55" s="1936"/>
      <c r="U55" s="1936"/>
    </row>
    <row r="56" spans="1:21"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c r="R56" s="1936"/>
      <c r="S56" s="1936"/>
      <c r="U56" s="1936"/>
    </row>
    <row r="57" spans="1:21"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c r="R57" s="1936"/>
      <c r="S57" s="1936"/>
      <c r="U57" s="1936"/>
    </row>
    <row r="58" spans="1:21"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c r="R58" s="1936"/>
      <c r="S58" s="1936"/>
      <c r="U58" s="1936"/>
    </row>
    <row r="59" spans="1:21"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R59" s="1936"/>
      <c r="S59" s="1936"/>
      <c r="U59" s="1936"/>
    </row>
    <row r="60" spans="1:21"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c r="R60" s="1936"/>
      <c r="S60" s="1936"/>
      <c r="U60" s="1936"/>
    </row>
    <row r="61" spans="1:21"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c r="R61" s="1936"/>
      <c r="S61" s="1936"/>
      <c r="U61" s="1936"/>
    </row>
    <row r="62" spans="1:21"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c r="R62" s="1936"/>
      <c r="S62" s="1936"/>
      <c r="U62" s="1936"/>
    </row>
    <row r="63" spans="1:21"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c r="R63" s="1936"/>
      <c r="S63" s="1936"/>
      <c r="U63" s="1936"/>
    </row>
    <row r="64" spans="1:21"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c r="R64" s="1936"/>
      <c r="S64" s="1936"/>
      <c r="U64" s="1936"/>
    </row>
    <row r="65" spans="1:21"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c r="R65" s="1936"/>
      <c r="S65" s="1936"/>
      <c r="U65" s="1936"/>
    </row>
    <row r="66" spans="1:21"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c r="R66" s="1936"/>
      <c r="S66" s="1936"/>
      <c r="U66" s="1936"/>
    </row>
    <row r="67" spans="1:21"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c r="R67" s="1936"/>
      <c r="S67" s="1936"/>
      <c r="U67" s="1936"/>
    </row>
    <row r="68" spans="1:21" ht="24" hidden="1" customHeight="1" x14ac:dyDescent="0.25">
      <c r="A68" s="1748">
        <v>1210</v>
      </c>
      <c r="B68" s="81" t="s">
        <v>87</v>
      </c>
      <c r="C68" s="82">
        <f t="shared" si="0"/>
        <v>0</v>
      </c>
      <c r="D68" s="46"/>
      <c r="E68" s="47"/>
      <c r="F68" s="133">
        <f>D68+E68</f>
        <v>0</v>
      </c>
      <c r="G68" s="46"/>
      <c r="H68" s="47"/>
      <c r="I68" s="133">
        <f>G68+H68</f>
        <v>0</v>
      </c>
      <c r="J68" s="46"/>
      <c r="K68" s="47"/>
      <c r="L68" s="133">
        <f>K68+J68</f>
        <v>0</v>
      </c>
      <c r="M68" s="46"/>
      <c r="N68" s="47"/>
      <c r="O68" s="133">
        <f>N68+M68</f>
        <v>0</v>
      </c>
      <c r="P68" s="49"/>
      <c r="R68" s="1936"/>
      <c r="S68" s="1936"/>
      <c r="U68" s="1936"/>
    </row>
    <row r="69" spans="1:21"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c r="R69" s="1936"/>
      <c r="S69" s="1936"/>
      <c r="U69" s="1936"/>
    </row>
    <row r="70" spans="1:21"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R70" s="1936"/>
      <c r="S70" s="1936"/>
      <c r="U70" s="1936"/>
    </row>
    <row r="71" spans="1:21"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c r="R71" s="1936"/>
      <c r="S71" s="1936"/>
      <c r="U71" s="1936"/>
    </row>
    <row r="72" spans="1:21"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c r="R72" s="1936"/>
      <c r="S72" s="1936"/>
      <c r="U72" s="1936"/>
    </row>
    <row r="73" spans="1:21"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c r="R73" s="1936"/>
      <c r="S73" s="1936"/>
      <c r="U73" s="1936"/>
    </row>
    <row r="74" spans="1:21"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c r="R74" s="1936"/>
      <c r="S74" s="1936"/>
      <c r="U74" s="1936"/>
    </row>
    <row r="75" spans="1:21" x14ac:dyDescent="0.25">
      <c r="A75" s="176">
        <v>2000</v>
      </c>
      <c r="B75" s="176" t="s">
        <v>94</v>
      </c>
      <c r="C75" s="177">
        <f t="shared" si="0"/>
        <v>25675</v>
      </c>
      <c r="D75" s="178">
        <f>SUM(D76,D83,D130,D164,D165,D172)</f>
        <v>26332</v>
      </c>
      <c r="E75" s="179">
        <f t="shared" ref="E75:F75" si="74">SUM(E76,E83,E130,E164,E165,E172)</f>
        <v>-657</v>
      </c>
      <c r="F75" s="180">
        <f t="shared" si="74"/>
        <v>25675</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c r="R75" s="1936"/>
      <c r="S75" s="1936"/>
      <c r="U75" s="1936"/>
    </row>
    <row r="76" spans="1:21"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c r="R76" s="1936"/>
      <c r="S76" s="1936"/>
      <c r="U76" s="1936"/>
    </row>
    <row r="77" spans="1:21" ht="24" hidden="1" x14ac:dyDescent="0.25">
      <c r="A77" s="174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c r="R77" s="1936"/>
      <c r="S77" s="1936"/>
      <c r="U77" s="1936"/>
    </row>
    <row r="78" spans="1:21"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c r="R78" s="1936"/>
      <c r="S78" s="1936"/>
      <c r="U78" s="1936"/>
    </row>
    <row r="79" spans="1:21"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c r="R79" s="1936"/>
      <c r="S79" s="1936"/>
      <c r="U79" s="1936"/>
    </row>
    <row r="80" spans="1:21"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c r="R80" s="1936"/>
      <c r="S80" s="1936"/>
      <c r="U80" s="1936"/>
    </row>
    <row r="81" spans="1:21"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c r="R81" s="1936"/>
      <c r="S81" s="1936"/>
      <c r="U81" s="1936"/>
    </row>
    <row r="82" spans="1:21"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c r="R82" s="1936"/>
      <c r="S82" s="1936"/>
      <c r="U82" s="1936"/>
    </row>
    <row r="83" spans="1:21" x14ac:dyDescent="0.25">
      <c r="A83" s="68">
        <v>2200</v>
      </c>
      <c r="B83" s="182" t="s">
        <v>100</v>
      </c>
      <c r="C83" s="69">
        <f t="shared" si="0"/>
        <v>25675</v>
      </c>
      <c r="D83" s="183">
        <f>SUM(D84,D89,D95,D103,D112,D116,D122,D128)</f>
        <v>26332</v>
      </c>
      <c r="E83" s="184">
        <f t="shared" ref="E83:F83" si="98">SUM(E84,E89,E95,E103,E112,E116,E122,E128)</f>
        <v>-657</v>
      </c>
      <c r="F83" s="72">
        <f t="shared" si="98"/>
        <v>25675</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c r="R83" s="1936"/>
      <c r="S83" s="1936"/>
      <c r="U83" s="1936"/>
    </row>
    <row r="84" spans="1:21"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c r="R84" s="1936"/>
      <c r="S84" s="1936"/>
      <c r="U84" s="1936"/>
    </row>
    <row r="85" spans="1:21"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c r="R85" s="1936"/>
      <c r="S85" s="1936"/>
      <c r="U85" s="1936"/>
    </row>
    <row r="86" spans="1:21"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c r="R86" s="1936"/>
      <c r="S86" s="1936"/>
      <c r="U86" s="1936"/>
    </row>
    <row r="87" spans="1:21"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c r="R87" s="1936"/>
      <c r="S87" s="1936"/>
      <c r="U87" s="1936"/>
    </row>
    <row r="88" spans="1:21"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c r="R88" s="1936"/>
      <c r="S88" s="1936"/>
      <c r="U88" s="1936"/>
    </row>
    <row r="89" spans="1:21"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c r="R89" s="1936"/>
      <c r="S89" s="1936"/>
      <c r="U89" s="1936"/>
    </row>
    <row r="90" spans="1:21"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R90" s="1936"/>
      <c r="S90" s="1936"/>
      <c r="U90" s="1936"/>
    </row>
    <row r="91" spans="1:21"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c r="R91" s="1936"/>
      <c r="S91" s="1936"/>
      <c r="U91" s="1936"/>
    </row>
    <row r="92" spans="1:21"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c r="R92" s="1936"/>
      <c r="S92" s="1936"/>
      <c r="U92" s="1936"/>
    </row>
    <row r="93" spans="1:21"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c r="R93" s="1936"/>
      <c r="S93" s="1936"/>
      <c r="U93" s="1936"/>
    </row>
    <row r="94" spans="1:21"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c r="R94" s="1936"/>
      <c r="S94" s="1936"/>
      <c r="U94" s="1936"/>
    </row>
    <row r="95" spans="1:21"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c r="R95" s="1936"/>
      <c r="S95" s="1936"/>
      <c r="U95" s="1936"/>
    </row>
    <row r="96" spans="1:21"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c r="R96" s="1936"/>
      <c r="S96" s="1936"/>
      <c r="U96" s="1936"/>
    </row>
    <row r="97" spans="1:21"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c r="R97" s="1936"/>
      <c r="S97" s="1936"/>
      <c r="U97" s="1936"/>
    </row>
    <row r="98" spans="1:21"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c r="R98" s="1936"/>
      <c r="S98" s="1936"/>
      <c r="U98" s="1936"/>
    </row>
    <row r="99" spans="1:21"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c r="R99" s="1936"/>
      <c r="S99" s="1936"/>
      <c r="U99" s="1936"/>
    </row>
    <row r="100" spans="1:21"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c r="R100" s="1936"/>
      <c r="S100" s="1936"/>
      <c r="U100" s="1936"/>
    </row>
    <row r="101" spans="1:21"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c r="R101" s="1936"/>
      <c r="S101" s="1936"/>
      <c r="U101" s="1936"/>
    </row>
    <row r="102" spans="1:21"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c r="R102" s="1936"/>
      <c r="S102" s="1936"/>
      <c r="U102" s="1936"/>
    </row>
    <row r="103" spans="1:21"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c r="R103" s="1936"/>
      <c r="S103" s="1936"/>
      <c r="U103" s="1936"/>
    </row>
    <row r="104" spans="1:21"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R104" s="1936"/>
      <c r="S104" s="1936"/>
      <c r="U104" s="1936"/>
    </row>
    <row r="105" spans="1:21"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c r="R105" s="1936"/>
      <c r="S105" s="1936"/>
      <c r="U105" s="1936"/>
    </row>
    <row r="106" spans="1:21"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c r="R106" s="1936"/>
      <c r="S106" s="1936"/>
      <c r="U106" s="1936"/>
    </row>
    <row r="107" spans="1:21"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c r="R107" s="1936"/>
      <c r="S107" s="1936"/>
      <c r="U107" s="1936"/>
    </row>
    <row r="108" spans="1:21"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c r="R108" s="1936"/>
      <c r="S108" s="1936"/>
      <c r="U108" s="1936"/>
    </row>
    <row r="109" spans="1:21"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c r="R109" s="1936"/>
      <c r="S109" s="1936"/>
      <c r="U109" s="1936"/>
    </row>
    <row r="110" spans="1:21"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c r="R110" s="1936"/>
      <c r="S110" s="1936"/>
      <c r="U110" s="1936"/>
    </row>
    <row r="111" spans="1:21"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c r="R111" s="1936"/>
      <c r="S111" s="1936"/>
      <c r="U111" s="1936"/>
    </row>
    <row r="112" spans="1:21"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c r="R112" s="1936"/>
      <c r="S112" s="1936"/>
      <c r="U112" s="1936"/>
    </row>
    <row r="113" spans="1:21"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R113" s="1936"/>
      <c r="S113" s="1936"/>
      <c r="U113" s="1936"/>
    </row>
    <row r="114" spans="1:21"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c r="R114" s="1936"/>
      <c r="S114" s="1936"/>
      <c r="U114" s="1936"/>
    </row>
    <row r="115" spans="1:21"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c r="R115" s="1936"/>
      <c r="S115" s="1936"/>
      <c r="U115" s="1936"/>
    </row>
    <row r="116" spans="1:21"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c r="R116" s="1936"/>
      <c r="S116" s="1936"/>
      <c r="U116" s="1936"/>
    </row>
    <row r="117" spans="1:21"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c r="R117" s="1936"/>
      <c r="S117" s="1936"/>
      <c r="U117" s="1936"/>
    </row>
    <row r="118" spans="1:21"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c r="R118" s="1936"/>
      <c r="S118" s="1936"/>
      <c r="U118" s="1936"/>
    </row>
    <row r="119" spans="1:21"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c r="R119" s="1936"/>
      <c r="S119" s="1936"/>
      <c r="U119" s="1936"/>
    </row>
    <row r="120" spans="1:21"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c r="R120" s="1936"/>
      <c r="S120" s="1936"/>
      <c r="U120" s="1936"/>
    </row>
    <row r="121" spans="1:21"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c r="R121" s="1936"/>
      <c r="S121" s="1936"/>
      <c r="U121" s="1936"/>
    </row>
    <row r="122" spans="1:21" x14ac:dyDescent="0.25">
      <c r="A122" s="188">
        <v>2270</v>
      </c>
      <c r="B122" s="88" t="s">
        <v>139</v>
      </c>
      <c r="C122" s="89">
        <f t="shared" si="102"/>
        <v>25675</v>
      </c>
      <c r="D122" s="189">
        <f>SUM(D123:D127)</f>
        <v>26332</v>
      </c>
      <c r="E122" s="190">
        <f t="shared" ref="E122:F122" si="151">SUM(E123:E127)</f>
        <v>-657</v>
      </c>
      <c r="F122" s="55">
        <f t="shared" si="151"/>
        <v>25675</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c r="R122" s="1936"/>
      <c r="S122" s="1936"/>
      <c r="U122" s="1936"/>
    </row>
    <row r="123" spans="1:21"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R123" s="1936"/>
      <c r="S123" s="1936"/>
      <c r="U123" s="1936"/>
    </row>
    <row r="124" spans="1:21"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c r="R124" s="1936"/>
      <c r="S124" s="1936"/>
      <c r="U124" s="1936"/>
    </row>
    <row r="125" spans="1:21" ht="24" customHeight="1" x14ac:dyDescent="0.25">
      <c r="A125" s="51">
        <v>2275</v>
      </c>
      <c r="B125" s="88" t="s">
        <v>142</v>
      </c>
      <c r="C125" s="89">
        <f t="shared" si="102"/>
        <v>25675</v>
      </c>
      <c r="D125" s="194">
        <v>26332</v>
      </c>
      <c r="E125" s="195">
        <v>-657</v>
      </c>
      <c r="F125" s="55">
        <f t="shared" si="155"/>
        <v>25675</v>
      </c>
      <c r="G125" s="53"/>
      <c r="H125" s="54"/>
      <c r="I125" s="55">
        <f t="shared" si="156"/>
        <v>0</v>
      </c>
      <c r="J125" s="53"/>
      <c r="K125" s="54"/>
      <c r="L125" s="55">
        <f t="shared" si="157"/>
        <v>0</v>
      </c>
      <c r="M125" s="53"/>
      <c r="N125" s="54"/>
      <c r="O125" s="55">
        <f t="shared" si="158"/>
        <v>0</v>
      </c>
      <c r="P125" s="57"/>
      <c r="R125" s="1936"/>
      <c r="S125" s="1936"/>
      <c r="U125" s="1936"/>
    </row>
    <row r="126" spans="1:21"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c r="R126" s="1936"/>
      <c r="S126" s="1936"/>
      <c r="U126" s="1936"/>
    </row>
    <row r="127" spans="1:21"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c r="R127" s="1936"/>
      <c r="S127" s="1936"/>
      <c r="U127" s="1936"/>
    </row>
    <row r="128" spans="1:21" ht="48" hidden="1" x14ac:dyDescent="0.25">
      <c r="A128" s="174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c r="R128" s="1936"/>
      <c r="S128" s="1936"/>
      <c r="U128" s="1936"/>
    </row>
    <row r="129" spans="1:21"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c r="R129" s="1936"/>
      <c r="S129" s="1936"/>
      <c r="U129" s="1936"/>
    </row>
    <row r="130" spans="1:21"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c r="R130" s="1936"/>
      <c r="S130" s="1936"/>
      <c r="U130" s="1936"/>
    </row>
    <row r="131" spans="1:21" ht="24" hidden="1" x14ac:dyDescent="0.25">
      <c r="A131" s="1748">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c r="R131" s="1936"/>
      <c r="S131" s="1936"/>
      <c r="U131" s="1936"/>
    </row>
    <row r="132" spans="1:21"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R132" s="1936"/>
      <c r="S132" s="1936"/>
      <c r="U132" s="1936"/>
    </row>
    <row r="133" spans="1:21"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c r="R133" s="1936"/>
      <c r="S133" s="1936"/>
      <c r="U133" s="1936"/>
    </row>
    <row r="134" spans="1:21"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c r="R134" s="1936"/>
      <c r="S134" s="1936"/>
      <c r="U134" s="1936"/>
    </row>
    <row r="135" spans="1:21"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c r="R135" s="1936"/>
      <c r="S135" s="1936"/>
      <c r="U135" s="1936"/>
    </row>
    <row r="136" spans="1:21"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c r="R136" s="1936"/>
      <c r="S136" s="1936"/>
      <c r="U136" s="1936"/>
    </row>
    <row r="137" spans="1:21"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R137" s="1936"/>
      <c r="S137" s="1936"/>
      <c r="U137" s="1936"/>
    </row>
    <row r="138" spans="1:21"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c r="R138" s="1936"/>
      <c r="S138" s="1936"/>
      <c r="U138" s="1936"/>
    </row>
    <row r="139" spans="1:21"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c r="R139" s="1936"/>
      <c r="S139" s="1936"/>
      <c r="U139" s="1936"/>
    </row>
    <row r="140" spans="1:21"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c r="R140" s="1936"/>
      <c r="S140" s="1936"/>
      <c r="U140" s="1936"/>
    </row>
    <row r="141" spans="1:21"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c r="R141" s="1936"/>
      <c r="S141" s="1936"/>
      <c r="U141" s="1936"/>
    </row>
    <row r="142" spans="1:21"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R142" s="1936"/>
      <c r="S142" s="1936"/>
      <c r="U142" s="1936"/>
    </row>
    <row r="143" spans="1:21"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c r="R143" s="1936"/>
      <c r="S143" s="1936"/>
      <c r="U143" s="1936"/>
    </row>
    <row r="144" spans="1:21"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c r="R144" s="1936"/>
      <c r="S144" s="1936"/>
      <c r="U144" s="1936"/>
    </row>
    <row r="145" spans="1:21"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c r="R145" s="1936"/>
      <c r="S145" s="1936"/>
      <c r="U145" s="1936"/>
    </row>
    <row r="146" spans="1:21"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c r="R146" s="1936"/>
      <c r="S146" s="1936"/>
      <c r="U146" s="1936"/>
    </row>
    <row r="147" spans="1:21"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c r="R147" s="1936"/>
      <c r="S147" s="1936"/>
      <c r="U147" s="1936"/>
    </row>
    <row r="148" spans="1:21"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c r="R148" s="1936"/>
      <c r="S148" s="1936"/>
      <c r="U148" s="1936"/>
    </row>
    <row r="149" spans="1:21"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c r="R149" s="1936"/>
      <c r="S149" s="1936"/>
      <c r="U149" s="1936"/>
    </row>
    <row r="150" spans="1:21"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c r="R150" s="1936"/>
      <c r="S150" s="1936"/>
      <c r="U150" s="1936"/>
    </row>
    <row r="151" spans="1:21"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c r="R151" s="1936"/>
      <c r="S151" s="1936"/>
      <c r="U151" s="1936"/>
    </row>
    <row r="152" spans="1:21"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R152" s="1936"/>
      <c r="S152" s="1936"/>
      <c r="U152" s="1936"/>
    </row>
    <row r="153" spans="1:21"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c r="R153" s="1936"/>
      <c r="S153" s="1936"/>
      <c r="U153" s="1936"/>
    </row>
    <row r="154" spans="1:21"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c r="R154" s="1936"/>
      <c r="S154" s="1936"/>
      <c r="U154" s="1936"/>
    </row>
    <row r="155" spans="1:21"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c r="R155" s="1936"/>
      <c r="S155" s="1936"/>
      <c r="U155" s="1936"/>
    </row>
    <row r="156" spans="1:21"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c r="R156" s="1936"/>
      <c r="S156" s="1936"/>
      <c r="U156" s="1936"/>
    </row>
    <row r="157" spans="1:21"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c r="R157" s="1936"/>
      <c r="S157" s="1936"/>
      <c r="U157" s="1936"/>
    </row>
    <row r="158" spans="1:21"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c r="R158" s="1936"/>
      <c r="S158" s="1936"/>
      <c r="U158" s="1936"/>
    </row>
    <row r="159" spans="1:21"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c r="R159" s="1936"/>
      <c r="S159" s="1936"/>
      <c r="U159" s="1936"/>
    </row>
    <row r="160" spans="1:21"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c r="R160" s="1936"/>
      <c r="S160" s="1936"/>
      <c r="U160" s="1936"/>
    </row>
    <row r="161" spans="1:21"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c r="R161" s="1936"/>
      <c r="S161" s="1936"/>
      <c r="U161" s="1936"/>
    </row>
    <row r="162" spans="1:21"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c r="R162" s="1936"/>
      <c r="S162" s="1936"/>
      <c r="U162" s="1936"/>
    </row>
    <row r="163" spans="1:21"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c r="R163" s="1936"/>
      <c r="S163" s="1936"/>
      <c r="U163" s="1936"/>
    </row>
    <row r="164" spans="1:21"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c r="R164" s="1936"/>
      <c r="S164" s="1936"/>
      <c r="U164" s="1936"/>
    </row>
    <row r="165" spans="1:21"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c r="R165" s="1936"/>
      <c r="S165" s="1936"/>
      <c r="U165" s="1936"/>
    </row>
    <row r="166" spans="1:21" ht="16.5" hidden="1" customHeight="1" x14ac:dyDescent="0.25">
      <c r="A166" s="174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c r="R166" s="1936"/>
      <c r="S166" s="1936"/>
      <c r="U166" s="1936"/>
    </row>
    <row r="167" spans="1:21"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R167" s="1936"/>
      <c r="S167" s="1936"/>
      <c r="U167" s="1936"/>
    </row>
    <row r="168" spans="1:21"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c r="R168" s="1936"/>
      <c r="S168" s="1936"/>
      <c r="U168" s="1936"/>
    </row>
    <row r="169" spans="1:21"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c r="R169" s="1936"/>
      <c r="S169" s="1936"/>
      <c r="U169" s="1936"/>
    </row>
    <row r="170" spans="1:21"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c r="R170" s="1936"/>
      <c r="S170" s="1936"/>
      <c r="U170" s="1936"/>
    </row>
    <row r="171" spans="1:21"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c r="R171" s="1936"/>
      <c r="S171" s="1936"/>
      <c r="U171" s="1936"/>
    </row>
    <row r="172" spans="1:21"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c r="R172" s="1936"/>
      <c r="S172" s="1936"/>
      <c r="U172" s="1936"/>
    </row>
    <row r="173" spans="1:21"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c r="R173" s="1936"/>
      <c r="S173" s="1936"/>
      <c r="U173" s="1936"/>
    </row>
    <row r="174" spans="1:21"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c r="R174" s="1936"/>
      <c r="S174" s="1936"/>
      <c r="U174" s="1936"/>
    </row>
    <row r="175" spans="1:21" ht="36" hidden="1" x14ac:dyDescent="0.25">
      <c r="A175" s="174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c r="R175" s="1936"/>
      <c r="S175" s="1936"/>
      <c r="U175" s="1936"/>
    </row>
    <row r="176" spans="1:21"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c r="R176" s="1936"/>
      <c r="S176" s="1936"/>
      <c r="U176" s="1936"/>
    </row>
    <row r="177" spans="1:21"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c r="R177" s="1936"/>
      <c r="S177" s="1936"/>
      <c r="U177" s="1936"/>
    </row>
    <row r="178" spans="1:21"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c r="R178" s="1936"/>
      <c r="S178" s="1936"/>
      <c r="U178" s="1936"/>
    </row>
    <row r="179" spans="1:21" ht="84" hidden="1" x14ac:dyDescent="0.25">
      <c r="A179" s="174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c r="R179" s="1936"/>
      <c r="S179" s="1936"/>
      <c r="U179" s="1936"/>
    </row>
    <row r="180" spans="1:21"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R180" s="1936"/>
      <c r="S180" s="1936"/>
      <c r="U180" s="1936"/>
    </row>
    <row r="181" spans="1:21"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c r="R181" s="1936"/>
      <c r="S181" s="1936"/>
      <c r="U181" s="1936"/>
    </row>
    <row r="182" spans="1:21"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c r="R182" s="1936"/>
      <c r="S182" s="1936"/>
      <c r="U182" s="1936"/>
    </row>
    <row r="183" spans="1:21"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c r="R183" s="1936"/>
      <c r="S183" s="1936"/>
      <c r="U183" s="1936"/>
    </row>
    <row r="184" spans="1:21"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c r="R184" s="1936"/>
      <c r="S184" s="1936"/>
      <c r="U184" s="1936"/>
    </row>
    <row r="185" spans="1:21"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c r="R185" s="1936"/>
      <c r="S185" s="1936"/>
      <c r="U185" s="1936"/>
    </row>
    <row r="186" spans="1:21"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c r="R186" s="1936"/>
      <c r="S186" s="1936"/>
      <c r="U186" s="1936"/>
    </row>
    <row r="187" spans="1:21"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c r="R187" s="1936"/>
      <c r="S187" s="1936"/>
      <c r="U187" s="1936"/>
    </row>
    <row r="188" spans="1:21"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c r="R188" s="1936"/>
      <c r="S188" s="1936"/>
      <c r="U188" s="1936"/>
    </row>
    <row r="189" spans="1:21" ht="36" hidden="1" customHeight="1" x14ac:dyDescent="0.25">
      <c r="A189" s="174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c r="R189" s="1936"/>
      <c r="S189" s="1936"/>
      <c r="U189" s="1936"/>
    </row>
    <row r="190" spans="1:21"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c r="R190" s="1936"/>
      <c r="S190" s="1936"/>
      <c r="U190" s="1936"/>
    </row>
    <row r="191" spans="1:21"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c r="R191" s="1936"/>
      <c r="S191" s="1936"/>
      <c r="U191" s="1936"/>
    </row>
    <row r="192" spans="1:21" ht="24" hidden="1" x14ac:dyDescent="0.25">
      <c r="A192" s="174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c r="R192" s="1936"/>
      <c r="S192" s="1936"/>
      <c r="U192" s="1936"/>
    </row>
    <row r="193" spans="1:21"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c r="R193" s="1936"/>
      <c r="S193" s="1936"/>
      <c r="U193" s="1936"/>
    </row>
    <row r="194" spans="1:21"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c r="R194" s="1936"/>
      <c r="S194" s="1936"/>
      <c r="U194" s="1936"/>
    </row>
    <row r="195" spans="1:21"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c r="R195" s="1936"/>
      <c r="S195" s="1936"/>
      <c r="U195" s="1936"/>
    </row>
    <row r="196" spans="1:21"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c r="R196" s="1936"/>
      <c r="S196" s="1936"/>
      <c r="U196" s="1936"/>
    </row>
    <row r="197" spans="1:21" ht="12" hidden="1" customHeight="1" x14ac:dyDescent="0.25">
      <c r="A197" s="174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c r="R197" s="1936"/>
      <c r="S197" s="1936"/>
      <c r="U197" s="1936"/>
    </row>
    <row r="198" spans="1:21"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c r="R198" s="1936"/>
      <c r="S198" s="1936"/>
      <c r="U198" s="1936"/>
    </row>
    <row r="199" spans="1:21"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R199" s="1936"/>
      <c r="S199" s="1936"/>
      <c r="U199" s="1936"/>
    </row>
    <row r="200" spans="1:21"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c r="R200" s="1936"/>
      <c r="S200" s="1936"/>
      <c r="U200" s="1936"/>
    </row>
    <row r="201" spans="1:21"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c r="R201" s="1936"/>
      <c r="S201" s="1936"/>
      <c r="U201" s="1936"/>
    </row>
    <row r="202" spans="1:21"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c r="R202" s="1936"/>
      <c r="S202" s="1936"/>
      <c r="U202" s="1936"/>
    </row>
    <row r="203" spans="1:21"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c r="R203" s="1936"/>
      <c r="S203" s="1936"/>
      <c r="U203" s="1936"/>
    </row>
    <row r="204" spans="1:21"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c r="R204" s="1936"/>
      <c r="S204" s="1936"/>
      <c r="U204" s="1936"/>
    </row>
    <row r="205" spans="1:21"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c r="R205" s="1936"/>
      <c r="S205" s="1936"/>
      <c r="U205" s="1936"/>
    </row>
    <row r="206" spans="1:21"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c r="R206" s="1936"/>
      <c r="S206" s="1936"/>
      <c r="U206" s="1936"/>
    </row>
    <row r="207" spans="1:21"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c r="R207" s="1936"/>
      <c r="S207" s="1936"/>
      <c r="U207" s="1936"/>
    </row>
    <row r="208" spans="1:21"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c r="R208" s="1936"/>
      <c r="S208" s="1936"/>
      <c r="U208" s="1936"/>
    </row>
    <row r="209" spans="1:21"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c r="R209" s="1936"/>
      <c r="S209" s="1936"/>
      <c r="U209" s="1936"/>
    </row>
    <row r="210" spans="1:21"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c r="R210" s="1936"/>
      <c r="S210" s="1936"/>
      <c r="U210" s="1936"/>
    </row>
    <row r="211" spans="1:21"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c r="R211" s="1936"/>
      <c r="S211" s="1936"/>
      <c r="U211" s="1936"/>
    </row>
    <row r="212" spans="1:21"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c r="R212" s="1936"/>
      <c r="S212" s="1936"/>
      <c r="U212" s="1936"/>
    </row>
    <row r="213" spans="1:21"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c r="R213" s="1936"/>
      <c r="S213" s="1936"/>
      <c r="U213" s="1936"/>
    </row>
    <row r="214" spans="1:21"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c r="R214" s="1936"/>
      <c r="S214" s="1936"/>
      <c r="U214" s="1936"/>
    </row>
    <row r="215" spans="1:21"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c r="R215" s="1936"/>
      <c r="S215" s="1936"/>
      <c r="U215" s="1936"/>
    </row>
    <row r="216" spans="1:21"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c r="R216" s="1936"/>
      <c r="S216" s="1936"/>
      <c r="U216" s="1936"/>
    </row>
    <row r="217" spans="1:21"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R217" s="1936"/>
      <c r="S217" s="1936"/>
      <c r="U217" s="1936"/>
    </row>
    <row r="218" spans="1:21"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c r="R218" s="1936"/>
      <c r="S218" s="1936"/>
      <c r="U218" s="1936"/>
    </row>
    <row r="219" spans="1:21"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c r="R219" s="1936"/>
      <c r="S219" s="1936"/>
      <c r="U219" s="1936"/>
    </row>
    <row r="220" spans="1:21"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c r="R220" s="1936"/>
      <c r="S220" s="1936"/>
      <c r="U220" s="1936"/>
    </row>
    <row r="221" spans="1:21"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c r="R221" s="1936"/>
      <c r="S221" s="1936"/>
      <c r="U221" s="1936"/>
    </row>
    <row r="222" spans="1:21"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c r="R222" s="1936"/>
      <c r="S222" s="1936"/>
      <c r="U222" s="1936"/>
    </row>
    <row r="223" spans="1:21"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c r="R223" s="1936"/>
      <c r="S223" s="1936"/>
      <c r="U223" s="1936"/>
    </row>
    <row r="224" spans="1:21"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c r="R224" s="1936"/>
      <c r="S224" s="1936"/>
      <c r="U224" s="1936"/>
    </row>
    <row r="225" spans="1:21"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c r="R225" s="1936"/>
      <c r="S225" s="1936"/>
      <c r="U225" s="1936"/>
    </row>
    <row r="226" spans="1:21"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c r="R226" s="1936"/>
      <c r="S226" s="1936"/>
      <c r="U226" s="1936"/>
    </row>
    <row r="227" spans="1:21"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c r="R227" s="1936"/>
      <c r="S227" s="1936"/>
      <c r="U227" s="1936"/>
    </row>
    <row r="228" spans="1:21"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R228" s="1936"/>
      <c r="S228" s="1936"/>
      <c r="U228" s="1936"/>
    </row>
    <row r="229" spans="1:21"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c r="R229" s="1936"/>
      <c r="S229" s="1936"/>
      <c r="U229" s="1936"/>
    </row>
    <row r="230" spans="1:21"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c r="R230" s="1936"/>
      <c r="S230" s="1936"/>
      <c r="U230" s="1936"/>
    </row>
    <row r="231" spans="1:21"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c r="R231" s="1936"/>
      <c r="S231" s="1936"/>
      <c r="U231" s="1936"/>
    </row>
    <row r="232" spans="1:21" ht="24" hidden="1" customHeight="1" x14ac:dyDescent="0.25">
      <c r="A232" s="174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c r="R232" s="1936"/>
      <c r="S232" s="1936"/>
      <c r="U232" s="1936"/>
    </row>
    <row r="233" spans="1:21"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c r="R233" s="1936"/>
      <c r="S233" s="1936"/>
      <c r="U233" s="1936"/>
    </row>
    <row r="234" spans="1:21"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c r="R234" s="1936"/>
      <c r="S234" s="1936"/>
      <c r="U234" s="1936"/>
    </row>
    <row r="235" spans="1:21"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c r="R235" s="1936"/>
      <c r="S235" s="1936"/>
      <c r="U235" s="1936"/>
    </row>
    <row r="236" spans="1:21"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R236" s="1936"/>
      <c r="S236" s="1936"/>
      <c r="U236" s="1936"/>
    </row>
    <row r="237" spans="1:21"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c r="R237" s="1936"/>
      <c r="S237" s="1936"/>
      <c r="U237" s="1936"/>
    </row>
    <row r="238" spans="1:21"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c r="R238" s="1936"/>
      <c r="S238" s="1936"/>
      <c r="U238" s="1936"/>
    </row>
    <row r="239" spans="1:21"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R239" s="1936"/>
      <c r="S239" s="1936"/>
      <c r="U239" s="1936"/>
    </row>
    <row r="240" spans="1:21"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c r="R240" s="1936"/>
      <c r="S240" s="1936"/>
      <c r="U240" s="1936"/>
    </row>
    <row r="241" spans="1:21"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c r="R241" s="1936"/>
      <c r="S241" s="1936"/>
      <c r="U241" s="1936"/>
    </row>
    <row r="242" spans="1:21"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c r="R242" s="1936"/>
      <c r="S242" s="1936"/>
      <c r="U242" s="1936"/>
    </row>
    <row r="243" spans="1:21"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c r="R243" s="1936"/>
      <c r="S243" s="1936"/>
      <c r="U243" s="1936"/>
    </row>
    <row r="244" spans="1:21"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c r="R244" s="1936"/>
      <c r="S244" s="1936"/>
      <c r="U244" s="1936"/>
    </row>
    <row r="245" spans="1:21"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c r="R245" s="1936"/>
      <c r="S245" s="1936"/>
      <c r="U245" s="1936"/>
    </row>
    <row r="246" spans="1:21" ht="24" hidden="1" x14ac:dyDescent="0.25">
      <c r="A246" s="174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c r="R246" s="1936"/>
      <c r="S246" s="1936"/>
      <c r="U246" s="1936"/>
    </row>
    <row r="247" spans="1:21"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R247" s="1936"/>
      <c r="S247" s="1936"/>
      <c r="U247" s="1936"/>
    </row>
    <row r="248" spans="1:21"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c r="R248" s="1936"/>
      <c r="S248" s="1936"/>
      <c r="U248" s="1936"/>
    </row>
    <row r="249" spans="1:21"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c r="R249" s="1936"/>
      <c r="S249" s="1936"/>
      <c r="U249" s="1936"/>
    </row>
    <row r="250" spans="1:21"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c r="R250" s="1936"/>
      <c r="S250" s="1936"/>
      <c r="U250" s="1936"/>
    </row>
    <row r="251" spans="1:21"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c r="R251" s="1936"/>
      <c r="S251" s="1936"/>
      <c r="U251" s="1936"/>
    </row>
    <row r="252" spans="1:21" ht="24" hidden="1" x14ac:dyDescent="0.25">
      <c r="A252" s="174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c r="R252" s="1936"/>
      <c r="S252" s="1936"/>
      <c r="U252" s="1936"/>
    </row>
    <row r="253" spans="1:21"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R253" s="1936"/>
      <c r="S253" s="1936"/>
      <c r="U253" s="1936"/>
    </row>
    <row r="254" spans="1:21"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c r="R254" s="1936"/>
      <c r="S254" s="1936"/>
      <c r="U254" s="1936"/>
    </row>
    <row r="255" spans="1:21"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c r="R255" s="1936"/>
      <c r="S255" s="1936"/>
      <c r="U255" s="1936"/>
    </row>
    <row r="256" spans="1:21"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c r="R256" s="1936"/>
      <c r="S256" s="1936"/>
      <c r="U256" s="1936"/>
    </row>
    <row r="257" spans="1:21"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c r="R257" s="1936"/>
      <c r="S257" s="1936"/>
      <c r="U257" s="1936"/>
    </row>
    <row r="258" spans="1:21"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c r="R258" s="1936"/>
      <c r="S258" s="1936"/>
      <c r="U258" s="1936"/>
    </row>
    <row r="259" spans="1:21"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c r="R259" s="1936"/>
      <c r="S259" s="1936"/>
      <c r="U259" s="1936"/>
    </row>
    <row r="260" spans="1:21" ht="24" hidden="1" x14ac:dyDescent="0.25">
      <c r="A260" s="174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c r="R260" s="1936"/>
      <c r="S260" s="1936"/>
      <c r="U260" s="1936"/>
    </row>
    <row r="261" spans="1:21"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R261" s="1936"/>
      <c r="S261" s="1936"/>
      <c r="U261" s="1936"/>
    </row>
    <row r="262" spans="1:21"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c r="R262" s="1936"/>
      <c r="S262" s="1936"/>
      <c r="U262" s="1936"/>
    </row>
    <row r="263" spans="1:21"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c r="R263" s="1936"/>
      <c r="S263" s="1936"/>
      <c r="U263" s="1936"/>
    </row>
    <row r="264" spans="1:21"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c r="R264" s="1936"/>
      <c r="S264" s="1936"/>
      <c r="U264" s="1936"/>
    </row>
    <row r="265" spans="1:21"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R265" s="1936"/>
      <c r="S265" s="1936"/>
      <c r="U265" s="1936"/>
    </row>
    <row r="266" spans="1:21"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c r="R266" s="1936"/>
      <c r="S266" s="1936"/>
      <c r="U266" s="1936"/>
    </row>
    <row r="267" spans="1:21"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c r="R267" s="1936"/>
      <c r="S267" s="1936"/>
      <c r="U267" s="1936"/>
    </row>
    <row r="268" spans="1:21"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c r="R268" s="1936"/>
      <c r="S268" s="1936"/>
      <c r="U268" s="1936"/>
    </row>
    <row r="269" spans="1:21"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c r="R269" s="1936"/>
      <c r="S269" s="1936"/>
      <c r="U269" s="1936"/>
    </row>
    <row r="270" spans="1:21"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c r="R270" s="1936"/>
      <c r="S270" s="1936"/>
      <c r="U270" s="1936"/>
    </row>
    <row r="271" spans="1:21" ht="24" hidden="1" customHeight="1" x14ac:dyDescent="0.25">
      <c r="A271" s="174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c r="R271" s="1936"/>
      <c r="S271" s="1936"/>
      <c r="U271" s="1936"/>
    </row>
    <row r="272" spans="1:21"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c r="R272" s="1936"/>
      <c r="S272" s="1936"/>
      <c r="U272" s="1936"/>
    </row>
    <row r="273" spans="1:21"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R273" s="1936"/>
      <c r="S273" s="1936"/>
      <c r="U273" s="1936"/>
    </row>
    <row r="274" spans="1:21"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c r="R274" s="1936"/>
      <c r="S274" s="1936"/>
      <c r="U274" s="1936"/>
    </row>
    <row r="275" spans="1:21"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c r="R275" s="1936"/>
      <c r="S275" s="1936"/>
      <c r="U275" s="1936"/>
    </row>
    <row r="276" spans="1:21"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c r="R276" s="1936"/>
      <c r="S276" s="1936"/>
      <c r="U276" s="1936"/>
    </row>
    <row r="277" spans="1:21"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R277" s="1936"/>
      <c r="S277" s="1936"/>
      <c r="U277" s="1936"/>
    </row>
    <row r="278" spans="1:21"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c r="R278" s="1936"/>
      <c r="S278" s="1936"/>
      <c r="U278" s="1936"/>
    </row>
    <row r="279" spans="1:21"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c r="R279" s="1936"/>
      <c r="S279" s="1936"/>
      <c r="U279" s="1936"/>
    </row>
    <row r="280" spans="1:21" ht="24" hidden="1" customHeight="1" x14ac:dyDescent="0.25">
      <c r="A280" s="174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c r="R280" s="1936"/>
      <c r="S280" s="1936"/>
      <c r="U280" s="1936"/>
    </row>
    <row r="281" spans="1:21"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c r="R281" s="1936"/>
      <c r="S281" s="1936"/>
      <c r="U281" s="1936"/>
    </row>
    <row r="282" spans="1:21"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c r="R282" s="1936"/>
      <c r="S282" s="1936"/>
      <c r="U282" s="1936"/>
    </row>
    <row r="283" spans="1:21"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c r="R283" s="1936"/>
      <c r="S283" s="1936"/>
      <c r="U283" s="1936"/>
    </row>
    <row r="284" spans="1:21"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c r="R284" s="1936"/>
      <c r="S284" s="1936"/>
      <c r="U284" s="1936"/>
    </row>
    <row r="285" spans="1:21"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c r="R285" s="1936"/>
      <c r="S285" s="1936"/>
      <c r="U285" s="1936"/>
    </row>
    <row r="286" spans="1:21"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c r="R286" s="1936"/>
      <c r="S286" s="1936"/>
      <c r="U286" s="1936"/>
    </row>
    <row r="287" spans="1:21"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R287" s="1936"/>
      <c r="S287" s="1936"/>
      <c r="U287" s="1936"/>
    </row>
    <row r="288" spans="1:21"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c r="R288" s="1936"/>
      <c r="S288" s="1936"/>
      <c r="U288" s="1936"/>
    </row>
    <row r="289" spans="1:21" ht="12.75" thickBot="1" x14ac:dyDescent="0.3">
      <c r="A289" s="249"/>
      <c r="B289" s="249" t="s">
        <v>308</v>
      </c>
      <c r="C289" s="250">
        <f t="shared" si="371"/>
        <v>25675</v>
      </c>
      <c r="D289" s="251">
        <f t="shared" ref="D289:O289" si="389">SUM(D286,D269,D230,D195,D187,D173,D75,D53,D283)</f>
        <v>26332</v>
      </c>
      <c r="E289" s="252">
        <f t="shared" si="389"/>
        <v>-657</v>
      </c>
      <c r="F289" s="253">
        <f t="shared" si="389"/>
        <v>25675</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c r="R289" s="1936"/>
      <c r="S289" s="1936"/>
      <c r="U289" s="1936"/>
    </row>
    <row r="290" spans="1:21"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c r="R290" s="1936"/>
      <c r="S290" s="1936"/>
      <c r="U290" s="1936"/>
    </row>
    <row r="291" spans="1:21"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c r="R291" s="1936"/>
      <c r="S291" s="1936"/>
      <c r="U291" s="1936"/>
    </row>
    <row r="292" spans="1:21"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c r="R292" s="1936"/>
      <c r="S292" s="1936"/>
      <c r="U292" s="1936"/>
    </row>
    <row r="293" spans="1:21"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c r="R293" s="1936"/>
      <c r="S293" s="1936"/>
      <c r="U293" s="1936"/>
    </row>
    <row r="294" spans="1:21"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c r="R294" s="1936"/>
      <c r="S294" s="1936"/>
      <c r="U294" s="1936"/>
    </row>
    <row r="295" spans="1:21"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c r="R295" s="1936"/>
      <c r="S295" s="1936"/>
      <c r="U295" s="1936"/>
    </row>
    <row r="296" spans="1:21"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c r="R296" s="1936"/>
      <c r="S296" s="1936"/>
      <c r="U296" s="1936"/>
    </row>
    <row r="297" spans="1:21"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c r="R297" s="1936"/>
      <c r="S297" s="1936"/>
      <c r="U297" s="1936"/>
    </row>
    <row r="298" spans="1:21"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c r="R298" s="1936"/>
      <c r="S298" s="1936"/>
      <c r="U298" s="1936"/>
    </row>
    <row r="299" spans="1:21"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c r="R299" s="1936"/>
      <c r="S299" s="1936"/>
      <c r="U299" s="1936"/>
    </row>
    <row r="300" spans="1:21"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c r="R300" s="1936"/>
      <c r="S300" s="1936"/>
      <c r="U300" s="1936"/>
    </row>
    <row r="301" spans="1:21"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c r="R301" s="1936"/>
      <c r="S301" s="1936"/>
      <c r="U301" s="1936"/>
    </row>
    <row r="302" spans="1:21" ht="12.75" thickTop="1" x14ac:dyDescent="0.25"/>
  </sheetData>
  <sheetProtection algorithmName="SHA-512" hashValue="VPvZtjCfV7OBWpbK/nq13ykCivsR1YhlcY0aOmCB5tHDcEw2GmtrDjzx4TI54ktC9c7/EivJ1Ab7TAqT5pEQ/g==" saltValue="wO2kd3NclSiAcX/izE8riQ==" spinCount="100000" sheet="1" objects="1" scenarios="1" formatCells="0" formatColumns="0" formatRows="0" deleteColumns="0"/>
  <autoFilter ref="A18:P301">
    <filterColumn colId="2">
      <filters>
        <filter val="26 33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14.pielikums Jūrmalas pilsētas domes
2019.gada 29.augusta saistošajiem noteikumiem Nr.31
(protokols Nr.12, 20.punkts)
 </firstHeader>
    <firstFooter>&amp;L&amp;9&amp;D; &amp;T&amp;R&amp;9&amp;P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R10" sqref="R10"/>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1536</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1400</v>
      </c>
      <c r="D6" s="1972"/>
      <c r="E6" s="1972"/>
      <c r="F6" s="1972"/>
      <c r="G6" s="1972"/>
      <c r="H6" s="1972"/>
      <c r="I6" s="1972"/>
      <c r="J6" s="1972"/>
      <c r="K6" s="1972"/>
      <c r="L6" s="1972"/>
      <c r="M6" s="1972"/>
      <c r="N6" s="1972"/>
      <c r="O6" s="1972"/>
      <c r="P6" s="1973"/>
      <c r="Q6" s="276"/>
    </row>
    <row r="7" spans="1:17" ht="27" customHeight="1" x14ac:dyDescent="0.25">
      <c r="A7" s="7" t="s">
        <v>10</v>
      </c>
      <c r="B7" s="8"/>
      <c r="C7" s="1977" t="s">
        <v>1399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2731748</v>
      </c>
      <c r="D20" s="32">
        <f>SUM(D21,D24,D25,D41,D43)</f>
        <v>2698135</v>
      </c>
      <c r="E20" s="33">
        <f t="shared" ref="E20:F20" si="1">SUM(E21,E24,E25,E41,E43)</f>
        <v>33613</v>
      </c>
      <c r="F20" s="34">
        <f t="shared" si="1"/>
        <v>2731748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2731748</v>
      </c>
      <c r="D24" s="60">
        <f>D51</f>
        <v>2698135</v>
      </c>
      <c r="E24" s="741">
        <f>-10000+44920-1307</f>
        <v>33613</v>
      </c>
      <c r="F24" s="62">
        <f t="shared" si="9"/>
        <v>2731748</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2731748</v>
      </c>
      <c r="D50" s="158">
        <f>SUM(D51,D286)</f>
        <v>2698135</v>
      </c>
      <c r="E50" s="159">
        <f t="shared" ref="E50:F50" si="26">SUM(E51,E286)</f>
        <v>33613</v>
      </c>
      <c r="F50" s="160">
        <f t="shared" si="26"/>
        <v>2731748</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2731748</v>
      </c>
      <c r="D51" s="164">
        <f>SUM(D52,D194)</f>
        <v>2698135</v>
      </c>
      <c r="E51" s="165">
        <f t="shared" ref="E51:F51" si="30">SUM(E52,E194)</f>
        <v>33613</v>
      </c>
      <c r="F51" s="166">
        <f t="shared" si="30"/>
        <v>2731748</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2705748</v>
      </c>
      <c r="D52" s="172">
        <f>SUM(D53,D75,D173,D187)</f>
        <v>2672135</v>
      </c>
      <c r="E52" s="173">
        <f t="shared" ref="E52:F52" si="34">SUM(E53,E75,E173,E187)</f>
        <v>33613</v>
      </c>
      <c r="F52" s="174">
        <f t="shared" si="34"/>
        <v>2705748</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941">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2705748</v>
      </c>
      <c r="D75" s="178">
        <f>SUM(D76,D83,D130,D164,D165,D172)</f>
        <v>2672135</v>
      </c>
      <c r="E75" s="179">
        <f t="shared" ref="E75:F75" si="74">SUM(E76,E83,E130,E164,E165,E172)</f>
        <v>33613</v>
      </c>
      <c r="F75" s="180">
        <f t="shared" si="74"/>
        <v>2705748</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941">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2692534</v>
      </c>
      <c r="D83" s="183">
        <f>SUM(D84,D89,D95,D103,D112,D116,D122,D128)</f>
        <v>2658921</v>
      </c>
      <c r="E83" s="184">
        <f t="shared" ref="E83:F83" si="98">SUM(E84,E89,E95,E103,E112,E116,E122,E128)</f>
        <v>33613</v>
      </c>
      <c r="F83" s="72">
        <f t="shared" si="98"/>
        <v>2692534</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2662534</v>
      </c>
      <c r="D103" s="189">
        <f>SUM(D104:D111)</f>
        <v>2628921</v>
      </c>
      <c r="E103" s="190">
        <f t="shared" ref="E103:F103" si="127">SUM(E104:E111)</f>
        <v>33613</v>
      </c>
      <c r="F103" s="55">
        <f t="shared" si="127"/>
        <v>2662534</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8" t="s">
        <v>124</v>
      </c>
      <c r="C107" s="89">
        <f t="shared" si="102"/>
        <v>2662534</v>
      </c>
      <c r="D107" s="194">
        <v>2628921</v>
      </c>
      <c r="E107" s="198">
        <f>-10000+44920-1307</f>
        <v>33613</v>
      </c>
      <c r="F107" s="55">
        <f t="shared" si="131"/>
        <v>2662534</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30000</v>
      </c>
      <c r="D122" s="189">
        <f>SUM(D123:D127)</f>
        <v>30000</v>
      </c>
      <c r="E122" s="190">
        <f t="shared" ref="E122:F122" si="151">SUM(E123:E127)</f>
        <v>0</v>
      </c>
      <c r="F122" s="55">
        <f t="shared" si="151"/>
        <v>30000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30000</v>
      </c>
      <c r="D127" s="194">
        <v>30000</v>
      </c>
      <c r="E127" s="195"/>
      <c r="F127" s="55">
        <f t="shared" si="155"/>
        <v>30000</v>
      </c>
      <c r="G127" s="53"/>
      <c r="H127" s="54"/>
      <c r="I127" s="55">
        <f t="shared" si="156"/>
        <v>0</v>
      </c>
      <c r="J127" s="53"/>
      <c r="K127" s="54"/>
      <c r="L127" s="55">
        <f t="shared" si="157"/>
        <v>0</v>
      </c>
      <c r="M127" s="53"/>
      <c r="N127" s="54"/>
      <c r="O127" s="55">
        <f t="shared" si="158"/>
        <v>0</v>
      </c>
      <c r="P127" s="57"/>
    </row>
    <row r="128" spans="1:16" ht="48" hidden="1" x14ac:dyDescent="0.25">
      <c r="A128" s="94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13214</v>
      </c>
      <c r="D130" s="183">
        <f>SUM(D131,D136,D140,D141,D144,D151,D159,D160,D163)</f>
        <v>13214</v>
      </c>
      <c r="E130" s="184">
        <f t="shared" ref="E130:F130" si="160">SUM(E131,E136,E140,E141,E144,E151,E159,E160,E163)</f>
        <v>0</v>
      </c>
      <c r="F130" s="72">
        <f t="shared" si="160"/>
        <v>13214</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941">
        <v>2310</v>
      </c>
      <c r="B131" s="81" t="s">
        <v>148</v>
      </c>
      <c r="C131" s="82">
        <f t="shared" si="102"/>
        <v>13214</v>
      </c>
      <c r="D131" s="192">
        <f t="shared" ref="D131:O131" si="164">SUM(D132:D135)</f>
        <v>13214</v>
      </c>
      <c r="E131" s="193">
        <f t="shared" si="164"/>
        <v>0</v>
      </c>
      <c r="F131" s="133">
        <f t="shared" si="164"/>
        <v>13214</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13214</v>
      </c>
      <c r="D133" s="194">
        <v>13214</v>
      </c>
      <c r="E133" s="195"/>
      <c r="F133" s="55">
        <f t="shared" si="165"/>
        <v>13214</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941">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94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4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941">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94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26000</v>
      </c>
      <c r="D194" s="172">
        <f>SUM(D195,D230,D269,D283)</f>
        <v>26000</v>
      </c>
      <c r="E194" s="173">
        <f t="shared" ref="E194:O194" si="259">SUM(E195,E230,E269,E283)</f>
        <v>0</v>
      </c>
      <c r="F194" s="174">
        <f t="shared" si="259"/>
        <v>26000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26000</v>
      </c>
      <c r="D195" s="178">
        <f>D196+D204</f>
        <v>26000</v>
      </c>
      <c r="E195" s="179">
        <f t="shared" ref="E195:F195" si="260">E196+E204</f>
        <v>0</v>
      </c>
      <c r="F195" s="180">
        <f t="shared" si="260"/>
        <v>26000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941">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26000</v>
      </c>
      <c r="D204" s="183">
        <f>D205+D215+D216+D225+D226+D227+D229</f>
        <v>26000</v>
      </c>
      <c r="E204" s="184">
        <f t="shared" ref="E204:F204" si="276">E205+E215+E216+E225+E226+E227+E229</f>
        <v>0</v>
      </c>
      <c r="F204" s="72">
        <f t="shared" si="276"/>
        <v>26000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26000</v>
      </c>
      <c r="D216" s="189">
        <f>SUM(D217:D224)</f>
        <v>26000</v>
      </c>
      <c r="E216" s="190">
        <f t="shared" ref="E216:F216" si="289">SUM(E217:E224)</f>
        <v>0</v>
      </c>
      <c r="F216" s="55">
        <f t="shared" si="289"/>
        <v>26000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26000</v>
      </c>
      <c r="D224" s="194">
        <v>26000</v>
      </c>
      <c r="E224" s="195"/>
      <c r="F224" s="55">
        <f t="shared" si="293"/>
        <v>26000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941">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4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94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94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941">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41">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2731748</v>
      </c>
      <c r="D289" s="251">
        <f t="shared" ref="D289:O289" si="389">SUM(D286,D269,D230,D195,D187,D173,D75,D53,D283)</f>
        <v>2698135</v>
      </c>
      <c r="E289" s="252">
        <f t="shared" si="389"/>
        <v>33613</v>
      </c>
      <c r="F289" s="253">
        <f t="shared" si="389"/>
        <v>2731748</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m2pYczgTgvUHDFVaQNcEKlCudssvgo7DgqphBqf9GUtmKCpaO5re3WBEO3cIDHsPdc3sxizoxrMY4sdK4woFgg==" saltValue="C+OKjr338sViXAhYDyWv9w==" spinCount="100000" sheet="1" objects="1" scenarios="1" formatCells="0" formatColumns="0" formatRows="0" deleteColumns="0"/>
  <autoFilter ref="A18:P301">
    <filterColumn colId="2">
      <filters>
        <filter val="13 214"/>
        <filter val="2 663 841"/>
        <filter val="2 693 841"/>
        <filter val="2 707 055"/>
        <filter val="2 733 055"/>
        <filter val="26 000"/>
        <filter val="30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15.pielikums Jūrmalas pilsētas domes
2019.gada 29.augusta saistošajiem noteikumiem Nr.31
(protokols Nr.12, 20.punkts)
 </firstHeader>
    <firstFooter>&amp;L&amp;9&amp;D; &amp;T&amp;R&amp;9&amp;P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3"/>
  <sheetViews>
    <sheetView showGridLines="0" view="pageLayout" zoomScaleNormal="100" workbookViewId="0">
      <selection activeCell="U6" sqref="U6"/>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0</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9</v>
      </c>
      <c r="D6" s="1972"/>
      <c r="E6" s="1972"/>
      <c r="F6" s="1972"/>
      <c r="G6" s="1972"/>
      <c r="H6" s="1972"/>
      <c r="I6" s="1972"/>
      <c r="J6" s="1972"/>
      <c r="K6" s="1972"/>
      <c r="L6" s="1972"/>
      <c r="M6" s="1972"/>
      <c r="N6" s="1972"/>
      <c r="O6" s="1972"/>
      <c r="P6" s="1973"/>
      <c r="Q6" s="276"/>
    </row>
    <row r="7" spans="1:17" ht="12" customHeight="1" x14ac:dyDescent="0.25">
      <c r="A7" s="7" t="s">
        <v>10</v>
      </c>
      <c r="B7" s="8"/>
      <c r="C7" s="1977" t="s">
        <v>11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14</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18</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2914268</v>
      </c>
      <c r="D20" s="32">
        <f>SUM(D21,D24,D25,D41,D43)</f>
        <v>2683194</v>
      </c>
      <c r="E20" s="33">
        <f t="shared" ref="E20:F20" si="1">SUM(E21,E24,E25,E41,E43)</f>
        <v>-6500</v>
      </c>
      <c r="F20" s="34">
        <f t="shared" si="1"/>
        <v>2676694</v>
      </c>
      <c r="G20" s="32">
        <f>SUM(G21,G24,G43)</f>
        <v>0</v>
      </c>
      <c r="H20" s="33">
        <f t="shared" ref="H20:I20" si="2">SUM(H21,H24,H43)</f>
        <v>0</v>
      </c>
      <c r="I20" s="34">
        <f t="shared" si="2"/>
        <v>0</v>
      </c>
      <c r="J20" s="32">
        <f>SUM(J21,J26,J43)</f>
        <v>237574</v>
      </c>
      <c r="K20" s="33">
        <f t="shared" ref="K20:L20" si="3">SUM(K21,K26,K43)</f>
        <v>0</v>
      </c>
      <c r="L20" s="34">
        <f t="shared" si="3"/>
        <v>237574</v>
      </c>
      <c r="M20" s="32">
        <f>SUM(M21,M45)</f>
        <v>0</v>
      </c>
      <c r="N20" s="33">
        <f t="shared" ref="N20:O20" si="4">SUM(N21,N45)</f>
        <v>0</v>
      </c>
      <c r="O20" s="34">
        <f t="shared" si="4"/>
        <v>0</v>
      </c>
      <c r="P20" s="35"/>
    </row>
    <row r="21" spans="1:16" ht="12.75" thickTop="1" x14ac:dyDescent="0.25">
      <c r="A21" s="36"/>
      <c r="B21" s="37" t="s">
        <v>40</v>
      </c>
      <c r="C21" s="38">
        <f t="shared" si="0"/>
        <v>68288</v>
      </c>
      <c r="D21" s="39">
        <f>SUM(D22:D23)</f>
        <v>0</v>
      </c>
      <c r="E21" s="40">
        <f t="shared" ref="E21:F21" si="5">SUM(E22:E23)</f>
        <v>0</v>
      </c>
      <c r="F21" s="41">
        <f t="shared" si="5"/>
        <v>0</v>
      </c>
      <c r="G21" s="39">
        <f>SUM(G22:G23)</f>
        <v>0</v>
      </c>
      <c r="H21" s="40">
        <f t="shared" ref="H21:I21" si="6">SUM(H22:H23)</f>
        <v>0</v>
      </c>
      <c r="I21" s="41">
        <f t="shared" si="6"/>
        <v>0</v>
      </c>
      <c r="J21" s="39">
        <f>SUM(J22:J23)</f>
        <v>68288</v>
      </c>
      <c r="K21" s="40">
        <f t="shared" ref="K21:L21" si="7">SUM(K22:K23)</f>
        <v>0</v>
      </c>
      <c r="L21" s="41">
        <f t="shared" si="7"/>
        <v>68288</v>
      </c>
      <c r="M21" s="39">
        <f>SUM(M22:M23)</f>
        <v>0</v>
      </c>
      <c r="N21" s="40">
        <f t="shared" ref="N21:O21" si="8">SUM(N22:N23)</f>
        <v>0</v>
      </c>
      <c r="O21" s="41">
        <f t="shared" si="8"/>
        <v>0</v>
      </c>
      <c r="P21" s="42"/>
    </row>
    <row r="22" spans="1:16" ht="12" customHeight="1" x14ac:dyDescent="0.25">
      <c r="A22" s="43"/>
      <c r="B22" s="44" t="s">
        <v>41</v>
      </c>
      <c r="C22" s="45">
        <f t="shared" si="0"/>
        <v>113</v>
      </c>
      <c r="D22" s="46"/>
      <c r="E22" s="47"/>
      <c r="F22" s="48">
        <f>D22+E22</f>
        <v>0</v>
      </c>
      <c r="G22" s="46"/>
      <c r="H22" s="47"/>
      <c r="I22" s="48">
        <f>G22+H22</f>
        <v>0</v>
      </c>
      <c r="J22" s="46">
        <v>113</v>
      </c>
      <c r="K22" s="47"/>
      <c r="L22" s="48">
        <f>K22+J22</f>
        <v>113</v>
      </c>
      <c r="M22" s="46"/>
      <c r="N22" s="47"/>
      <c r="O22" s="48">
        <f>N22+M22</f>
        <v>0</v>
      </c>
      <c r="P22" s="49"/>
    </row>
    <row r="23" spans="1:16" x14ac:dyDescent="0.25">
      <c r="A23" s="50"/>
      <c r="B23" s="51" t="s">
        <v>42</v>
      </c>
      <c r="C23" s="52">
        <f t="shared" si="0"/>
        <v>68175</v>
      </c>
      <c r="D23" s="53"/>
      <c r="E23" s="54"/>
      <c r="F23" s="55">
        <f t="shared" ref="F23:F25" si="9">D23+E23</f>
        <v>0</v>
      </c>
      <c r="G23" s="53"/>
      <c r="H23" s="54"/>
      <c r="I23" s="55">
        <f t="shared" ref="I23:I24" si="10">G23+H23</f>
        <v>0</v>
      </c>
      <c r="J23" s="53">
        <f>19307+48868</f>
        <v>68175</v>
      </c>
      <c r="K23" s="54"/>
      <c r="L23" s="56">
        <f>K23+J23</f>
        <v>68175</v>
      </c>
      <c r="M23" s="53"/>
      <c r="N23" s="54"/>
      <c r="O23" s="55">
        <f>N23+M23</f>
        <v>0</v>
      </c>
      <c r="P23" s="57"/>
    </row>
    <row r="24" spans="1:16" s="28" customFormat="1" ht="24.75" customHeight="1" thickBot="1" x14ac:dyDescent="0.3">
      <c r="A24" s="58">
        <v>19300</v>
      </c>
      <c r="B24" s="58" t="s">
        <v>43</v>
      </c>
      <c r="C24" s="59">
        <f>F24+I24</f>
        <v>2676694</v>
      </c>
      <c r="D24" s="60">
        <f>2669094+19100-5000</f>
        <v>2683194</v>
      </c>
      <c r="E24" s="741">
        <v>-6500</v>
      </c>
      <c r="F24" s="62">
        <f t="shared" si="9"/>
        <v>2676694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167906</v>
      </c>
      <c r="D26" s="73" t="s">
        <v>44</v>
      </c>
      <c r="E26" s="74" t="s">
        <v>44</v>
      </c>
      <c r="F26" s="75" t="s">
        <v>44</v>
      </c>
      <c r="G26" s="73" t="s">
        <v>44</v>
      </c>
      <c r="H26" s="74" t="s">
        <v>44</v>
      </c>
      <c r="I26" s="75" t="s">
        <v>44</v>
      </c>
      <c r="J26" s="77">
        <f>SUM(J27,J31,J33,J36)</f>
        <v>167906</v>
      </c>
      <c r="K26" s="78">
        <f t="shared" ref="K26:L26" si="11">SUM(K27,K31,K33,K36)</f>
        <v>0</v>
      </c>
      <c r="L26" s="79">
        <f t="shared" si="11"/>
        <v>167906</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customHeight="1" x14ac:dyDescent="0.25">
      <c r="A31" s="80">
        <v>21370</v>
      </c>
      <c r="B31" s="68" t="s">
        <v>51</v>
      </c>
      <c r="C31" s="69">
        <f>L31</f>
        <v>123445</v>
      </c>
      <c r="D31" s="73" t="s">
        <v>44</v>
      </c>
      <c r="E31" s="74" t="s">
        <v>44</v>
      </c>
      <c r="F31" s="75" t="s">
        <v>44</v>
      </c>
      <c r="G31" s="73" t="s">
        <v>44</v>
      </c>
      <c r="H31" s="74" t="s">
        <v>44</v>
      </c>
      <c r="I31" s="75" t="s">
        <v>44</v>
      </c>
      <c r="J31" s="77">
        <f>SUM(J32)</f>
        <v>123445</v>
      </c>
      <c r="K31" s="78">
        <f t="shared" ref="K31:L31" si="15">SUM(K32)</f>
        <v>0</v>
      </c>
      <c r="L31" s="79">
        <f t="shared" si="15"/>
        <v>123445</v>
      </c>
      <c r="M31" s="77" t="s">
        <v>44</v>
      </c>
      <c r="N31" s="78" t="s">
        <v>44</v>
      </c>
      <c r="O31" s="79" t="s">
        <v>44</v>
      </c>
      <c r="P31" s="76"/>
    </row>
    <row r="32" spans="1:16" ht="36" customHeight="1" x14ac:dyDescent="0.25">
      <c r="A32" s="95">
        <v>21379</v>
      </c>
      <c r="B32" s="96" t="s">
        <v>52</v>
      </c>
      <c r="C32" s="97">
        <f t="shared" ref="C32:C40" si="16">L32</f>
        <v>123445</v>
      </c>
      <c r="D32" s="98" t="s">
        <v>44</v>
      </c>
      <c r="E32" s="99" t="s">
        <v>44</v>
      </c>
      <c r="F32" s="100" t="s">
        <v>44</v>
      </c>
      <c r="G32" s="98" t="s">
        <v>44</v>
      </c>
      <c r="H32" s="99" t="s">
        <v>44</v>
      </c>
      <c r="I32" s="100" t="s">
        <v>44</v>
      </c>
      <c r="J32" s="101">
        <v>123445</v>
      </c>
      <c r="K32" s="102"/>
      <c r="L32" s="103">
        <f>K32+J32</f>
        <v>123445</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customHeight="1" x14ac:dyDescent="0.25">
      <c r="A36" s="80">
        <v>21390</v>
      </c>
      <c r="B36" s="68" t="s">
        <v>56</v>
      </c>
      <c r="C36" s="69">
        <f t="shared" si="16"/>
        <v>44461</v>
      </c>
      <c r="D36" s="73" t="s">
        <v>44</v>
      </c>
      <c r="E36" s="74" t="s">
        <v>44</v>
      </c>
      <c r="F36" s="75" t="s">
        <v>44</v>
      </c>
      <c r="G36" s="73" t="s">
        <v>44</v>
      </c>
      <c r="H36" s="74" t="s">
        <v>44</v>
      </c>
      <c r="I36" s="75" t="s">
        <v>44</v>
      </c>
      <c r="J36" s="77">
        <f>SUM(J37:J40)</f>
        <v>44461</v>
      </c>
      <c r="K36" s="78">
        <f t="shared" ref="K36:L36" si="19">SUM(K37:K40)</f>
        <v>0</v>
      </c>
      <c r="L36" s="79">
        <f t="shared" si="19"/>
        <v>44461</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44461</v>
      </c>
      <c r="D40" s="110" t="s">
        <v>44</v>
      </c>
      <c r="E40" s="111" t="s">
        <v>44</v>
      </c>
      <c r="F40" s="112" t="s">
        <v>44</v>
      </c>
      <c r="G40" s="110" t="s">
        <v>44</v>
      </c>
      <c r="H40" s="111" t="s">
        <v>44</v>
      </c>
      <c r="I40" s="112" t="s">
        <v>44</v>
      </c>
      <c r="J40" s="113">
        <v>44461</v>
      </c>
      <c r="K40" s="114"/>
      <c r="L40" s="115">
        <f t="shared" si="20"/>
        <v>44461</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x14ac:dyDescent="0.25">
      <c r="A43" s="80">
        <v>21490</v>
      </c>
      <c r="B43" s="68" t="s">
        <v>63</v>
      </c>
      <c r="C43" s="131">
        <f>F43+I43+L43</f>
        <v>1380</v>
      </c>
      <c r="D43" s="77">
        <f>D44</f>
        <v>0</v>
      </c>
      <c r="E43" s="78">
        <f t="shared" ref="E43:L43" si="22">E44</f>
        <v>0</v>
      </c>
      <c r="F43" s="79">
        <f t="shared" si="22"/>
        <v>0</v>
      </c>
      <c r="G43" s="77">
        <f t="shared" si="22"/>
        <v>0</v>
      </c>
      <c r="H43" s="78">
        <f t="shared" si="22"/>
        <v>0</v>
      </c>
      <c r="I43" s="79">
        <f t="shared" si="22"/>
        <v>0</v>
      </c>
      <c r="J43" s="77">
        <f t="shared" si="22"/>
        <v>1380</v>
      </c>
      <c r="K43" s="78">
        <f t="shared" si="22"/>
        <v>0</v>
      </c>
      <c r="L43" s="79">
        <f t="shared" si="22"/>
        <v>1380</v>
      </c>
      <c r="M43" s="77" t="s">
        <v>44</v>
      </c>
      <c r="N43" s="78" t="s">
        <v>44</v>
      </c>
      <c r="O43" s="79" t="s">
        <v>44</v>
      </c>
      <c r="P43" s="76"/>
    </row>
    <row r="44" spans="1:16" s="28" customFormat="1" ht="24" customHeight="1" x14ac:dyDescent="0.25">
      <c r="A44" s="51">
        <v>21499</v>
      </c>
      <c r="B44" s="88" t="s">
        <v>64</v>
      </c>
      <c r="C44" s="132">
        <f>F44+I44+L44</f>
        <v>1380</v>
      </c>
      <c r="D44" s="46"/>
      <c r="E44" s="47"/>
      <c r="F44" s="133">
        <f>D44+E44</f>
        <v>0</v>
      </c>
      <c r="G44" s="46"/>
      <c r="H44" s="47"/>
      <c r="I44" s="133">
        <f>G44+H44</f>
        <v>0</v>
      </c>
      <c r="J44" s="46">
        <v>1380</v>
      </c>
      <c r="K44" s="47"/>
      <c r="L44" s="48">
        <f>K44+J44</f>
        <v>1380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2914268</v>
      </c>
      <c r="D50" s="158">
        <f>SUM(D51,D286)</f>
        <v>2683194</v>
      </c>
      <c r="E50" s="159">
        <f t="shared" ref="E50:F50" si="26">SUM(E51,E286)</f>
        <v>-6500</v>
      </c>
      <c r="F50" s="160">
        <f t="shared" si="26"/>
        <v>2676694</v>
      </c>
      <c r="G50" s="158">
        <f>SUM(G51,G286)</f>
        <v>0</v>
      </c>
      <c r="H50" s="159">
        <f>SUM(H51,H286)</f>
        <v>0</v>
      </c>
      <c r="I50" s="160">
        <f t="shared" ref="I50" si="27">SUM(I51,I286)</f>
        <v>0</v>
      </c>
      <c r="J50" s="32">
        <f>SUM(J51,J286)</f>
        <v>237574</v>
      </c>
      <c r="K50" s="33">
        <f t="shared" ref="K50:L50" si="28">SUM(K51,K286)</f>
        <v>0</v>
      </c>
      <c r="L50" s="34">
        <f t="shared" si="28"/>
        <v>237574</v>
      </c>
      <c r="M50" s="32">
        <f>SUM(M51,M286)</f>
        <v>0</v>
      </c>
      <c r="N50" s="33">
        <f t="shared" ref="N50:O50" si="29">SUM(N51,N286)</f>
        <v>0</v>
      </c>
      <c r="O50" s="34">
        <f t="shared" si="29"/>
        <v>0</v>
      </c>
      <c r="P50" s="35"/>
    </row>
    <row r="51" spans="1:16" s="28" customFormat="1" ht="36.75" thickTop="1" x14ac:dyDescent="0.25">
      <c r="A51" s="161"/>
      <c r="B51" s="162" t="s">
        <v>70</v>
      </c>
      <c r="C51" s="163">
        <f t="shared" si="0"/>
        <v>2914268</v>
      </c>
      <c r="D51" s="164">
        <f>SUM(D52,D194)</f>
        <v>2683194</v>
      </c>
      <c r="E51" s="165">
        <f t="shared" ref="E51:F51" si="30">SUM(E52,E194)</f>
        <v>-6500</v>
      </c>
      <c r="F51" s="166">
        <f t="shared" si="30"/>
        <v>2676694</v>
      </c>
      <c r="G51" s="164">
        <f>SUM(G52,G194)</f>
        <v>0</v>
      </c>
      <c r="H51" s="165">
        <f t="shared" ref="H51:I51" si="31">SUM(H52,H194)</f>
        <v>0</v>
      </c>
      <c r="I51" s="166">
        <f t="shared" si="31"/>
        <v>0</v>
      </c>
      <c r="J51" s="167">
        <f>SUM(J52,J194)</f>
        <v>237574</v>
      </c>
      <c r="K51" s="168">
        <f t="shared" ref="K51:L51" si="32">SUM(K52,K194)</f>
        <v>0</v>
      </c>
      <c r="L51" s="169">
        <f t="shared" si="32"/>
        <v>237574</v>
      </c>
      <c r="M51" s="167">
        <f>SUM(M52,M194)</f>
        <v>0</v>
      </c>
      <c r="N51" s="168">
        <f t="shared" ref="N51:O51" si="33">SUM(N52,N194)</f>
        <v>0</v>
      </c>
      <c r="O51" s="169">
        <f t="shared" si="33"/>
        <v>0</v>
      </c>
      <c r="P51" s="170"/>
    </row>
    <row r="52" spans="1:16" s="28" customFormat="1" ht="24" x14ac:dyDescent="0.25">
      <c r="A52" s="24"/>
      <c r="B52" s="22" t="s">
        <v>71</v>
      </c>
      <c r="C52" s="171">
        <f t="shared" si="0"/>
        <v>2779972</v>
      </c>
      <c r="D52" s="172">
        <f>SUM(D53,D75,D173,D187)</f>
        <v>2561544</v>
      </c>
      <c r="E52" s="173">
        <f t="shared" ref="E52:F52" si="34">SUM(E53,E75,E173,E187)</f>
        <v>3681</v>
      </c>
      <c r="F52" s="174">
        <f t="shared" si="34"/>
        <v>2565225</v>
      </c>
      <c r="G52" s="172">
        <f>SUM(G53,G75,G173,G187)</f>
        <v>0</v>
      </c>
      <c r="H52" s="173">
        <f t="shared" ref="H52:I52" si="35">SUM(H53,H75,H173,H187)</f>
        <v>0</v>
      </c>
      <c r="I52" s="174">
        <f t="shared" si="35"/>
        <v>0</v>
      </c>
      <c r="J52" s="172">
        <f>SUM(J53,J75,J173,J187)</f>
        <v>212247</v>
      </c>
      <c r="K52" s="173">
        <f t="shared" ref="K52:L52" si="36">SUM(K53,K75,K173,K187)</f>
        <v>2500</v>
      </c>
      <c r="L52" s="174">
        <f t="shared" si="36"/>
        <v>214747</v>
      </c>
      <c r="M52" s="172">
        <f>SUM(M53,M75,M173,M187)</f>
        <v>0</v>
      </c>
      <c r="N52" s="173">
        <f t="shared" ref="N52:O52" si="37">SUM(N53,N75,N173,N187)</f>
        <v>0</v>
      </c>
      <c r="O52" s="174">
        <f t="shared" si="37"/>
        <v>0</v>
      </c>
      <c r="P52" s="175"/>
    </row>
    <row r="53" spans="1:16" s="28" customFormat="1" x14ac:dyDescent="0.25">
      <c r="A53" s="176">
        <v>1000</v>
      </c>
      <c r="B53" s="176" t="s">
        <v>72</v>
      </c>
      <c r="C53" s="177">
        <f t="shared" si="0"/>
        <v>2316531</v>
      </c>
      <c r="D53" s="178">
        <f>SUM(D54,D67)</f>
        <v>2323031</v>
      </c>
      <c r="E53" s="179">
        <f t="shared" ref="E53:F53" si="38">SUM(E54,E67)</f>
        <v>-6500</v>
      </c>
      <c r="F53" s="180">
        <f t="shared" si="38"/>
        <v>2316531</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1765513</v>
      </c>
      <c r="D54" s="183">
        <f>SUM(D55,D58,D66)</f>
        <v>1769013</v>
      </c>
      <c r="E54" s="184">
        <f t="shared" ref="E54:F54" si="42">SUM(E55,E58,E66)</f>
        <v>-3500</v>
      </c>
      <c r="F54" s="72">
        <f t="shared" si="42"/>
        <v>1765513</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1532731</v>
      </c>
      <c r="D55" s="186">
        <f>SUM(D56:D57)</f>
        <v>1536731</v>
      </c>
      <c r="E55" s="187">
        <f t="shared" ref="E55:F55" si="46">SUM(E56:E57)</f>
        <v>-4000</v>
      </c>
      <c r="F55" s="140">
        <f t="shared" si="46"/>
        <v>1532731</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1532731</v>
      </c>
      <c r="D57" s="53">
        <v>1536731</v>
      </c>
      <c r="E57" s="201">
        <v>-4000</v>
      </c>
      <c r="F57" s="55">
        <f t="shared" si="50"/>
        <v>1532731</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172339</v>
      </c>
      <c r="D58" s="189">
        <f>SUM(D59:D65)</f>
        <v>171839</v>
      </c>
      <c r="E58" s="190">
        <f>SUM(E59:E65)</f>
        <v>500</v>
      </c>
      <c r="F58" s="55">
        <f t="shared" ref="F58" si="54">SUM(F59:F65)</f>
        <v>172339</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8" t="s">
        <v>78</v>
      </c>
      <c r="C59" s="89">
        <f t="shared" si="0"/>
        <v>5827</v>
      </c>
      <c r="D59" s="53">
        <v>5327</v>
      </c>
      <c r="E59" s="201">
        <v>500</v>
      </c>
      <c r="F59" s="55">
        <f t="shared" ref="F59:F66" si="58">D59+E59</f>
        <v>5827</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6630</v>
      </c>
      <c r="D60" s="53">
        <v>6630</v>
      </c>
      <c r="E60" s="54"/>
      <c r="F60" s="55">
        <f t="shared" si="58"/>
        <v>6630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8" t="s">
        <v>81</v>
      </c>
      <c r="C62" s="89">
        <f t="shared" si="0"/>
        <v>23000</v>
      </c>
      <c r="D62" s="53">
        <v>23000</v>
      </c>
      <c r="E62" s="54"/>
      <c r="F62" s="55">
        <f t="shared" si="58"/>
        <v>23000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33091</v>
      </c>
      <c r="D63" s="53">
        <f>38091-5000</f>
        <v>33091</v>
      </c>
      <c r="E63" s="54"/>
      <c r="F63" s="55">
        <f t="shared" si="58"/>
        <v>33091</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103791</v>
      </c>
      <c r="D64" s="53">
        <v>103791</v>
      </c>
      <c r="E64" s="54"/>
      <c r="F64" s="55">
        <f t="shared" si="58"/>
        <v>103791</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60443</v>
      </c>
      <c r="D66" s="143">
        <v>60443</v>
      </c>
      <c r="E66" s="144"/>
      <c r="F66" s="140">
        <f t="shared" si="58"/>
        <v>60443</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551018</v>
      </c>
      <c r="D67" s="183">
        <f>SUM(D68:D69)</f>
        <v>554018</v>
      </c>
      <c r="E67" s="184">
        <f t="shared" ref="E67:F67" si="62">SUM(E68:E69)</f>
        <v>-3000</v>
      </c>
      <c r="F67" s="72">
        <f t="shared" si="62"/>
        <v>551018</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91">
        <v>1210</v>
      </c>
      <c r="B68" s="81" t="s">
        <v>87</v>
      </c>
      <c r="C68" s="82">
        <f t="shared" si="0"/>
        <v>427688</v>
      </c>
      <c r="D68" s="46">
        <v>431688</v>
      </c>
      <c r="E68" s="743">
        <v>-4000</v>
      </c>
      <c r="F68" s="133">
        <f>D68+E68</f>
        <v>427688</v>
      </c>
      <c r="G68" s="46"/>
      <c r="H68" s="47"/>
      <c r="I68" s="133">
        <f>G68+H68</f>
        <v>0</v>
      </c>
      <c r="J68" s="46"/>
      <c r="K68" s="47"/>
      <c r="L68" s="133">
        <f>K68+J68</f>
        <v>0</v>
      </c>
      <c r="M68" s="46"/>
      <c r="N68" s="47"/>
      <c r="O68" s="133">
        <f>N68+M68</f>
        <v>0</v>
      </c>
      <c r="P68" s="49"/>
    </row>
    <row r="69" spans="1:16" ht="24" x14ac:dyDescent="0.25">
      <c r="A69" s="188">
        <v>1220</v>
      </c>
      <c r="B69" s="88" t="s">
        <v>88</v>
      </c>
      <c r="C69" s="89">
        <f t="shared" si="0"/>
        <v>123330</v>
      </c>
      <c r="D69" s="189">
        <f>SUM(D70:D74)</f>
        <v>122330</v>
      </c>
      <c r="E69" s="190">
        <f t="shared" ref="E69:F69" si="66">SUM(E70:E74)</f>
        <v>1000</v>
      </c>
      <c r="F69" s="55">
        <f t="shared" si="66"/>
        <v>123330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93399</v>
      </c>
      <c r="D70" s="53">
        <v>93399</v>
      </c>
      <c r="E70" s="54"/>
      <c r="F70" s="55">
        <f t="shared" ref="F70:F74" si="70">D70+E70</f>
        <v>93399</v>
      </c>
      <c r="G70" s="53"/>
      <c r="H70" s="54"/>
      <c r="I70" s="55">
        <f t="shared" ref="I70:I74" si="71">G70+H70</f>
        <v>0</v>
      </c>
      <c r="J70" s="53"/>
      <c r="K70" s="54"/>
      <c r="L70" s="55">
        <f t="shared" ref="L70:L74" si="72">K70+J70</f>
        <v>0</v>
      </c>
      <c r="M70" s="53"/>
      <c r="N70" s="54"/>
      <c r="O70" s="55">
        <f t="shared" ref="O70:O74" si="73">N70+M70</f>
        <v>0</v>
      </c>
      <c r="P70" s="57"/>
    </row>
    <row r="71" spans="1:16" ht="12" customHeight="1" x14ac:dyDescent="0.25">
      <c r="A71" s="51">
        <v>1223</v>
      </c>
      <c r="B71" s="88" t="s">
        <v>90</v>
      </c>
      <c r="C71" s="89">
        <f t="shared" si="0"/>
        <v>800</v>
      </c>
      <c r="D71" s="53">
        <v>800</v>
      </c>
      <c r="E71" s="54"/>
      <c r="F71" s="55">
        <f t="shared" si="70"/>
        <v>800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21343</v>
      </c>
      <c r="D73" s="53">
        <v>21343</v>
      </c>
      <c r="E73" s="54"/>
      <c r="F73" s="55">
        <f t="shared" si="70"/>
        <v>21343</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7788</v>
      </c>
      <c r="D74" s="53">
        <v>6788</v>
      </c>
      <c r="E74" s="201">
        <v>1000</v>
      </c>
      <c r="F74" s="55">
        <f t="shared" si="70"/>
        <v>7788</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463441</v>
      </c>
      <c r="D75" s="178">
        <f>SUM(D76,D83,D130,D164,D165,D172)</f>
        <v>238513</v>
      </c>
      <c r="E75" s="179">
        <f t="shared" ref="E75:F75" si="74">SUM(E76,E83,E130,E164,E165,E172)</f>
        <v>10181</v>
      </c>
      <c r="F75" s="180">
        <f t="shared" si="74"/>
        <v>248694</v>
      </c>
      <c r="G75" s="178">
        <f>SUM(G76,G83,G130,G164,G165,G172)</f>
        <v>0</v>
      </c>
      <c r="H75" s="179">
        <f t="shared" ref="H75:I75" si="75">SUM(H76,H83,H130,H164,H165,H172)</f>
        <v>0</v>
      </c>
      <c r="I75" s="180">
        <f t="shared" si="75"/>
        <v>0</v>
      </c>
      <c r="J75" s="178">
        <f>SUM(J76,J83,J130,J164,J165,J172)</f>
        <v>212247</v>
      </c>
      <c r="K75" s="179">
        <f t="shared" ref="K75:L75" si="76">SUM(K76,K83,K130,K164,K165,K172)</f>
        <v>2500</v>
      </c>
      <c r="L75" s="180">
        <f t="shared" si="76"/>
        <v>214747</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91">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287778</v>
      </c>
      <c r="D83" s="183">
        <f>SUM(D84,D89,D95,D103,D112,D116,D122,D128)</f>
        <v>173793</v>
      </c>
      <c r="E83" s="184">
        <f t="shared" ref="E83:F83" si="98">SUM(E84,E89,E95,E103,E112,E116,E122,E128)</f>
        <v>1500</v>
      </c>
      <c r="F83" s="72">
        <f t="shared" si="98"/>
        <v>175293</v>
      </c>
      <c r="G83" s="183">
        <f>SUM(G84,G89,G95,G103,G112,G116,G122,G128)</f>
        <v>0</v>
      </c>
      <c r="H83" s="184">
        <f t="shared" ref="H83:I83" si="99">SUM(H84,H89,H95,H103,H112,H116,H122,H128)</f>
        <v>0</v>
      </c>
      <c r="I83" s="72">
        <f t="shared" si="99"/>
        <v>0</v>
      </c>
      <c r="J83" s="183">
        <f>SUM(J84,J89,J95,J103,J112,J116,J122,J128)</f>
        <v>112485</v>
      </c>
      <c r="K83" s="184">
        <f t="shared" ref="K83:L83" si="100">SUM(K84,K89,K95,K103,K112,K116,K122,K128)</f>
        <v>0</v>
      </c>
      <c r="L83" s="72">
        <f t="shared" si="100"/>
        <v>112485</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41260</v>
      </c>
      <c r="D84" s="186">
        <f>SUM(D85:D88)</f>
        <v>17150</v>
      </c>
      <c r="E84" s="187">
        <f t="shared" ref="E84:F84" si="103">SUM(E85:E88)</f>
        <v>0</v>
      </c>
      <c r="F84" s="140">
        <f t="shared" si="103"/>
        <v>17150</v>
      </c>
      <c r="G84" s="186">
        <f>SUM(G85:G88)</f>
        <v>0</v>
      </c>
      <c r="H84" s="187">
        <f t="shared" ref="H84:I84" si="104">SUM(H85:H88)</f>
        <v>0</v>
      </c>
      <c r="I84" s="140">
        <f t="shared" si="104"/>
        <v>0</v>
      </c>
      <c r="J84" s="186">
        <f>SUM(J85:J88)</f>
        <v>24110</v>
      </c>
      <c r="K84" s="187">
        <f t="shared" ref="K84:L84" si="105">SUM(K85:K88)</f>
        <v>0</v>
      </c>
      <c r="L84" s="140">
        <f t="shared" si="105"/>
        <v>24110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14350</v>
      </c>
      <c r="D86" s="194">
        <v>2750</v>
      </c>
      <c r="E86" s="195"/>
      <c r="F86" s="55">
        <f t="shared" si="107"/>
        <v>2750</v>
      </c>
      <c r="G86" s="53"/>
      <c r="H86" s="54"/>
      <c r="I86" s="55">
        <f t="shared" si="108"/>
        <v>0</v>
      </c>
      <c r="J86" s="53">
        <v>11600</v>
      </c>
      <c r="K86" s="54"/>
      <c r="L86" s="55">
        <f t="shared" si="109"/>
        <v>11600</v>
      </c>
      <c r="M86" s="53"/>
      <c r="N86" s="54"/>
      <c r="O86" s="55">
        <f t="shared" si="110"/>
        <v>0</v>
      </c>
      <c r="P86" s="57"/>
    </row>
    <row r="87" spans="1:16" ht="24" customHeight="1" x14ac:dyDescent="0.25">
      <c r="A87" s="51">
        <v>2214</v>
      </c>
      <c r="B87" s="88" t="s">
        <v>104</v>
      </c>
      <c r="C87" s="89">
        <f t="shared" si="102"/>
        <v>26910</v>
      </c>
      <c r="D87" s="194">
        <v>14400</v>
      </c>
      <c r="E87" s="195"/>
      <c r="F87" s="55">
        <f t="shared" si="107"/>
        <v>14400</v>
      </c>
      <c r="G87" s="53"/>
      <c r="H87" s="54"/>
      <c r="I87" s="55">
        <f t="shared" si="108"/>
        <v>0</v>
      </c>
      <c r="J87" s="53">
        <v>12510</v>
      </c>
      <c r="K87" s="54"/>
      <c r="L87" s="55">
        <f t="shared" si="109"/>
        <v>12510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124581</v>
      </c>
      <c r="D89" s="189">
        <f>SUM(D90:D94)</f>
        <v>62150</v>
      </c>
      <c r="E89" s="190">
        <f t="shared" ref="E89:F89" si="111">SUM(E90:E94)</f>
        <v>0</v>
      </c>
      <c r="F89" s="55">
        <f t="shared" si="111"/>
        <v>62150</v>
      </c>
      <c r="G89" s="189">
        <f>SUM(G90:G94)</f>
        <v>0</v>
      </c>
      <c r="H89" s="190">
        <f t="shared" ref="H89:I89" si="112">SUM(H90:H94)</f>
        <v>0</v>
      </c>
      <c r="I89" s="55">
        <f t="shared" si="112"/>
        <v>0</v>
      </c>
      <c r="J89" s="189">
        <f>SUM(J90:J94)</f>
        <v>62431</v>
      </c>
      <c r="K89" s="190">
        <f t="shared" ref="K89:L89" si="113">SUM(K90:K94)</f>
        <v>0</v>
      </c>
      <c r="L89" s="55">
        <f t="shared" si="113"/>
        <v>62431</v>
      </c>
      <c r="M89" s="189">
        <f>SUM(M90:M94)</f>
        <v>0</v>
      </c>
      <c r="N89" s="190">
        <f t="shared" ref="N89:O89" si="114">SUM(N90:N94)</f>
        <v>0</v>
      </c>
      <c r="O89" s="55">
        <f t="shared" si="114"/>
        <v>0</v>
      </c>
      <c r="P89" s="57"/>
    </row>
    <row r="90" spans="1:16" ht="24" customHeight="1" x14ac:dyDescent="0.25">
      <c r="A90" s="51">
        <v>2221</v>
      </c>
      <c r="B90" s="88" t="s">
        <v>107</v>
      </c>
      <c r="C90" s="89">
        <f t="shared" si="102"/>
        <v>49000</v>
      </c>
      <c r="D90" s="194">
        <v>20000</v>
      </c>
      <c r="E90" s="195"/>
      <c r="F90" s="55">
        <f t="shared" ref="F90:F94" si="115">D90+E90</f>
        <v>20000</v>
      </c>
      <c r="G90" s="53"/>
      <c r="H90" s="54"/>
      <c r="I90" s="55">
        <f t="shared" ref="I90:I94" si="116">G90+H90</f>
        <v>0</v>
      </c>
      <c r="J90" s="53">
        <f>25000+4000</f>
        <v>29000</v>
      </c>
      <c r="K90" s="54"/>
      <c r="L90" s="55">
        <f t="shared" ref="L90:L94" si="117">K90+J90</f>
        <v>29000</v>
      </c>
      <c r="M90" s="53"/>
      <c r="N90" s="54"/>
      <c r="O90" s="55">
        <f t="shared" ref="O90:O94" si="118">N90+M90</f>
        <v>0</v>
      </c>
      <c r="P90" s="57"/>
    </row>
    <row r="91" spans="1:16" ht="12" customHeight="1" x14ac:dyDescent="0.25">
      <c r="A91" s="51">
        <v>2222</v>
      </c>
      <c r="B91" s="88" t="s">
        <v>108</v>
      </c>
      <c r="C91" s="89">
        <f t="shared" si="102"/>
        <v>6350</v>
      </c>
      <c r="D91" s="194">
        <v>1350</v>
      </c>
      <c r="E91" s="195"/>
      <c r="F91" s="55">
        <f t="shared" si="115"/>
        <v>1350</v>
      </c>
      <c r="G91" s="53"/>
      <c r="H91" s="54"/>
      <c r="I91" s="55">
        <f t="shared" si="116"/>
        <v>0</v>
      </c>
      <c r="J91" s="53">
        <v>5000</v>
      </c>
      <c r="K91" s="54"/>
      <c r="L91" s="55">
        <f t="shared" si="117"/>
        <v>5000</v>
      </c>
      <c r="M91" s="53"/>
      <c r="N91" s="54"/>
      <c r="O91" s="55">
        <f t="shared" si="118"/>
        <v>0</v>
      </c>
      <c r="P91" s="57"/>
    </row>
    <row r="92" spans="1:16" ht="12" customHeight="1" x14ac:dyDescent="0.25">
      <c r="A92" s="51">
        <v>2223</v>
      </c>
      <c r="B92" s="88" t="s">
        <v>109</v>
      </c>
      <c r="C92" s="89">
        <f t="shared" si="102"/>
        <v>65300</v>
      </c>
      <c r="D92" s="194">
        <v>40000</v>
      </c>
      <c r="E92" s="195"/>
      <c r="F92" s="55">
        <f t="shared" si="115"/>
        <v>40000</v>
      </c>
      <c r="G92" s="53"/>
      <c r="H92" s="54"/>
      <c r="I92" s="55">
        <f t="shared" si="116"/>
        <v>0</v>
      </c>
      <c r="J92" s="53">
        <v>25300</v>
      </c>
      <c r="K92" s="54"/>
      <c r="L92" s="55">
        <f t="shared" si="117"/>
        <v>25300</v>
      </c>
      <c r="M92" s="53"/>
      <c r="N92" s="54"/>
      <c r="O92" s="55">
        <f t="shared" si="118"/>
        <v>0</v>
      </c>
      <c r="P92" s="57"/>
    </row>
    <row r="93" spans="1:16" ht="48" customHeight="1" x14ac:dyDescent="0.25">
      <c r="A93" s="51">
        <v>2224</v>
      </c>
      <c r="B93" s="88" t="s">
        <v>110</v>
      </c>
      <c r="C93" s="89">
        <f t="shared" si="102"/>
        <v>3931</v>
      </c>
      <c r="D93" s="194">
        <v>800</v>
      </c>
      <c r="E93" s="195"/>
      <c r="F93" s="55">
        <f t="shared" si="115"/>
        <v>800</v>
      </c>
      <c r="G93" s="53"/>
      <c r="H93" s="54"/>
      <c r="I93" s="55">
        <f t="shared" si="116"/>
        <v>0</v>
      </c>
      <c r="J93" s="53">
        <v>3131</v>
      </c>
      <c r="K93" s="54"/>
      <c r="L93" s="55">
        <f t="shared" si="117"/>
        <v>3131</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5200</v>
      </c>
      <c r="D95" s="189">
        <f>SUM(D96:D102)</f>
        <v>0</v>
      </c>
      <c r="E95" s="190">
        <f t="shared" ref="E95:F95" si="119">SUM(E96:E102)</f>
        <v>0</v>
      </c>
      <c r="F95" s="55">
        <f t="shared" si="119"/>
        <v>0</v>
      </c>
      <c r="G95" s="189">
        <f>SUM(G96:G102)</f>
        <v>0</v>
      </c>
      <c r="H95" s="190">
        <f t="shared" ref="H95:I95" si="120">SUM(H96:H102)</f>
        <v>0</v>
      </c>
      <c r="I95" s="55">
        <f t="shared" si="120"/>
        <v>0</v>
      </c>
      <c r="J95" s="189">
        <f>SUM(J96:J102)</f>
        <v>5200</v>
      </c>
      <c r="K95" s="190">
        <f t="shared" ref="K95:L95" si="121">SUM(K96:K102)</f>
        <v>0</v>
      </c>
      <c r="L95" s="55">
        <f t="shared" si="121"/>
        <v>5200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5200</v>
      </c>
      <c r="D102" s="194"/>
      <c r="E102" s="195"/>
      <c r="F102" s="55">
        <f t="shared" si="123"/>
        <v>0</v>
      </c>
      <c r="G102" s="53"/>
      <c r="H102" s="54"/>
      <c r="I102" s="55">
        <f t="shared" si="124"/>
        <v>0</v>
      </c>
      <c r="J102" s="53">
        <v>5200</v>
      </c>
      <c r="K102" s="54"/>
      <c r="L102" s="55">
        <f t="shared" si="125"/>
        <v>5200</v>
      </c>
      <c r="M102" s="53"/>
      <c r="N102" s="54"/>
      <c r="O102" s="55">
        <f t="shared" si="126"/>
        <v>0</v>
      </c>
      <c r="P102" s="57"/>
    </row>
    <row r="103" spans="1:16" ht="36" x14ac:dyDescent="0.25">
      <c r="A103" s="188">
        <v>2240</v>
      </c>
      <c r="B103" s="88" t="s">
        <v>120</v>
      </c>
      <c r="C103" s="89">
        <f t="shared" si="102"/>
        <v>110608</v>
      </c>
      <c r="D103" s="189">
        <f>SUM(D104:D111)</f>
        <v>90493</v>
      </c>
      <c r="E103" s="190">
        <f t="shared" ref="E103:F103" si="127">SUM(E104:E111)</f>
        <v>1500</v>
      </c>
      <c r="F103" s="55">
        <f t="shared" si="127"/>
        <v>91993</v>
      </c>
      <c r="G103" s="189">
        <f>SUM(G104:G111)</f>
        <v>0</v>
      </c>
      <c r="H103" s="190">
        <f t="shared" ref="H103:I103" si="128">SUM(H104:H111)</f>
        <v>0</v>
      </c>
      <c r="I103" s="55">
        <f t="shared" si="128"/>
        <v>0</v>
      </c>
      <c r="J103" s="189">
        <f>SUM(J104:J111)</f>
        <v>18615</v>
      </c>
      <c r="K103" s="190">
        <f t="shared" ref="K103:L103" si="129">SUM(K104:K111)</f>
        <v>0</v>
      </c>
      <c r="L103" s="55">
        <f t="shared" si="129"/>
        <v>18615</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8" t="s">
        <v>122</v>
      </c>
      <c r="C105" s="89">
        <f t="shared" si="102"/>
        <v>25561</v>
      </c>
      <c r="D105" s="194">
        <v>20000</v>
      </c>
      <c r="E105" s="195"/>
      <c r="F105" s="55">
        <f t="shared" si="131"/>
        <v>20000</v>
      </c>
      <c r="G105" s="53"/>
      <c r="H105" s="54"/>
      <c r="I105" s="55">
        <f t="shared" si="132"/>
        <v>0</v>
      </c>
      <c r="J105" s="53">
        <v>5561</v>
      </c>
      <c r="K105" s="54"/>
      <c r="L105" s="55">
        <f t="shared" si="133"/>
        <v>5561</v>
      </c>
      <c r="M105" s="53"/>
      <c r="N105" s="54"/>
      <c r="O105" s="55">
        <f t="shared" si="134"/>
        <v>0</v>
      </c>
      <c r="P105" s="57"/>
    </row>
    <row r="106" spans="1:16" ht="24" customHeight="1" x14ac:dyDescent="0.25">
      <c r="A106" s="51">
        <v>2243</v>
      </c>
      <c r="B106" s="88" t="s">
        <v>123</v>
      </c>
      <c r="C106" s="89">
        <f t="shared" si="102"/>
        <v>5000</v>
      </c>
      <c r="D106" s="194">
        <v>1000</v>
      </c>
      <c r="E106" s="198">
        <v>1500</v>
      </c>
      <c r="F106" s="55">
        <f t="shared" si="131"/>
        <v>2500</v>
      </c>
      <c r="G106" s="53"/>
      <c r="H106" s="54"/>
      <c r="I106" s="55">
        <f t="shared" si="132"/>
        <v>0</v>
      </c>
      <c r="J106" s="53">
        <v>2500</v>
      </c>
      <c r="K106" s="54"/>
      <c r="L106" s="55">
        <f t="shared" si="133"/>
        <v>2500</v>
      </c>
      <c r="M106" s="53"/>
      <c r="N106" s="54"/>
      <c r="O106" s="55">
        <f t="shared" si="134"/>
        <v>0</v>
      </c>
      <c r="P106" s="57"/>
    </row>
    <row r="107" spans="1:16" ht="12" customHeight="1" x14ac:dyDescent="0.25">
      <c r="A107" s="51">
        <v>2244</v>
      </c>
      <c r="B107" s="88" t="s">
        <v>124</v>
      </c>
      <c r="C107" s="89">
        <f t="shared" si="102"/>
        <v>79997</v>
      </c>
      <c r="D107" s="194">
        <f>65543+3900</f>
        <v>69443</v>
      </c>
      <c r="E107" s="195"/>
      <c r="F107" s="55">
        <f t="shared" si="131"/>
        <v>69443</v>
      </c>
      <c r="G107" s="53"/>
      <c r="H107" s="54"/>
      <c r="I107" s="55">
        <f t="shared" si="132"/>
        <v>0</v>
      </c>
      <c r="J107" s="53">
        <v>10554</v>
      </c>
      <c r="K107" s="54"/>
      <c r="L107" s="55">
        <f t="shared" si="133"/>
        <v>10554</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8" t="s">
        <v>128</v>
      </c>
      <c r="C111" s="89">
        <f t="shared" si="102"/>
        <v>50</v>
      </c>
      <c r="D111" s="194">
        <v>50</v>
      </c>
      <c r="E111" s="195"/>
      <c r="F111" s="55">
        <f t="shared" si="131"/>
        <v>50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1629</v>
      </c>
      <c r="D116" s="189">
        <f>SUM(D117:D121)</f>
        <v>1500</v>
      </c>
      <c r="E116" s="190">
        <f t="shared" ref="E116:F116" si="143">SUM(E117:E121)</f>
        <v>0</v>
      </c>
      <c r="F116" s="55">
        <f t="shared" si="143"/>
        <v>1500</v>
      </c>
      <c r="G116" s="189">
        <f>SUM(G117:G121)</f>
        <v>0</v>
      </c>
      <c r="H116" s="190">
        <f t="shared" ref="H116:I116" si="144">SUM(H117:H121)</f>
        <v>0</v>
      </c>
      <c r="I116" s="55">
        <f t="shared" si="144"/>
        <v>0</v>
      </c>
      <c r="J116" s="189">
        <f>SUM(J117:J121)</f>
        <v>129</v>
      </c>
      <c r="K116" s="190">
        <f t="shared" ref="K116:L116" si="145">SUM(K117:K121)</f>
        <v>0</v>
      </c>
      <c r="L116" s="55">
        <f t="shared" si="145"/>
        <v>129</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8" t="s">
        <v>135</v>
      </c>
      <c r="C118" s="89">
        <f t="shared" si="102"/>
        <v>1500</v>
      </c>
      <c r="D118" s="194">
        <v>1500</v>
      </c>
      <c r="E118" s="195"/>
      <c r="F118" s="55">
        <f t="shared" si="147"/>
        <v>1500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8" t="s">
        <v>138</v>
      </c>
      <c r="C121" s="89">
        <f t="shared" si="102"/>
        <v>129</v>
      </c>
      <c r="D121" s="194"/>
      <c r="E121" s="195"/>
      <c r="F121" s="55">
        <f t="shared" si="147"/>
        <v>0</v>
      </c>
      <c r="G121" s="53"/>
      <c r="H121" s="54"/>
      <c r="I121" s="55">
        <f t="shared" si="148"/>
        <v>0</v>
      </c>
      <c r="J121" s="53">
        <v>129</v>
      </c>
      <c r="K121" s="54"/>
      <c r="L121" s="55">
        <f t="shared" si="149"/>
        <v>129</v>
      </c>
      <c r="M121" s="53"/>
      <c r="N121" s="54"/>
      <c r="O121" s="55">
        <f t="shared" si="150"/>
        <v>0</v>
      </c>
      <c r="P121" s="57"/>
    </row>
    <row r="122" spans="1:16" x14ac:dyDescent="0.25">
      <c r="A122" s="188">
        <v>2270</v>
      </c>
      <c r="B122" s="88" t="s">
        <v>139</v>
      </c>
      <c r="C122" s="89">
        <f t="shared" si="102"/>
        <v>4500</v>
      </c>
      <c r="D122" s="189">
        <f>SUM(D123:D127)</f>
        <v>2500</v>
      </c>
      <c r="E122" s="190">
        <f t="shared" ref="E122:F122" si="151">SUM(E123:E127)</f>
        <v>0</v>
      </c>
      <c r="F122" s="55">
        <f t="shared" si="151"/>
        <v>2500</v>
      </c>
      <c r="G122" s="189">
        <f>SUM(G123:G127)</f>
        <v>0</v>
      </c>
      <c r="H122" s="190">
        <f t="shared" ref="H122:I122" si="152">SUM(H123:H127)</f>
        <v>0</v>
      </c>
      <c r="I122" s="55">
        <f t="shared" si="152"/>
        <v>0</v>
      </c>
      <c r="J122" s="189">
        <f>SUM(J123:J127)</f>
        <v>2000</v>
      </c>
      <c r="K122" s="190">
        <f t="shared" ref="K122:L122" si="153">SUM(K123:K127)</f>
        <v>0</v>
      </c>
      <c r="L122" s="55">
        <f t="shared" si="153"/>
        <v>2000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4500</v>
      </c>
      <c r="D127" s="194">
        <v>2500</v>
      </c>
      <c r="E127" s="195"/>
      <c r="F127" s="55">
        <f t="shared" si="155"/>
        <v>2500</v>
      </c>
      <c r="G127" s="53"/>
      <c r="H127" s="54"/>
      <c r="I127" s="55">
        <f t="shared" si="156"/>
        <v>0</v>
      </c>
      <c r="J127" s="53">
        <v>2000</v>
      </c>
      <c r="K127" s="54"/>
      <c r="L127" s="55">
        <f t="shared" si="157"/>
        <v>2000</v>
      </c>
      <c r="M127" s="53"/>
      <c r="N127" s="54"/>
      <c r="O127" s="55">
        <f t="shared" si="158"/>
        <v>0</v>
      </c>
      <c r="P127" s="57"/>
    </row>
    <row r="128" spans="1:16" ht="48" hidden="1" x14ac:dyDescent="0.25">
      <c r="A128" s="19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133958</v>
      </c>
      <c r="D130" s="183">
        <f>SUM(D131,D136,D140,D141,D144,D151,D159,D160,D163)</f>
        <v>62620</v>
      </c>
      <c r="E130" s="184">
        <f t="shared" ref="E130:F130" si="160">SUM(E131,E136,E140,E141,E144,E151,E159,E160,E163)</f>
        <v>8681</v>
      </c>
      <c r="F130" s="72">
        <f t="shared" si="160"/>
        <v>71301</v>
      </c>
      <c r="G130" s="183">
        <f>SUM(G131,G136,G140,G141,G144,G151,G159,G160,G163)</f>
        <v>0</v>
      </c>
      <c r="H130" s="184">
        <f t="shared" ref="H130:I130" si="161">SUM(H131,H136,H140,H141,H144,H151,H159,H160,H163)</f>
        <v>0</v>
      </c>
      <c r="I130" s="72">
        <f t="shared" si="161"/>
        <v>0</v>
      </c>
      <c r="J130" s="183">
        <f>SUM(J131,J136,J140,J141,J144,J151,J159,J160,J163)</f>
        <v>60157</v>
      </c>
      <c r="K130" s="184">
        <f t="shared" ref="K130:L130" si="162">SUM(K131,K136,K140,K141,K144,K151,K159,K160,K163)</f>
        <v>2500</v>
      </c>
      <c r="L130" s="72">
        <f t="shared" si="162"/>
        <v>62657</v>
      </c>
      <c r="M130" s="183">
        <f>SUM(M131,M136,M140,M141,M144,M151,M159,M160,M163)</f>
        <v>0</v>
      </c>
      <c r="N130" s="184">
        <f t="shared" ref="N130:O130" si="163">SUM(N131,N136,N140,N141,N144,N151,N159,N160,N163)</f>
        <v>0</v>
      </c>
      <c r="O130" s="72">
        <f t="shared" si="163"/>
        <v>0</v>
      </c>
      <c r="P130" s="76"/>
    </row>
    <row r="131" spans="1:16" ht="24" x14ac:dyDescent="0.25">
      <c r="A131" s="191">
        <v>2310</v>
      </c>
      <c r="B131" s="81" t="s">
        <v>148</v>
      </c>
      <c r="C131" s="82">
        <f t="shared" si="102"/>
        <v>56781</v>
      </c>
      <c r="D131" s="192">
        <f t="shared" ref="D131:O131" si="164">SUM(D132:D135)</f>
        <v>15000</v>
      </c>
      <c r="E131" s="193">
        <f t="shared" si="164"/>
        <v>8681</v>
      </c>
      <c r="F131" s="133">
        <f t="shared" si="164"/>
        <v>23681</v>
      </c>
      <c r="G131" s="192">
        <f t="shared" si="164"/>
        <v>0</v>
      </c>
      <c r="H131" s="193">
        <f t="shared" si="164"/>
        <v>0</v>
      </c>
      <c r="I131" s="133">
        <f t="shared" si="164"/>
        <v>0</v>
      </c>
      <c r="J131" s="192">
        <f t="shared" si="164"/>
        <v>30600</v>
      </c>
      <c r="K131" s="193">
        <f t="shared" si="164"/>
        <v>2500</v>
      </c>
      <c r="L131" s="133">
        <f t="shared" si="164"/>
        <v>33100</v>
      </c>
      <c r="M131" s="192">
        <f t="shared" si="164"/>
        <v>0</v>
      </c>
      <c r="N131" s="193">
        <f t="shared" si="164"/>
        <v>0</v>
      </c>
      <c r="O131" s="133">
        <f t="shared" si="164"/>
        <v>0</v>
      </c>
      <c r="P131" s="49"/>
    </row>
    <row r="132" spans="1:16" ht="12" customHeight="1" x14ac:dyDescent="0.25">
      <c r="A132" s="51">
        <v>2311</v>
      </c>
      <c r="B132" s="88" t="s">
        <v>149</v>
      </c>
      <c r="C132" s="89">
        <f t="shared" si="102"/>
        <v>21500</v>
      </c>
      <c r="D132" s="194">
        <v>15000</v>
      </c>
      <c r="E132" s="195"/>
      <c r="F132" s="55">
        <f t="shared" ref="F132:F135" si="165">D132+E132</f>
        <v>15000</v>
      </c>
      <c r="G132" s="53"/>
      <c r="H132" s="54"/>
      <c r="I132" s="55">
        <f t="shared" ref="I132:I135" si="166">G132+H132</f>
        <v>0</v>
      </c>
      <c r="J132" s="53">
        <v>6500</v>
      </c>
      <c r="K132" s="54"/>
      <c r="L132" s="55">
        <f t="shared" ref="L132:L135" si="167">K132+J132</f>
        <v>6500</v>
      </c>
      <c r="M132" s="53"/>
      <c r="N132" s="54"/>
      <c r="O132" s="55">
        <f t="shared" ref="O132:O135" si="168">N132+M132</f>
        <v>0</v>
      </c>
      <c r="P132" s="57"/>
    </row>
    <row r="133" spans="1:16" ht="12" customHeight="1" x14ac:dyDescent="0.25">
      <c r="A133" s="51">
        <v>2312</v>
      </c>
      <c r="B133" s="88" t="s">
        <v>150</v>
      </c>
      <c r="C133" s="89">
        <f t="shared" si="102"/>
        <v>35181</v>
      </c>
      <c r="D133" s="194"/>
      <c r="E133" s="198">
        <v>8681</v>
      </c>
      <c r="F133" s="55">
        <f t="shared" si="165"/>
        <v>8681</v>
      </c>
      <c r="G133" s="53"/>
      <c r="H133" s="54"/>
      <c r="I133" s="55">
        <f t="shared" si="166"/>
        <v>0</v>
      </c>
      <c r="J133" s="53">
        <f>17000+7000</f>
        <v>24000</v>
      </c>
      <c r="K133" s="201">
        <v>2500</v>
      </c>
      <c r="L133" s="55">
        <f t="shared" si="167"/>
        <v>26500</v>
      </c>
      <c r="M133" s="53"/>
      <c r="N133" s="54"/>
      <c r="O133" s="55">
        <f t="shared" si="168"/>
        <v>0</v>
      </c>
      <c r="P133" s="57"/>
    </row>
    <row r="134" spans="1:16" ht="12" customHeight="1" x14ac:dyDescent="0.25">
      <c r="A134" s="51">
        <v>2313</v>
      </c>
      <c r="B134" s="88" t="s">
        <v>151</v>
      </c>
      <c r="C134" s="89">
        <f t="shared" si="102"/>
        <v>100</v>
      </c>
      <c r="D134" s="194">
        <v>0</v>
      </c>
      <c r="E134" s="195"/>
      <c r="F134" s="55">
        <f t="shared" si="165"/>
        <v>0</v>
      </c>
      <c r="G134" s="53"/>
      <c r="H134" s="54"/>
      <c r="I134" s="55">
        <f t="shared" si="166"/>
        <v>0</v>
      </c>
      <c r="J134" s="53">
        <v>100</v>
      </c>
      <c r="K134" s="54"/>
      <c r="L134" s="55">
        <f t="shared" si="167"/>
        <v>100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x14ac:dyDescent="0.25">
      <c r="A136" s="188">
        <v>2320</v>
      </c>
      <c r="B136" s="88" t="s">
        <v>153</v>
      </c>
      <c r="C136" s="89">
        <f t="shared" si="102"/>
        <v>62000</v>
      </c>
      <c r="D136" s="189">
        <f>SUM(D137:D139)</f>
        <v>45000</v>
      </c>
      <c r="E136" s="190">
        <f t="shared" ref="E136:F136" si="169">SUM(E137:E139)</f>
        <v>0</v>
      </c>
      <c r="F136" s="55">
        <f t="shared" si="169"/>
        <v>45000</v>
      </c>
      <c r="G136" s="189">
        <f>SUM(G137:G139)</f>
        <v>0</v>
      </c>
      <c r="H136" s="190">
        <f t="shared" ref="H136:I136" si="170">SUM(H137:H139)</f>
        <v>0</v>
      </c>
      <c r="I136" s="55">
        <f t="shared" si="170"/>
        <v>0</v>
      </c>
      <c r="J136" s="189">
        <f>SUM(J137:J139)</f>
        <v>17000</v>
      </c>
      <c r="K136" s="190">
        <f t="shared" ref="K136:L136" si="171">SUM(K137:K139)</f>
        <v>0</v>
      </c>
      <c r="L136" s="55">
        <f t="shared" si="171"/>
        <v>17000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8" t="s">
        <v>155</v>
      </c>
      <c r="C138" s="89">
        <f t="shared" si="102"/>
        <v>62000</v>
      </c>
      <c r="D138" s="194">
        <v>45000</v>
      </c>
      <c r="E138" s="195"/>
      <c r="F138" s="55">
        <f t="shared" si="173"/>
        <v>45000</v>
      </c>
      <c r="G138" s="53"/>
      <c r="H138" s="54"/>
      <c r="I138" s="55">
        <f t="shared" si="174"/>
        <v>0</v>
      </c>
      <c r="J138" s="53">
        <v>17000</v>
      </c>
      <c r="K138" s="54"/>
      <c r="L138" s="55">
        <f t="shared" si="175"/>
        <v>17000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50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50</v>
      </c>
      <c r="K141" s="190">
        <f t="shared" ref="K141:L141" si="179">SUM(K142:K143)</f>
        <v>0</v>
      </c>
      <c r="L141" s="55">
        <f t="shared" si="179"/>
        <v>50</v>
      </c>
      <c r="M141" s="189">
        <f>SUM(M142:M143)</f>
        <v>0</v>
      </c>
      <c r="N141" s="190">
        <f t="shared" ref="N141:O141" si="180">SUM(N142:N143)</f>
        <v>0</v>
      </c>
      <c r="O141" s="55">
        <f t="shared" si="180"/>
        <v>0</v>
      </c>
      <c r="P141" s="57"/>
    </row>
    <row r="142" spans="1:16" ht="12" customHeight="1" x14ac:dyDescent="0.25">
      <c r="A142" s="51">
        <v>2341</v>
      </c>
      <c r="B142" s="88" t="s">
        <v>159</v>
      </c>
      <c r="C142" s="89">
        <f t="shared" si="102"/>
        <v>50</v>
      </c>
      <c r="D142" s="194">
        <v>0</v>
      </c>
      <c r="E142" s="195"/>
      <c r="F142" s="55">
        <f t="shared" ref="F142:F143" si="181">D142+E142</f>
        <v>0</v>
      </c>
      <c r="G142" s="53"/>
      <c r="H142" s="54"/>
      <c r="I142" s="55">
        <f t="shared" ref="I142:I143" si="182">G142+H142</f>
        <v>0</v>
      </c>
      <c r="J142" s="53">
        <v>50</v>
      </c>
      <c r="K142" s="54"/>
      <c r="L142" s="55">
        <f t="shared" ref="L142:L143" si="183">K142+J142</f>
        <v>50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15027</v>
      </c>
      <c r="D144" s="186">
        <f>SUM(D145:D150)</f>
        <v>2520</v>
      </c>
      <c r="E144" s="187">
        <f t="shared" ref="E144:F144" si="185">SUM(E145:E150)</f>
        <v>0</v>
      </c>
      <c r="F144" s="140">
        <f t="shared" si="185"/>
        <v>2520</v>
      </c>
      <c r="G144" s="186">
        <f>SUM(G145:G150)</f>
        <v>0</v>
      </c>
      <c r="H144" s="187">
        <f t="shared" ref="H144:I144" si="186">SUM(H145:H150)</f>
        <v>0</v>
      </c>
      <c r="I144" s="140">
        <f t="shared" si="186"/>
        <v>0</v>
      </c>
      <c r="J144" s="186">
        <f>SUM(J145:J150)</f>
        <v>12507</v>
      </c>
      <c r="K144" s="187">
        <f t="shared" ref="K144:L144" si="187">SUM(K145:K150)</f>
        <v>0</v>
      </c>
      <c r="L144" s="140">
        <f t="shared" si="187"/>
        <v>12507</v>
      </c>
      <c r="M144" s="186">
        <f>SUM(M145:M150)</f>
        <v>0</v>
      </c>
      <c r="N144" s="187">
        <f t="shared" ref="N144:O144" si="188">SUM(N145:N150)</f>
        <v>0</v>
      </c>
      <c r="O144" s="140">
        <f t="shared" si="188"/>
        <v>0</v>
      </c>
      <c r="P144" s="128"/>
    </row>
    <row r="145" spans="1:16" ht="12" customHeight="1" x14ac:dyDescent="0.25">
      <c r="A145" s="44">
        <v>2351</v>
      </c>
      <c r="B145" s="81" t="s">
        <v>162</v>
      </c>
      <c r="C145" s="82">
        <f t="shared" si="102"/>
        <v>300</v>
      </c>
      <c r="D145" s="196">
        <v>300</v>
      </c>
      <c r="E145" s="197"/>
      <c r="F145" s="133">
        <f t="shared" ref="F145:F150" si="189">D145+E145</f>
        <v>300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11007</v>
      </c>
      <c r="D146" s="194">
        <v>1200</v>
      </c>
      <c r="E146" s="195"/>
      <c r="F146" s="55">
        <f t="shared" si="189"/>
        <v>1200</v>
      </c>
      <c r="G146" s="53"/>
      <c r="H146" s="54"/>
      <c r="I146" s="55">
        <f t="shared" si="190"/>
        <v>0</v>
      </c>
      <c r="J146" s="53">
        <f>3000+6807</f>
        <v>9807</v>
      </c>
      <c r="K146" s="54"/>
      <c r="L146" s="55">
        <f t="shared" si="191"/>
        <v>9807</v>
      </c>
      <c r="M146" s="53"/>
      <c r="N146" s="54"/>
      <c r="O146" s="55">
        <f t="shared" si="192"/>
        <v>0</v>
      </c>
      <c r="P146" s="57"/>
    </row>
    <row r="147" spans="1:16" ht="24" customHeight="1" x14ac:dyDescent="0.25">
      <c r="A147" s="51">
        <v>2353</v>
      </c>
      <c r="B147" s="88" t="s">
        <v>164</v>
      </c>
      <c r="C147" s="89">
        <f t="shared" si="102"/>
        <v>650</v>
      </c>
      <c r="D147" s="194">
        <v>150</v>
      </c>
      <c r="E147" s="195"/>
      <c r="F147" s="55">
        <f t="shared" si="189"/>
        <v>150</v>
      </c>
      <c r="G147" s="53"/>
      <c r="H147" s="54"/>
      <c r="I147" s="55">
        <f t="shared" si="190"/>
        <v>0</v>
      </c>
      <c r="J147" s="53">
        <v>500</v>
      </c>
      <c r="K147" s="54"/>
      <c r="L147" s="55">
        <f t="shared" si="191"/>
        <v>500</v>
      </c>
      <c r="M147" s="53"/>
      <c r="N147" s="54"/>
      <c r="O147" s="55">
        <f t="shared" si="192"/>
        <v>0</v>
      </c>
      <c r="P147" s="57"/>
    </row>
    <row r="148" spans="1:16" ht="24" customHeight="1" x14ac:dyDescent="0.25">
      <c r="A148" s="51">
        <v>2354</v>
      </c>
      <c r="B148" s="88" t="s">
        <v>165</v>
      </c>
      <c r="C148" s="89">
        <f t="shared" ref="C148:C211" si="193">F148+I148+L148+O148</f>
        <v>3070</v>
      </c>
      <c r="D148" s="194">
        <v>870</v>
      </c>
      <c r="E148" s="195"/>
      <c r="F148" s="55">
        <f t="shared" si="189"/>
        <v>870</v>
      </c>
      <c r="G148" s="53"/>
      <c r="H148" s="54"/>
      <c r="I148" s="55">
        <f t="shared" si="190"/>
        <v>0</v>
      </c>
      <c r="J148" s="53">
        <v>2200</v>
      </c>
      <c r="K148" s="54"/>
      <c r="L148" s="55">
        <f t="shared" si="191"/>
        <v>2200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5">
        <v>2390</v>
      </c>
      <c r="B163" s="137" t="s">
        <v>180</v>
      </c>
      <c r="C163" s="142">
        <f t="shared" si="193"/>
        <v>100</v>
      </c>
      <c r="D163" s="202">
        <v>100</v>
      </c>
      <c r="E163" s="203"/>
      <c r="F163" s="140">
        <f t="shared" si="206"/>
        <v>100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x14ac:dyDescent="0.25">
      <c r="A165" s="68">
        <v>2500</v>
      </c>
      <c r="B165" s="182" t="s">
        <v>182</v>
      </c>
      <c r="C165" s="69">
        <f t="shared" si="193"/>
        <v>41705</v>
      </c>
      <c r="D165" s="183">
        <f>SUM(D166,D171)</f>
        <v>2100</v>
      </c>
      <c r="E165" s="184">
        <f t="shared" ref="E165:O165" si="210">SUM(E166,E171)</f>
        <v>0</v>
      </c>
      <c r="F165" s="72">
        <f t="shared" si="210"/>
        <v>2100</v>
      </c>
      <c r="G165" s="183">
        <f t="shared" si="210"/>
        <v>0</v>
      </c>
      <c r="H165" s="184">
        <f t="shared" si="210"/>
        <v>0</v>
      </c>
      <c r="I165" s="72">
        <f t="shared" si="210"/>
        <v>0</v>
      </c>
      <c r="J165" s="183">
        <f t="shared" si="210"/>
        <v>39605</v>
      </c>
      <c r="K165" s="184">
        <f t="shared" si="210"/>
        <v>0</v>
      </c>
      <c r="L165" s="72">
        <f t="shared" si="210"/>
        <v>39605</v>
      </c>
      <c r="M165" s="183">
        <f t="shared" si="210"/>
        <v>0</v>
      </c>
      <c r="N165" s="184">
        <f t="shared" si="210"/>
        <v>0</v>
      </c>
      <c r="O165" s="72">
        <f t="shared" si="210"/>
        <v>0</v>
      </c>
      <c r="P165" s="76"/>
    </row>
    <row r="166" spans="1:16" ht="24" x14ac:dyDescent="0.25">
      <c r="A166" s="191">
        <v>2510</v>
      </c>
      <c r="B166" s="81" t="s">
        <v>183</v>
      </c>
      <c r="C166" s="82">
        <f t="shared" si="193"/>
        <v>41605</v>
      </c>
      <c r="D166" s="192">
        <f>SUM(D167:D170)</f>
        <v>2000</v>
      </c>
      <c r="E166" s="193">
        <f t="shared" ref="E166:O166" si="211">SUM(E167:E170)</f>
        <v>0</v>
      </c>
      <c r="F166" s="133">
        <f t="shared" si="211"/>
        <v>2000</v>
      </c>
      <c r="G166" s="192">
        <f t="shared" si="211"/>
        <v>0</v>
      </c>
      <c r="H166" s="193">
        <f t="shared" si="211"/>
        <v>0</v>
      </c>
      <c r="I166" s="133">
        <f t="shared" si="211"/>
        <v>0</v>
      </c>
      <c r="J166" s="192">
        <f t="shared" si="211"/>
        <v>39605</v>
      </c>
      <c r="K166" s="193">
        <f t="shared" si="211"/>
        <v>0</v>
      </c>
      <c r="L166" s="133">
        <f t="shared" si="211"/>
        <v>39605</v>
      </c>
      <c r="M166" s="192">
        <f t="shared" si="211"/>
        <v>0</v>
      </c>
      <c r="N166" s="193">
        <f t="shared" si="211"/>
        <v>0</v>
      </c>
      <c r="O166" s="133">
        <f t="shared" si="211"/>
        <v>0</v>
      </c>
      <c r="P166" s="49"/>
    </row>
    <row r="167" spans="1:16" ht="24" customHeight="1" x14ac:dyDescent="0.25">
      <c r="A167" s="51">
        <v>2512</v>
      </c>
      <c r="B167" s="88" t="s">
        <v>184</v>
      </c>
      <c r="C167" s="89">
        <f t="shared" si="193"/>
        <v>39605</v>
      </c>
      <c r="D167" s="194">
        <v>0</v>
      </c>
      <c r="E167" s="195"/>
      <c r="F167" s="55">
        <f t="shared" ref="F167:F172" si="212">D167+E167</f>
        <v>0</v>
      </c>
      <c r="G167" s="53"/>
      <c r="H167" s="54"/>
      <c r="I167" s="55">
        <f t="shared" ref="I167:I172" si="213">G167+H167</f>
        <v>0</v>
      </c>
      <c r="J167" s="53">
        <v>39605</v>
      </c>
      <c r="K167" s="54"/>
      <c r="L167" s="55">
        <f t="shared" ref="L167:L172" si="214">K167+J167</f>
        <v>39605</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8" t="s">
        <v>187</v>
      </c>
      <c r="C170" s="89">
        <f t="shared" si="193"/>
        <v>2000</v>
      </c>
      <c r="D170" s="194">
        <v>2000</v>
      </c>
      <c r="E170" s="195"/>
      <c r="F170" s="55">
        <f t="shared" si="212"/>
        <v>2000</v>
      </c>
      <c r="G170" s="53"/>
      <c r="H170" s="54"/>
      <c r="I170" s="55">
        <f t="shared" si="213"/>
        <v>0</v>
      </c>
      <c r="J170" s="53"/>
      <c r="K170" s="54"/>
      <c r="L170" s="55">
        <f t="shared" si="214"/>
        <v>0</v>
      </c>
      <c r="M170" s="53"/>
      <c r="N170" s="54"/>
      <c r="O170" s="55">
        <f t="shared" si="215"/>
        <v>0</v>
      </c>
      <c r="P170" s="57"/>
    </row>
    <row r="171" spans="1:16" ht="24" customHeight="1" x14ac:dyDescent="0.25">
      <c r="A171" s="188">
        <v>2520</v>
      </c>
      <c r="B171" s="88" t="s">
        <v>188</v>
      </c>
      <c r="C171" s="89">
        <f t="shared" si="193"/>
        <v>100</v>
      </c>
      <c r="D171" s="194">
        <v>100</v>
      </c>
      <c r="E171" s="195"/>
      <c r="F171" s="55">
        <f t="shared" si="212"/>
        <v>100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48" hidden="1" x14ac:dyDescent="0.25">
      <c r="A175" s="19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91">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9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134296</v>
      </c>
      <c r="D194" s="172">
        <f>SUM(D195,D230,D269,D283)</f>
        <v>121650</v>
      </c>
      <c r="E194" s="173">
        <f t="shared" ref="E194:O194" si="259">SUM(E195,E230,E269,E283)</f>
        <v>-10181</v>
      </c>
      <c r="F194" s="174">
        <f t="shared" si="259"/>
        <v>111469</v>
      </c>
      <c r="G194" s="172">
        <f t="shared" si="259"/>
        <v>0</v>
      </c>
      <c r="H194" s="173">
        <f t="shared" si="259"/>
        <v>0</v>
      </c>
      <c r="I194" s="174">
        <f t="shared" si="259"/>
        <v>0</v>
      </c>
      <c r="J194" s="172">
        <f t="shared" si="259"/>
        <v>25327</v>
      </c>
      <c r="K194" s="173">
        <f t="shared" si="259"/>
        <v>-2500</v>
      </c>
      <c r="L194" s="174">
        <f t="shared" si="259"/>
        <v>22827</v>
      </c>
      <c r="M194" s="172">
        <f t="shared" si="259"/>
        <v>0</v>
      </c>
      <c r="N194" s="173">
        <f t="shared" si="259"/>
        <v>0</v>
      </c>
      <c r="O194" s="174">
        <f t="shared" si="259"/>
        <v>0</v>
      </c>
      <c r="P194" s="175"/>
    </row>
    <row r="195" spans="1:16" x14ac:dyDescent="0.25">
      <c r="A195" s="176">
        <v>5000</v>
      </c>
      <c r="B195" s="176" t="s">
        <v>212</v>
      </c>
      <c r="C195" s="177">
        <f t="shared" si="193"/>
        <v>133073</v>
      </c>
      <c r="D195" s="178">
        <f>D196+D204</f>
        <v>121650</v>
      </c>
      <c r="E195" s="179">
        <f t="shared" ref="E195:F195" si="260">E196+E204</f>
        <v>-10181</v>
      </c>
      <c r="F195" s="180">
        <f t="shared" si="260"/>
        <v>111469</v>
      </c>
      <c r="G195" s="178">
        <f>G196+G204</f>
        <v>0</v>
      </c>
      <c r="H195" s="179">
        <f t="shared" ref="H195:I195" si="261">H196+H204</f>
        <v>0</v>
      </c>
      <c r="I195" s="180">
        <f t="shared" si="261"/>
        <v>0</v>
      </c>
      <c r="J195" s="178">
        <f>J196+J204</f>
        <v>24104</v>
      </c>
      <c r="K195" s="179">
        <f t="shared" ref="K195:L195" si="262">K196+K204</f>
        <v>-2500</v>
      </c>
      <c r="L195" s="180">
        <f t="shared" si="262"/>
        <v>21604</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91">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133073</v>
      </c>
      <c r="D204" s="183">
        <f>D205+D215+D216+D225+D226+D227+D229</f>
        <v>121650</v>
      </c>
      <c r="E204" s="184">
        <f t="shared" ref="E204:F204" si="276">E205+E215+E216+E225+E226+E227+E229</f>
        <v>-10181</v>
      </c>
      <c r="F204" s="72">
        <f t="shared" si="276"/>
        <v>111469</v>
      </c>
      <c r="G204" s="183">
        <f>G205+G215+G216+G225+G226+G227+G229</f>
        <v>0</v>
      </c>
      <c r="H204" s="184">
        <f t="shared" ref="H204:I204" si="277">H205+H215+H216+H225+H226+H227+H229</f>
        <v>0</v>
      </c>
      <c r="I204" s="72">
        <f t="shared" si="277"/>
        <v>0</v>
      </c>
      <c r="J204" s="183">
        <f>J205+J215+J216+J225+J226+J227+J229</f>
        <v>24104</v>
      </c>
      <c r="K204" s="184">
        <f t="shared" ref="K204:L204" si="278">K205+K215+K216+K225+K226+K227+K229</f>
        <v>-2500</v>
      </c>
      <c r="L204" s="72">
        <f t="shared" si="278"/>
        <v>21604</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117873</v>
      </c>
      <c r="D216" s="189">
        <f>SUM(D217:D224)</f>
        <v>106450</v>
      </c>
      <c r="E216" s="190">
        <f t="shared" ref="E216:F216" si="289">SUM(E217:E224)</f>
        <v>-10181</v>
      </c>
      <c r="F216" s="55">
        <f t="shared" si="289"/>
        <v>96269</v>
      </c>
      <c r="G216" s="189">
        <f>SUM(G217:G224)</f>
        <v>0</v>
      </c>
      <c r="H216" s="190">
        <f t="shared" ref="H216:I216" si="290">SUM(H217:H224)</f>
        <v>0</v>
      </c>
      <c r="I216" s="55">
        <f t="shared" si="290"/>
        <v>0</v>
      </c>
      <c r="J216" s="189">
        <f>SUM(J217:J224)</f>
        <v>24104</v>
      </c>
      <c r="K216" s="190">
        <f t="shared" ref="K216:L216" si="291">SUM(K217:K224)</f>
        <v>-2500</v>
      </c>
      <c r="L216" s="55">
        <f t="shared" si="291"/>
        <v>21604</v>
      </c>
      <c r="M216" s="189">
        <f>SUM(M217:M224)</f>
        <v>0</v>
      </c>
      <c r="N216" s="190">
        <f t="shared" ref="N216:O216" si="292">SUM(N217:N224)</f>
        <v>0</v>
      </c>
      <c r="O216" s="55">
        <f t="shared" si="292"/>
        <v>0</v>
      </c>
      <c r="P216" s="57"/>
    </row>
    <row r="217" spans="1:16" ht="12" customHeight="1" x14ac:dyDescent="0.25">
      <c r="A217" s="51">
        <v>5231</v>
      </c>
      <c r="B217" s="88" t="s">
        <v>234</v>
      </c>
      <c r="C217" s="89">
        <f t="shared" si="288"/>
        <v>85819</v>
      </c>
      <c r="D217" s="194">
        <v>87000</v>
      </c>
      <c r="E217" s="198">
        <v>-1181</v>
      </c>
      <c r="F217" s="55">
        <f t="shared" ref="F217:F226" si="293">D217+E217</f>
        <v>85819</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customHeight="1" x14ac:dyDescent="0.25">
      <c r="A218" s="51">
        <v>5232</v>
      </c>
      <c r="B218" s="88" t="s">
        <v>235</v>
      </c>
      <c r="C218" s="89">
        <f t="shared" si="288"/>
        <v>20500</v>
      </c>
      <c r="D218" s="194">
        <v>9000</v>
      </c>
      <c r="E218" s="198">
        <v>-9000</v>
      </c>
      <c r="F218" s="55">
        <f t="shared" si="293"/>
        <v>0</v>
      </c>
      <c r="G218" s="53"/>
      <c r="H218" s="54"/>
      <c r="I218" s="55">
        <f t="shared" si="294"/>
        <v>0</v>
      </c>
      <c r="J218" s="53">
        <v>23000</v>
      </c>
      <c r="K218" s="201">
        <v>-2500</v>
      </c>
      <c r="L218" s="55">
        <f t="shared" si="295"/>
        <v>20500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4258</v>
      </c>
      <c r="D223" s="194">
        <v>0</v>
      </c>
      <c r="E223" s="198">
        <v>4258</v>
      </c>
      <c r="F223" s="55">
        <f t="shared" si="293"/>
        <v>4258</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7296</v>
      </c>
      <c r="D224" s="194">
        <v>10450</v>
      </c>
      <c r="E224" s="198">
        <v>-4258</v>
      </c>
      <c r="F224" s="55">
        <f t="shared" si="293"/>
        <v>6192</v>
      </c>
      <c r="G224" s="53"/>
      <c r="H224" s="54"/>
      <c r="I224" s="55">
        <f t="shared" si="294"/>
        <v>0</v>
      </c>
      <c r="J224" s="53">
        <v>1104</v>
      </c>
      <c r="K224" s="54"/>
      <c r="L224" s="55">
        <f t="shared" si="295"/>
        <v>1104</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8">
        <v>5250</v>
      </c>
      <c r="B226" s="88" t="s">
        <v>243</v>
      </c>
      <c r="C226" s="89">
        <f t="shared" si="288"/>
        <v>15200</v>
      </c>
      <c r="D226" s="194">
        <v>15200</v>
      </c>
      <c r="E226" s="195"/>
      <c r="F226" s="55">
        <f t="shared" si="293"/>
        <v>15200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1">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9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9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38.25" customHeight="1" x14ac:dyDescent="0.25">
      <c r="A269" s="227">
        <v>7000</v>
      </c>
      <c r="B269" s="227" t="s">
        <v>286</v>
      </c>
      <c r="C269" s="228">
        <f t="shared" si="288"/>
        <v>1223</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1223</v>
      </c>
      <c r="K269" s="230">
        <f t="shared" ref="K269:L269" si="357">SUM(K270,K281)</f>
        <v>0</v>
      </c>
      <c r="L269" s="231">
        <f t="shared" si="357"/>
        <v>1223</v>
      </c>
      <c r="M269" s="229">
        <f>SUM(M270,M281)</f>
        <v>0</v>
      </c>
      <c r="N269" s="230">
        <f t="shared" ref="N269:O269" si="358">SUM(N270,N281)</f>
        <v>0</v>
      </c>
      <c r="O269" s="231">
        <f t="shared" si="358"/>
        <v>0</v>
      </c>
      <c r="P269" s="232"/>
    </row>
    <row r="270" spans="1:16" ht="24" x14ac:dyDescent="0.25">
      <c r="A270" s="68">
        <v>7200</v>
      </c>
      <c r="B270" s="182" t="s">
        <v>287</v>
      </c>
      <c r="C270" s="69">
        <f t="shared" si="288"/>
        <v>1223</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1223</v>
      </c>
      <c r="K270" s="184">
        <f t="shared" ref="K270:L270" si="361">SUM(K271,K272,K275,K276,K280)</f>
        <v>0</v>
      </c>
      <c r="L270" s="72">
        <f t="shared" si="361"/>
        <v>1223</v>
      </c>
      <c r="M270" s="183">
        <f>SUM(M271,M272,M275,M276,M280)</f>
        <v>0</v>
      </c>
      <c r="N270" s="184">
        <f t="shared" ref="N270:O270" si="362">SUM(N271,N272,N275,N276,N280)</f>
        <v>0</v>
      </c>
      <c r="O270" s="72">
        <f t="shared" si="362"/>
        <v>0</v>
      </c>
      <c r="P270" s="76"/>
    </row>
    <row r="271" spans="1:16" ht="24" hidden="1" customHeight="1" x14ac:dyDescent="0.25">
      <c r="A271" s="191">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8">
        <v>7230</v>
      </c>
      <c r="B275" s="88" t="s">
        <v>292</v>
      </c>
      <c r="C275" s="89">
        <f t="shared" si="288"/>
        <v>1223</v>
      </c>
      <c r="D275" s="194">
        <v>0</v>
      </c>
      <c r="E275" s="195"/>
      <c r="F275" s="55">
        <f t="shared" si="367"/>
        <v>0</v>
      </c>
      <c r="G275" s="53"/>
      <c r="H275" s="54"/>
      <c r="I275" s="55">
        <f t="shared" si="368"/>
        <v>0</v>
      </c>
      <c r="J275" s="53">
        <f>1110+113</f>
        <v>1223</v>
      </c>
      <c r="K275" s="54"/>
      <c r="L275" s="55">
        <f t="shared" si="369"/>
        <v>1223</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1">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2914268</v>
      </c>
      <c r="D289" s="251">
        <f t="shared" ref="D289:O289" si="389">SUM(D286,D269,D230,D195,D187,D173,D75,D53,D283)</f>
        <v>2683194</v>
      </c>
      <c r="E289" s="252">
        <f t="shared" si="389"/>
        <v>-6500</v>
      </c>
      <c r="F289" s="253">
        <f t="shared" si="389"/>
        <v>2676694</v>
      </c>
      <c r="G289" s="251">
        <f t="shared" si="389"/>
        <v>0</v>
      </c>
      <c r="H289" s="252">
        <f t="shared" si="389"/>
        <v>0</v>
      </c>
      <c r="I289" s="253">
        <f t="shared" si="389"/>
        <v>0</v>
      </c>
      <c r="J289" s="251">
        <f t="shared" si="389"/>
        <v>237574</v>
      </c>
      <c r="K289" s="252">
        <f t="shared" si="389"/>
        <v>0</v>
      </c>
      <c r="L289" s="253">
        <f t="shared" si="389"/>
        <v>237574</v>
      </c>
      <c r="M289" s="251">
        <f t="shared" si="389"/>
        <v>0</v>
      </c>
      <c r="N289" s="252">
        <f t="shared" si="389"/>
        <v>0</v>
      </c>
      <c r="O289" s="253">
        <f t="shared" si="389"/>
        <v>0</v>
      </c>
      <c r="P289" s="254"/>
    </row>
    <row r="290" spans="1:16" s="28" customFormat="1" ht="13.5" thickTop="1" thickBot="1" x14ac:dyDescent="0.3">
      <c r="A290" s="1945" t="s">
        <v>309</v>
      </c>
      <c r="B290" s="1946"/>
      <c r="C290" s="255">
        <f t="shared" si="371"/>
        <v>-68288</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-68288</v>
      </c>
      <c r="K290" s="257">
        <f t="shared" ref="K290:L290" si="392">(K26+K43)-K51</f>
        <v>0</v>
      </c>
      <c r="L290" s="258">
        <f t="shared" si="392"/>
        <v>-68288</v>
      </c>
      <c r="M290" s="256">
        <f>M45-M51</f>
        <v>0</v>
      </c>
      <c r="N290" s="257">
        <f t="shared" ref="N290:O290" si="393">N45-N51</f>
        <v>0</v>
      </c>
      <c r="O290" s="258">
        <f t="shared" si="393"/>
        <v>0</v>
      </c>
      <c r="P290" s="259"/>
    </row>
    <row r="291" spans="1:16" s="28" customFormat="1" ht="12.75" thickTop="1" x14ac:dyDescent="0.25">
      <c r="A291" s="1947" t="s">
        <v>310</v>
      </c>
      <c r="B291" s="1948"/>
      <c r="C291" s="260">
        <f t="shared" si="371"/>
        <v>68288</v>
      </c>
      <c r="D291" s="261">
        <f t="shared" ref="D291:O291" si="394">SUM(D292,D293)-D300+D301</f>
        <v>0</v>
      </c>
      <c r="E291" s="262">
        <f t="shared" si="394"/>
        <v>0</v>
      </c>
      <c r="F291" s="263">
        <f t="shared" si="394"/>
        <v>0</v>
      </c>
      <c r="G291" s="261">
        <f t="shared" si="394"/>
        <v>0</v>
      </c>
      <c r="H291" s="262">
        <f t="shared" si="394"/>
        <v>0</v>
      </c>
      <c r="I291" s="263">
        <f t="shared" si="394"/>
        <v>0</v>
      </c>
      <c r="J291" s="261">
        <f t="shared" si="394"/>
        <v>68288</v>
      </c>
      <c r="K291" s="262">
        <f t="shared" si="394"/>
        <v>0</v>
      </c>
      <c r="L291" s="263">
        <f t="shared" si="394"/>
        <v>68288</v>
      </c>
      <c r="M291" s="261">
        <f t="shared" si="394"/>
        <v>0</v>
      </c>
      <c r="N291" s="262">
        <f t="shared" si="394"/>
        <v>0</v>
      </c>
      <c r="O291" s="263">
        <f t="shared" si="394"/>
        <v>0</v>
      </c>
      <c r="P291" s="264"/>
    </row>
    <row r="292" spans="1:16" s="28" customFormat="1" ht="12.75" thickBot="1" x14ac:dyDescent="0.3">
      <c r="A292" s="156" t="s">
        <v>311</v>
      </c>
      <c r="B292" s="156" t="s">
        <v>312</v>
      </c>
      <c r="C292" s="157">
        <f t="shared" si="371"/>
        <v>68288</v>
      </c>
      <c r="D292" s="158">
        <f t="shared" ref="D292:O292" si="395">D21-D286</f>
        <v>0</v>
      </c>
      <c r="E292" s="159">
        <f t="shared" si="395"/>
        <v>0</v>
      </c>
      <c r="F292" s="160">
        <f t="shared" si="395"/>
        <v>0</v>
      </c>
      <c r="G292" s="158">
        <f t="shared" si="395"/>
        <v>0</v>
      </c>
      <c r="H292" s="159">
        <f t="shared" si="395"/>
        <v>0</v>
      </c>
      <c r="I292" s="160">
        <f t="shared" si="395"/>
        <v>0</v>
      </c>
      <c r="J292" s="158">
        <f t="shared" si="395"/>
        <v>68288</v>
      </c>
      <c r="K292" s="159">
        <f t="shared" si="395"/>
        <v>0</v>
      </c>
      <c r="L292" s="160">
        <f t="shared" si="395"/>
        <v>68288</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sheetData>
  <sheetProtection algorithmName="SHA-512" hashValue="DqN6KJ75Uij3F/sI/cPJ96axVKgxm1SeJl9LE0a55j8muGvkeZt4e0aKWGkDU9RuRK71YXPcjvazafMiBnk8pQ==" saltValue="0SvEcNPxdolUSm84Xy7OLA==" spinCount="100000" sheet="1" objects="1" scenarios="1" formatCells="0" formatColumns="0" formatRows="0" deleteColumns="0"/>
  <autoFilter ref="A18:P301">
    <filterColumn colId="2">
      <filters>
        <filter val="1 223"/>
        <filter val="1 380"/>
        <filter val="1 500"/>
        <filter val="1 532 731"/>
        <filter val="1 629"/>
        <filter val="1 765 513"/>
        <filter val="100"/>
        <filter val="103 791"/>
        <filter val="11 007"/>
        <filter val="110 608"/>
        <filter val="113"/>
        <filter val="117 873"/>
        <filter val="123 330"/>
        <filter val="123 445"/>
        <filter val="124 581"/>
        <filter val="129"/>
        <filter val="133 073"/>
        <filter val="133 958"/>
        <filter val="134 296"/>
        <filter val="14 350"/>
        <filter val="15 027"/>
        <filter val="15 200"/>
        <filter val="167 906"/>
        <filter val="172 339"/>
        <filter val="2 000"/>
        <filter val="2 316 531"/>
        <filter val="2 676 694"/>
        <filter val="2 779 972"/>
        <filter val="2 914 268"/>
        <filter val="20 500"/>
        <filter val="21 343"/>
        <filter val="21 500"/>
        <filter val="23 000"/>
        <filter val="25 561"/>
        <filter val="26 910"/>
        <filter val="287 778"/>
        <filter val="3 070"/>
        <filter val="3 931"/>
        <filter val="300"/>
        <filter val="33 091"/>
        <filter val="35 181"/>
        <filter val="39 605"/>
        <filter val="4 258"/>
        <filter val="4 500"/>
        <filter val="41 260"/>
        <filter val="41 605"/>
        <filter val="41 705"/>
        <filter val="427 688"/>
        <filter val="44 461"/>
        <filter val="463 441"/>
        <filter val="49 000"/>
        <filter val="5 000"/>
        <filter val="5 200"/>
        <filter val="5 827"/>
        <filter val="50"/>
        <filter val="551 018"/>
        <filter val="56 781"/>
        <filter val="6 350"/>
        <filter val="6 630"/>
        <filter val="60 443"/>
        <filter val="62 000"/>
        <filter val="65 300"/>
        <filter val="650"/>
        <filter val="68 175"/>
        <filter val="68 288"/>
        <filter val="-68 288"/>
        <filter val="7 296"/>
        <filter val="7 788"/>
        <filter val="79 997"/>
        <filter val="800"/>
        <filter val="85 819"/>
        <filter val="93 39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16.pielikums Jūrmalas pilsētas domes
2019.gada 29.augusta saistošajiem noteikumiem Nr.31
(protokols Nr.12, 20.punkts)
 </firstHeader>
    <firstFooter>&amp;L&amp;9&amp;D; &amp;T&amp;R&amp;9&amp;P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9"/>
  <sheetViews>
    <sheetView showGridLines="0" view="pageLayout" zoomScaleNormal="100" workbookViewId="0">
      <selection activeCell="S5" sqref="S4:S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1537</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9</v>
      </c>
      <c r="D6" s="1972"/>
      <c r="E6" s="1972"/>
      <c r="F6" s="1972"/>
      <c r="G6" s="1972"/>
      <c r="H6" s="1972"/>
      <c r="I6" s="1972"/>
      <c r="J6" s="1972"/>
      <c r="K6" s="1972"/>
      <c r="L6" s="1972"/>
      <c r="M6" s="1972"/>
      <c r="N6" s="1972"/>
      <c r="O6" s="1972"/>
      <c r="P6" s="1973"/>
      <c r="Q6" s="276"/>
    </row>
    <row r="7" spans="1:17" x14ac:dyDescent="0.25">
      <c r="A7" s="7" t="s">
        <v>10</v>
      </c>
      <c r="B7" s="8"/>
      <c r="C7" s="1977" t="s">
        <v>1442</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t="s">
        <v>1538</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558755</v>
      </c>
      <c r="D20" s="32">
        <f>SUM(D21,D24,D25,D41,D43)</f>
        <v>557044</v>
      </c>
      <c r="E20" s="33">
        <f t="shared" ref="E20:F20" si="1">SUM(E21,E24,E25,E41,E43)</f>
        <v>-2289</v>
      </c>
      <c r="F20" s="34">
        <f t="shared" si="1"/>
        <v>554755</v>
      </c>
      <c r="G20" s="32">
        <f>SUM(G21,G24,G43)</f>
        <v>4000</v>
      </c>
      <c r="H20" s="33">
        <f t="shared" ref="H20:I20" si="2">SUM(H21,H24,H43)</f>
        <v>0</v>
      </c>
      <c r="I20" s="34">
        <f t="shared" si="2"/>
        <v>4000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558755</v>
      </c>
      <c r="D24" s="60">
        <f>D51</f>
        <v>557044</v>
      </c>
      <c r="E24" s="741">
        <f>1952-1952-432-2605+2605-1857</f>
        <v>-2289</v>
      </c>
      <c r="F24" s="62">
        <f t="shared" si="9"/>
        <v>554755</v>
      </c>
      <c r="G24" s="60">
        <f>G51</f>
        <v>4000</v>
      </c>
      <c r="H24" s="61"/>
      <c r="I24" s="62">
        <f t="shared" si="10"/>
        <v>4000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558755</v>
      </c>
      <c r="D50" s="158">
        <f>SUM(D51,D286)</f>
        <v>557044</v>
      </c>
      <c r="E50" s="159">
        <f t="shared" ref="E50:F50" si="26">SUM(E51,E286)</f>
        <v>-2289</v>
      </c>
      <c r="F50" s="160">
        <f t="shared" si="26"/>
        <v>554755</v>
      </c>
      <c r="G50" s="158">
        <f>SUM(G51,G286)</f>
        <v>4000</v>
      </c>
      <c r="H50" s="159">
        <f>SUM(H51,H286)</f>
        <v>0</v>
      </c>
      <c r="I50" s="160">
        <f t="shared" ref="I50" si="27">SUM(I51,I286)</f>
        <v>4000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558755</v>
      </c>
      <c r="D51" s="164">
        <f>SUM(D52,D194)</f>
        <v>557044</v>
      </c>
      <c r="E51" s="165">
        <f t="shared" ref="E51:F51" si="30">SUM(E52,E194)</f>
        <v>-2289</v>
      </c>
      <c r="F51" s="166">
        <f t="shared" si="30"/>
        <v>554755</v>
      </c>
      <c r="G51" s="164">
        <f>SUM(G52,G194)</f>
        <v>4000</v>
      </c>
      <c r="H51" s="165">
        <f t="shared" ref="H51:I51" si="31">SUM(H52,H194)</f>
        <v>0</v>
      </c>
      <c r="I51" s="166">
        <f t="shared" si="31"/>
        <v>4000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144755</v>
      </c>
      <c r="D52" s="172">
        <f>SUM(D53,D75,D173,D187)</f>
        <v>147044</v>
      </c>
      <c r="E52" s="173">
        <f t="shared" ref="E52:F52" si="34">SUM(E53,E75,E173,E187)</f>
        <v>-2289</v>
      </c>
      <c r="F52" s="174">
        <f t="shared" si="34"/>
        <v>144755</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941">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144755</v>
      </c>
      <c r="D75" s="178">
        <f>SUM(D76,D83,D130,D164,D165,D172)</f>
        <v>147044</v>
      </c>
      <c r="E75" s="179">
        <f t="shared" ref="E75:F75" si="74">SUM(E76,E83,E130,E164,E165,E172)</f>
        <v>-2289</v>
      </c>
      <c r="F75" s="180">
        <f t="shared" si="74"/>
        <v>144755</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941">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85638</v>
      </c>
      <c r="D83" s="183">
        <f>SUM(D84,D89,D95,D103,D112,D116,D122,D128)</f>
        <v>85108</v>
      </c>
      <c r="E83" s="184">
        <f t="shared" ref="E83:F83" si="98">SUM(E84,E89,E95,E103,E112,E116,E122,E128)</f>
        <v>530</v>
      </c>
      <c r="F83" s="72">
        <f t="shared" si="98"/>
        <v>85638</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5703</v>
      </c>
      <c r="D89" s="189">
        <f>SUM(D90:D94)</f>
        <v>5703</v>
      </c>
      <c r="E89" s="190">
        <f t="shared" ref="E89:F89" si="111">SUM(E90:E94)</f>
        <v>0</v>
      </c>
      <c r="F89" s="55">
        <f t="shared" si="111"/>
        <v>5703</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customHeight="1" x14ac:dyDescent="0.25">
      <c r="A92" s="51">
        <v>2223</v>
      </c>
      <c r="B92" s="88" t="s">
        <v>109</v>
      </c>
      <c r="C92" s="89">
        <f t="shared" si="102"/>
        <v>5703</v>
      </c>
      <c r="D92" s="194">
        <v>5703</v>
      </c>
      <c r="E92" s="195"/>
      <c r="F92" s="55">
        <f t="shared" si="115"/>
        <v>5703</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78935</v>
      </c>
      <c r="D103" s="189">
        <f>SUM(D104:D111)</f>
        <v>78405</v>
      </c>
      <c r="E103" s="190">
        <f t="shared" ref="E103:F103" si="127">SUM(E104:E111)</f>
        <v>530</v>
      </c>
      <c r="F103" s="55">
        <f t="shared" si="127"/>
        <v>78935</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62108</v>
      </c>
      <c r="D106" s="194">
        <v>60156</v>
      </c>
      <c r="E106" s="198">
        <f>1952</f>
        <v>1952</v>
      </c>
      <c r="F106" s="55">
        <f t="shared" si="131"/>
        <v>62108</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8" t="s">
        <v>124</v>
      </c>
      <c r="C107" s="89">
        <f t="shared" si="102"/>
        <v>16827</v>
      </c>
      <c r="D107" s="194">
        <v>18249</v>
      </c>
      <c r="E107" s="198">
        <v>-1422</v>
      </c>
      <c r="F107" s="55">
        <f t="shared" si="131"/>
        <v>16827</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1000</v>
      </c>
      <c r="D122" s="189">
        <f>SUM(D123:D127)</f>
        <v>1000</v>
      </c>
      <c r="E122" s="190">
        <f t="shared" ref="E122:F122" si="151">SUM(E123:E127)</f>
        <v>0</v>
      </c>
      <c r="F122" s="55">
        <f t="shared" si="151"/>
        <v>1000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1000</v>
      </c>
      <c r="D127" s="194">
        <v>1000</v>
      </c>
      <c r="E127" s="195"/>
      <c r="F127" s="55">
        <f t="shared" si="155"/>
        <v>1000</v>
      </c>
      <c r="G127" s="53"/>
      <c r="H127" s="54"/>
      <c r="I127" s="55">
        <f t="shared" si="156"/>
        <v>0</v>
      </c>
      <c r="J127" s="53"/>
      <c r="K127" s="54"/>
      <c r="L127" s="55">
        <f t="shared" si="157"/>
        <v>0</v>
      </c>
      <c r="M127" s="53"/>
      <c r="N127" s="54"/>
      <c r="O127" s="55">
        <f t="shared" si="158"/>
        <v>0</v>
      </c>
      <c r="P127" s="57"/>
    </row>
    <row r="128" spans="1:16" ht="48" hidden="1" x14ac:dyDescent="0.25">
      <c r="A128" s="94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59117</v>
      </c>
      <c r="D130" s="183">
        <f>SUM(D131,D136,D140,D141,D144,D151,D159,D160,D163)</f>
        <v>61936</v>
      </c>
      <c r="E130" s="184">
        <f t="shared" ref="E130:F130" si="160">SUM(E131,E136,E140,E141,E144,E151,E159,E160,E163)</f>
        <v>-2819</v>
      </c>
      <c r="F130" s="72">
        <f t="shared" si="160"/>
        <v>59117</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941">
        <v>2310</v>
      </c>
      <c r="B131" s="81" t="s">
        <v>148</v>
      </c>
      <c r="C131" s="82">
        <f t="shared" si="102"/>
        <v>55612</v>
      </c>
      <c r="D131" s="192">
        <f t="shared" ref="D131:O131" si="164">SUM(D132:D135)</f>
        <v>61036</v>
      </c>
      <c r="E131" s="193">
        <f t="shared" si="164"/>
        <v>-5424</v>
      </c>
      <c r="F131" s="133">
        <f t="shared" si="164"/>
        <v>55612</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53047</v>
      </c>
      <c r="D133" s="194">
        <v>58036</v>
      </c>
      <c r="E133" s="198">
        <f>-1952-432-2605</f>
        <v>-4989</v>
      </c>
      <c r="F133" s="55">
        <f t="shared" si="165"/>
        <v>53047</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2565</v>
      </c>
      <c r="D135" s="194">
        <v>3000</v>
      </c>
      <c r="E135" s="198">
        <v>-435</v>
      </c>
      <c r="F135" s="55">
        <f t="shared" si="165"/>
        <v>2565</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5">
        <v>2390</v>
      </c>
      <c r="B163" s="137" t="s">
        <v>180</v>
      </c>
      <c r="C163" s="142">
        <f t="shared" si="193"/>
        <v>3505</v>
      </c>
      <c r="D163" s="202">
        <v>900</v>
      </c>
      <c r="E163" s="744">
        <f>2605</f>
        <v>2605</v>
      </c>
      <c r="F163" s="140">
        <f t="shared" si="206"/>
        <v>3505</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941">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94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4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941">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94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414000</v>
      </c>
      <c r="D194" s="172">
        <f>SUM(D195,D230,D269,D283)</f>
        <v>410000</v>
      </c>
      <c r="E194" s="173">
        <f t="shared" ref="E194:O194" si="259">SUM(E195,E230,E269,E283)</f>
        <v>0</v>
      </c>
      <c r="F194" s="174">
        <f t="shared" si="259"/>
        <v>410000</v>
      </c>
      <c r="G194" s="172">
        <f t="shared" si="259"/>
        <v>4000</v>
      </c>
      <c r="H194" s="173">
        <f t="shared" si="259"/>
        <v>0</v>
      </c>
      <c r="I194" s="174">
        <f t="shared" si="259"/>
        <v>4000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414000</v>
      </c>
      <c r="D195" s="178">
        <f>D196+D204</f>
        <v>410000</v>
      </c>
      <c r="E195" s="179">
        <f t="shared" ref="E195:F195" si="260">E196+E204</f>
        <v>0</v>
      </c>
      <c r="F195" s="180">
        <f t="shared" si="260"/>
        <v>410000</v>
      </c>
      <c r="G195" s="178">
        <f>G196+G204</f>
        <v>4000</v>
      </c>
      <c r="H195" s="179">
        <f t="shared" ref="H195:I195" si="261">H196+H204</f>
        <v>0</v>
      </c>
      <c r="I195" s="180">
        <f t="shared" si="261"/>
        <v>4000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941">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414000</v>
      </c>
      <c r="D204" s="183">
        <f>D205+D215+D216+D225+D226+D227+D229</f>
        <v>410000</v>
      </c>
      <c r="E204" s="184">
        <f t="shared" ref="E204:F204" si="276">E205+E215+E216+E225+E226+E227+E229</f>
        <v>0</v>
      </c>
      <c r="F204" s="72">
        <f t="shared" si="276"/>
        <v>410000</v>
      </c>
      <c r="G204" s="183">
        <f>G205+G215+G216+G225+G226+G227+G229</f>
        <v>4000</v>
      </c>
      <c r="H204" s="184">
        <f t="shared" ref="H204:I204" si="277">H205+H215+H216+H225+H226+H227+H229</f>
        <v>0</v>
      </c>
      <c r="I204" s="72">
        <f t="shared" si="277"/>
        <v>4000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10000</v>
      </c>
      <c r="D216" s="189">
        <f>SUM(D217:D224)</f>
        <v>10000</v>
      </c>
      <c r="E216" s="190">
        <f t="shared" ref="E216:F216" si="289">SUM(E217:E224)</f>
        <v>0</v>
      </c>
      <c r="F216" s="55">
        <f t="shared" si="289"/>
        <v>10000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10000</v>
      </c>
      <c r="D224" s="194">
        <v>10000</v>
      </c>
      <c r="E224" s="195"/>
      <c r="F224" s="55">
        <f t="shared" si="293"/>
        <v>10000</v>
      </c>
      <c r="G224" s="53"/>
      <c r="H224" s="54"/>
      <c r="I224" s="55">
        <f t="shared" si="294"/>
        <v>0</v>
      </c>
      <c r="J224" s="53"/>
      <c r="K224" s="54"/>
      <c r="L224" s="55">
        <f t="shared" si="295"/>
        <v>0</v>
      </c>
      <c r="M224" s="53"/>
      <c r="N224" s="54"/>
      <c r="O224" s="55">
        <f t="shared" si="296"/>
        <v>0</v>
      </c>
      <c r="P224" s="57"/>
    </row>
    <row r="225" spans="1:16" ht="24" customHeight="1" x14ac:dyDescent="0.25">
      <c r="A225" s="188">
        <v>5240</v>
      </c>
      <c r="B225" s="88" t="s">
        <v>242</v>
      </c>
      <c r="C225" s="89">
        <f t="shared" si="288"/>
        <v>404000</v>
      </c>
      <c r="D225" s="194">
        <v>400000</v>
      </c>
      <c r="E225" s="195"/>
      <c r="F225" s="55">
        <f t="shared" si="293"/>
        <v>400000</v>
      </c>
      <c r="G225" s="53">
        <v>4000</v>
      </c>
      <c r="H225" s="54"/>
      <c r="I225" s="55">
        <f t="shared" si="294"/>
        <v>4000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941">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4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94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94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941">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41">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558755</v>
      </c>
      <c r="D289" s="251">
        <f t="shared" ref="D289:O289" si="389">SUM(D286,D269,D230,D195,D187,D173,D75,D53,D283)</f>
        <v>557044</v>
      </c>
      <c r="E289" s="252">
        <f t="shared" si="389"/>
        <v>-2289</v>
      </c>
      <c r="F289" s="253">
        <f t="shared" si="389"/>
        <v>554755</v>
      </c>
      <c r="G289" s="251">
        <f t="shared" si="389"/>
        <v>4000</v>
      </c>
      <c r="H289" s="252">
        <f t="shared" si="389"/>
        <v>0</v>
      </c>
      <c r="I289" s="253">
        <f t="shared" si="389"/>
        <v>4000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sheetData>
  <sheetProtection algorithmName="SHA-512" hashValue="9mLnn5gXjUts2uTK/DKOHTdDnRiL+YyQPGOkJiKUBgFwAZbNMeJsdRFM/98DM+UXh46NpW7FGvRMM5ysqzCykA==" saltValue="SillISqVk/Hrwzl2WrT31g==" spinCount="100000" sheet="1" objects="1" scenarios="1" formatCells="0" formatColumns="0" formatRows="0" deleteColumns="0"/>
  <autoFilter ref="A18:P301">
    <filterColumn colId="2">
      <filters>
        <filter val="1 000"/>
        <filter val="10 000"/>
        <filter val="146 612"/>
        <filter val="18 249"/>
        <filter val="3 000"/>
        <filter val="3 505"/>
        <filter val="404 000"/>
        <filter val="414 000"/>
        <filter val="5 703"/>
        <filter val="53 047"/>
        <filter val="56 047"/>
        <filter val="560 612"/>
        <filter val="59 552"/>
        <filter val="62 108"/>
        <filter val="80 357"/>
        <filter val="87 06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17.pielikums Jūrmalas pilsētas domes
2019.gada 29.augusta saistošajiem noteikumiem Nr.31
(protokols Nr.12, 20.punkts)
 </firstHeader>
    <firstFooter>&amp;L&amp;9&amp;D; &amp;T&amp;R&amp;9&amp;P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5" sqref="U4:U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2041</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2042</v>
      </c>
      <c r="D5" s="1972"/>
      <c r="E5" s="1972"/>
      <c r="F5" s="1972"/>
      <c r="G5" s="1972"/>
      <c r="H5" s="1972"/>
      <c r="I5" s="1972"/>
      <c r="J5" s="1972"/>
      <c r="K5" s="1972"/>
      <c r="L5" s="1972"/>
      <c r="M5" s="1972"/>
      <c r="N5" s="1972"/>
      <c r="O5" s="1972"/>
      <c r="P5" s="1973"/>
      <c r="Q5" s="276"/>
    </row>
    <row r="6" spans="1:17" ht="12.75" customHeight="1" x14ac:dyDescent="0.25">
      <c r="A6" s="7" t="s">
        <v>8</v>
      </c>
      <c r="B6" s="8"/>
      <c r="C6" s="1972" t="s">
        <v>2043</v>
      </c>
      <c r="D6" s="1972"/>
      <c r="E6" s="1972"/>
      <c r="F6" s="1972"/>
      <c r="G6" s="1972"/>
      <c r="H6" s="1972"/>
      <c r="I6" s="1972"/>
      <c r="J6" s="1972"/>
      <c r="K6" s="1972"/>
      <c r="L6" s="1972"/>
      <c r="M6" s="1972"/>
      <c r="N6" s="1972"/>
      <c r="O6" s="1972"/>
      <c r="P6" s="1973"/>
      <c r="Q6" s="276"/>
    </row>
    <row r="7" spans="1:17" ht="36.75" customHeight="1" x14ac:dyDescent="0.25">
      <c r="A7" s="7" t="s">
        <v>10</v>
      </c>
      <c r="B7" s="8"/>
      <c r="C7" s="1977" t="s">
        <v>2044</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t="s">
        <v>2045</v>
      </c>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19807</v>
      </c>
      <c r="D20" s="32">
        <f>SUM(D21,D24,D25,D41,D43)</f>
        <v>19807</v>
      </c>
      <c r="E20" s="33">
        <f t="shared" ref="E20:F20" si="1">SUM(E21,E24,E25,E41,E43)</f>
        <v>0</v>
      </c>
      <c r="F20" s="34">
        <f t="shared" si="1"/>
        <v>19807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2.25" customHeight="1" thickTop="1" thickBot="1" x14ac:dyDescent="0.3">
      <c r="A24" s="58">
        <v>19300</v>
      </c>
      <c r="B24" s="58" t="s">
        <v>43</v>
      </c>
      <c r="C24" s="59">
        <f>F24+I24</f>
        <v>12650</v>
      </c>
      <c r="D24" s="60">
        <v>19807</v>
      </c>
      <c r="E24" s="741">
        <v>-7157</v>
      </c>
      <c r="F24" s="62">
        <f t="shared" si="9"/>
        <v>12650</v>
      </c>
      <c r="G24" s="60"/>
      <c r="H24" s="61"/>
      <c r="I24" s="62">
        <f t="shared" si="10"/>
        <v>0</v>
      </c>
      <c r="J24" s="63" t="s">
        <v>44</v>
      </c>
      <c r="K24" s="64" t="s">
        <v>44</v>
      </c>
      <c r="L24" s="65" t="s">
        <v>44</v>
      </c>
      <c r="M24" s="63" t="s">
        <v>44</v>
      </c>
      <c r="N24" s="64" t="s">
        <v>44</v>
      </c>
      <c r="O24" s="65" t="s">
        <v>44</v>
      </c>
      <c r="P24" s="66" t="s">
        <v>2046</v>
      </c>
    </row>
    <row r="25" spans="1:16" s="28" customFormat="1" ht="27.75" customHeight="1" thickTop="1" x14ac:dyDescent="0.25">
      <c r="A25" s="67">
        <v>18630</v>
      </c>
      <c r="B25" s="68" t="s">
        <v>45</v>
      </c>
      <c r="C25" s="69">
        <f>F25</f>
        <v>7157</v>
      </c>
      <c r="D25" s="70">
        <v>0</v>
      </c>
      <c r="E25" s="1680">
        <v>7157</v>
      </c>
      <c r="F25" s="72">
        <f t="shared" si="9"/>
        <v>7157</v>
      </c>
      <c r="G25" s="73" t="s">
        <v>44</v>
      </c>
      <c r="H25" s="74" t="s">
        <v>44</v>
      </c>
      <c r="I25" s="75" t="s">
        <v>44</v>
      </c>
      <c r="J25" s="73" t="s">
        <v>44</v>
      </c>
      <c r="K25" s="74" t="s">
        <v>44</v>
      </c>
      <c r="L25" s="75" t="s">
        <v>44</v>
      </c>
      <c r="M25" s="73" t="s">
        <v>44</v>
      </c>
      <c r="N25" s="74" t="s">
        <v>44</v>
      </c>
      <c r="O25" s="75" t="s">
        <v>44</v>
      </c>
      <c r="P25" s="76" t="s">
        <v>2047</v>
      </c>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3"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19807</v>
      </c>
      <c r="D50" s="158">
        <f>SUM(D51,D286)</f>
        <v>19807</v>
      </c>
      <c r="E50" s="159">
        <f t="shared" ref="E50:F50" si="26">SUM(E51,E286)</f>
        <v>0</v>
      </c>
      <c r="F50" s="160">
        <f t="shared" si="26"/>
        <v>19807</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19807</v>
      </c>
      <c r="D51" s="164">
        <f>SUM(D52,D194)</f>
        <v>19807</v>
      </c>
      <c r="E51" s="165">
        <f t="shared" ref="E51:F51" si="30">SUM(E52,E194)</f>
        <v>0</v>
      </c>
      <c r="F51" s="166">
        <f t="shared" si="30"/>
        <v>19807</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19807</v>
      </c>
      <c r="D52" s="172">
        <f>SUM(D53,D75,D173,D187)</f>
        <v>19807</v>
      </c>
      <c r="E52" s="173">
        <f t="shared" ref="E52:F52" si="34">SUM(E53,E75,E173,E187)</f>
        <v>0</v>
      </c>
      <c r="F52" s="174">
        <f t="shared" si="34"/>
        <v>19807</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3825</v>
      </c>
      <c r="D53" s="178">
        <f>SUM(D54,D67)</f>
        <v>3825</v>
      </c>
      <c r="E53" s="179">
        <f t="shared" ref="E53:F53" si="38">SUM(E54,E67)</f>
        <v>0</v>
      </c>
      <c r="F53" s="180">
        <f t="shared" si="38"/>
        <v>3825</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2994</v>
      </c>
      <c r="D54" s="183">
        <f>SUM(D55,D58,D66)</f>
        <v>2994</v>
      </c>
      <c r="E54" s="184">
        <f t="shared" ref="E54:F54" si="42">SUM(E55,E58,E66)</f>
        <v>0</v>
      </c>
      <c r="F54" s="72">
        <f t="shared" si="42"/>
        <v>2994</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176</v>
      </c>
      <c r="D58" s="189">
        <f>SUM(D59:D65)</f>
        <v>176</v>
      </c>
      <c r="E58" s="190">
        <f>SUM(E59:E65)</f>
        <v>0</v>
      </c>
      <c r="F58" s="55">
        <f t="shared" ref="F58" si="54">SUM(F59:F65)</f>
        <v>176</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176</v>
      </c>
      <c r="D63" s="53">
        <v>176</v>
      </c>
      <c r="E63" s="54"/>
      <c r="F63" s="55">
        <f t="shared" si="58"/>
        <v>176</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2818</v>
      </c>
      <c r="D66" s="143">
        <v>2818</v>
      </c>
      <c r="E66" s="144"/>
      <c r="F66" s="140">
        <f t="shared" si="58"/>
        <v>2818</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831</v>
      </c>
      <c r="D67" s="183">
        <f>SUM(D68:D69)</f>
        <v>831</v>
      </c>
      <c r="E67" s="184">
        <f t="shared" ref="E67:F67" si="62">SUM(E68:E69)</f>
        <v>0</v>
      </c>
      <c r="F67" s="72">
        <f t="shared" si="62"/>
        <v>831</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423">
        <v>1210</v>
      </c>
      <c r="B68" s="81" t="s">
        <v>87</v>
      </c>
      <c r="C68" s="82">
        <f t="shared" si="0"/>
        <v>743</v>
      </c>
      <c r="D68" s="46">
        <v>743</v>
      </c>
      <c r="E68" s="47"/>
      <c r="F68" s="133">
        <f>D68+E68</f>
        <v>743</v>
      </c>
      <c r="G68" s="46"/>
      <c r="H68" s="47"/>
      <c r="I68" s="133">
        <f>G68+H68</f>
        <v>0</v>
      </c>
      <c r="J68" s="46"/>
      <c r="K68" s="47"/>
      <c r="L68" s="133">
        <f>K68+J68</f>
        <v>0</v>
      </c>
      <c r="M68" s="46"/>
      <c r="N68" s="47"/>
      <c r="O68" s="133">
        <f>N68+M68</f>
        <v>0</v>
      </c>
      <c r="P68" s="49"/>
    </row>
    <row r="69" spans="1:16" ht="24" x14ac:dyDescent="0.25">
      <c r="A69" s="188">
        <v>1220</v>
      </c>
      <c r="B69" s="88" t="s">
        <v>88</v>
      </c>
      <c r="C69" s="89">
        <f t="shared" si="0"/>
        <v>88</v>
      </c>
      <c r="D69" s="189">
        <f>SUM(D70:D74)</f>
        <v>88</v>
      </c>
      <c r="E69" s="190">
        <f t="shared" ref="E69:F69" si="66">SUM(E70:E74)</f>
        <v>0</v>
      </c>
      <c r="F69" s="55">
        <f t="shared" si="66"/>
        <v>88</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88</v>
      </c>
      <c r="D70" s="53">
        <v>88</v>
      </c>
      <c r="E70" s="54"/>
      <c r="F70" s="55">
        <f t="shared" ref="F70:F74" si="70">D70+E70</f>
        <v>88</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15982</v>
      </c>
      <c r="D75" s="178">
        <f>SUM(D76,D83,D130,D164,D165,D172)</f>
        <v>15982</v>
      </c>
      <c r="E75" s="179">
        <f t="shared" ref="E75:F75" si="74">SUM(E76,E83,E130,E164,E165,E172)</f>
        <v>0</v>
      </c>
      <c r="F75" s="180">
        <f t="shared" si="74"/>
        <v>15982</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x14ac:dyDescent="0.25">
      <c r="A76" s="68">
        <v>2100</v>
      </c>
      <c r="B76" s="182" t="s">
        <v>95</v>
      </c>
      <c r="C76" s="69">
        <f t="shared" si="0"/>
        <v>4508</v>
      </c>
      <c r="D76" s="183">
        <f>SUM(D77,D80)</f>
        <v>4508</v>
      </c>
      <c r="E76" s="184">
        <f t="shared" ref="E76:F76" si="78">SUM(E77,E80)</f>
        <v>0</v>
      </c>
      <c r="F76" s="72">
        <f t="shared" si="78"/>
        <v>4508</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42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x14ac:dyDescent="0.25">
      <c r="A80" s="188">
        <v>2120</v>
      </c>
      <c r="B80" s="88" t="s">
        <v>99</v>
      </c>
      <c r="C80" s="89">
        <f t="shared" si="0"/>
        <v>4508</v>
      </c>
      <c r="D80" s="189">
        <f>SUM(D81:D82)</f>
        <v>4508</v>
      </c>
      <c r="E80" s="190">
        <f t="shared" ref="E80:F80" si="90">SUM(E81:E82)</f>
        <v>0</v>
      </c>
      <c r="F80" s="55">
        <f t="shared" si="90"/>
        <v>4508</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customHeight="1" x14ac:dyDescent="0.25">
      <c r="A81" s="51">
        <v>2121</v>
      </c>
      <c r="B81" s="88" t="s">
        <v>97</v>
      </c>
      <c r="C81" s="89">
        <f t="shared" si="0"/>
        <v>736</v>
      </c>
      <c r="D81" s="194">
        <v>736</v>
      </c>
      <c r="E81" s="195"/>
      <c r="F81" s="55">
        <f t="shared" ref="F81:F82" si="94">D81+E81</f>
        <v>736</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8" t="s">
        <v>98</v>
      </c>
      <c r="C82" s="89">
        <f t="shared" si="0"/>
        <v>3772</v>
      </c>
      <c r="D82" s="194">
        <v>3772</v>
      </c>
      <c r="E82" s="195"/>
      <c r="F82" s="55">
        <f t="shared" si="94"/>
        <v>3772</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10874</v>
      </c>
      <c r="D83" s="183">
        <f>SUM(D84,D89,D95,D103,D112,D116,D122,D128)</f>
        <v>10874</v>
      </c>
      <c r="E83" s="184">
        <f t="shared" ref="E83:F83" si="98">SUM(E84,E89,E95,E103,E112,E116,E122,E128)</f>
        <v>0</v>
      </c>
      <c r="F83" s="72">
        <f t="shared" si="98"/>
        <v>10874</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5474</v>
      </c>
      <c r="D95" s="189">
        <f>SUM(D96:D102)</f>
        <v>5474</v>
      </c>
      <c r="E95" s="190">
        <f t="shared" ref="E95:F95" si="119">SUM(E96:E102)</f>
        <v>0</v>
      </c>
      <c r="F95" s="55">
        <f t="shared" si="119"/>
        <v>5474</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5474</v>
      </c>
      <c r="D96" s="194">
        <v>5474</v>
      </c>
      <c r="E96" s="195"/>
      <c r="F96" s="55">
        <f t="shared" ref="F96:F102" si="123">D96+E96</f>
        <v>5474</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5400</v>
      </c>
      <c r="D122" s="189">
        <f>SUM(D123:D127)</f>
        <v>5400</v>
      </c>
      <c r="E122" s="190">
        <f t="shared" ref="E122:F122" si="151">SUM(E123:E127)</f>
        <v>0</v>
      </c>
      <c r="F122" s="55">
        <f t="shared" si="151"/>
        <v>5400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5400</v>
      </c>
      <c r="D127" s="194">
        <v>5400</v>
      </c>
      <c r="E127" s="195"/>
      <c r="F127" s="55">
        <f t="shared" si="155"/>
        <v>5400</v>
      </c>
      <c r="G127" s="53"/>
      <c r="H127" s="54"/>
      <c r="I127" s="55">
        <f t="shared" si="156"/>
        <v>0</v>
      </c>
      <c r="J127" s="53"/>
      <c r="K127" s="54"/>
      <c r="L127" s="55">
        <f t="shared" si="157"/>
        <v>0</v>
      </c>
      <c r="M127" s="53"/>
      <c r="N127" s="54"/>
      <c r="O127" s="55">
        <f t="shared" si="158"/>
        <v>0</v>
      </c>
      <c r="P127" s="57"/>
    </row>
    <row r="128" spans="1:16" ht="48" hidden="1" x14ac:dyDescent="0.25">
      <c r="A128" s="142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600</v>
      </c>
      <c r="D130" s="183">
        <f>SUM(D131,D136,D140,D141,D144,D151,D159,D160,D163)</f>
        <v>600</v>
      </c>
      <c r="E130" s="184">
        <f t="shared" ref="E130:F130" si="160">SUM(E131,E136,E140,E141,E144,E151,E159,E160,E163)</f>
        <v>0</v>
      </c>
      <c r="F130" s="72">
        <f t="shared" si="160"/>
        <v>600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423">
        <v>2310</v>
      </c>
      <c r="B131" s="81" t="s">
        <v>148</v>
      </c>
      <c r="C131" s="82">
        <f t="shared" si="102"/>
        <v>600</v>
      </c>
      <c r="D131" s="192">
        <f t="shared" ref="D131:O131" si="164">SUM(D132:D135)</f>
        <v>600</v>
      </c>
      <c r="E131" s="193">
        <f t="shared" si="164"/>
        <v>0</v>
      </c>
      <c r="F131" s="133">
        <f t="shared" si="164"/>
        <v>600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200</v>
      </c>
      <c r="D132" s="194">
        <v>200</v>
      </c>
      <c r="E132" s="195"/>
      <c r="F132" s="55">
        <f t="shared" ref="F132:F135" si="165">D132+E132</f>
        <v>200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400</v>
      </c>
      <c r="D135" s="194">
        <v>400</v>
      </c>
      <c r="E135" s="195"/>
      <c r="F135" s="55">
        <f t="shared" si="165"/>
        <v>400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42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42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2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42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42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42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42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2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42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42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42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2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f>E24+E25-E51</f>
        <v>0</v>
      </c>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19807</v>
      </c>
      <c r="D289" s="251">
        <f t="shared" ref="D289:O289" si="389">SUM(D286,D269,D230,D195,D187,D173,D75,D53,D283)</f>
        <v>19807</v>
      </c>
      <c r="E289" s="252">
        <f t="shared" si="389"/>
        <v>0</v>
      </c>
      <c r="F289" s="253">
        <f t="shared" si="389"/>
        <v>19807</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X58/RcOKeNTSO3345Ghshz8N4GyF+MhFsd5nEKzON5iJWLGyV5DHm0fXB6PifzQFNnLxAMi3uN1JSHEGZJpnEQ==" saltValue="lBKgPJUHqEATOKFr5163yg==" spinCount="100000" sheet="1" objects="1" scenarios="1" formatCells="0" formatColumns="0" formatRows="0" deleteColumns="0"/>
  <autoFilter ref="A18:P301">
    <filterColumn colId="2">
      <filters>
        <filter val="10 874"/>
        <filter val="12 650"/>
        <filter val="15 982"/>
        <filter val="176"/>
        <filter val="19 807"/>
        <filter val="2 818"/>
        <filter val="2 994"/>
        <filter val="200"/>
        <filter val="3 772"/>
        <filter val="3 825"/>
        <filter val="4 508"/>
        <filter val="400"/>
        <filter val="5 400"/>
        <filter val="5 474"/>
        <filter val="600"/>
        <filter val="7 157"/>
        <filter val="736"/>
        <filter val="743"/>
        <filter val="831"/>
        <filter val="8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18.pielikums Jūrmalas pilsētas domes
2019.gada 29.augusta saistošajiem noteikumiem Nr.31
(protokols Nr.12, 20.punkts)
 </firstHeader>
    <firstFooter>&amp;L&amp;9&amp;D; &amp;T&amp;R&amp;9&amp;P (&amp;N)</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443</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439</v>
      </c>
      <c r="D6" s="1972"/>
      <c r="E6" s="1972"/>
      <c r="F6" s="1972"/>
      <c r="G6" s="1972"/>
      <c r="H6" s="1972"/>
      <c r="I6" s="1972"/>
      <c r="J6" s="1972"/>
      <c r="K6" s="1972"/>
      <c r="L6" s="1972"/>
      <c r="M6" s="1972"/>
      <c r="N6" s="1972"/>
      <c r="O6" s="1972"/>
      <c r="P6" s="1972"/>
      <c r="Q6" s="276"/>
    </row>
    <row r="7" spans="1:17" x14ac:dyDescent="0.25">
      <c r="A7" s="7" t="s">
        <v>10</v>
      </c>
      <c r="B7" s="8"/>
      <c r="C7" s="1977" t="s">
        <v>440</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28909</v>
      </c>
      <c r="D20" s="32">
        <f>SUM(D21,D24,D25,D41,D43)</f>
        <v>28724</v>
      </c>
      <c r="E20" s="33">
        <f t="shared" ref="E20:F20" si="1">SUM(E21,E24,E25,E41,E43)</f>
        <v>185</v>
      </c>
      <c r="F20" s="34">
        <f t="shared" si="1"/>
        <v>28909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28909</v>
      </c>
      <c r="D24" s="60">
        <f>D50</f>
        <v>28724</v>
      </c>
      <c r="E24" s="60">
        <f>E50</f>
        <v>185</v>
      </c>
      <c r="F24" s="62">
        <f t="shared" si="9"/>
        <v>28909</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28909</v>
      </c>
      <c r="D50" s="158">
        <f>SUM(D51,D286)</f>
        <v>28724</v>
      </c>
      <c r="E50" s="159">
        <f t="shared" ref="E50:F50" si="26">SUM(E51,E286)</f>
        <v>185</v>
      </c>
      <c r="F50" s="160">
        <f t="shared" si="26"/>
        <v>28909</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28909</v>
      </c>
      <c r="D51" s="164">
        <f>SUM(D52,D194)</f>
        <v>28724</v>
      </c>
      <c r="E51" s="165">
        <f t="shared" ref="E51:F51" si="30">SUM(E52,E194)</f>
        <v>185</v>
      </c>
      <c r="F51" s="166">
        <f t="shared" si="30"/>
        <v>28909</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28909</v>
      </c>
      <c r="D52" s="172">
        <f>SUM(D53,D75,D173,D187)</f>
        <v>28724</v>
      </c>
      <c r="E52" s="173">
        <f t="shared" ref="E52:F52" si="34">SUM(E53,E75,E173,E187)</f>
        <v>185</v>
      </c>
      <c r="F52" s="174">
        <f t="shared" si="34"/>
        <v>28909</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28909</v>
      </c>
      <c r="D75" s="178">
        <f>SUM(D76,D83,D130,D164,D165,D172)</f>
        <v>28724</v>
      </c>
      <c r="E75" s="179">
        <f t="shared" ref="E75:F75" si="74">SUM(E76,E83,E130,E164,E165,E172)</f>
        <v>185</v>
      </c>
      <c r="F75" s="180">
        <f t="shared" si="74"/>
        <v>28909</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28507</v>
      </c>
      <c r="D83" s="183">
        <f>SUM(D84,D89,D95,D103,D112,D116,D122,D128)</f>
        <v>28322</v>
      </c>
      <c r="E83" s="184">
        <f t="shared" ref="E83:F83" si="98">SUM(E84,E89,E95,E103,E112,E116,E122,E128)</f>
        <v>185</v>
      </c>
      <c r="F83" s="72">
        <f t="shared" si="98"/>
        <v>28507</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122</v>
      </c>
      <c r="D84" s="186">
        <f>SUM(D85:D88)</f>
        <v>122</v>
      </c>
      <c r="E84" s="187">
        <f t="shared" ref="E84:F84" si="103">SUM(E85:E88)</f>
        <v>0</v>
      </c>
      <c r="F84" s="140">
        <f t="shared" si="103"/>
        <v>122</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122</v>
      </c>
      <c r="D86" s="194">
        <v>122</v>
      </c>
      <c r="E86" s="195"/>
      <c r="F86" s="55">
        <f t="shared" si="107"/>
        <v>122</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334</v>
      </c>
      <c r="D89" s="189">
        <f>SUM(D90:D94)</f>
        <v>311</v>
      </c>
      <c r="E89" s="190">
        <f t="shared" ref="E89:F89" si="111">SUM(E90:E94)</f>
        <v>23</v>
      </c>
      <c r="F89" s="55">
        <f t="shared" si="111"/>
        <v>334</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customHeight="1" x14ac:dyDescent="0.25">
      <c r="A90" s="51">
        <v>2221</v>
      </c>
      <c r="B90" s="88" t="s">
        <v>107</v>
      </c>
      <c r="C90" s="89">
        <f t="shared" si="102"/>
        <v>125</v>
      </c>
      <c r="D90" s="194">
        <v>125</v>
      </c>
      <c r="E90" s="195"/>
      <c r="F90" s="55">
        <f t="shared" ref="F90:F94" si="115">D90+E90</f>
        <v>125</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8" t="s">
        <v>108</v>
      </c>
      <c r="C91" s="89">
        <f t="shared" si="102"/>
        <v>70</v>
      </c>
      <c r="D91" s="194">
        <v>70</v>
      </c>
      <c r="E91" s="195"/>
      <c r="F91" s="55">
        <f t="shared" si="115"/>
        <v>70</v>
      </c>
      <c r="G91" s="53"/>
      <c r="H91" s="54"/>
      <c r="I91" s="55">
        <f t="shared" si="116"/>
        <v>0</v>
      </c>
      <c r="J91" s="53"/>
      <c r="K91" s="54"/>
      <c r="L91" s="55">
        <f t="shared" si="117"/>
        <v>0</v>
      </c>
      <c r="M91" s="53"/>
      <c r="N91" s="54"/>
      <c r="O91" s="55">
        <f t="shared" si="118"/>
        <v>0</v>
      </c>
      <c r="P91" s="57"/>
    </row>
    <row r="92" spans="1:16" ht="12" customHeight="1" x14ac:dyDescent="0.25">
      <c r="A92" s="51">
        <v>2223</v>
      </c>
      <c r="B92" s="88" t="s">
        <v>109</v>
      </c>
      <c r="C92" s="89">
        <f t="shared" si="102"/>
        <v>96</v>
      </c>
      <c r="D92" s="194">
        <v>73</v>
      </c>
      <c r="E92" s="195">
        <v>23</v>
      </c>
      <c r="F92" s="55">
        <f t="shared" si="115"/>
        <v>96</v>
      </c>
      <c r="G92" s="53"/>
      <c r="H92" s="54"/>
      <c r="I92" s="55">
        <f t="shared" si="116"/>
        <v>0</v>
      </c>
      <c r="J92" s="53"/>
      <c r="K92" s="54"/>
      <c r="L92" s="55">
        <f t="shared" si="117"/>
        <v>0</v>
      </c>
      <c r="M92" s="53"/>
      <c r="N92" s="54"/>
      <c r="O92" s="55">
        <f t="shared" si="118"/>
        <v>0</v>
      </c>
      <c r="P92" s="57" t="s">
        <v>441</v>
      </c>
    </row>
    <row r="93" spans="1:16" ht="48" customHeight="1" x14ac:dyDescent="0.25">
      <c r="A93" s="51">
        <v>2224</v>
      </c>
      <c r="B93" s="88" t="s">
        <v>110</v>
      </c>
      <c r="C93" s="89">
        <f t="shared" si="102"/>
        <v>43</v>
      </c>
      <c r="D93" s="194">
        <v>43</v>
      </c>
      <c r="E93" s="195"/>
      <c r="F93" s="55">
        <f t="shared" si="115"/>
        <v>43</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339</v>
      </c>
      <c r="D103" s="189">
        <f>SUM(D104:D111)</f>
        <v>177</v>
      </c>
      <c r="E103" s="190">
        <f t="shared" ref="E103:F103" si="127">SUM(E104:E111)</f>
        <v>162</v>
      </c>
      <c r="F103" s="55">
        <f t="shared" si="127"/>
        <v>339</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20.25" customHeight="1" x14ac:dyDescent="0.25">
      <c r="A107" s="51">
        <v>2244</v>
      </c>
      <c r="B107" s="88" t="s">
        <v>124</v>
      </c>
      <c r="C107" s="89">
        <f t="shared" si="102"/>
        <v>339</v>
      </c>
      <c r="D107" s="194">
        <v>177</v>
      </c>
      <c r="E107" s="195">
        <v>162</v>
      </c>
      <c r="F107" s="55">
        <f t="shared" si="131"/>
        <v>339</v>
      </c>
      <c r="G107" s="53"/>
      <c r="H107" s="54"/>
      <c r="I107" s="55">
        <f t="shared" si="132"/>
        <v>0</v>
      </c>
      <c r="J107" s="53"/>
      <c r="K107" s="54"/>
      <c r="L107" s="55">
        <f t="shared" si="133"/>
        <v>0</v>
      </c>
      <c r="M107" s="53"/>
      <c r="N107" s="54"/>
      <c r="O107" s="55">
        <f t="shared" si="134"/>
        <v>0</v>
      </c>
      <c r="P107" s="57" t="s">
        <v>442</v>
      </c>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27712</v>
      </c>
      <c r="D122" s="189">
        <f>SUM(D123:D127)</f>
        <v>27712</v>
      </c>
      <c r="E122" s="190">
        <f t="shared" ref="E122:F122" si="151">SUM(E123:E127)</f>
        <v>0</v>
      </c>
      <c r="F122" s="55">
        <f t="shared" si="151"/>
        <v>27712</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27712</v>
      </c>
      <c r="D127" s="194">
        <v>27712</v>
      </c>
      <c r="E127" s="195"/>
      <c r="F127" s="55">
        <f t="shared" si="155"/>
        <v>27712</v>
      </c>
      <c r="G127" s="53"/>
      <c r="H127" s="54"/>
      <c r="I127" s="55">
        <f t="shared" si="156"/>
        <v>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402</v>
      </c>
      <c r="D130" s="183">
        <f>SUM(D131,D136,D140,D141,D144,D151,D159,D160,D163)</f>
        <v>402</v>
      </c>
      <c r="E130" s="184">
        <f t="shared" ref="E130:F130" si="160">SUM(E131,E136,E140,E141,E144,E151,E159,E160,E163)</f>
        <v>0</v>
      </c>
      <c r="F130" s="72">
        <f t="shared" si="160"/>
        <v>402</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402</v>
      </c>
      <c r="D131" s="192">
        <f t="shared" ref="D131:O131" si="164">SUM(D132:D135)</f>
        <v>402</v>
      </c>
      <c r="E131" s="193">
        <f t="shared" si="164"/>
        <v>0</v>
      </c>
      <c r="F131" s="133">
        <f t="shared" si="164"/>
        <v>402</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240</v>
      </c>
      <c r="D132" s="194">
        <v>240</v>
      </c>
      <c r="E132" s="195"/>
      <c r="F132" s="55">
        <f t="shared" ref="F132:F135" si="165">D132+E132</f>
        <v>240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162</v>
      </c>
      <c r="D133" s="194">
        <v>162</v>
      </c>
      <c r="E133" s="195"/>
      <c r="F133" s="55">
        <f t="shared" si="165"/>
        <v>162</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28909</v>
      </c>
      <c r="D289" s="251">
        <f t="shared" ref="D289:O289" si="389">SUM(D286,D269,D230,D195,D187,D173,D75,D53,D283)</f>
        <v>28724</v>
      </c>
      <c r="E289" s="252">
        <f t="shared" si="389"/>
        <v>185</v>
      </c>
      <c r="F289" s="253">
        <f t="shared" si="389"/>
        <v>28909</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1YG2lWfHK+q48YRaNZhJ0S1wExM7kZyGa/MeBw6n8aLzXj+So4c4I7DcHZ6aDPDGfI9U35Kt6eNHrKQNBVuvSQ==" saltValue="C2AE3VjT1D6Yg98fU78B6Q==" spinCount="100000" sheet="1" objects="1" scenarios="1" formatCells="0" formatColumns="0" formatRows="0" deleteColumns="0"/>
  <autoFilter ref="A18:P301">
    <filterColumn colId="2">
      <filters>
        <filter val="122"/>
        <filter val="125"/>
        <filter val="162"/>
        <filter val="240"/>
        <filter val="27 712"/>
        <filter val="28 507"/>
        <filter val="28 909"/>
        <filter val="334"/>
        <filter val="339"/>
        <filter val="402"/>
        <filter val="43"/>
        <filter val="70"/>
        <filter val="96"/>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19.pielikums Jūrmalas pilsētas domes
2019.gada 29.augusta saistošajiem noteikumiem Nr.31
(protokols Nr.12, 20.punkts)
 </firstHeader>
    <firstFooter>&amp;L&amp;9&amp;D; &amp;T&amp;R&amp;9&amp;P (&amp;N)</first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S7" sqref="S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447</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444</v>
      </c>
      <c r="D6" s="1972"/>
      <c r="E6" s="1972"/>
      <c r="F6" s="1972"/>
      <c r="G6" s="1972"/>
      <c r="H6" s="1972"/>
      <c r="I6" s="1972"/>
      <c r="J6" s="1972"/>
      <c r="K6" s="1972"/>
      <c r="L6" s="1972"/>
      <c r="M6" s="1972"/>
      <c r="N6" s="1972"/>
      <c r="O6" s="1972"/>
      <c r="P6" s="1972"/>
      <c r="Q6" s="276"/>
    </row>
    <row r="7" spans="1:17" ht="17.25" customHeight="1" x14ac:dyDescent="0.25">
      <c r="A7" s="7" t="s">
        <v>10</v>
      </c>
      <c r="B7" s="8"/>
      <c r="C7" s="1977" t="s">
        <v>445</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64365</v>
      </c>
      <c r="D20" s="32">
        <f>SUM(D21,D24,D25,D41,D43)</f>
        <v>62365</v>
      </c>
      <c r="E20" s="33">
        <f t="shared" ref="E20:F20" si="1">SUM(E21,E24,E25,E41,E43)</f>
        <v>2000</v>
      </c>
      <c r="F20" s="34">
        <f t="shared" si="1"/>
        <v>64365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64365</v>
      </c>
      <c r="D24" s="60">
        <f>D50</f>
        <v>62365</v>
      </c>
      <c r="E24" s="60">
        <f>E50</f>
        <v>2000</v>
      </c>
      <c r="F24" s="62">
        <f t="shared" si="9"/>
        <v>64365</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64365</v>
      </c>
      <c r="D50" s="158">
        <f>SUM(D51,D286)</f>
        <v>62365</v>
      </c>
      <c r="E50" s="159">
        <f t="shared" ref="E50:F50" si="26">SUM(E51,E286)</f>
        <v>2000</v>
      </c>
      <c r="F50" s="160">
        <f t="shared" si="26"/>
        <v>64365</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64365</v>
      </c>
      <c r="D51" s="164">
        <f>SUM(D52,D194)</f>
        <v>62365</v>
      </c>
      <c r="E51" s="165">
        <f t="shared" ref="E51:F51" si="30">SUM(E52,E194)</f>
        <v>2000</v>
      </c>
      <c r="F51" s="166">
        <f t="shared" si="30"/>
        <v>64365</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64365</v>
      </c>
      <c r="D52" s="172">
        <f>SUM(D53,D75,D173,D187)</f>
        <v>62365</v>
      </c>
      <c r="E52" s="173">
        <f t="shared" ref="E52:F52" si="34">SUM(E53,E75,E173,E187)</f>
        <v>2000</v>
      </c>
      <c r="F52" s="174">
        <f t="shared" si="34"/>
        <v>64365</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55287</v>
      </c>
      <c r="D75" s="178">
        <f>SUM(D76,D83,D130,D164,D165,D172)</f>
        <v>53287</v>
      </c>
      <c r="E75" s="179">
        <f t="shared" ref="E75:F75" si="74">SUM(E76,E83,E130,E164,E165,E172)</f>
        <v>2000</v>
      </c>
      <c r="F75" s="180">
        <f t="shared" si="74"/>
        <v>55287</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55077</v>
      </c>
      <c r="D83" s="183">
        <f>SUM(D84,D89,D95,D103,D112,D116,D122,D128)</f>
        <v>53077</v>
      </c>
      <c r="E83" s="184">
        <f t="shared" ref="E83:F83" si="98">SUM(E84,E89,E95,E103,E112,E116,E122,E128)</f>
        <v>2000</v>
      </c>
      <c r="F83" s="72">
        <f t="shared" si="98"/>
        <v>55077</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1200</v>
      </c>
      <c r="D95" s="189">
        <f>SUM(D96:D102)</f>
        <v>1200</v>
      </c>
      <c r="E95" s="190">
        <f t="shared" ref="E95:F95" si="119">SUM(E96:E102)</f>
        <v>0</v>
      </c>
      <c r="F95" s="55">
        <f t="shared" si="119"/>
        <v>1200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1200</v>
      </c>
      <c r="D96" s="194">
        <v>1200</v>
      </c>
      <c r="E96" s="195"/>
      <c r="F96" s="55">
        <f t="shared" ref="F96:F102" si="123">D96+E96</f>
        <v>1200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605</v>
      </c>
      <c r="D116" s="189">
        <f>SUM(D117:D121)</f>
        <v>605</v>
      </c>
      <c r="E116" s="190">
        <f t="shared" ref="E116:F116" si="143">SUM(E117:E121)</f>
        <v>0</v>
      </c>
      <c r="F116" s="55">
        <f t="shared" si="143"/>
        <v>605</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8" t="s">
        <v>137</v>
      </c>
      <c r="C120" s="89">
        <f t="shared" si="102"/>
        <v>605</v>
      </c>
      <c r="D120" s="194">
        <v>605</v>
      </c>
      <c r="E120" s="195"/>
      <c r="F120" s="55">
        <f t="shared" si="147"/>
        <v>605</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53272</v>
      </c>
      <c r="D122" s="189">
        <f>SUM(D123:D127)</f>
        <v>51272</v>
      </c>
      <c r="E122" s="190">
        <f t="shared" ref="E122:F122" si="151">SUM(E123:E127)</f>
        <v>2000</v>
      </c>
      <c r="F122" s="55">
        <f t="shared" si="151"/>
        <v>53272</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9.25" customHeight="1" x14ac:dyDescent="0.25">
      <c r="A127" s="51">
        <v>2279</v>
      </c>
      <c r="B127" s="88" t="s">
        <v>144</v>
      </c>
      <c r="C127" s="89">
        <f t="shared" si="102"/>
        <v>53272</v>
      </c>
      <c r="D127" s="194">
        <v>51272</v>
      </c>
      <c r="E127" s="195">
        <v>2000</v>
      </c>
      <c r="F127" s="55">
        <f t="shared" si="155"/>
        <v>53272</v>
      </c>
      <c r="G127" s="53"/>
      <c r="H127" s="54"/>
      <c r="I127" s="55">
        <f t="shared" si="156"/>
        <v>0</v>
      </c>
      <c r="J127" s="53"/>
      <c r="K127" s="54"/>
      <c r="L127" s="55">
        <f t="shared" si="157"/>
        <v>0</v>
      </c>
      <c r="M127" s="53"/>
      <c r="N127" s="54"/>
      <c r="O127" s="55">
        <f t="shared" si="158"/>
        <v>0</v>
      </c>
      <c r="P127" s="57" t="s">
        <v>446</v>
      </c>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210</v>
      </c>
      <c r="D130" s="183">
        <f>SUM(D131,D136,D140,D141,D144,D151,D159,D160,D163)</f>
        <v>210</v>
      </c>
      <c r="E130" s="184">
        <f t="shared" ref="E130:F130" si="160">SUM(E131,E136,E140,E141,E144,E151,E159,E160,E163)</f>
        <v>0</v>
      </c>
      <c r="F130" s="72">
        <f t="shared" si="160"/>
        <v>210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210</v>
      </c>
      <c r="D131" s="192">
        <f t="shared" ref="D131:O131" si="164">SUM(D132:D135)</f>
        <v>210</v>
      </c>
      <c r="E131" s="193">
        <f t="shared" si="164"/>
        <v>0</v>
      </c>
      <c r="F131" s="133">
        <f t="shared" si="164"/>
        <v>210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210</v>
      </c>
      <c r="D133" s="194">
        <v>210</v>
      </c>
      <c r="E133" s="195"/>
      <c r="F133" s="55">
        <f t="shared" si="165"/>
        <v>210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x14ac:dyDescent="0.25">
      <c r="A173" s="176">
        <v>3000</v>
      </c>
      <c r="B173" s="176" t="s">
        <v>190</v>
      </c>
      <c r="C173" s="177">
        <f t="shared" si="193"/>
        <v>9078</v>
      </c>
      <c r="D173" s="178">
        <f>SUM(D174,D184)</f>
        <v>9078</v>
      </c>
      <c r="E173" s="179">
        <f t="shared" ref="E173:F173" si="216">SUM(E174,E184)</f>
        <v>0</v>
      </c>
      <c r="F173" s="180">
        <f t="shared" si="216"/>
        <v>9078</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x14ac:dyDescent="0.25">
      <c r="A174" s="68">
        <v>3200</v>
      </c>
      <c r="B174" s="207" t="s">
        <v>191</v>
      </c>
      <c r="C174" s="69">
        <f t="shared" si="193"/>
        <v>9078</v>
      </c>
      <c r="D174" s="183">
        <f>SUM(D175,D179)</f>
        <v>9078</v>
      </c>
      <c r="E174" s="184">
        <f t="shared" ref="E174:O174" si="220">SUM(E175,E179)</f>
        <v>0</v>
      </c>
      <c r="F174" s="72">
        <f t="shared" si="220"/>
        <v>9078</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x14ac:dyDescent="0.25">
      <c r="A175" s="278">
        <v>3260</v>
      </c>
      <c r="B175" s="81" t="s">
        <v>192</v>
      </c>
      <c r="C175" s="82">
        <f t="shared" si="193"/>
        <v>9078</v>
      </c>
      <c r="D175" s="192">
        <f>SUM(D176:D178)</f>
        <v>9078</v>
      </c>
      <c r="E175" s="193">
        <f t="shared" ref="E175:F175" si="221">SUM(E176:E178)</f>
        <v>0</v>
      </c>
      <c r="F175" s="133">
        <f t="shared" si="221"/>
        <v>9078</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8" t="s">
        <v>195</v>
      </c>
      <c r="C178" s="89">
        <f t="shared" si="193"/>
        <v>9078</v>
      </c>
      <c r="D178" s="194">
        <v>9078</v>
      </c>
      <c r="E178" s="195"/>
      <c r="F178" s="55">
        <f t="shared" si="225"/>
        <v>9078</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64365</v>
      </c>
      <c r="D289" s="251">
        <f t="shared" ref="D289:O289" si="389">SUM(D286,D269,D230,D195,D187,D173,D75,D53,D283)</f>
        <v>62365</v>
      </c>
      <c r="E289" s="252">
        <f t="shared" si="389"/>
        <v>2000</v>
      </c>
      <c r="F289" s="253">
        <f t="shared" si="389"/>
        <v>64365</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oM8UMI/c6Rim5MhfP7nIEG2Sbeaq60cFjdNWnq4eKslBXLCwOaKOuki6CScKz7HGeBSTDk6EQDDuaSXw2rvlzg==" saltValue="4+Y6csW293Yq/Qm2xKIzuA==" spinCount="100000" sheet="1" objects="1" scenarios="1" formatCells="0" formatColumns="0" formatRows="0" deleteColumns="0"/>
  <autoFilter ref="A18:P301">
    <filterColumn colId="2">
      <filters>
        <filter val="1 200"/>
        <filter val="210"/>
        <filter val="53 272"/>
        <filter val="55 077"/>
        <filter val="55 287"/>
        <filter val="605"/>
        <filter val="64 365"/>
        <filter val="9 078"/>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20.pielikums Jūrmalas pilsētas domes
2019.gada 29.augusta saistošajiem noteikumiem Nr.31
(protokols Nr.12, 20.punkts)
 </firstHeader>
    <firstFooter>&amp;L&amp;9&amp;D; &amp;T&amp;R&amp;9&amp;P (&amp;N)</first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3" sqref="T2:T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2383</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444</v>
      </c>
      <c r="D6" s="1972"/>
      <c r="E6" s="1972"/>
      <c r="F6" s="1972"/>
      <c r="G6" s="1972"/>
      <c r="H6" s="1972"/>
      <c r="I6" s="1972"/>
      <c r="J6" s="1972"/>
      <c r="K6" s="1972"/>
      <c r="L6" s="1972"/>
      <c r="M6" s="1972"/>
      <c r="N6" s="1972"/>
      <c r="O6" s="1972"/>
      <c r="P6" s="1972"/>
      <c r="Q6" s="276"/>
    </row>
    <row r="7" spans="1:17" ht="25.5" customHeight="1" x14ac:dyDescent="0.25">
      <c r="A7" s="7" t="s">
        <v>10</v>
      </c>
      <c r="B7" s="8"/>
      <c r="C7" s="1977" t="s">
        <v>2377</v>
      </c>
      <c r="D7" s="1977"/>
      <c r="E7" s="1977"/>
      <c r="F7" s="1977"/>
      <c r="G7" s="1977"/>
      <c r="H7" s="1977"/>
      <c r="I7" s="1977"/>
      <c r="J7" s="1977"/>
      <c r="K7" s="1977"/>
      <c r="L7" s="1977"/>
      <c r="M7" s="1977"/>
      <c r="N7" s="1977"/>
      <c r="O7" s="1977"/>
      <c r="P7" s="1977"/>
      <c r="Q7" s="276"/>
    </row>
    <row r="8" spans="1:17" ht="12.75" customHeight="1" x14ac:dyDescent="0.25">
      <c r="A8" s="9" t="s">
        <v>12</v>
      </c>
      <c r="B8" s="8"/>
      <c r="C8" s="1979"/>
      <c r="D8" s="1979"/>
      <c r="E8" s="1979"/>
      <c r="F8" s="1979"/>
      <c r="G8" s="1979"/>
      <c r="H8" s="1979"/>
      <c r="I8" s="1979"/>
      <c r="J8" s="1979"/>
      <c r="K8" s="1979"/>
      <c r="L8" s="1979"/>
      <c r="M8" s="1979"/>
      <c r="N8" s="1979"/>
      <c r="O8" s="1979"/>
      <c r="P8" s="1979"/>
      <c r="Q8" s="276"/>
    </row>
    <row r="9" spans="1:17" ht="12.75" customHeight="1" x14ac:dyDescent="0.25">
      <c r="A9" s="7"/>
      <c r="B9" s="8" t="s">
        <v>13</v>
      </c>
      <c r="C9" s="1972"/>
      <c r="D9" s="1972"/>
      <c r="E9" s="1972"/>
      <c r="F9" s="1972"/>
      <c r="G9" s="1972"/>
      <c r="H9" s="1972"/>
      <c r="I9" s="1972"/>
      <c r="J9" s="1972"/>
      <c r="K9" s="1972"/>
      <c r="L9" s="1972"/>
      <c r="M9" s="1972"/>
      <c r="N9" s="1972"/>
      <c r="O9" s="1972"/>
      <c r="P9" s="1972"/>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2" t="s">
        <v>2378</v>
      </c>
      <c r="D11" s="1972"/>
      <c r="E11" s="1972"/>
      <c r="F11" s="1972"/>
      <c r="G11" s="1972"/>
      <c r="H11" s="1972"/>
      <c r="I11" s="1972"/>
      <c r="J11" s="1972"/>
      <c r="K11" s="1972"/>
      <c r="L11" s="1972"/>
      <c r="M11" s="1972"/>
      <c r="N11" s="1972"/>
      <c r="O11" s="1972"/>
      <c r="P11" s="1972"/>
      <c r="Q11" s="276"/>
    </row>
    <row r="12" spans="1:17" ht="12.75" customHeight="1" x14ac:dyDescent="0.25">
      <c r="A12" s="7"/>
      <c r="B12" s="8" t="s">
        <v>17</v>
      </c>
      <c r="C12" s="294"/>
      <c r="D12" s="294"/>
      <c r="E12" s="294"/>
      <c r="F12" s="294"/>
      <c r="G12" s="294"/>
      <c r="H12" s="294"/>
      <c r="I12" s="294"/>
      <c r="J12" s="294"/>
      <c r="K12" s="294"/>
      <c r="L12" s="294"/>
      <c r="M12" s="294"/>
      <c r="N12" s="295"/>
      <c r="O12" s="295"/>
      <c r="P12" s="295"/>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240932</v>
      </c>
      <c r="D20" s="32">
        <f>SUM(D21,D24,D25,D41,D43)</f>
        <v>241680</v>
      </c>
      <c r="E20" s="33">
        <f t="shared" ref="E20:F20" si="1">SUM(E21,E24,E25,E41,E43)</f>
        <v>-748</v>
      </c>
      <c r="F20" s="34">
        <f t="shared" si="1"/>
        <v>240932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38">
        <f t="shared" si="0"/>
        <v>2352</v>
      </c>
      <c r="D21" s="39">
        <f>SUM(D22:D23)</f>
        <v>2352</v>
      </c>
      <c r="E21" s="40">
        <f t="shared" ref="E21:F21" si="5">SUM(E22:E23)</f>
        <v>0</v>
      </c>
      <c r="F21" s="41">
        <f t="shared" si="5"/>
        <v>2352</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2352</v>
      </c>
      <c r="D23" s="53">
        <v>2352</v>
      </c>
      <c r="E23" s="54"/>
      <c r="F23" s="55">
        <f t="shared" ref="F23:F25" si="9">D23+E23</f>
        <v>2352</v>
      </c>
      <c r="G23" s="53"/>
      <c r="H23" s="54"/>
      <c r="I23" s="55">
        <f t="shared" ref="I23:I24" si="10">G23+H23</f>
        <v>0</v>
      </c>
      <c r="J23" s="53"/>
      <c r="K23" s="54"/>
      <c r="L23" s="56">
        <f>K23+J23</f>
        <v>0</v>
      </c>
      <c r="M23" s="53"/>
      <c r="N23" s="54"/>
      <c r="O23" s="55">
        <f>N23+M23</f>
        <v>0</v>
      </c>
      <c r="P23" s="57"/>
    </row>
    <row r="24" spans="1:16" s="28" customFormat="1" ht="36" customHeight="1" thickBot="1" x14ac:dyDescent="0.3">
      <c r="A24" s="58">
        <v>19300</v>
      </c>
      <c r="B24" s="58" t="s">
        <v>43</v>
      </c>
      <c r="C24" s="59">
        <f>F24+I24</f>
        <v>238580</v>
      </c>
      <c r="D24" s="60">
        <v>239328</v>
      </c>
      <c r="E24" s="61">
        <v>-748</v>
      </c>
      <c r="F24" s="62">
        <f t="shared" si="9"/>
        <v>238580</v>
      </c>
      <c r="G24" s="60"/>
      <c r="H24" s="61"/>
      <c r="I24" s="62">
        <f t="shared" si="10"/>
        <v>0</v>
      </c>
      <c r="J24" s="63" t="s">
        <v>44</v>
      </c>
      <c r="K24" s="64" t="s">
        <v>44</v>
      </c>
      <c r="L24" s="65" t="s">
        <v>44</v>
      </c>
      <c r="M24" s="63" t="s">
        <v>44</v>
      </c>
      <c r="N24" s="64" t="s">
        <v>44</v>
      </c>
      <c r="O24" s="65" t="s">
        <v>44</v>
      </c>
      <c r="P24" s="66" t="s">
        <v>2379</v>
      </c>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240932</v>
      </c>
      <c r="D50" s="158">
        <f>SUM(D51,D286)</f>
        <v>241680</v>
      </c>
      <c r="E50" s="159">
        <f t="shared" ref="E50:F50" si="26">SUM(E51,E286)</f>
        <v>-748</v>
      </c>
      <c r="F50" s="160">
        <f t="shared" si="26"/>
        <v>240932</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240932</v>
      </c>
      <c r="D51" s="164">
        <f>SUM(D52,D194)</f>
        <v>241680</v>
      </c>
      <c r="E51" s="165">
        <f t="shared" ref="E51:F51" si="30">SUM(E52,E194)</f>
        <v>-748</v>
      </c>
      <c r="F51" s="166">
        <f t="shared" si="30"/>
        <v>240932</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240932</v>
      </c>
      <c r="D52" s="172">
        <f>SUM(D53,D75,D173,D187)</f>
        <v>241680</v>
      </c>
      <c r="E52" s="173">
        <f t="shared" ref="E52:F52" si="34">SUM(E53,E75,E173,E187)</f>
        <v>-748</v>
      </c>
      <c r="F52" s="174">
        <f t="shared" si="34"/>
        <v>240932</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18146</v>
      </c>
      <c r="D53" s="178">
        <f>SUM(D54,D67)</f>
        <v>17489</v>
      </c>
      <c r="E53" s="179">
        <f t="shared" ref="E53:F53" si="38">SUM(E54,E67)</f>
        <v>657</v>
      </c>
      <c r="F53" s="180">
        <f t="shared" si="38"/>
        <v>18146</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14093</v>
      </c>
      <c r="D54" s="183">
        <f>SUM(D55,D58,D66)</f>
        <v>14093</v>
      </c>
      <c r="E54" s="184">
        <f t="shared" ref="E54:F54" si="42">SUM(E55,E58,E66)</f>
        <v>0</v>
      </c>
      <c r="F54" s="72">
        <f t="shared" si="42"/>
        <v>14093</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14093</v>
      </c>
      <c r="D66" s="143">
        <v>14093</v>
      </c>
      <c r="E66" s="144"/>
      <c r="F66" s="140">
        <f t="shared" si="58"/>
        <v>14093</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4053</v>
      </c>
      <c r="D67" s="183">
        <f>SUM(D68:D69)</f>
        <v>3396</v>
      </c>
      <c r="E67" s="184">
        <f t="shared" ref="E67:F67" si="62">SUM(E68:E69)</f>
        <v>657</v>
      </c>
      <c r="F67" s="72">
        <f t="shared" si="62"/>
        <v>4053</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748">
        <v>1210</v>
      </c>
      <c r="B68" s="81" t="s">
        <v>87</v>
      </c>
      <c r="C68" s="82">
        <f t="shared" si="0"/>
        <v>3524</v>
      </c>
      <c r="D68" s="46">
        <v>3396</v>
      </c>
      <c r="E68" s="47">
        <v>128</v>
      </c>
      <c r="F68" s="133">
        <f>D68+E68</f>
        <v>3524</v>
      </c>
      <c r="G68" s="46"/>
      <c r="H68" s="47"/>
      <c r="I68" s="133">
        <f>G68+H68</f>
        <v>0</v>
      </c>
      <c r="J68" s="46"/>
      <c r="K68" s="47"/>
      <c r="L68" s="133">
        <f>K68+J68</f>
        <v>0</v>
      </c>
      <c r="M68" s="46"/>
      <c r="N68" s="47"/>
      <c r="O68" s="133">
        <f>N68+M68</f>
        <v>0</v>
      </c>
      <c r="P68" s="49" t="s">
        <v>2380</v>
      </c>
    </row>
    <row r="69" spans="1:16" ht="24" x14ac:dyDescent="0.25">
      <c r="A69" s="188">
        <v>1220</v>
      </c>
      <c r="B69" s="88" t="s">
        <v>88</v>
      </c>
      <c r="C69" s="89">
        <f t="shared" si="0"/>
        <v>529</v>
      </c>
      <c r="D69" s="189">
        <f>SUM(D70:D74)</f>
        <v>0</v>
      </c>
      <c r="E69" s="190">
        <f t="shared" ref="E69:F69" si="66">SUM(E70:E74)</f>
        <v>529</v>
      </c>
      <c r="F69" s="55">
        <f t="shared" si="66"/>
        <v>529</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529</v>
      </c>
      <c r="D70" s="53"/>
      <c r="E70" s="54">
        <v>529</v>
      </c>
      <c r="F70" s="55">
        <f t="shared" ref="F70:F74" si="70">D70+E70</f>
        <v>529</v>
      </c>
      <c r="G70" s="53"/>
      <c r="H70" s="54"/>
      <c r="I70" s="55">
        <f t="shared" ref="I70:I74" si="71">G70+H70</f>
        <v>0</v>
      </c>
      <c r="J70" s="53"/>
      <c r="K70" s="54"/>
      <c r="L70" s="55">
        <f t="shared" ref="L70:L74" si="72">K70+J70</f>
        <v>0</v>
      </c>
      <c r="M70" s="53"/>
      <c r="N70" s="54"/>
      <c r="O70" s="55">
        <f t="shared" ref="O70:O74" si="73">N70+M70</f>
        <v>0</v>
      </c>
      <c r="P70" s="57" t="s">
        <v>2381</v>
      </c>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222786</v>
      </c>
      <c r="D75" s="178">
        <f>SUM(D76,D83,D130,D164,D165,D172)</f>
        <v>224191</v>
      </c>
      <c r="E75" s="179">
        <f t="shared" ref="E75:F75" si="74">SUM(E76,E83,E130,E164,E165,E172)</f>
        <v>-1405</v>
      </c>
      <c r="F75" s="180">
        <f t="shared" si="74"/>
        <v>222786</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74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222576</v>
      </c>
      <c r="D83" s="183">
        <f>SUM(D84,D89,D95,D103,D112,D116,D122,D128)</f>
        <v>223981</v>
      </c>
      <c r="E83" s="184">
        <f t="shared" ref="E83:F83" si="98">SUM(E84,E89,E95,E103,E112,E116,E122,E128)</f>
        <v>-1405</v>
      </c>
      <c r="F83" s="72">
        <f t="shared" si="98"/>
        <v>222576</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204</v>
      </c>
      <c r="D84" s="186">
        <f>SUM(D85:D88)</f>
        <v>204</v>
      </c>
      <c r="E84" s="187">
        <f t="shared" ref="E84:F84" si="103">SUM(E85:E88)</f>
        <v>0</v>
      </c>
      <c r="F84" s="140">
        <f t="shared" si="103"/>
        <v>204</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161</v>
      </c>
      <c r="D86" s="194">
        <v>161</v>
      </c>
      <c r="E86" s="195"/>
      <c r="F86" s="55">
        <f t="shared" si="107"/>
        <v>161</v>
      </c>
      <c r="G86" s="53"/>
      <c r="H86" s="54"/>
      <c r="I86" s="55">
        <f t="shared" si="108"/>
        <v>0</v>
      </c>
      <c r="J86" s="53"/>
      <c r="K86" s="54"/>
      <c r="L86" s="55">
        <f t="shared" si="109"/>
        <v>0</v>
      </c>
      <c r="M86" s="53"/>
      <c r="N86" s="54"/>
      <c r="O86" s="55">
        <f t="shared" si="110"/>
        <v>0</v>
      </c>
      <c r="P86" s="57"/>
    </row>
    <row r="87" spans="1:16" ht="24" customHeight="1" x14ac:dyDescent="0.25">
      <c r="A87" s="51">
        <v>2214</v>
      </c>
      <c r="B87" s="88" t="s">
        <v>104</v>
      </c>
      <c r="C87" s="89">
        <f t="shared" si="102"/>
        <v>43</v>
      </c>
      <c r="D87" s="194">
        <v>43</v>
      </c>
      <c r="E87" s="195"/>
      <c r="F87" s="55">
        <f t="shared" si="107"/>
        <v>43</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424</v>
      </c>
      <c r="D89" s="189">
        <f>SUM(D90:D94)</f>
        <v>424</v>
      </c>
      <c r="E89" s="190">
        <f t="shared" ref="E89:F89" si="111">SUM(E90:E94)</f>
        <v>0</v>
      </c>
      <c r="F89" s="55">
        <f t="shared" si="111"/>
        <v>424</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customHeight="1" x14ac:dyDescent="0.25">
      <c r="A90" s="51">
        <v>2221</v>
      </c>
      <c r="B90" s="88" t="s">
        <v>107</v>
      </c>
      <c r="C90" s="89">
        <f t="shared" si="102"/>
        <v>160</v>
      </c>
      <c r="D90" s="194">
        <v>160</v>
      </c>
      <c r="E90" s="195"/>
      <c r="F90" s="55">
        <f t="shared" ref="F90:F94" si="115">D90+E90</f>
        <v>160</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8" t="s">
        <v>108</v>
      </c>
      <c r="C91" s="89">
        <f t="shared" si="102"/>
        <v>18</v>
      </c>
      <c r="D91" s="194">
        <v>18</v>
      </c>
      <c r="E91" s="195"/>
      <c r="F91" s="55">
        <f t="shared" si="115"/>
        <v>18</v>
      </c>
      <c r="G91" s="53"/>
      <c r="H91" s="54"/>
      <c r="I91" s="55">
        <f t="shared" si="116"/>
        <v>0</v>
      </c>
      <c r="J91" s="53"/>
      <c r="K91" s="54"/>
      <c r="L91" s="55">
        <f t="shared" si="117"/>
        <v>0</v>
      </c>
      <c r="M91" s="53"/>
      <c r="N91" s="54"/>
      <c r="O91" s="55">
        <f t="shared" si="118"/>
        <v>0</v>
      </c>
      <c r="P91" s="57"/>
    </row>
    <row r="92" spans="1:16" ht="12" customHeight="1" x14ac:dyDescent="0.25">
      <c r="A92" s="51">
        <v>2223</v>
      </c>
      <c r="B92" s="88" t="s">
        <v>109</v>
      </c>
      <c r="C92" s="89">
        <f t="shared" si="102"/>
        <v>228</v>
      </c>
      <c r="D92" s="194">
        <v>228</v>
      </c>
      <c r="E92" s="195"/>
      <c r="F92" s="55">
        <f t="shared" si="115"/>
        <v>228</v>
      </c>
      <c r="G92" s="53"/>
      <c r="H92" s="54"/>
      <c r="I92" s="55">
        <f t="shared" si="116"/>
        <v>0</v>
      </c>
      <c r="J92" s="53"/>
      <c r="K92" s="54"/>
      <c r="L92" s="55">
        <f t="shared" si="117"/>
        <v>0</v>
      </c>
      <c r="M92" s="53"/>
      <c r="N92" s="54"/>
      <c r="O92" s="55">
        <f t="shared" si="118"/>
        <v>0</v>
      </c>
      <c r="P92" s="57"/>
    </row>
    <row r="93" spans="1:16" ht="48" customHeight="1" x14ac:dyDescent="0.25">
      <c r="A93" s="51">
        <v>2224</v>
      </c>
      <c r="B93" s="88" t="s">
        <v>110</v>
      </c>
      <c r="C93" s="89">
        <f t="shared" si="102"/>
        <v>18</v>
      </c>
      <c r="D93" s="194">
        <v>18</v>
      </c>
      <c r="E93" s="195"/>
      <c r="F93" s="55">
        <f t="shared" si="115"/>
        <v>18</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160</v>
      </c>
      <c r="D103" s="189">
        <f>SUM(D104:D111)</f>
        <v>160</v>
      </c>
      <c r="E103" s="190">
        <f t="shared" ref="E103:F103" si="127">SUM(E104:E111)</f>
        <v>0</v>
      </c>
      <c r="F103" s="55">
        <f t="shared" si="127"/>
        <v>160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8" t="s">
        <v>124</v>
      </c>
      <c r="C107" s="89">
        <f t="shared" si="102"/>
        <v>160</v>
      </c>
      <c r="D107" s="194">
        <v>160</v>
      </c>
      <c r="E107" s="195"/>
      <c r="F107" s="55">
        <f t="shared" si="131"/>
        <v>160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221788</v>
      </c>
      <c r="D122" s="189">
        <f>SUM(D123:D127)</f>
        <v>223193</v>
      </c>
      <c r="E122" s="190">
        <f t="shared" ref="E122:F122" si="151">SUM(E123:E127)</f>
        <v>-1405</v>
      </c>
      <c r="F122" s="55">
        <f t="shared" si="151"/>
        <v>221788</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customHeight="1" x14ac:dyDescent="0.25">
      <c r="A125" s="51">
        <v>2275</v>
      </c>
      <c r="B125" s="88" t="s">
        <v>142</v>
      </c>
      <c r="C125" s="89">
        <f t="shared" si="102"/>
        <v>5808</v>
      </c>
      <c r="D125" s="194">
        <v>5808</v>
      </c>
      <c r="E125" s="195"/>
      <c r="F125" s="55">
        <f t="shared" si="155"/>
        <v>5808</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7.75" customHeight="1" x14ac:dyDescent="0.25">
      <c r="A127" s="51">
        <v>2279</v>
      </c>
      <c r="B127" s="88" t="s">
        <v>144</v>
      </c>
      <c r="C127" s="89">
        <f t="shared" si="102"/>
        <v>215980</v>
      </c>
      <c r="D127" s="194">
        <v>217385</v>
      </c>
      <c r="E127" s="195">
        <v>-1405</v>
      </c>
      <c r="F127" s="55">
        <f t="shared" si="155"/>
        <v>215980</v>
      </c>
      <c r="G127" s="53"/>
      <c r="H127" s="54"/>
      <c r="I127" s="55">
        <f t="shared" si="156"/>
        <v>0</v>
      </c>
      <c r="J127" s="53"/>
      <c r="K127" s="54"/>
      <c r="L127" s="55">
        <f t="shared" si="157"/>
        <v>0</v>
      </c>
      <c r="M127" s="53"/>
      <c r="N127" s="54"/>
      <c r="O127" s="55">
        <f t="shared" si="158"/>
        <v>0</v>
      </c>
      <c r="P127" s="57" t="s">
        <v>2382</v>
      </c>
    </row>
    <row r="128" spans="1:16" ht="48" hidden="1" x14ac:dyDescent="0.25">
      <c r="A128" s="174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210</v>
      </c>
      <c r="D130" s="183">
        <f>SUM(D131,D136,D140,D141,D144,D151,D159,D160,D163)</f>
        <v>210</v>
      </c>
      <c r="E130" s="184">
        <f t="shared" ref="E130:F130" si="160">SUM(E131,E136,E140,E141,E144,E151,E159,E160,E163)</f>
        <v>0</v>
      </c>
      <c r="F130" s="72">
        <f t="shared" si="160"/>
        <v>210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748">
        <v>2310</v>
      </c>
      <c r="B131" s="81" t="s">
        <v>148</v>
      </c>
      <c r="C131" s="82">
        <f t="shared" si="102"/>
        <v>150</v>
      </c>
      <c r="D131" s="192">
        <f t="shared" ref="D131:O131" si="164">SUM(D132:D135)</f>
        <v>150</v>
      </c>
      <c r="E131" s="193">
        <f t="shared" si="164"/>
        <v>0</v>
      </c>
      <c r="F131" s="133">
        <f t="shared" si="164"/>
        <v>150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150</v>
      </c>
      <c r="D132" s="194">
        <v>150</v>
      </c>
      <c r="E132" s="195"/>
      <c r="F132" s="55">
        <f t="shared" ref="F132:F135" si="165">D132+E132</f>
        <v>150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60</v>
      </c>
      <c r="D144" s="186">
        <f>SUM(D145:D150)</f>
        <v>60</v>
      </c>
      <c r="E144" s="187">
        <f t="shared" ref="E144:F144" si="185">SUM(E145:E150)</f>
        <v>0</v>
      </c>
      <c r="F144" s="140">
        <f t="shared" si="185"/>
        <v>60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60</v>
      </c>
      <c r="D146" s="194">
        <v>60</v>
      </c>
      <c r="E146" s="195"/>
      <c r="F146" s="55">
        <f t="shared" si="189"/>
        <v>60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74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48" hidden="1" x14ac:dyDescent="0.25">
      <c r="A175" s="174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74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74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74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74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74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74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74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74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74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74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240932</v>
      </c>
      <c r="D289" s="251">
        <f t="shared" ref="D289:O289" si="389">SUM(D286,D269,D230,D195,D187,D173,D75,D53,D283)</f>
        <v>241680</v>
      </c>
      <c r="E289" s="252">
        <f t="shared" si="389"/>
        <v>-748</v>
      </c>
      <c r="F289" s="253">
        <f t="shared" si="389"/>
        <v>240932</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945" t="s">
        <v>309</v>
      </c>
      <c r="B290" s="1946"/>
      <c r="C290" s="255">
        <f t="shared" si="371"/>
        <v>-2352</v>
      </c>
      <c r="D290" s="256">
        <f>SUM(D24,D25,D41)-D51</f>
        <v>-2352</v>
      </c>
      <c r="E290" s="257">
        <f t="shared" ref="E290:F290" si="390">SUM(E24,E25,E41)-E51</f>
        <v>0</v>
      </c>
      <c r="F290" s="258">
        <f t="shared" si="390"/>
        <v>-2352</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947" t="s">
        <v>310</v>
      </c>
      <c r="B291" s="1948"/>
      <c r="C291" s="260">
        <f t="shared" si="371"/>
        <v>2352</v>
      </c>
      <c r="D291" s="261">
        <f t="shared" ref="D291:O291" si="394">SUM(D292,D293)-D300+D301</f>
        <v>2352</v>
      </c>
      <c r="E291" s="262">
        <f t="shared" si="394"/>
        <v>0</v>
      </c>
      <c r="F291" s="263">
        <f t="shared" si="394"/>
        <v>2352</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6" t="s">
        <v>311</v>
      </c>
      <c r="B292" s="156" t="s">
        <v>312</v>
      </c>
      <c r="C292" s="157">
        <f t="shared" si="371"/>
        <v>2352</v>
      </c>
      <c r="D292" s="158">
        <f t="shared" ref="D292:O292" si="395">D21-D286</f>
        <v>2352</v>
      </c>
      <c r="E292" s="159">
        <f t="shared" si="395"/>
        <v>0</v>
      </c>
      <c r="F292" s="160">
        <f t="shared" si="395"/>
        <v>2352</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tmDbzLWzndtuCUJeaxljHdZ6Gq2fPxiE1Aj+jHx2/kwnNRzbVlDfCtIKGrFDZIk/TS3kIiwhYJHzdNrt0qrNyg==" saltValue="hclQI45nyKMb0iQpP6+/5g==" spinCount="100000" sheet="1" objects="1" scenarios="1" formatCells="0" formatColumns="0" formatRows="0" deleteColumns="0"/>
  <autoFilter ref="A18:P301">
    <filterColumn colId="2">
      <filters>
        <filter val="14 093"/>
        <filter val="150"/>
        <filter val="160"/>
        <filter val="161"/>
        <filter val="18"/>
        <filter val="18 146"/>
        <filter val="2 352"/>
        <filter val="-2 352"/>
        <filter val="204"/>
        <filter val="210"/>
        <filter val="215 980"/>
        <filter val="221 788"/>
        <filter val="222 576"/>
        <filter val="222 786"/>
        <filter val="228"/>
        <filter val="238 580"/>
        <filter val="240 932"/>
        <filter val="3 524"/>
        <filter val="4 053"/>
        <filter val="424"/>
        <filter val="43"/>
        <filter val="5 808"/>
        <filter val="529"/>
        <filter val="60"/>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8:P8"/>
    <mergeCell ref="C9:P9"/>
    <mergeCell ref="C10:P10"/>
    <mergeCell ref="C11:P11"/>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21.pielikums Jūrmalas pilsētas domes
2019.gada 29.augusta saistošajiem noteikumiem Nr.31
(protokols Nr.12, 20.punkts)
 </firstHeader>
    <firstFooter>&amp;L&amp;9&amp;D; &amp;T&amp;R&amp;9&amp;P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4" sqref="T4:U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2056</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1715</v>
      </c>
      <c r="D6" s="1972"/>
      <c r="E6" s="1972"/>
      <c r="F6" s="1972"/>
      <c r="G6" s="1972"/>
      <c r="H6" s="1972"/>
      <c r="I6" s="1972"/>
      <c r="J6" s="1972"/>
      <c r="K6" s="1972"/>
      <c r="L6" s="1972"/>
      <c r="M6" s="1972"/>
      <c r="N6" s="1972"/>
      <c r="O6" s="1972"/>
      <c r="P6" s="1973"/>
      <c r="Q6" s="276"/>
    </row>
    <row r="7" spans="1:17" ht="24" customHeight="1" x14ac:dyDescent="0.25">
      <c r="A7" s="7" t="s">
        <v>10</v>
      </c>
      <c r="B7" s="8"/>
      <c r="C7" s="1977" t="s">
        <v>2057</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t="s">
        <v>2058</v>
      </c>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20813</v>
      </c>
      <c r="D20" s="32">
        <f>SUM(D21,D24,D25,D41,D43)</f>
        <v>25072</v>
      </c>
      <c r="E20" s="33">
        <f t="shared" ref="E20:F20" si="1">SUM(E21,E24,E25,E41,E43)</f>
        <v>-4259</v>
      </c>
      <c r="F20" s="34">
        <f t="shared" si="1"/>
        <v>20813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43</v>
      </c>
      <c r="C24" s="59">
        <f>F24+I24</f>
        <v>0</v>
      </c>
      <c r="D24" s="60"/>
      <c r="E24" s="61"/>
      <c r="F24" s="62">
        <f t="shared" si="9"/>
        <v>0</v>
      </c>
      <c r="G24" s="60"/>
      <c r="H24" s="61"/>
      <c r="I24" s="62">
        <f t="shared" si="10"/>
        <v>0</v>
      </c>
      <c r="J24" s="63" t="s">
        <v>44</v>
      </c>
      <c r="K24" s="64" t="s">
        <v>44</v>
      </c>
      <c r="L24" s="65" t="s">
        <v>44</v>
      </c>
      <c r="M24" s="63" t="s">
        <v>44</v>
      </c>
      <c r="N24" s="64" t="s">
        <v>44</v>
      </c>
      <c r="O24" s="65" t="s">
        <v>44</v>
      </c>
      <c r="P24" s="66"/>
    </row>
    <row r="25" spans="1:16" s="28" customFormat="1" ht="24.75" customHeight="1" thickTop="1" x14ac:dyDescent="0.25">
      <c r="A25" s="67">
        <v>18630</v>
      </c>
      <c r="B25" s="68" t="s">
        <v>45</v>
      </c>
      <c r="C25" s="69">
        <f>F25</f>
        <v>20813</v>
      </c>
      <c r="D25" s="70">
        <v>25072</v>
      </c>
      <c r="E25" s="1680">
        <v>-4259</v>
      </c>
      <c r="F25" s="72">
        <f t="shared" si="9"/>
        <v>20813</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20813</v>
      </c>
      <c r="D50" s="158">
        <f>SUM(D51,D286)</f>
        <v>25072</v>
      </c>
      <c r="E50" s="159">
        <f t="shared" ref="E50:F50" si="26">SUM(E51,E286)</f>
        <v>-4259</v>
      </c>
      <c r="F50" s="160">
        <f t="shared" si="26"/>
        <v>20813</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19565</v>
      </c>
      <c r="D51" s="164">
        <f>SUM(D52,D194)</f>
        <v>24195</v>
      </c>
      <c r="E51" s="165">
        <f t="shared" ref="E51:F51" si="30">SUM(E52,E194)</f>
        <v>-4630</v>
      </c>
      <c r="F51" s="166">
        <f t="shared" si="30"/>
        <v>19565</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19565</v>
      </c>
      <c r="D52" s="172">
        <f>SUM(D53,D75,D173,D187)</f>
        <v>24195</v>
      </c>
      <c r="E52" s="173">
        <f t="shared" ref="E52:F52" si="34">SUM(E53,E75,E173,E187)</f>
        <v>-4630</v>
      </c>
      <c r="F52" s="174">
        <f t="shared" si="34"/>
        <v>19565</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12983</v>
      </c>
      <c r="D53" s="178">
        <f>SUM(D54,D67)</f>
        <v>15815</v>
      </c>
      <c r="E53" s="179">
        <f t="shared" ref="E53:F53" si="38">SUM(E54,E67)</f>
        <v>-2832</v>
      </c>
      <c r="F53" s="180">
        <f t="shared" si="38"/>
        <v>12983</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9954</v>
      </c>
      <c r="D54" s="183">
        <f>SUM(D55,D58,D66)</f>
        <v>12096</v>
      </c>
      <c r="E54" s="184">
        <f t="shared" ref="E54:F54" si="42">SUM(E55,E58,E66)</f>
        <v>-2142</v>
      </c>
      <c r="F54" s="72">
        <f t="shared" si="42"/>
        <v>9954</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8557</v>
      </c>
      <c r="D55" s="186">
        <f>SUM(D56:D57)</f>
        <v>10100</v>
      </c>
      <c r="E55" s="187">
        <f t="shared" ref="E55:F55" si="46">SUM(E56:E57)</f>
        <v>-1543</v>
      </c>
      <c r="F55" s="140">
        <f t="shared" si="46"/>
        <v>8557</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8557</v>
      </c>
      <c r="D57" s="53">
        <v>10100</v>
      </c>
      <c r="E57" s="201">
        <v>-1543</v>
      </c>
      <c r="F57" s="55">
        <f t="shared" si="50"/>
        <v>8557</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1397</v>
      </c>
      <c r="D58" s="189">
        <f>SUM(D59:D65)</f>
        <v>1996</v>
      </c>
      <c r="E58" s="190">
        <f>SUM(E59:E65)</f>
        <v>-599</v>
      </c>
      <c r="F58" s="55">
        <f t="shared" ref="F58" si="54">SUM(F59:F65)</f>
        <v>1397</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817</v>
      </c>
      <c r="D63" s="53">
        <v>1416</v>
      </c>
      <c r="E63" s="201">
        <v>-599</v>
      </c>
      <c r="F63" s="55">
        <f t="shared" si="58"/>
        <v>817</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580</v>
      </c>
      <c r="D64" s="53">
        <v>580</v>
      </c>
      <c r="E64" s="54"/>
      <c r="F64" s="55">
        <f t="shared" si="58"/>
        <v>580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3029</v>
      </c>
      <c r="D67" s="183">
        <f>SUM(D68:D69)</f>
        <v>3719</v>
      </c>
      <c r="E67" s="184">
        <f t="shared" ref="E67:F67" si="62">SUM(E68:E69)</f>
        <v>-690</v>
      </c>
      <c r="F67" s="72">
        <f t="shared" si="62"/>
        <v>3029</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423">
        <v>1210</v>
      </c>
      <c r="B68" s="81" t="s">
        <v>87</v>
      </c>
      <c r="C68" s="82">
        <f t="shared" si="0"/>
        <v>2500</v>
      </c>
      <c r="D68" s="46">
        <v>3071</v>
      </c>
      <c r="E68" s="47">
        <v>-571</v>
      </c>
      <c r="F68" s="133">
        <f>D68+E68</f>
        <v>2500</v>
      </c>
      <c r="G68" s="46"/>
      <c r="H68" s="47"/>
      <c r="I68" s="133">
        <f>G68+H68</f>
        <v>0</v>
      </c>
      <c r="J68" s="46"/>
      <c r="K68" s="47"/>
      <c r="L68" s="133">
        <f>K68+J68</f>
        <v>0</v>
      </c>
      <c r="M68" s="46"/>
      <c r="N68" s="47"/>
      <c r="O68" s="133">
        <f>N68+M68</f>
        <v>0</v>
      </c>
      <c r="P68" s="49"/>
    </row>
    <row r="69" spans="1:16" ht="24" x14ac:dyDescent="0.25">
      <c r="A69" s="188">
        <v>1220</v>
      </c>
      <c r="B69" s="88" t="s">
        <v>88</v>
      </c>
      <c r="C69" s="89">
        <f t="shared" si="0"/>
        <v>529</v>
      </c>
      <c r="D69" s="189">
        <f>SUM(D70:D74)</f>
        <v>648</v>
      </c>
      <c r="E69" s="190">
        <f t="shared" ref="E69:F69" si="66">SUM(E70:E74)</f>
        <v>-119</v>
      </c>
      <c r="F69" s="55">
        <f t="shared" si="66"/>
        <v>529</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529</v>
      </c>
      <c r="D70" s="53">
        <v>648</v>
      </c>
      <c r="E70" s="201">
        <v>-119</v>
      </c>
      <c r="F70" s="55">
        <f t="shared" ref="F70:F74" si="70">D70+E70</f>
        <v>529</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6582</v>
      </c>
      <c r="D75" s="178">
        <f>SUM(D76,D83,D130,D164,D165,D172)</f>
        <v>8380</v>
      </c>
      <c r="E75" s="179">
        <f t="shared" ref="E75:F75" si="74">SUM(E76,E83,E130,E164,E165,E172)</f>
        <v>-1798</v>
      </c>
      <c r="F75" s="180">
        <f t="shared" si="74"/>
        <v>6582</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42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6323</v>
      </c>
      <c r="D83" s="183">
        <f>SUM(D84,D89,D95,D103,D112,D116,D122,D128)</f>
        <v>8380</v>
      </c>
      <c r="E83" s="184">
        <f t="shared" ref="E83:F83" si="98">SUM(E84,E89,E95,E103,E112,E116,E122,E128)</f>
        <v>-2057</v>
      </c>
      <c r="F83" s="72">
        <f t="shared" si="98"/>
        <v>6323</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6323</v>
      </c>
      <c r="D95" s="189">
        <f>SUM(D96:D102)</f>
        <v>8380</v>
      </c>
      <c r="E95" s="190">
        <f t="shared" ref="E95:F95" si="119">SUM(E96:E102)</f>
        <v>-2057</v>
      </c>
      <c r="F95" s="55">
        <f t="shared" si="119"/>
        <v>6323</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6323</v>
      </c>
      <c r="D102" s="194">
        <v>8380</v>
      </c>
      <c r="E102" s="198">
        <v>-2057</v>
      </c>
      <c r="F102" s="55">
        <f t="shared" si="123"/>
        <v>6323</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42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259</v>
      </c>
      <c r="D130" s="183">
        <f>SUM(D131,D136,D140,D141,D144,D151,D159,D160,D163)</f>
        <v>0</v>
      </c>
      <c r="E130" s="184">
        <f t="shared" ref="E130:F130" si="160">SUM(E131,E136,E140,E141,E144,E151,E159,E160,E163)</f>
        <v>259</v>
      </c>
      <c r="F130" s="72">
        <f t="shared" si="160"/>
        <v>259</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423">
        <v>2310</v>
      </c>
      <c r="B131" s="81" t="s">
        <v>148</v>
      </c>
      <c r="C131" s="82">
        <f t="shared" si="102"/>
        <v>259</v>
      </c>
      <c r="D131" s="192">
        <f t="shared" ref="D131:O131" si="164">SUM(D132:D135)</f>
        <v>0</v>
      </c>
      <c r="E131" s="193">
        <f t="shared" si="164"/>
        <v>259</v>
      </c>
      <c r="F131" s="133">
        <f t="shared" si="164"/>
        <v>259</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259</v>
      </c>
      <c r="D132" s="194"/>
      <c r="E132" s="198">
        <v>259</v>
      </c>
      <c r="F132" s="55">
        <f t="shared" ref="F132:F135" si="165">D132+E132</f>
        <v>259</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42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42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2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42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42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42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42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2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42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42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42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2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1248</v>
      </c>
      <c r="D286" s="189">
        <f>SUM(D287:D288)</f>
        <v>877</v>
      </c>
      <c r="E286" s="190">
        <f t="shared" ref="E286:F286" si="381">SUM(E287:E288)</f>
        <v>371</v>
      </c>
      <c r="F286" s="55">
        <f t="shared" si="381"/>
        <v>1248</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customHeight="1" x14ac:dyDescent="0.25">
      <c r="A287" s="199" t="s">
        <v>304</v>
      </c>
      <c r="B287" s="51" t="s">
        <v>305</v>
      </c>
      <c r="C287" s="89">
        <f t="shared" si="371"/>
        <v>1248</v>
      </c>
      <c r="D287" s="194">
        <v>877</v>
      </c>
      <c r="E287" s="198">
        <v>371</v>
      </c>
      <c r="F287" s="55">
        <f t="shared" ref="F287:F288" si="385">D287+E287</f>
        <v>1248</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20813</v>
      </c>
      <c r="D289" s="251">
        <f t="shared" ref="D289:O289" si="389">SUM(D286,D269,D230,D195,D187,D173,D75,D53,D283)</f>
        <v>25072</v>
      </c>
      <c r="E289" s="252">
        <f t="shared" si="389"/>
        <v>-4259</v>
      </c>
      <c r="F289" s="253">
        <f t="shared" si="389"/>
        <v>20813</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945" t="s">
        <v>309</v>
      </c>
      <c r="B290" s="1946"/>
      <c r="C290" s="255">
        <f t="shared" si="371"/>
        <v>1248</v>
      </c>
      <c r="D290" s="256">
        <f>SUM(D24,D25,D41)-D51</f>
        <v>877</v>
      </c>
      <c r="E290" s="257">
        <f t="shared" ref="E290:F290" si="390">SUM(E24,E25,E41)-E51</f>
        <v>371</v>
      </c>
      <c r="F290" s="258">
        <f t="shared" si="390"/>
        <v>1248</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947" t="s">
        <v>310</v>
      </c>
      <c r="B291" s="1948"/>
      <c r="C291" s="260">
        <f t="shared" si="371"/>
        <v>-1248</v>
      </c>
      <c r="D291" s="261">
        <f t="shared" ref="D291:O291" si="394">SUM(D292,D293)-D300+D301</f>
        <v>-877</v>
      </c>
      <c r="E291" s="262">
        <f t="shared" si="394"/>
        <v>-371</v>
      </c>
      <c r="F291" s="263">
        <f t="shared" si="394"/>
        <v>-1248</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6" t="s">
        <v>311</v>
      </c>
      <c r="B292" s="156" t="s">
        <v>312</v>
      </c>
      <c r="C292" s="157">
        <f t="shared" si="371"/>
        <v>-1248</v>
      </c>
      <c r="D292" s="158">
        <f t="shared" ref="D292:O292" si="395">D21-D286</f>
        <v>-877</v>
      </c>
      <c r="E292" s="159">
        <f t="shared" si="395"/>
        <v>-371</v>
      </c>
      <c r="F292" s="160">
        <f t="shared" si="395"/>
        <v>-1248</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yNn6YOKLGGOEW4vTvqlK8p4UEN5LfW4hloIX0kVHgrWQM6ajcjFD6m+0T12MrcCskk5oZKIxU8rfojsinHYH0Q==" saltValue="xdrDv4XImNhYELS9Zf9law==" spinCount="100000" sheet="1" objects="1" scenarios="1" formatCells="0" formatColumns="0" formatRows="0" deleteColumns="0"/>
  <autoFilter ref="A18:P301">
    <filterColumn colId="2">
      <filters>
        <filter val="1 248"/>
        <filter val="-1 248"/>
        <filter val="1 397"/>
        <filter val="12 983"/>
        <filter val="19 565"/>
        <filter val="2 500"/>
        <filter val="20 813"/>
        <filter val="259"/>
        <filter val="3 029"/>
        <filter val="529"/>
        <filter val="580"/>
        <filter val="6 323"/>
        <filter val="6 582"/>
        <filter val="8 557"/>
        <filter val="817"/>
        <filter val="9 95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4.pielikums Jūrmalas pilsētas domes
2019.gada 29.augusta saistošajiem noteikumiem Nr.31
(protokols Nr.12, 20.punkts)</firstHeader>
    <firstFooter>&amp;L&amp;9&amp;D; &amp;T&amp;R&amp;9&amp;P (&amp;N)</first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4" sqref="T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1717</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1718</v>
      </c>
      <c r="D6" s="1972"/>
      <c r="E6" s="1972"/>
      <c r="F6" s="1972"/>
      <c r="G6" s="1972"/>
      <c r="H6" s="1972"/>
      <c r="I6" s="1972"/>
      <c r="J6" s="1972"/>
      <c r="K6" s="1972"/>
      <c r="L6" s="1972"/>
      <c r="M6" s="1972"/>
      <c r="N6" s="1972"/>
      <c r="O6" s="1972"/>
      <c r="P6" s="1973"/>
      <c r="Q6" s="276"/>
    </row>
    <row r="7" spans="1:17" x14ac:dyDescent="0.25">
      <c r="A7" s="7" t="s">
        <v>10</v>
      </c>
      <c r="B7" s="8"/>
      <c r="C7" s="1977" t="s">
        <v>11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14</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570884</v>
      </c>
      <c r="D20" s="32">
        <f>SUM(D21,D24,D25,D41,D43)</f>
        <v>568884</v>
      </c>
      <c r="E20" s="33">
        <f t="shared" ref="E20:F20" si="1">SUM(E21,E24,E25,E41,E43)</f>
        <v>2000</v>
      </c>
      <c r="F20" s="34">
        <f t="shared" si="1"/>
        <v>570884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570884</v>
      </c>
      <c r="D24" s="60">
        <v>568884</v>
      </c>
      <c r="E24" s="741">
        <v>2000</v>
      </c>
      <c r="F24" s="62">
        <f t="shared" si="9"/>
        <v>570884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570884</v>
      </c>
      <c r="D50" s="158">
        <f>SUM(D51,D286)</f>
        <v>568884</v>
      </c>
      <c r="E50" s="159">
        <f t="shared" ref="E50:F50" si="26">SUM(E51,E286)</f>
        <v>2000</v>
      </c>
      <c r="F50" s="160">
        <f t="shared" si="26"/>
        <v>570884</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570884</v>
      </c>
      <c r="D51" s="164">
        <f>SUM(D52,D194)</f>
        <v>568884</v>
      </c>
      <c r="E51" s="165">
        <f t="shared" ref="E51:F51" si="30">SUM(E52,E194)</f>
        <v>2000</v>
      </c>
      <c r="F51" s="166">
        <f t="shared" si="30"/>
        <v>570884</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570884</v>
      </c>
      <c r="D52" s="172">
        <f>SUM(D53,D75,D173,D187)</f>
        <v>568884</v>
      </c>
      <c r="E52" s="173">
        <f t="shared" ref="E52:F52" si="34">SUM(E53,E75,E173,E187)</f>
        <v>2000</v>
      </c>
      <c r="F52" s="174">
        <f t="shared" si="34"/>
        <v>570884</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570884</v>
      </c>
      <c r="D53" s="178">
        <f>SUM(D54,D67)</f>
        <v>568884</v>
      </c>
      <c r="E53" s="179">
        <f t="shared" ref="E53:F53" si="38">SUM(E54,E67)</f>
        <v>2000</v>
      </c>
      <c r="F53" s="180">
        <f t="shared" si="38"/>
        <v>570884</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434271</v>
      </c>
      <c r="D54" s="183">
        <f>SUM(D55,D58,D66)</f>
        <v>434271</v>
      </c>
      <c r="E54" s="184">
        <f t="shared" ref="E54:F54" si="42">SUM(E55,E58,E66)</f>
        <v>0</v>
      </c>
      <c r="F54" s="72">
        <f t="shared" si="42"/>
        <v>434271</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333755</v>
      </c>
      <c r="D55" s="186">
        <f>SUM(D56:D57)</f>
        <v>333755</v>
      </c>
      <c r="E55" s="187">
        <f t="shared" ref="E55:F55" si="46">SUM(E56:E57)</f>
        <v>0</v>
      </c>
      <c r="F55" s="140">
        <f t="shared" si="46"/>
        <v>333755</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333755</v>
      </c>
      <c r="D57" s="53">
        <f>337755-4000</f>
        <v>333755</v>
      </c>
      <c r="E57" s="54"/>
      <c r="F57" s="55">
        <f t="shared" si="50"/>
        <v>333755</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62705</v>
      </c>
      <c r="D58" s="189">
        <f>SUM(D59:D65)</f>
        <v>62705</v>
      </c>
      <c r="E58" s="190">
        <f>SUM(E59:E65)</f>
        <v>0</v>
      </c>
      <c r="F58" s="55">
        <f t="shared" ref="F58" si="54">SUM(F59:F65)</f>
        <v>62705</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2499</v>
      </c>
      <c r="D60" s="53">
        <v>2499</v>
      </c>
      <c r="E60" s="54"/>
      <c r="F60" s="55">
        <f t="shared" si="58"/>
        <v>2499</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8" t="s">
        <v>81</v>
      </c>
      <c r="C62" s="89">
        <f t="shared" si="0"/>
        <v>16000</v>
      </c>
      <c r="D62" s="53">
        <v>16000</v>
      </c>
      <c r="E62" s="54"/>
      <c r="F62" s="55">
        <f t="shared" si="58"/>
        <v>16000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8263</v>
      </c>
      <c r="D63" s="53">
        <v>8263</v>
      </c>
      <c r="E63" s="54"/>
      <c r="F63" s="55">
        <f t="shared" si="58"/>
        <v>8263</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35943</v>
      </c>
      <c r="D64" s="53">
        <v>35943</v>
      </c>
      <c r="E64" s="54"/>
      <c r="F64" s="55">
        <f t="shared" si="58"/>
        <v>35943</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37811</v>
      </c>
      <c r="D66" s="143">
        <v>37811</v>
      </c>
      <c r="E66" s="144"/>
      <c r="F66" s="140">
        <f t="shared" si="58"/>
        <v>37811</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136613</v>
      </c>
      <c r="D67" s="183">
        <f>SUM(D68:D69)</f>
        <v>134613</v>
      </c>
      <c r="E67" s="184">
        <f t="shared" ref="E67:F67" si="62">SUM(E68:E69)</f>
        <v>2000</v>
      </c>
      <c r="F67" s="72">
        <f t="shared" si="62"/>
        <v>136613</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095">
        <v>1210</v>
      </c>
      <c r="B68" s="81" t="s">
        <v>87</v>
      </c>
      <c r="C68" s="82">
        <f t="shared" si="0"/>
        <v>109694</v>
      </c>
      <c r="D68" s="46">
        <v>109694</v>
      </c>
      <c r="E68" s="47"/>
      <c r="F68" s="133">
        <f>D68+E68</f>
        <v>109694</v>
      </c>
      <c r="G68" s="46"/>
      <c r="H68" s="47"/>
      <c r="I68" s="133">
        <f>G68+H68</f>
        <v>0</v>
      </c>
      <c r="J68" s="46"/>
      <c r="K68" s="47"/>
      <c r="L68" s="133">
        <f>K68+J68</f>
        <v>0</v>
      </c>
      <c r="M68" s="46"/>
      <c r="N68" s="47"/>
      <c r="O68" s="133">
        <f>N68+M68</f>
        <v>0</v>
      </c>
      <c r="P68" s="49"/>
    </row>
    <row r="69" spans="1:16" ht="24" x14ac:dyDescent="0.25">
      <c r="A69" s="188">
        <v>1220</v>
      </c>
      <c r="B69" s="88" t="s">
        <v>88</v>
      </c>
      <c r="C69" s="89">
        <f t="shared" si="0"/>
        <v>26919</v>
      </c>
      <c r="D69" s="189">
        <f>SUM(D70:D74)</f>
        <v>24919</v>
      </c>
      <c r="E69" s="190">
        <f t="shared" ref="E69:F69" si="66">SUM(E70:E74)</f>
        <v>2000</v>
      </c>
      <c r="F69" s="55">
        <f t="shared" si="66"/>
        <v>26919</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23077</v>
      </c>
      <c r="D70" s="53">
        <f>17077+4000</f>
        <v>21077</v>
      </c>
      <c r="E70" s="201">
        <v>2000</v>
      </c>
      <c r="F70" s="55">
        <f t="shared" ref="F70:F74" si="70">D70+E70</f>
        <v>23077</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3842</v>
      </c>
      <c r="D73" s="53">
        <v>3842</v>
      </c>
      <c r="E73" s="54"/>
      <c r="F73" s="55">
        <f t="shared" si="70"/>
        <v>3842</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095">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095">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095">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095">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095">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095">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095">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095">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095">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095">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095">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095">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095">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095">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095">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570884</v>
      </c>
      <c r="D289" s="251">
        <f t="shared" ref="D289:O289" si="389">SUM(D286,D269,D230,D195,D187,D173,D75,D53,D283)</f>
        <v>568884</v>
      </c>
      <c r="E289" s="252">
        <f t="shared" si="389"/>
        <v>2000</v>
      </c>
      <c r="F289" s="253">
        <f t="shared" si="389"/>
        <v>570884</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KTyjr1jZqcYU/gsNLekWXn8l7MgiJZSIW19WvyJ8oQR6K+utu/rEBu+TpTy3ekXTzYDnGPjq4FTA+G+iJIqEiw==" saltValue="v7KDB6G9LiWT3HwC6AkT7A==" spinCount="100000" sheet="1" objects="1" scenarios="1" formatCells="0" formatColumns="0" formatRows="0" deleteColumns="0"/>
  <autoFilter ref="A18:P301">
    <filterColumn colId="2">
      <filters>
        <filter val="109 694"/>
        <filter val="136 613"/>
        <filter val="16 000"/>
        <filter val="2 499"/>
        <filter val="23 077"/>
        <filter val="26 919"/>
        <filter val="3 842"/>
        <filter val="333 755"/>
        <filter val="35 943"/>
        <filter val="37 811"/>
        <filter val="434 271"/>
        <filter val="570 884"/>
        <filter val="62 705"/>
        <filter val="8 26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22.pielikums Jūrmalas pilsētas domes
2019.gada 29.augusta saistošajiem noteikumiem Nr.31
(protokols Nr.12, 20.punkts)</firstHeader>
    <firstFooter>&amp;L&amp;9&amp;D; &amp;T&amp;R&amp;9&amp;P (&amp;N)</first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U4" sqref="U3:U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1539</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731</v>
      </c>
      <c r="D6" s="1972"/>
      <c r="E6" s="1972"/>
      <c r="F6" s="1972"/>
      <c r="G6" s="1972"/>
      <c r="H6" s="1972"/>
      <c r="I6" s="1972"/>
      <c r="J6" s="1972"/>
      <c r="K6" s="1972"/>
      <c r="L6" s="1972"/>
      <c r="M6" s="1972"/>
      <c r="N6" s="1972"/>
      <c r="O6" s="1972"/>
      <c r="P6" s="1973"/>
      <c r="Q6" s="276"/>
    </row>
    <row r="7" spans="1:17" ht="25.5" customHeight="1" x14ac:dyDescent="0.25">
      <c r="A7" s="7" t="s">
        <v>10</v>
      </c>
      <c r="B7" s="8"/>
      <c r="C7" s="1977" t="s">
        <v>1290</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926286</v>
      </c>
      <c r="D20" s="32">
        <f>SUM(D21,D24,D25,D41,D43)</f>
        <v>940799</v>
      </c>
      <c r="E20" s="33">
        <f t="shared" ref="E20:F20" si="1">SUM(E21,E24,E25,E41,E43)</f>
        <v>-14513</v>
      </c>
      <c r="F20" s="34">
        <f t="shared" si="1"/>
        <v>926286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926286</v>
      </c>
      <c r="D24" s="60">
        <f>D51</f>
        <v>940799</v>
      </c>
      <c r="E24" s="741">
        <f>-3861+861+4582-151-27433+10655-2330+4221-1057</f>
        <v>-14513</v>
      </c>
      <c r="F24" s="62">
        <f t="shared" si="9"/>
        <v>926286</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926286</v>
      </c>
      <c r="D50" s="158">
        <f>SUM(D51,D286)</f>
        <v>940799</v>
      </c>
      <c r="E50" s="159">
        <f t="shared" ref="E50:F50" si="26">SUM(E51,E286)</f>
        <v>-14513</v>
      </c>
      <c r="F50" s="160">
        <f t="shared" si="26"/>
        <v>926286</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926286</v>
      </c>
      <c r="D51" s="164">
        <f>SUM(D52,D194)</f>
        <v>940799</v>
      </c>
      <c r="E51" s="165">
        <f t="shared" ref="E51:F51" si="30">SUM(E52,E194)</f>
        <v>-14513</v>
      </c>
      <c r="F51" s="166">
        <f t="shared" si="30"/>
        <v>926286</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53684</v>
      </c>
      <c r="D52" s="172">
        <f>SUM(D53,D75,D173,D187)</f>
        <v>79535</v>
      </c>
      <c r="E52" s="173">
        <f t="shared" ref="E52:F52" si="34">SUM(E53,E75,E173,E187)</f>
        <v>-25851</v>
      </c>
      <c r="F52" s="174">
        <f t="shared" si="34"/>
        <v>53684</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941">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53684</v>
      </c>
      <c r="D75" s="178">
        <f>SUM(D76,D83,D130,D164,D165,D172)</f>
        <v>79535</v>
      </c>
      <c r="E75" s="179">
        <f t="shared" ref="E75:F75" si="74">SUM(E76,E83,E130,E164,E165,E172)</f>
        <v>-25851</v>
      </c>
      <c r="F75" s="180">
        <f t="shared" si="74"/>
        <v>53684</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941">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40956</v>
      </c>
      <c r="D83" s="183">
        <f>SUM(D84,D89,D95,D103,D112,D116,D122,D128)</f>
        <v>40235</v>
      </c>
      <c r="E83" s="184">
        <f t="shared" ref="E83:F83" si="98">SUM(E84,E89,E95,E103,E112,E116,E122,E128)</f>
        <v>721</v>
      </c>
      <c r="F83" s="72">
        <f t="shared" si="98"/>
        <v>40956</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39322</v>
      </c>
      <c r="D103" s="189">
        <f>SUM(D104:D111)</f>
        <v>38601</v>
      </c>
      <c r="E103" s="190">
        <f t="shared" ref="E103:F103" si="127">SUM(E104:E111)</f>
        <v>721</v>
      </c>
      <c r="F103" s="55">
        <f t="shared" si="127"/>
        <v>39322</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customHeight="1" x14ac:dyDescent="0.25">
      <c r="A104" s="51">
        <v>2241</v>
      </c>
      <c r="B104" s="88" t="s">
        <v>121</v>
      </c>
      <c r="C104" s="89">
        <f t="shared" si="102"/>
        <v>3205</v>
      </c>
      <c r="D104" s="194">
        <v>3205</v>
      </c>
      <c r="E104" s="195"/>
      <c r="F104" s="55">
        <f t="shared" ref="F104:F111" si="131">D104+E104</f>
        <v>3205</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10396</v>
      </c>
      <c r="D106" s="194">
        <v>10396</v>
      </c>
      <c r="E106" s="195"/>
      <c r="F106" s="55">
        <f t="shared" si="131"/>
        <v>10396</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8" t="s">
        <v>124</v>
      </c>
      <c r="C107" s="89">
        <f t="shared" si="102"/>
        <v>25721</v>
      </c>
      <c r="D107" s="194">
        <v>25000</v>
      </c>
      <c r="E107" s="198">
        <f>-3861+4582</f>
        <v>721</v>
      </c>
      <c r="F107" s="55">
        <f t="shared" si="131"/>
        <v>25721</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1634</v>
      </c>
      <c r="D122" s="189">
        <f>SUM(D123:D127)</f>
        <v>1634</v>
      </c>
      <c r="E122" s="190">
        <f t="shared" ref="E122:F122" si="151">SUM(E123:E127)</f>
        <v>0</v>
      </c>
      <c r="F122" s="55">
        <f t="shared" si="151"/>
        <v>1634</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1634</v>
      </c>
      <c r="D127" s="194">
        <v>1634</v>
      </c>
      <c r="E127" s="195"/>
      <c r="F127" s="55">
        <f t="shared" si="155"/>
        <v>1634</v>
      </c>
      <c r="G127" s="53"/>
      <c r="H127" s="54"/>
      <c r="I127" s="55">
        <f t="shared" si="156"/>
        <v>0</v>
      </c>
      <c r="J127" s="53"/>
      <c r="K127" s="54"/>
      <c r="L127" s="55">
        <f t="shared" si="157"/>
        <v>0</v>
      </c>
      <c r="M127" s="53"/>
      <c r="N127" s="54"/>
      <c r="O127" s="55">
        <f t="shared" si="158"/>
        <v>0</v>
      </c>
      <c r="P127" s="57"/>
    </row>
    <row r="128" spans="1:16" ht="48" hidden="1" x14ac:dyDescent="0.25">
      <c r="A128" s="94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12728</v>
      </c>
      <c r="D130" s="183">
        <f>SUM(D131,D136,D140,D141,D144,D151,D159,D160,D163)</f>
        <v>39300</v>
      </c>
      <c r="E130" s="184">
        <f t="shared" ref="E130:F130" si="160">SUM(E131,E136,E140,E141,E144,E151,E159,E160,E163)</f>
        <v>-26572</v>
      </c>
      <c r="F130" s="72">
        <f t="shared" si="160"/>
        <v>12728</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941">
        <v>2310</v>
      </c>
      <c r="B131" s="81" t="s">
        <v>148</v>
      </c>
      <c r="C131" s="82">
        <f t="shared" si="102"/>
        <v>12528</v>
      </c>
      <c r="D131" s="192">
        <f t="shared" ref="D131:O131" si="164">SUM(D132:D135)</f>
        <v>39100</v>
      </c>
      <c r="E131" s="193">
        <f t="shared" si="164"/>
        <v>-26572</v>
      </c>
      <c r="F131" s="133">
        <f t="shared" si="164"/>
        <v>12528</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12528</v>
      </c>
      <c r="D133" s="194">
        <v>39100</v>
      </c>
      <c r="E133" s="198">
        <f>861-27433</f>
        <v>-26572</v>
      </c>
      <c r="F133" s="55">
        <f t="shared" si="165"/>
        <v>12528</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5">
        <v>2390</v>
      </c>
      <c r="B163" s="137" t="s">
        <v>180</v>
      </c>
      <c r="C163" s="142">
        <f t="shared" si="193"/>
        <v>200</v>
      </c>
      <c r="D163" s="202">
        <v>200</v>
      </c>
      <c r="E163" s="203"/>
      <c r="F163" s="140">
        <f t="shared" si="206"/>
        <v>200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941">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94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4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941">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94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872602</v>
      </c>
      <c r="D194" s="172">
        <f>SUM(D195,D230,D269,D283)</f>
        <v>861264</v>
      </c>
      <c r="E194" s="173">
        <f t="shared" ref="E194:O194" si="259">SUM(E195,E230,E269,E283)</f>
        <v>11338</v>
      </c>
      <c r="F194" s="174">
        <f t="shared" si="259"/>
        <v>872602</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872602</v>
      </c>
      <c r="D195" s="178">
        <f>D196+D204</f>
        <v>861264</v>
      </c>
      <c r="E195" s="179">
        <f t="shared" ref="E195:F195" si="260">E196+E204</f>
        <v>11338</v>
      </c>
      <c r="F195" s="180">
        <f t="shared" si="260"/>
        <v>872602</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941">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872602</v>
      </c>
      <c r="D204" s="183">
        <f>D205+D215+D216+D225+D226+D227+D229</f>
        <v>861264</v>
      </c>
      <c r="E204" s="184">
        <f t="shared" ref="E204:F204" si="276">E205+E215+E216+E225+E226+E227+E229</f>
        <v>11338</v>
      </c>
      <c r="F204" s="72">
        <f t="shared" si="276"/>
        <v>872602</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10262</v>
      </c>
      <c r="D216" s="189">
        <f>SUM(D217:D224)</f>
        <v>12592</v>
      </c>
      <c r="E216" s="190">
        <f t="shared" ref="E216:F216" si="289">SUM(E217:E224)</f>
        <v>-2330</v>
      </c>
      <c r="F216" s="55">
        <f t="shared" si="289"/>
        <v>10262</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10262</v>
      </c>
      <c r="D224" s="194">
        <v>12592</v>
      </c>
      <c r="E224" s="198">
        <f>-2330</f>
        <v>-2330</v>
      </c>
      <c r="F224" s="55">
        <f t="shared" si="293"/>
        <v>10262</v>
      </c>
      <c r="G224" s="53"/>
      <c r="H224" s="54"/>
      <c r="I224" s="55">
        <f t="shared" si="294"/>
        <v>0</v>
      </c>
      <c r="J224" s="53"/>
      <c r="K224" s="54"/>
      <c r="L224" s="55">
        <f t="shared" si="295"/>
        <v>0</v>
      </c>
      <c r="M224" s="53"/>
      <c r="N224" s="54"/>
      <c r="O224" s="55">
        <f t="shared" si="296"/>
        <v>0</v>
      </c>
      <c r="P224" s="57"/>
    </row>
    <row r="225" spans="1:16" ht="24" customHeight="1" x14ac:dyDescent="0.25">
      <c r="A225" s="188">
        <v>5240</v>
      </c>
      <c r="B225" s="88" t="s">
        <v>242</v>
      </c>
      <c r="C225" s="89">
        <f t="shared" si="288"/>
        <v>548734</v>
      </c>
      <c r="D225" s="194">
        <v>548885</v>
      </c>
      <c r="E225" s="198">
        <f>-151</f>
        <v>-151</v>
      </c>
      <c r="F225" s="55">
        <f t="shared" si="293"/>
        <v>548734</v>
      </c>
      <c r="G225" s="53"/>
      <c r="H225" s="54"/>
      <c r="I225" s="55">
        <f t="shared" si="294"/>
        <v>0</v>
      </c>
      <c r="J225" s="53"/>
      <c r="K225" s="54"/>
      <c r="L225" s="55">
        <f t="shared" si="295"/>
        <v>0</v>
      </c>
      <c r="M225" s="53"/>
      <c r="N225" s="54"/>
      <c r="O225" s="55">
        <f t="shared" si="296"/>
        <v>0</v>
      </c>
      <c r="P225" s="57"/>
    </row>
    <row r="226" spans="1:16" ht="12" customHeight="1" x14ac:dyDescent="0.25">
      <c r="A226" s="188">
        <v>5250</v>
      </c>
      <c r="B226" s="88" t="s">
        <v>243</v>
      </c>
      <c r="C226" s="89">
        <f t="shared" si="288"/>
        <v>313606</v>
      </c>
      <c r="D226" s="194">
        <v>299787</v>
      </c>
      <c r="E226" s="198">
        <f>10655+4221-1057</f>
        <v>13819</v>
      </c>
      <c r="F226" s="55">
        <f t="shared" si="293"/>
        <v>313606</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941">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4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94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94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941">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41">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926286</v>
      </c>
      <c r="D289" s="251">
        <f t="shared" ref="D289:O289" si="389">SUM(D286,D269,D230,D195,D187,D173,D75,D53,D283)</f>
        <v>940799</v>
      </c>
      <c r="E289" s="252">
        <f t="shared" si="389"/>
        <v>-14513</v>
      </c>
      <c r="F289" s="253">
        <f t="shared" si="389"/>
        <v>926286</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shcjdz6ufnPETCgPY7RSayJqHyk6dEJTazGMeac+gzRGS48q9aayzoidSUn4D3+AgWvuho/sw/8zjj1Mx7mTBw==" saltValue="scdcS6a84+jgk9zi8oePHw==" spinCount="100000" sheet="1" objects="1" scenarios="1" formatCells="0" formatColumns="0" formatRows="0" deleteColumns="0"/>
  <autoFilter ref="A18:P301">
    <filterColumn colId="2">
      <filters>
        <filter val="1 634"/>
        <filter val="10 262"/>
        <filter val="10 396"/>
        <filter val="12 528"/>
        <filter val="12 728"/>
        <filter val="200"/>
        <filter val="25 721"/>
        <filter val="3 205"/>
        <filter val="310 442"/>
        <filter val="39 322"/>
        <filter val="40 956"/>
        <filter val="53 684"/>
        <filter val="548 734"/>
        <filter val="869 438"/>
        <filter val="923 12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23.pielikums Jūrmalas pilsētas domes
2019.gada 29.augusta saistošajiem noteikumiem Nr.31
(protokols Nr.12, 20.punkts)
 </firstHeader>
    <firstFooter>&amp;L&amp;9&amp;D; &amp;T&amp;R&amp;9&amp;P (&amp;N)</first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S318"/>
  <sheetViews>
    <sheetView showGridLines="0" view="pageLayout" zoomScaleNormal="100" workbookViewId="0">
      <selection activeCell="T8" sqref="T8"/>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1878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448</v>
      </c>
      <c r="D6" s="1972"/>
      <c r="E6" s="1972"/>
      <c r="F6" s="1972"/>
      <c r="G6" s="1972"/>
      <c r="H6" s="1972"/>
      <c r="I6" s="1972"/>
      <c r="J6" s="1972"/>
      <c r="K6" s="1972"/>
      <c r="L6" s="1972"/>
      <c r="M6" s="1972"/>
      <c r="N6" s="1972"/>
      <c r="O6" s="1972"/>
      <c r="P6" s="1973"/>
      <c r="Q6" s="276"/>
    </row>
    <row r="7" spans="1:17" x14ac:dyDescent="0.25">
      <c r="A7" s="7" t="s">
        <v>10</v>
      </c>
      <c r="B7" s="8"/>
      <c r="C7" s="1977" t="s">
        <v>1879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9"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9"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9" s="28" customFormat="1" ht="12" hidden="1" customHeight="1" x14ac:dyDescent="0.25">
      <c r="A19" s="22"/>
      <c r="B19" s="23" t="s">
        <v>38</v>
      </c>
      <c r="C19" s="24"/>
      <c r="D19" s="25"/>
      <c r="E19" s="26"/>
      <c r="F19" s="27"/>
      <c r="G19" s="25"/>
      <c r="H19" s="26"/>
      <c r="I19" s="27"/>
      <c r="J19" s="25"/>
      <c r="K19" s="26"/>
      <c r="L19" s="27"/>
      <c r="M19" s="25"/>
      <c r="N19" s="26"/>
      <c r="O19" s="27"/>
      <c r="P19" s="27"/>
    </row>
    <row r="20" spans="1:19" s="28" customFormat="1" ht="12.75" thickBot="1" x14ac:dyDescent="0.3">
      <c r="A20" s="29"/>
      <c r="B20" s="30" t="s">
        <v>39</v>
      </c>
      <c r="C20" s="31">
        <f t="shared" ref="C20:C83" si="0">F20+I20+L20+O20</f>
        <v>988682</v>
      </c>
      <c r="D20" s="32">
        <f>SUM(D21,D24,D25,D41,D43)</f>
        <v>988682</v>
      </c>
      <c r="E20" s="33">
        <f t="shared" ref="E20:F20" si="1">SUM(E21,E24,E25,E41,E43)</f>
        <v>0</v>
      </c>
      <c r="F20" s="34">
        <f t="shared" si="1"/>
        <v>988682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c r="S20" s="1936"/>
    </row>
    <row r="21" spans="1:19"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c r="S21" s="1936"/>
    </row>
    <row r="22" spans="1:19"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c r="S22" s="1936"/>
    </row>
    <row r="23" spans="1:19"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c r="S23" s="1936"/>
    </row>
    <row r="24" spans="1:19" s="28" customFormat="1" ht="24.75" customHeight="1" thickTop="1" thickBot="1" x14ac:dyDescent="0.3">
      <c r="A24" s="58">
        <v>19300</v>
      </c>
      <c r="B24" s="58" t="s">
        <v>43</v>
      </c>
      <c r="C24" s="59">
        <f>F24+I24</f>
        <v>988682</v>
      </c>
      <c r="D24" s="60">
        <f>D51</f>
        <v>988682</v>
      </c>
      <c r="E24" s="741">
        <f>-469+469</f>
        <v>0</v>
      </c>
      <c r="F24" s="62">
        <f t="shared" si="9"/>
        <v>988682</v>
      </c>
      <c r="G24" s="60">
        <f>G51</f>
        <v>0</v>
      </c>
      <c r="H24" s="61"/>
      <c r="I24" s="62">
        <f t="shared" si="10"/>
        <v>0</v>
      </c>
      <c r="J24" s="63" t="s">
        <v>44</v>
      </c>
      <c r="K24" s="64" t="s">
        <v>44</v>
      </c>
      <c r="L24" s="65" t="s">
        <v>44</v>
      </c>
      <c r="M24" s="63" t="s">
        <v>44</v>
      </c>
      <c r="N24" s="64" t="s">
        <v>44</v>
      </c>
      <c r="O24" s="65" t="s">
        <v>44</v>
      </c>
      <c r="P24" s="66"/>
      <c r="S24" s="1936"/>
    </row>
    <row r="25" spans="1:19"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c r="S25" s="1936"/>
    </row>
    <row r="26" spans="1:19"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c r="S26" s="1936"/>
    </row>
    <row r="27" spans="1:19"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c r="S27" s="1936"/>
    </row>
    <row r="28" spans="1:19"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c r="S28" s="1936"/>
    </row>
    <row r="29" spans="1:19"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c r="S29" s="1936"/>
    </row>
    <row r="30" spans="1:19"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c r="S30" s="1936"/>
    </row>
    <row r="31" spans="1:19"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c r="S31" s="1936"/>
    </row>
    <row r="32" spans="1:19"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c r="S32" s="1936"/>
    </row>
    <row r="33" spans="1:19"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c r="S33" s="1936"/>
    </row>
    <row r="34" spans="1:19"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c r="S34" s="1936"/>
    </row>
    <row r="35" spans="1:19"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c r="S35" s="1936"/>
    </row>
    <row r="36" spans="1:19"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c r="S36" s="1936"/>
    </row>
    <row r="37" spans="1:19"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c r="S37" s="1936"/>
    </row>
    <row r="38" spans="1:19"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c r="S38" s="1936"/>
    </row>
    <row r="39" spans="1:19"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c r="S39" s="1936"/>
    </row>
    <row r="40" spans="1:19"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c r="S40" s="1936"/>
    </row>
    <row r="41" spans="1:19"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c r="S41" s="1936"/>
    </row>
    <row r="42" spans="1:19"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c r="S42" s="1936"/>
    </row>
    <row r="43" spans="1:19"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c r="S43" s="1936"/>
    </row>
    <row r="44" spans="1:19"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c r="S44" s="1936"/>
    </row>
    <row r="45" spans="1:19"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c r="S45" s="1936"/>
    </row>
    <row r="46" spans="1:19"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c r="S46" s="1936"/>
    </row>
    <row r="47" spans="1:19"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c r="S47" s="1936"/>
    </row>
    <row r="48" spans="1:19" ht="12" hidden="1" customHeight="1" x14ac:dyDescent="0.25">
      <c r="A48" s="141"/>
      <c r="B48" s="137"/>
      <c r="C48" s="142"/>
      <c r="D48" s="143"/>
      <c r="E48" s="144"/>
      <c r="F48" s="140"/>
      <c r="G48" s="143"/>
      <c r="H48" s="144"/>
      <c r="I48" s="140"/>
      <c r="J48" s="143"/>
      <c r="K48" s="144"/>
      <c r="L48" s="124"/>
      <c r="M48" s="143"/>
      <c r="N48" s="144"/>
      <c r="O48" s="140"/>
      <c r="P48" s="128"/>
      <c r="S48" s="1936"/>
    </row>
    <row r="49" spans="1:19" s="28" customFormat="1" ht="12" hidden="1" customHeight="1" x14ac:dyDescent="0.25">
      <c r="A49" s="145"/>
      <c r="B49" s="146" t="s">
        <v>68</v>
      </c>
      <c r="C49" s="147"/>
      <c r="D49" s="148"/>
      <c r="E49" s="149"/>
      <c r="F49" s="150"/>
      <c r="G49" s="151"/>
      <c r="H49" s="152"/>
      <c r="I49" s="153"/>
      <c r="J49" s="151"/>
      <c r="K49" s="152"/>
      <c r="L49" s="154"/>
      <c r="M49" s="151"/>
      <c r="N49" s="152"/>
      <c r="O49" s="153"/>
      <c r="P49" s="155"/>
      <c r="S49" s="1936"/>
    </row>
    <row r="50" spans="1:19" s="28" customFormat="1" ht="13.5" thickTop="1" thickBot="1" x14ac:dyDescent="0.3">
      <c r="A50" s="156"/>
      <c r="B50" s="29" t="s">
        <v>69</v>
      </c>
      <c r="C50" s="157">
        <f t="shared" si="0"/>
        <v>988682</v>
      </c>
      <c r="D50" s="158">
        <f>SUM(D51,D286)</f>
        <v>988682</v>
      </c>
      <c r="E50" s="159">
        <f t="shared" ref="E50:F50" si="26">SUM(E51,E286)</f>
        <v>0</v>
      </c>
      <c r="F50" s="160">
        <f t="shared" si="26"/>
        <v>988682</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c r="S50" s="1936"/>
    </row>
    <row r="51" spans="1:19" s="28" customFormat="1" ht="36.75" thickTop="1" x14ac:dyDescent="0.25">
      <c r="A51" s="161"/>
      <c r="B51" s="162" t="s">
        <v>70</v>
      </c>
      <c r="C51" s="163">
        <f t="shared" si="0"/>
        <v>988682</v>
      </c>
      <c r="D51" s="164">
        <f>SUM(D52,D194)</f>
        <v>988682</v>
      </c>
      <c r="E51" s="165">
        <f t="shared" ref="E51:F51" si="30">SUM(E52,E194)</f>
        <v>0</v>
      </c>
      <c r="F51" s="166">
        <f t="shared" si="30"/>
        <v>988682</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c r="S51" s="1936"/>
    </row>
    <row r="52" spans="1:19" s="28" customFormat="1" ht="24" x14ac:dyDescent="0.25">
      <c r="A52" s="24"/>
      <c r="B52" s="22" t="s">
        <v>71</v>
      </c>
      <c r="C52" s="171">
        <f t="shared" si="0"/>
        <v>974042</v>
      </c>
      <c r="D52" s="172">
        <f>SUM(D53,D75,D173,D187)</f>
        <v>973573</v>
      </c>
      <c r="E52" s="173">
        <f t="shared" ref="E52:F52" si="34">SUM(E53,E75,E173,E187)</f>
        <v>469</v>
      </c>
      <c r="F52" s="174">
        <f t="shared" si="34"/>
        <v>974042</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c r="S52" s="1936"/>
    </row>
    <row r="53" spans="1:19" s="28" customFormat="1" x14ac:dyDescent="0.25">
      <c r="A53" s="176">
        <v>1000</v>
      </c>
      <c r="B53" s="176" t="s">
        <v>72</v>
      </c>
      <c r="C53" s="177">
        <f t="shared" si="0"/>
        <v>82602</v>
      </c>
      <c r="D53" s="178">
        <f>SUM(D54,D67)</f>
        <v>82602</v>
      </c>
      <c r="E53" s="179">
        <f t="shared" ref="E53:F53" si="38">SUM(E54,E67)</f>
        <v>0</v>
      </c>
      <c r="F53" s="180">
        <f t="shared" si="38"/>
        <v>82602</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c r="S53" s="1936"/>
    </row>
    <row r="54" spans="1:19" x14ac:dyDescent="0.25">
      <c r="A54" s="68">
        <v>1100</v>
      </c>
      <c r="B54" s="182" t="s">
        <v>73</v>
      </c>
      <c r="C54" s="69">
        <f t="shared" si="0"/>
        <v>78311</v>
      </c>
      <c r="D54" s="183">
        <f>SUM(D55,D58,D66)</f>
        <v>78311</v>
      </c>
      <c r="E54" s="184">
        <f t="shared" ref="E54:F54" si="42">SUM(E55,E58,E66)</f>
        <v>0</v>
      </c>
      <c r="F54" s="72">
        <f t="shared" si="42"/>
        <v>78311</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c r="S54" s="1936"/>
    </row>
    <row r="55" spans="1:19"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c r="S55" s="1936"/>
    </row>
    <row r="56" spans="1:19"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c r="S56" s="1936"/>
    </row>
    <row r="57" spans="1:19"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c r="S57" s="1936"/>
    </row>
    <row r="58" spans="1:19"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c r="S58" s="1936"/>
    </row>
    <row r="59" spans="1:19"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c r="S59" s="1936"/>
    </row>
    <row r="60" spans="1:19"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c r="S60" s="1936"/>
    </row>
    <row r="61" spans="1:19"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c r="S61" s="1936"/>
    </row>
    <row r="62" spans="1:19"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c r="S62" s="1936"/>
    </row>
    <row r="63" spans="1:19"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c r="S63" s="1936"/>
    </row>
    <row r="64" spans="1:19"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c r="S64" s="1936"/>
    </row>
    <row r="65" spans="1:19"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c r="S65" s="1936"/>
    </row>
    <row r="66" spans="1:19" ht="36" customHeight="1" x14ac:dyDescent="0.25">
      <c r="A66" s="185">
        <v>1150</v>
      </c>
      <c r="B66" s="137" t="s">
        <v>85</v>
      </c>
      <c r="C66" s="142">
        <f t="shared" si="0"/>
        <v>78311</v>
      </c>
      <c r="D66" s="143">
        <v>78311</v>
      </c>
      <c r="E66" s="144"/>
      <c r="F66" s="140">
        <f t="shared" si="58"/>
        <v>78311</v>
      </c>
      <c r="G66" s="143"/>
      <c r="H66" s="144"/>
      <c r="I66" s="140">
        <f t="shared" si="59"/>
        <v>0</v>
      </c>
      <c r="J66" s="143"/>
      <c r="K66" s="144"/>
      <c r="L66" s="140">
        <f t="shared" si="60"/>
        <v>0</v>
      </c>
      <c r="M66" s="143"/>
      <c r="N66" s="144"/>
      <c r="O66" s="140">
        <f t="shared" si="61"/>
        <v>0</v>
      </c>
      <c r="P66" s="128"/>
      <c r="S66" s="1936"/>
    </row>
    <row r="67" spans="1:19" ht="24" x14ac:dyDescent="0.25">
      <c r="A67" s="68">
        <v>1200</v>
      </c>
      <c r="B67" s="182" t="s">
        <v>86</v>
      </c>
      <c r="C67" s="69">
        <f t="shared" si="0"/>
        <v>4291</v>
      </c>
      <c r="D67" s="183">
        <f>SUM(D68:D69)</f>
        <v>4291</v>
      </c>
      <c r="E67" s="184">
        <f t="shared" ref="E67:F67" si="62">SUM(E68:E69)</f>
        <v>0</v>
      </c>
      <c r="F67" s="72">
        <f t="shared" si="62"/>
        <v>4291</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c r="S67" s="1936"/>
    </row>
    <row r="68" spans="1:19" ht="24" customHeight="1" x14ac:dyDescent="0.25">
      <c r="A68" s="1213">
        <v>1210</v>
      </c>
      <c r="B68" s="81" t="s">
        <v>87</v>
      </c>
      <c r="C68" s="82">
        <f t="shared" si="0"/>
        <v>4291</v>
      </c>
      <c r="D68" s="46">
        <v>4291</v>
      </c>
      <c r="E68" s="47"/>
      <c r="F68" s="133">
        <f>D68+E68</f>
        <v>4291</v>
      </c>
      <c r="G68" s="46"/>
      <c r="H68" s="47"/>
      <c r="I68" s="133">
        <f>G68+H68</f>
        <v>0</v>
      </c>
      <c r="J68" s="46"/>
      <c r="K68" s="47"/>
      <c r="L68" s="133">
        <f>K68+J68</f>
        <v>0</v>
      </c>
      <c r="M68" s="46"/>
      <c r="N68" s="47"/>
      <c r="O68" s="133">
        <f>N68+M68</f>
        <v>0</v>
      </c>
      <c r="P68" s="49"/>
      <c r="S68" s="1936"/>
    </row>
    <row r="69" spans="1:19"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c r="S69" s="1936"/>
    </row>
    <row r="70" spans="1:19"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c r="S70" s="1936"/>
    </row>
    <row r="71" spans="1:19"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c r="S71" s="1936"/>
    </row>
    <row r="72" spans="1:19"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c r="S72" s="1936"/>
    </row>
    <row r="73" spans="1:19"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c r="S73" s="1936"/>
    </row>
    <row r="74" spans="1:19"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c r="S74" s="1936"/>
    </row>
    <row r="75" spans="1:19" x14ac:dyDescent="0.25">
      <c r="A75" s="176">
        <v>2000</v>
      </c>
      <c r="B75" s="176" t="s">
        <v>94</v>
      </c>
      <c r="C75" s="177">
        <f t="shared" si="0"/>
        <v>682553</v>
      </c>
      <c r="D75" s="178">
        <f>SUM(D76,D83,D130,D164,D165,D172)</f>
        <v>682084</v>
      </c>
      <c r="E75" s="179">
        <f t="shared" ref="E75:F75" si="74">SUM(E76,E83,E130,E164,E165,E172)</f>
        <v>469</v>
      </c>
      <c r="F75" s="180">
        <f t="shared" si="74"/>
        <v>682553</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c r="S75" s="1936"/>
    </row>
    <row r="76" spans="1:19"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c r="S76" s="1936"/>
    </row>
    <row r="77" spans="1:19" ht="24" hidden="1" x14ac:dyDescent="0.25">
      <c r="A77" s="121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c r="S77" s="1936"/>
    </row>
    <row r="78" spans="1:19"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c r="S78" s="1936"/>
    </row>
    <row r="79" spans="1:19"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c r="S79" s="1936"/>
    </row>
    <row r="80" spans="1:19"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c r="S80" s="1936"/>
    </row>
    <row r="81" spans="1:19"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c r="S81" s="1936"/>
    </row>
    <row r="82" spans="1:19"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c r="S82" s="1936"/>
    </row>
    <row r="83" spans="1:19" x14ac:dyDescent="0.25">
      <c r="A83" s="68">
        <v>2200</v>
      </c>
      <c r="B83" s="182" t="s">
        <v>100</v>
      </c>
      <c r="C83" s="69">
        <f t="shared" si="0"/>
        <v>681355</v>
      </c>
      <c r="D83" s="183">
        <f>SUM(D84,D89,D95,D103,D112,D116,D122,D128)</f>
        <v>680886</v>
      </c>
      <c r="E83" s="184">
        <f t="shared" ref="E83:F83" si="98">SUM(E84,E89,E95,E103,E112,E116,E122,E128)</f>
        <v>469</v>
      </c>
      <c r="F83" s="72">
        <f t="shared" si="98"/>
        <v>681355</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c r="S83" s="1936"/>
    </row>
    <row r="84" spans="1:19"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c r="S84" s="1936"/>
    </row>
    <row r="85" spans="1:19"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c r="S85" s="1936"/>
    </row>
    <row r="86" spans="1:19"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c r="S86" s="1936"/>
    </row>
    <row r="87" spans="1:19"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c r="S87" s="1936"/>
    </row>
    <row r="88" spans="1:19"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c r="S88" s="1936"/>
    </row>
    <row r="89" spans="1:19"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c r="S89" s="1936"/>
    </row>
    <row r="90" spans="1:19"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c r="S90" s="1936"/>
    </row>
    <row r="91" spans="1:19"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c r="S91" s="1936"/>
    </row>
    <row r="92" spans="1:19"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c r="S92" s="1936"/>
    </row>
    <row r="93" spans="1:19"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c r="S93" s="1936"/>
    </row>
    <row r="94" spans="1:19"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c r="S94" s="1936"/>
    </row>
    <row r="95" spans="1:19" ht="36" x14ac:dyDescent="0.25">
      <c r="A95" s="188">
        <v>2230</v>
      </c>
      <c r="B95" s="88" t="s">
        <v>112</v>
      </c>
      <c r="C95" s="89">
        <f t="shared" si="102"/>
        <v>7041</v>
      </c>
      <c r="D95" s="189">
        <f>SUM(D96:D102)</f>
        <v>7041</v>
      </c>
      <c r="E95" s="190">
        <f t="shared" ref="E95:F95" si="119">SUM(E96:E102)</f>
        <v>0</v>
      </c>
      <c r="F95" s="55">
        <f t="shared" si="119"/>
        <v>7041</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c r="S95" s="1936"/>
    </row>
    <row r="96" spans="1:19" ht="24" customHeight="1" x14ac:dyDescent="0.25">
      <c r="A96" s="51">
        <v>2231</v>
      </c>
      <c r="B96" s="88" t="s">
        <v>113</v>
      </c>
      <c r="C96" s="89">
        <f t="shared" si="102"/>
        <v>7041</v>
      </c>
      <c r="D96" s="194">
        <v>7041</v>
      </c>
      <c r="E96" s="195"/>
      <c r="F96" s="55">
        <f t="shared" ref="F96:F102" si="123">D96+E96</f>
        <v>7041</v>
      </c>
      <c r="G96" s="53"/>
      <c r="H96" s="54"/>
      <c r="I96" s="55">
        <f t="shared" ref="I96:I102" si="124">G96+H96</f>
        <v>0</v>
      </c>
      <c r="J96" s="53"/>
      <c r="K96" s="54"/>
      <c r="L96" s="55">
        <f t="shared" ref="L96:L102" si="125">K96+J96</f>
        <v>0</v>
      </c>
      <c r="M96" s="53"/>
      <c r="N96" s="54"/>
      <c r="O96" s="55">
        <f t="shared" ref="O96:O102" si="126">N96+M96</f>
        <v>0</v>
      </c>
      <c r="P96" s="57"/>
      <c r="S96" s="1936"/>
    </row>
    <row r="97" spans="1:19"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c r="S97" s="1936"/>
    </row>
    <row r="98" spans="1:19"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c r="S98" s="1936"/>
    </row>
    <row r="99" spans="1:19"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c r="S99" s="1936"/>
    </row>
    <row r="100" spans="1:19"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c r="S100" s="1936"/>
    </row>
    <row r="101" spans="1:19"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c r="S101" s="1936"/>
    </row>
    <row r="102" spans="1:19"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c r="S102" s="1936"/>
    </row>
    <row r="103" spans="1:19" ht="36" x14ac:dyDescent="0.25">
      <c r="A103" s="188">
        <v>2240</v>
      </c>
      <c r="B103" s="88" t="s">
        <v>120</v>
      </c>
      <c r="C103" s="89">
        <f t="shared" si="102"/>
        <v>115</v>
      </c>
      <c r="D103" s="189">
        <f>SUM(D104:D111)</f>
        <v>115</v>
      </c>
      <c r="E103" s="190">
        <f t="shared" ref="E103:F103" si="127">SUM(E104:E111)</f>
        <v>0</v>
      </c>
      <c r="F103" s="55">
        <f t="shared" si="127"/>
        <v>115</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c r="S103" s="1936"/>
    </row>
    <row r="104" spans="1:19"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c r="S104" s="1936"/>
    </row>
    <row r="105" spans="1:19"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c r="S105" s="1936"/>
    </row>
    <row r="106" spans="1:19"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c r="S106" s="1936"/>
    </row>
    <row r="107" spans="1:19"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c r="S107" s="1936"/>
    </row>
    <row r="108" spans="1:19"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c r="S108" s="1936"/>
    </row>
    <row r="109" spans="1:19"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c r="S109" s="1936"/>
    </row>
    <row r="110" spans="1:19" ht="24" customHeight="1" x14ac:dyDescent="0.25">
      <c r="A110" s="51">
        <v>2248</v>
      </c>
      <c r="B110" s="88" t="s">
        <v>127</v>
      </c>
      <c r="C110" s="89">
        <f t="shared" si="102"/>
        <v>115</v>
      </c>
      <c r="D110" s="194">
        <v>115</v>
      </c>
      <c r="E110" s="195"/>
      <c r="F110" s="55">
        <f t="shared" si="131"/>
        <v>115</v>
      </c>
      <c r="G110" s="53"/>
      <c r="H110" s="54"/>
      <c r="I110" s="55">
        <f t="shared" si="132"/>
        <v>0</v>
      </c>
      <c r="J110" s="53"/>
      <c r="K110" s="54"/>
      <c r="L110" s="55">
        <f t="shared" si="133"/>
        <v>0</v>
      </c>
      <c r="M110" s="53"/>
      <c r="N110" s="54"/>
      <c r="O110" s="55">
        <f t="shared" si="134"/>
        <v>0</v>
      </c>
      <c r="P110" s="57"/>
      <c r="S110" s="1936"/>
    </row>
    <row r="111" spans="1:19"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c r="S111" s="1936"/>
    </row>
    <row r="112" spans="1:19"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c r="S112" s="1936"/>
    </row>
    <row r="113" spans="1:19"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c r="S113" s="1936"/>
    </row>
    <row r="114" spans="1:19"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c r="S114" s="1936"/>
    </row>
    <row r="115" spans="1:19"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c r="S115" s="1936"/>
    </row>
    <row r="116" spans="1:19" x14ac:dyDescent="0.25">
      <c r="A116" s="188">
        <v>2260</v>
      </c>
      <c r="B116" s="88" t="s">
        <v>133</v>
      </c>
      <c r="C116" s="89">
        <f t="shared" si="102"/>
        <v>7794</v>
      </c>
      <c r="D116" s="189">
        <f>SUM(D117:D121)</f>
        <v>7325</v>
      </c>
      <c r="E116" s="190">
        <f t="shared" ref="E116:F116" si="143">SUM(E117:E121)</f>
        <v>469</v>
      </c>
      <c r="F116" s="55">
        <f t="shared" si="143"/>
        <v>7794</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c r="S116" s="1936"/>
    </row>
    <row r="117" spans="1:19" ht="12" customHeight="1" x14ac:dyDescent="0.25">
      <c r="A117" s="51">
        <v>2261</v>
      </c>
      <c r="B117" s="88" t="s">
        <v>134</v>
      </c>
      <c r="C117" s="89">
        <f t="shared" si="102"/>
        <v>1807</v>
      </c>
      <c r="D117" s="194">
        <v>1338</v>
      </c>
      <c r="E117" s="198">
        <f>469</f>
        <v>469</v>
      </c>
      <c r="F117" s="55">
        <f t="shared" ref="F117:F121" si="147">D117+E117</f>
        <v>1807</v>
      </c>
      <c r="G117" s="53"/>
      <c r="H117" s="54"/>
      <c r="I117" s="55">
        <f t="shared" ref="I117:I121" si="148">G117+H117</f>
        <v>0</v>
      </c>
      <c r="J117" s="53"/>
      <c r="K117" s="54"/>
      <c r="L117" s="55">
        <f t="shared" ref="L117:L121" si="149">K117+J117</f>
        <v>0</v>
      </c>
      <c r="M117" s="53"/>
      <c r="N117" s="54"/>
      <c r="O117" s="55">
        <f t="shared" ref="O117:O121" si="150">N117+M117</f>
        <v>0</v>
      </c>
      <c r="P117" s="57"/>
      <c r="S117" s="1936"/>
    </row>
    <row r="118" spans="1:19" ht="12" customHeight="1" x14ac:dyDescent="0.25">
      <c r="A118" s="51">
        <v>2262</v>
      </c>
      <c r="B118" s="88" t="s">
        <v>135</v>
      </c>
      <c r="C118" s="89">
        <f t="shared" si="102"/>
        <v>551</v>
      </c>
      <c r="D118" s="194">
        <v>551</v>
      </c>
      <c r="E118" s="195"/>
      <c r="F118" s="55">
        <f t="shared" si="147"/>
        <v>551</v>
      </c>
      <c r="G118" s="53"/>
      <c r="H118" s="54"/>
      <c r="I118" s="55">
        <f t="shared" si="148"/>
        <v>0</v>
      </c>
      <c r="J118" s="53"/>
      <c r="K118" s="54"/>
      <c r="L118" s="55">
        <f t="shared" si="149"/>
        <v>0</v>
      </c>
      <c r="M118" s="53"/>
      <c r="N118" s="54"/>
      <c r="O118" s="55">
        <f t="shared" si="150"/>
        <v>0</v>
      </c>
      <c r="P118" s="57"/>
      <c r="S118" s="1936"/>
    </row>
    <row r="119" spans="1:19"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c r="S119" s="1936"/>
    </row>
    <row r="120" spans="1:19" ht="24" customHeight="1" x14ac:dyDescent="0.25">
      <c r="A120" s="51">
        <v>2264</v>
      </c>
      <c r="B120" s="88" t="s">
        <v>137</v>
      </c>
      <c r="C120" s="89">
        <f t="shared" si="102"/>
        <v>5436</v>
      </c>
      <c r="D120" s="194">
        <v>5436</v>
      </c>
      <c r="E120" s="195"/>
      <c r="F120" s="55">
        <f t="shared" si="147"/>
        <v>5436</v>
      </c>
      <c r="G120" s="53"/>
      <c r="H120" s="54"/>
      <c r="I120" s="55">
        <f t="shared" si="148"/>
        <v>0</v>
      </c>
      <c r="J120" s="53"/>
      <c r="K120" s="54"/>
      <c r="L120" s="55">
        <f t="shared" si="149"/>
        <v>0</v>
      </c>
      <c r="M120" s="53"/>
      <c r="N120" s="54"/>
      <c r="O120" s="55">
        <f t="shared" si="150"/>
        <v>0</v>
      </c>
      <c r="P120" s="57"/>
      <c r="S120" s="1936"/>
    </row>
    <row r="121" spans="1:19"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c r="S121" s="1936"/>
    </row>
    <row r="122" spans="1:19" x14ac:dyDescent="0.25">
      <c r="A122" s="188">
        <v>2270</v>
      </c>
      <c r="B122" s="88" t="s">
        <v>139</v>
      </c>
      <c r="C122" s="89">
        <f t="shared" si="102"/>
        <v>666405</v>
      </c>
      <c r="D122" s="189">
        <f>SUM(D123:D127)</f>
        <v>666405</v>
      </c>
      <c r="E122" s="190">
        <f t="shared" ref="E122:F122" si="151">SUM(E123:E127)</f>
        <v>0</v>
      </c>
      <c r="F122" s="55">
        <f t="shared" si="151"/>
        <v>666405</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c r="S122" s="1936"/>
    </row>
    <row r="123" spans="1:19"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c r="S123" s="1936"/>
    </row>
    <row r="124" spans="1:19"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c r="S124" s="1936"/>
    </row>
    <row r="125" spans="1:19" ht="24" customHeight="1" x14ac:dyDescent="0.25">
      <c r="A125" s="51">
        <v>2275</v>
      </c>
      <c r="B125" s="88" t="s">
        <v>142</v>
      </c>
      <c r="C125" s="89">
        <f t="shared" si="102"/>
        <v>84685</v>
      </c>
      <c r="D125" s="194">
        <v>84685</v>
      </c>
      <c r="E125" s="195"/>
      <c r="F125" s="55">
        <f t="shared" si="155"/>
        <v>84685</v>
      </c>
      <c r="G125" s="53"/>
      <c r="H125" s="54"/>
      <c r="I125" s="55">
        <f t="shared" si="156"/>
        <v>0</v>
      </c>
      <c r="J125" s="53"/>
      <c r="K125" s="54"/>
      <c r="L125" s="55">
        <f t="shared" si="157"/>
        <v>0</v>
      </c>
      <c r="M125" s="53"/>
      <c r="N125" s="54"/>
      <c r="O125" s="55">
        <f t="shared" si="158"/>
        <v>0</v>
      </c>
      <c r="P125" s="57"/>
      <c r="S125" s="1936"/>
    </row>
    <row r="126" spans="1:19"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c r="S126" s="1936"/>
    </row>
    <row r="127" spans="1:19" ht="24" customHeight="1" x14ac:dyDescent="0.25">
      <c r="A127" s="51">
        <v>2279</v>
      </c>
      <c r="B127" s="88" t="s">
        <v>144</v>
      </c>
      <c r="C127" s="89">
        <f t="shared" si="102"/>
        <v>581720</v>
      </c>
      <c r="D127" s="194">
        <v>581720</v>
      </c>
      <c r="E127" s="195"/>
      <c r="F127" s="55">
        <f t="shared" si="155"/>
        <v>581720</v>
      </c>
      <c r="G127" s="53"/>
      <c r="H127" s="54"/>
      <c r="I127" s="55">
        <f t="shared" si="156"/>
        <v>0</v>
      </c>
      <c r="J127" s="53"/>
      <c r="K127" s="54"/>
      <c r="L127" s="55">
        <f t="shared" si="157"/>
        <v>0</v>
      </c>
      <c r="M127" s="53"/>
      <c r="N127" s="54"/>
      <c r="O127" s="55">
        <f t="shared" si="158"/>
        <v>0</v>
      </c>
      <c r="P127" s="57"/>
      <c r="S127" s="1936"/>
    </row>
    <row r="128" spans="1:19" ht="48" hidden="1" x14ac:dyDescent="0.25">
      <c r="A128" s="121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c r="S128" s="1936"/>
    </row>
    <row r="129" spans="1:19"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c r="S129" s="1936"/>
    </row>
    <row r="130" spans="1:19" ht="38.25" customHeight="1" x14ac:dyDescent="0.25">
      <c r="A130" s="68">
        <v>2300</v>
      </c>
      <c r="B130" s="182" t="s">
        <v>147</v>
      </c>
      <c r="C130" s="69">
        <f t="shared" si="102"/>
        <v>1198</v>
      </c>
      <c r="D130" s="183">
        <f>SUM(D131,D136,D140,D141,D144,D151,D159,D160,D163)</f>
        <v>1198</v>
      </c>
      <c r="E130" s="184">
        <f t="shared" ref="E130:F130" si="160">SUM(E131,E136,E140,E141,E144,E151,E159,E160,E163)</f>
        <v>0</v>
      </c>
      <c r="F130" s="72">
        <f t="shared" si="160"/>
        <v>1198</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c r="S130" s="1936"/>
    </row>
    <row r="131" spans="1:19" ht="24" x14ac:dyDescent="0.25">
      <c r="A131" s="1213">
        <v>2310</v>
      </c>
      <c r="B131" s="81" t="s">
        <v>148</v>
      </c>
      <c r="C131" s="82">
        <f t="shared" si="102"/>
        <v>1198</v>
      </c>
      <c r="D131" s="192">
        <f t="shared" ref="D131:O131" si="164">SUM(D132:D135)</f>
        <v>1198</v>
      </c>
      <c r="E131" s="193">
        <f t="shared" si="164"/>
        <v>0</v>
      </c>
      <c r="F131" s="133">
        <f t="shared" si="164"/>
        <v>1198</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c r="S131" s="1936"/>
    </row>
    <row r="132" spans="1:19"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c r="S132" s="1936"/>
    </row>
    <row r="133" spans="1:19"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c r="S133" s="1936"/>
    </row>
    <row r="134" spans="1:19"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c r="S134" s="1936"/>
    </row>
    <row r="135" spans="1:19" ht="36" customHeight="1" x14ac:dyDescent="0.25">
      <c r="A135" s="51">
        <v>2314</v>
      </c>
      <c r="B135" s="88" t="s">
        <v>152</v>
      </c>
      <c r="C135" s="89">
        <f t="shared" si="102"/>
        <v>1198</v>
      </c>
      <c r="D135" s="194">
        <v>1198</v>
      </c>
      <c r="E135" s="195"/>
      <c r="F135" s="55">
        <f t="shared" si="165"/>
        <v>1198</v>
      </c>
      <c r="G135" s="53"/>
      <c r="H135" s="54"/>
      <c r="I135" s="55">
        <f t="shared" si="166"/>
        <v>0</v>
      </c>
      <c r="J135" s="53"/>
      <c r="K135" s="54"/>
      <c r="L135" s="55">
        <f t="shared" si="167"/>
        <v>0</v>
      </c>
      <c r="M135" s="53"/>
      <c r="N135" s="54"/>
      <c r="O135" s="55">
        <f t="shared" si="168"/>
        <v>0</v>
      </c>
      <c r="P135" s="57"/>
      <c r="S135" s="1936"/>
    </row>
    <row r="136" spans="1:19"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c r="S136" s="1936"/>
    </row>
    <row r="137" spans="1:19"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c r="S137" s="1936"/>
    </row>
    <row r="138" spans="1:19"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c r="S138" s="1936"/>
    </row>
    <row r="139" spans="1:19"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c r="S139" s="1936"/>
    </row>
    <row r="140" spans="1:19"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c r="S140" s="1936"/>
    </row>
    <row r="141" spans="1:19"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c r="S141" s="1936"/>
    </row>
    <row r="142" spans="1:19"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c r="S142" s="1936"/>
    </row>
    <row r="143" spans="1:19"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c r="S143" s="1936"/>
    </row>
    <row r="144" spans="1:19"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c r="S144" s="1936"/>
    </row>
    <row r="145" spans="1:19"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c r="S145" s="1936"/>
    </row>
    <row r="146" spans="1:19"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c r="S146" s="1936"/>
    </row>
    <row r="147" spans="1:19"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c r="S147" s="1936"/>
    </row>
    <row r="148" spans="1:19"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c r="S148" s="1936"/>
    </row>
    <row r="149" spans="1:19"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c r="S149" s="1936"/>
    </row>
    <row r="150" spans="1:19"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c r="S150" s="1936"/>
    </row>
    <row r="151" spans="1:19"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c r="S151" s="1936"/>
    </row>
    <row r="152" spans="1:19"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c r="S152" s="1936"/>
    </row>
    <row r="153" spans="1:19"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c r="S153" s="1936"/>
    </row>
    <row r="154" spans="1:19"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c r="S154" s="1936"/>
    </row>
    <row r="155" spans="1:19"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c r="S155" s="1936"/>
    </row>
    <row r="156" spans="1:19"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c r="S156" s="1936"/>
    </row>
    <row r="157" spans="1:19"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c r="S157" s="1936"/>
    </row>
    <row r="158" spans="1:19"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c r="S158" s="1936"/>
    </row>
    <row r="159" spans="1:19"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c r="S159" s="1936"/>
    </row>
    <row r="160" spans="1:19"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c r="S160" s="1936"/>
    </row>
    <row r="161" spans="1:19"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c r="S161" s="1936"/>
    </row>
    <row r="162" spans="1:19"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c r="S162" s="1936"/>
    </row>
    <row r="163" spans="1:19"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c r="S163" s="1936"/>
    </row>
    <row r="164" spans="1:19"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c r="S164" s="1936"/>
    </row>
    <row r="165" spans="1:19"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c r="S165" s="1936"/>
    </row>
    <row r="166" spans="1:19" ht="16.5" hidden="1" customHeight="1" x14ac:dyDescent="0.25">
      <c r="A166" s="121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c r="S166" s="1936"/>
    </row>
    <row r="167" spans="1:19"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c r="S167" s="1936"/>
    </row>
    <row r="168" spans="1:19"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c r="S168" s="1936"/>
    </row>
    <row r="169" spans="1:19"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c r="S169" s="1936"/>
    </row>
    <row r="170" spans="1:19"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c r="S170" s="1936"/>
    </row>
    <row r="171" spans="1:19"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c r="S171" s="1936"/>
    </row>
    <row r="172" spans="1:19"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c r="S172" s="1936"/>
    </row>
    <row r="173" spans="1:19" x14ac:dyDescent="0.25">
      <c r="A173" s="176">
        <v>3000</v>
      </c>
      <c r="B173" s="176" t="s">
        <v>190</v>
      </c>
      <c r="C173" s="177">
        <f t="shared" si="193"/>
        <v>208887</v>
      </c>
      <c r="D173" s="178">
        <f>SUM(D174,D184)</f>
        <v>208887</v>
      </c>
      <c r="E173" s="179">
        <f t="shared" ref="E173:F173" si="216">SUM(E174,E184)</f>
        <v>0</v>
      </c>
      <c r="F173" s="180">
        <f t="shared" si="216"/>
        <v>208887</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c r="S173" s="1936"/>
    </row>
    <row r="174" spans="1:19" ht="28.5" customHeight="1" x14ac:dyDescent="0.25">
      <c r="A174" s="68">
        <v>3200</v>
      </c>
      <c r="B174" s="207" t="s">
        <v>191</v>
      </c>
      <c r="C174" s="69">
        <f t="shared" si="193"/>
        <v>208887</v>
      </c>
      <c r="D174" s="183">
        <f>SUM(D175,D179)</f>
        <v>208887</v>
      </c>
      <c r="E174" s="184">
        <f t="shared" ref="E174:O174" si="220">SUM(E175,E179)</f>
        <v>0</v>
      </c>
      <c r="F174" s="72">
        <f t="shared" si="220"/>
        <v>208887</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c r="S174" s="1936"/>
    </row>
    <row r="175" spans="1:19" ht="38.25" customHeight="1" x14ac:dyDescent="0.25">
      <c r="A175" s="1213">
        <v>3260</v>
      </c>
      <c r="B175" s="81" t="s">
        <v>192</v>
      </c>
      <c r="C175" s="82">
        <f t="shared" si="193"/>
        <v>208887</v>
      </c>
      <c r="D175" s="192">
        <f>SUM(D176:D178)</f>
        <v>208887</v>
      </c>
      <c r="E175" s="193">
        <f t="shared" ref="E175:F175" si="221">SUM(E176:E178)</f>
        <v>0</v>
      </c>
      <c r="F175" s="133">
        <f t="shared" si="221"/>
        <v>208887</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c r="S175" s="1936"/>
    </row>
    <row r="176" spans="1:19" ht="27.75" customHeight="1" x14ac:dyDescent="0.25">
      <c r="A176" s="51">
        <v>3261</v>
      </c>
      <c r="B176" s="88" t="s">
        <v>193</v>
      </c>
      <c r="C176" s="89">
        <f t="shared" si="193"/>
        <v>5000</v>
      </c>
      <c r="D176" s="194">
        <v>5000</v>
      </c>
      <c r="E176" s="195"/>
      <c r="F176" s="55">
        <f t="shared" ref="F176:F178" si="225">D176+E176</f>
        <v>5000</v>
      </c>
      <c r="G176" s="53"/>
      <c r="H176" s="54"/>
      <c r="I176" s="55">
        <f t="shared" ref="I176:I178" si="226">G176+H176</f>
        <v>0</v>
      </c>
      <c r="J176" s="53"/>
      <c r="K176" s="54"/>
      <c r="L176" s="55">
        <f t="shared" ref="L176:L178" si="227">K176+J176</f>
        <v>0</v>
      </c>
      <c r="M176" s="53"/>
      <c r="N176" s="54"/>
      <c r="O176" s="55">
        <f t="shared" ref="O176:O178" si="228">N176+M176</f>
        <v>0</v>
      </c>
      <c r="P176" s="57"/>
      <c r="S176" s="1936"/>
    </row>
    <row r="177" spans="1:19" ht="38.25" customHeight="1" x14ac:dyDescent="0.25">
      <c r="A177" s="51">
        <v>3262</v>
      </c>
      <c r="B177" s="88" t="s">
        <v>194</v>
      </c>
      <c r="C177" s="89">
        <f t="shared" si="193"/>
        <v>17699</v>
      </c>
      <c r="D177" s="194">
        <v>17699</v>
      </c>
      <c r="E177" s="195"/>
      <c r="F177" s="55">
        <f t="shared" si="225"/>
        <v>17699</v>
      </c>
      <c r="G177" s="53"/>
      <c r="H177" s="54"/>
      <c r="I177" s="55">
        <f t="shared" si="226"/>
        <v>0</v>
      </c>
      <c r="J177" s="53"/>
      <c r="K177" s="54"/>
      <c r="L177" s="55">
        <f t="shared" si="227"/>
        <v>0</v>
      </c>
      <c r="M177" s="53"/>
      <c r="N177" s="54"/>
      <c r="O177" s="55">
        <f t="shared" si="228"/>
        <v>0</v>
      </c>
      <c r="P177" s="57"/>
      <c r="S177" s="1936"/>
    </row>
    <row r="178" spans="1:19" ht="26.25" customHeight="1" x14ac:dyDescent="0.25">
      <c r="A178" s="51">
        <v>3263</v>
      </c>
      <c r="B178" s="88" t="s">
        <v>195</v>
      </c>
      <c r="C178" s="89">
        <f t="shared" si="193"/>
        <v>186188</v>
      </c>
      <c r="D178" s="194">
        <v>186188</v>
      </c>
      <c r="E178" s="195"/>
      <c r="F178" s="55">
        <f t="shared" si="225"/>
        <v>186188</v>
      </c>
      <c r="G178" s="53"/>
      <c r="H178" s="54"/>
      <c r="I178" s="55">
        <f t="shared" si="226"/>
        <v>0</v>
      </c>
      <c r="J178" s="53"/>
      <c r="K178" s="54"/>
      <c r="L178" s="55">
        <f t="shared" si="227"/>
        <v>0</v>
      </c>
      <c r="M178" s="53"/>
      <c r="N178" s="54"/>
      <c r="O178" s="55">
        <f t="shared" si="228"/>
        <v>0</v>
      </c>
      <c r="P178" s="57"/>
      <c r="S178" s="1936"/>
    </row>
    <row r="179" spans="1:19" ht="84" hidden="1" x14ac:dyDescent="0.25">
      <c r="A179" s="121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c r="S179" s="1936"/>
    </row>
    <row r="180" spans="1:19"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c r="S180" s="1936"/>
    </row>
    <row r="181" spans="1:19"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c r="S181" s="1936"/>
    </row>
    <row r="182" spans="1:19"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c r="S182" s="1936"/>
    </row>
    <row r="183" spans="1:19"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c r="S183" s="1936"/>
    </row>
    <row r="184" spans="1:19"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c r="S184" s="1936"/>
    </row>
    <row r="185" spans="1:19"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c r="S185" s="1936"/>
    </row>
    <row r="186" spans="1:19"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c r="S186" s="1936"/>
    </row>
    <row r="187" spans="1:19"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c r="S187" s="1936"/>
    </row>
    <row r="188" spans="1:19"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c r="S188" s="1936"/>
    </row>
    <row r="189" spans="1:19" ht="36" hidden="1" customHeight="1" x14ac:dyDescent="0.25">
      <c r="A189" s="121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c r="S189" s="1936"/>
    </row>
    <row r="190" spans="1:19"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c r="S190" s="1936"/>
    </row>
    <row r="191" spans="1:19"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c r="S191" s="1936"/>
    </row>
    <row r="192" spans="1:19" ht="24" hidden="1" x14ac:dyDescent="0.25">
      <c r="A192" s="121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c r="S192" s="1936"/>
    </row>
    <row r="193" spans="1:19"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c r="S193" s="1936"/>
    </row>
    <row r="194" spans="1:19" s="28" customFormat="1" ht="27.75" customHeight="1" x14ac:dyDescent="0.25">
      <c r="A194" s="224"/>
      <c r="B194" s="23" t="s">
        <v>211</v>
      </c>
      <c r="C194" s="171">
        <f t="shared" si="193"/>
        <v>14640</v>
      </c>
      <c r="D194" s="172">
        <f>SUM(D195,D230,D269,D283)</f>
        <v>15109</v>
      </c>
      <c r="E194" s="173">
        <f t="shared" ref="E194:O194" si="259">SUM(E195,E230,E269,E283)</f>
        <v>-469</v>
      </c>
      <c r="F194" s="174">
        <f t="shared" si="259"/>
        <v>14640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c r="S194" s="1936"/>
    </row>
    <row r="195" spans="1:19" x14ac:dyDescent="0.25">
      <c r="A195" s="176">
        <v>5000</v>
      </c>
      <c r="B195" s="176" t="s">
        <v>212</v>
      </c>
      <c r="C195" s="177">
        <f t="shared" si="193"/>
        <v>10843</v>
      </c>
      <c r="D195" s="178">
        <f>D196+D204</f>
        <v>10843</v>
      </c>
      <c r="E195" s="179">
        <f t="shared" ref="E195:F195" si="260">E196+E204</f>
        <v>0</v>
      </c>
      <c r="F195" s="180">
        <f t="shared" si="260"/>
        <v>10843</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c r="S195" s="1936"/>
    </row>
    <row r="196" spans="1:19"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c r="S196" s="1936"/>
    </row>
    <row r="197" spans="1:19" ht="12" hidden="1" customHeight="1" x14ac:dyDescent="0.25">
      <c r="A197" s="1213">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c r="S197" s="1936"/>
    </row>
    <row r="198" spans="1:19"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c r="S198" s="1936"/>
    </row>
    <row r="199" spans="1:19"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c r="S199" s="1936"/>
    </row>
    <row r="200" spans="1:19"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c r="S200" s="1936"/>
    </row>
    <row r="201" spans="1:19"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c r="S201" s="1936"/>
    </row>
    <row r="202" spans="1:19"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c r="S202" s="1936"/>
    </row>
    <row r="203" spans="1:19"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c r="S203" s="1936"/>
    </row>
    <row r="204" spans="1:19" x14ac:dyDescent="0.25">
      <c r="A204" s="68">
        <v>5200</v>
      </c>
      <c r="B204" s="182" t="s">
        <v>221</v>
      </c>
      <c r="C204" s="69">
        <f t="shared" si="193"/>
        <v>10843</v>
      </c>
      <c r="D204" s="183">
        <f>D205+D215+D216+D225+D226+D227+D229</f>
        <v>10843</v>
      </c>
      <c r="E204" s="184">
        <f t="shared" ref="E204:F204" si="276">E205+E215+E216+E225+E226+E227+E229</f>
        <v>0</v>
      </c>
      <c r="F204" s="72">
        <f t="shared" si="276"/>
        <v>10843</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c r="S204" s="1936"/>
    </row>
    <row r="205" spans="1:19"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c r="S205" s="1936"/>
    </row>
    <row r="206" spans="1:19"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c r="S206" s="1936"/>
    </row>
    <row r="207" spans="1:19"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c r="S207" s="1936"/>
    </row>
    <row r="208" spans="1:19"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c r="S208" s="1936"/>
    </row>
    <row r="209" spans="1:19"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c r="S209" s="1936"/>
    </row>
    <row r="210" spans="1:19"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c r="S210" s="1936"/>
    </row>
    <row r="211" spans="1:19"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c r="S211" s="1936"/>
    </row>
    <row r="212" spans="1:19"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c r="S212" s="1936"/>
    </row>
    <row r="213" spans="1:19"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c r="S213" s="1936"/>
    </row>
    <row r="214" spans="1:19"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c r="S214" s="1936"/>
    </row>
    <row r="215" spans="1:19"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c r="S215" s="1936"/>
    </row>
    <row r="216" spans="1:19"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c r="S216" s="1936"/>
    </row>
    <row r="217" spans="1:19"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c r="S217" s="1936"/>
    </row>
    <row r="218" spans="1:19"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c r="S218" s="1936"/>
    </row>
    <row r="219" spans="1:19"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c r="S219" s="1936"/>
    </row>
    <row r="220" spans="1:19"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c r="S220" s="1936"/>
    </row>
    <row r="221" spans="1:19"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c r="S221" s="1936"/>
    </row>
    <row r="222" spans="1:19"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c r="S222" s="1936"/>
    </row>
    <row r="223" spans="1:19"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c r="S223" s="1936"/>
    </row>
    <row r="224" spans="1:19"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c r="S224" s="1936"/>
    </row>
    <row r="225" spans="1:19" ht="24" customHeight="1" x14ac:dyDescent="0.25">
      <c r="A225" s="188">
        <v>5240</v>
      </c>
      <c r="B225" s="88" t="s">
        <v>242</v>
      </c>
      <c r="C225" s="89">
        <f t="shared" si="288"/>
        <v>10843</v>
      </c>
      <c r="D225" s="194">
        <v>10843</v>
      </c>
      <c r="E225" s="195"/>
      <c r="F225" s="55">
        <f t="shared" si="293"/>
        <v>10843</v>
      </c>
      <c r="G225" s="53"/>
      <c r="H225" s="54"/>
      <c r="I225" s="55">
        <f t="shared" si="294"/>
        <v>0</v>
      </c>
      <c r="J225" s="53"/>
      <c r="K225" s="54"/>
      <c r="L225" s="55">
        <f t="shared" si="295"/>
        <v>0</v>
      </c>
      <c r="M225" s="53"/>
      <c r="N225" s="54"/>
      <c r="O225" s="55">
        <f t="shared" si="296"/>
        <v>0</v>
      </c>
      <c r="P225" s="57"/>
      <c r="S225" s="1936"/>
    </row>
    <row r="226" spans="1:19"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c r="S226" s="1936"/>
    </row>
    <row r="227" spans="1:19"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c r="S227" s="1936"/>
    </row>
    <row r="228" spans="1:19"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c r="S228" s="1936"/>
    </row>
    <row r="229" spans="1:19"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c r="S229" s="1936"/>
    </row>
    <row r="230" spans="1:19" x14ac:dyDescent="0.25">
      <c r="A230" s="176">
        <v>6000</v>
      </c>
      <c r="B230" s="176" t="s">
        <v>247</v>
      </c>
      <c r="C230" s="177">
        <f t="shared" si="288"/>
        <v>3797</v>
      </c>
      <c r="D230" s="178">
        <f>D231+D251+D259</f>
        <v>4266</v>
      </c>
      <c r="E230" s="179">
        <f t="shared" ref="E230:F230" si="305">E231+E251+E259</f>
        <v>-469</v>
      </c>
      <c r="F230" s="180">
        <f t="shared" si="305"/>
        <v>3797</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c r="S230" s="1936"/>
    </row>
    <row r="231" spans="1:19"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c r="S231" s="1936"/>
    </row>
    <row r="232" spans="1:19" ht="24" hidden="1" customHeight="1" x14ac:dyDescent="0.25">
      <c r="A232" s="121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c r="S232" s="1936"/>
    </row>
    <row r="233" spans="1:19"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c r="S233" s="1936"/>
    </row>
    <row r="234" spans="1:19"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c r="S234" s="1936"/>
    </row>
    <row r="235" spans="1:19"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c r="S235" s="1936"/>
    </row>
    <row r="236" spans="1:19"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c r="S236" s="1936"/>
    </row>
    <row r="237" spans="1:19"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c r="S237" s="1936"/>
    </row>
    <row r="238" spans="1:19"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c r="S238" s="1936"/>
    </row>
    <row r="239" spans="1:19"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c r="S239" s="1936"/>
    </row>
    <row r="240" spans="1:19"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c r="S240" s="1936"/>
    </row>
    <row r="241" spans="1:19"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c r="S241" s="1936"/>
    </row>
    <row r="242" spans="1:19"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c r="S242" s="1936"/>
    </row>
    <row r="243" spans="1:19"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c r="S243" s="1936"/>
    </row>
    <row r="244" spans="1:19"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c r="S244" s="1936"/>
    </row>
    <row r="245" spans="1:19"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c r="S245" s="1936"/>
    </row>
    <row r="246" spans="1:19" ht="24" hidden="1" x14ac:dyDescent="0.25">
      <c r="A246" s="121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c r="S246" s="1936"/>
    </row>
    <row r="247" spans="1:19"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c r="S247" s="1936"/>
    </row>
    <row r="248" spans="1:19"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c r="S248" s="1936"/>
    </row>
    <row r="249" spans="1:19"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c r="S249" s="1936"/>
    </row>
    <row r="250" spans="1:19"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c r="S250" s="1936"/>
    </row>
    <row r="251" spans="1:19"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c r="S251" s="1936"/>
    </row>
    <row r="252" spans="1:19" ht="24" hidden="1" x14ac:dyDescent="0.25">
      <c r="A252" s="121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c r="S252" s="1936"/>
    </row>
    <row r="253" spans="1:19"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c r="S253" s="1936"/>
    </row>
    <row r="254" spans="1:19"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c r="S254" s="1936"/>
    </row>
    <row r="255" spans="1:19"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c r="S255" s="1936"/>
    </row>
    <row r="256" spans="1:19"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c r="S256" s="1936"/>
    </row>
    <row r="257" spans="1:19"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c r="S257" s="1936"/>
    </row>
    <row r="258" spans="1:19"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c r="S258" s="1936"/>
    </row>
    <row r="259" spans="1:19" ht="36" x14ac:dyDescent="0.25">
      <c r="A259" s="68">
        <v>6400</v>
      </c>
      <c r="B259" s="182" t="s">
        <v>276</v>
      </c>
      <c r="C259" s="69">
        <f t="shared" si="288"/>
        <v>3797</v>
      </c>
      <c r="D259" s="183">
        <f>SUM(D260,D264)</f>
        <v>4266</v>
      </c>
      <c r="E259" s="184">
        <f t="shared" ref="E259:O259" si="341">SUM(E260,E264)</f>
        <v>-469</v>
      </c>
      <c r="F259" s="72">
        <f t="shared" si="341"/>
        <v>3797</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c r="S259" s="1936"/>
    </row>
    <row r="260" spans="1:19" ht="24" hidden="1" x14ac:dyDescent="0.25">
      <c r="A260" s="121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c r="S260" s="1936"/>
    </row>
    <row r="261" spans="1:19"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c r="S261" s="1936"/>
    </row>
    <row r="262" spans="1:19"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c r="S262" s="1936"/>
    </row>
    <row r="263" spans="1:19"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c r="S263" s="1936"/>
    </row>
    <row r="264" spans="1:19" ht="48" x14ac:dyDescent="0.25">
      <c r="A264" s="188">
        <v>6420</v>
      </c>
      <c r="B264" s="88" t="s">
        <v>281</v>
      </c>
      <c r="C264" s="89">
        <f t="shared" si="288"/>
        <v>3797</v>
      </c>
      <c r="D264" s="189">
        <f>SUM(D265:D268)</f>
        <v>4266</v>
      </c>
      <c r="E264" s="190">
        <f t="shared" ref="E264:F264" si="347">SUM(E265:E268)</f>
        <v>-469</v>
      </c>
      <c r="F264" s="55">
        <f t="shared" si="347"/>
        <v>3797</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c r="S264" s="1936"/>
    </row>
    <row r="265" spans="1:19"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c r="S265" s="1936"/>
    </row>
    <row r="266" spans="1:19" ht="12" customHeight="1" x14ac:dyDescent="0.25">
      <c r="A266" s="51">
        <v>6422</v>
      </c>
      <c r="B266" s="88" t="s">
        <v>283</v>
      </c>
      <c r="C266" s="89">
        <f t="shared" si="288"/>
        <v>3508</v>
      </c>
      <c r="D266" s="194">
        <v>3508</v>
      </c>
      <c r="E266" s="195"/>
      <c r="F266" s="55">
        <f t="shared" si="351"/>
        <v>3508</v>
      </c>
      <c r="G266" s="53"/>
      <c r="H266" s="54"/>
      <c r="I266" s="55">
        <f t="shared" si="352"/>
        <v>0</v>
      </c>
      <c r="J266" s="53"/>
      <c r="K266" s="54"/>
      <c r="L266" s="55">
        <f t="shared" si="353"/>
        <v>0</v>
      </c>
      <c r="M266" s="53"/>
      <c r="N266" s="54"/>
      <c r="O266" s="55">
        <f t="shared" si="354"/>
        <v>0</v>
      </c>
      <c r="P266" s="57"/>
      <c r="S266" s="1936"/>
    </row>
    <row r="267" spans="1:19" ht="13.5" customHeight="1" x14ac:dyDescent="0.25">
      <c r="A267" s="51">
        <v>6423</v>
      </c>
      <c r="B267" s="88" t="s">
        <v>284</v>
      </c>
      <c r="C267" s="89">
        <f t="shared" si="288"/>
        <v>289</v>
      </c>
      <c r="D267" s="194">
        <v>758</v>
      </c>
      <c r="E267" s="198">
        <v>-469</v>
      </c>
      <c r="F267" s="55">
        <f t="shared" si="351"/>
        <v>289</v>
      </c>
      <c r="G267" s="53"/>
      <c r="H267" s="54"/>
      <c r="I267" s="55">
        <f t="shared" si="352"/>
        <v>0</v>
      </c>
      <c r="J267" s="53"/>
      <c r="K267" s="54"/>
      <c r="L267" s="55">
        <f t="shared" si="353"/>
        <v>0</v>
      </c>
      <c r="M267" s="53"/>
      <c r="N267" s="54"/>
      <c r="O267" s="55">
        <f t="shared" si="354"/>
        <v>0</v>
      </c>
      <c r="P267" s="57"/>
      <c r="S267" s="1936"/>
    </row>
    <row r="268" spans="1:19"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c r="S268" s="1936"/>
    </row>
    <row r="269" spans="1:19"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c r="S269" s="1936"/>
    </row>
    <row r="270" spans="1:19"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c r="S270" s="1936"/>
    </row>
    <row r="271" spans="1:19" ht="24" hidden="1" customHeight="1" x14ac:dyDescent="0.25">
      <c r="A271" s="121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c r="S271" s="1936"/>
    </row>
    <row r="272" spans="1:19"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c r="S272" s="1936"/>
    </row>
    <row r="273" spans="1:19"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c r="S273" s="1936"/>
    </row>
    <row r="274" spans="1:19"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c r="S274" s="1936"/>
    </row>
    <row r="275" spans="1:19"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c r="S275" s="1936"/>
    </row>
    <row r="276" spans="1:19"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c r="S276" s="1936"/>
    </row>
    <row r="277" spans="1:19"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c r="S277" s="1936"/>
    </row>
    <row r="278" spans="1:19"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c r="S278" s="1936"/>
    </row>
    <row r="279" spans="1:19"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c r="S279" s="1936"/>
    </row>
    <row r="280" spans="1:19" ht="24" hidden="1" customHeight="1" x14ac:dyDescent="0.25">
      <c r="A280" s="121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c r="S280" s="1936"/>
    </row>
    <row r="281" spans="1:19"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c r="S281" s="1936"/>
    </row>
    <row r="282" spans="1:19"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c r="S282" s="1936"/>
    </row>
    <row r="283" spans="1:19"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c r="S283" s="1936"/>
    </row>
    <row r="284" spans="1:19"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c r="S284" s="1936"/>
    </row>
    <row r="285" spans="1:19"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c r="S285" s="1936"/>
    </row>
    <row r="286" spans="1:19"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c r="S286" s="1936"/>
    </row>
    <row r="287" spans="1:19"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c r="S287" s="1936"/>
    </row>
    <row r="288" spans="1:19"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c r="S288" s="1936"/>
    </row>
    <row r="289" spans="1:19" ht="12.75" thickBot="1" x14ac:dyDescent="0.3">
      <c r="A289" s="249"/>
      <c r="B289" s="249" t="s">
        <v>308</v>
      </c>
      <c r="C289" s="250">
        <f t="shared" si="371"/>
        <v>988682</v>
      </c>
      <c r="D289" s="251">
        <f t="shared" ref="D289:O289" si="389">SUM(D286,D269,D230,D195,D187,D173,D75,D53,D283)</f>
        <v>988682</v>
      </c>
      <c r="E289" s="252">
        <f t="shared" si="389"/>
        <v>0</v>
      </c>
      <c r="F289" s="253">
        <f t="shared" si="389"/>
        <v>988682</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c r="S289" s="1936"/>
    </row>
    <row r="290" spans="1:19"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c r="S290" s="1936"/>
    </row>
    <row r="291" spans="1:19"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c r="S291" s="1936"/>
    </row>
    <row r="292" spans="1:19"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c r="S292" s="1936"/>
    </row>
    <row r="293" spans="1:19"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c r="S293" s="1936"/>
    </row>
    <row r="294" spans="1:19"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c r="S294" s="1936"/>
    </row>
    <row r="295" spans="1:19"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c r="S295" s="1936"/>
    </row>
    <row r="296" spans="1:19"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c r="S296" s="1936"/>
    </row>
    <row r="297" spans="1:19"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c r="S297" s="1936"/>
    </row>
    <row r="298" spans="1:19"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c r="S298" s="1936"/>
    </row>
    <row r="299" spans="1:19"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c r="S299" s="1936"/>
    </row>
    <row r="300" spans="1:19"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c r="S300" s="1936"/>
    </row>
    <row r="301" spans="1:19"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c r="S301" s="1936"/>
    </row>
    <row r="302" spans="1:19" ht="12.75" thickTop="1" x14ac:dyDescent="0.25">
      <c r="A302" s="4"/>
      <c r="B302" s="4"/>
      <c r="C302" s="4"/>
      <c r="D302" s="4"/>
      <c r="E302" s="4"/>
      <c r="F302" s="4"/>
      <c r="G302" s="4"/>
      <c r="H302" s="4"/>
      <c r="I302" s="4"/>
      <c r="J302" s="4"/>
      <c r="K302" s="4"/>
      <c r="L302" s="4"/>
      <c r="M302" s="4"/>
      <c r="S302" s="1936"/>
    </row>
    <row r="303" spans="1:19" x14ac:dyDescent="0.25">
      <c r="A303" s="4"/>
      <c r="B303" s="4"/>
      <c r="C303" s="4"/>
      <c r="D303" s="4"/>
      <c r="E303" s="4"/>
      <c r="F303" s="4"/>
      <c r="G303" s="4"/>
      <c r="H303" s="4"/>
      <c r="I303" s="4"/>
      <c r="J303" s="4"/>
      <c r="K303" s="4"/>
      <c r="L303" s="4"/>
      <c r="M303" s="4"/>
    </row>
    <row r="304" spans="1:19"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usLl5nILuTMc6f322iRZjaGw3aZlCfWtxkAELv8j6OCD0+zlQJyNcYIKvHXCWfn1sIIMXrqwaBixZZBWomBU6g==" saltValue="OCn41N2mDuz+kWLqMo6BeA==" spinCount="100000" sheet="1" objects="1" scenarios="1" formatCells="0" formatColumns="0" formatRows="0" deleteColumns="0"/>
  <autoFilter ref="A18:P301">
    <filterColumn colId="2">
      <filters>
        <filter val="1 198"/>
        <filter val="1 807"/>
        <filter val="10 843"/>
        <filter val="115"/>
        <filter val="14 640"/>
        <filter val="17 699"/>
        <filter val="186 188"/>
        <filter val="208 887"/>
        <filter val="289"/>
        <filter val="3 508"/>
        <filter val="3 797"/>
        <filter val="4 291"/>
        <filter val="5 000"/>
        <filter val="5 436"/>
        <filter val="551"/>
        <filter val="581 720"/>
        <filter val="666 405"/>
        <filter val="681 355"/>
        <filter val="682 553"/>
        <filter val="7 041"/>
        <filter val="7 794"/>
        <filter val="78 311"/>
        <filter val="82 602"/>
        <filter val="84 685"/>
        <filter val="974 042"/>
        <filter val="988 68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24.pielikums Jūrmalas pilsētas domes
2019.gada 29.augusta saistošajiem noteikumiem Nr.31
(protokols Nr.12, 20.punkts)
 </firstHeader>
    <firstFooter>&amp;L&amp;9&amp;D; &amp;T&amp;R&amp;9&amp;P (&amp;N)</first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8" sqref="T6:T8"/>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2349</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1718</v>
      </c>
      <c r="D6" s="1972"/>
      <c r="E6" s="1972"/>
      <c r="F6" s="1972"/>
      <c r="G6" s="1972"/>
      <c r="H6" s="1972"/>
      <c r="I6" s="1972"/>
      <c r="J6" s="1972"/>
      <c r="K6" s="1972"/>
      <c r="L6" s="1972"/>
      <c r="M6" s="1972"/>
      <c r="N6" s="1972"/>
      <c r="O6" s="1972"/>
      <c r="P6" s="1973"/>
      <c r="Q6" s="276"/>
    </row>
    <row r="7" spans="1:17" x14ac:dyDescent="0.25">
      <c r="A7" s="7" t="s">
        <v>10</v>
      </c>
      <c r="B7" s="8"/>
      <c r="C7" s="1977" t="s">
        <v>2350</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174568</v>
      </c>
      <c r="D20" s="32">
        <f>SUM(D21,D24,D25,D41,D43)</f>
        <v>174568</v>
      </c>
      <c r="E20" s="33">
        <f t="shared" ref="E20:F20" si="1">SUM(E21,E24,E25,E41,E43)</f>
        <v>0</v>
      </c>
      <c r="F20" s="34">
        <f t="shared" si="1"/>
        <v>174568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174568</v>
      </c>
      <c r="D24" s="60">
        <f>D51</f>
        <v>174568</v>
      </c>
      <c r="E24" s="61"/>
      <c r="F24" s="62">
        <f t="shared" si="9"/>
        <v>174568</v>
      </c>
      <c r="G24" s="60">
        <f>G51</f>
        <v>0</v>
      </c>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174568</v>
      </c>
      <c r="D50" s="158">
        <f>SUM(D51,D286)</f>
        <v>174568</v>
      </c>
      <c r="E50" s="159">
        <f t="shared" ref="E50:F50" si="26">SUM(E51,E286)</f>
        <v>0</v>
      </c>
      <c r="F50" s="160">
        <f t="shared" si="26"/>
        <v>174568</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174568</v>
      </c>
      <c r="D51" s="164">
        <f>SUM(D52,D194)</f>
        <v>174568</v>
      </c>
      <c r="E51" s="165">
        <f t="shared" ref="E51:F51" si="30">SUM(E52,E194)</f>
        <v>0</v>
      </c>
      <c r="F51" s="166">
        <f t="shared" si="30"/>
        <v>174568</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165068</v>
      </c>
      <c r="D52" s="172">
        <f>SUM(D53,D75,D173,D187)</f>
        <v>165068</v>
      </c>
      <c r="E52" s="173">
        <f t="shared" ref="E52:F52" si="34">SUM(E53,E75,E173,E187)</f>
        <v>0</v>
      </c>
      <c r="F52" s="174">
        <f t="shared" si="34"/>
        <v>165068</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6210</v>
      </c>
      <c r="D53" s="178">
        <f>SUM(D54,D67)</f>
        <v>6210</v>
      </c>
      <c r="E53" s="179">
        <f t="shared" ref="E53:F53" si="38">SUM(E54,E67)</f>
        <v>0</v>
      </c>
      <c r="F53" s="180">
        <f t="shared" si="38"/>
        <v>6210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5000</v>
      </c>
      <c r="D54" s="183">
        <f>SUM(D55,D58,D66)</f>
        <v>5000</v>
      </c>
      <c r="E54" s="184">
        <f t="shared" ref="E54:F54" si="42">SUM(E55,E58,E66)</f>
        <v>0</v>
      </c>
      <c r="F54" s="72">
        <f t="shared" si="42"/>
        <v>5000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5000</v>
      </c>
      <c r="D66" s="143">
        <v>5000</v>
      </c>
      <c r="E66" s="144"/>
      <c r="F66" s="140">
        <f t="shared" si="58"/>
        <v>5000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1210</v>
      </c>
      <c r="D67" s="183">
        <f>SUM(D68:D69)</f>
        <v>1210</v>
      </c>
      <c r="E67" s="184">
        <f t="shared" ref="E67:F67" si="62">SUM(E68:E69)</f>
        <v>0</v>
      </c>
      <c r="F67" s="72">
        <f t="shared" si="62"/>
        <v>1210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748">
        <v>1210</v>
      </c>
      <c r="B68" s="81" t="s">
        <v>87</v>
      </c>
      <c r="C68" s="82">
        <f t="shared" si="0"/>
        <v>1210</v>
      </c>
      <c r="D68" s="46">
        <v>1210</v>
      </c>
      <c r="E68" s="47"/>
      <c r="F68" s="133">
        <f>D68+E68</f>
        <v>1210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158858</v>
      </c>
      <c r="D75" s="178">
        <f>SUM(D76,D83,D130,D164,D165,D172)</f>
        <v>158858</v>
      </c>
      <c r="E75" s="179">
        <f t="shared" ref="E75:F75" si="74">SUM(E76,E83,E130,E164,E165,E172)</f>
        <v>0</v>
      </c>
      <c r="F75" s="180">
        <f t="shared" si="74"/>
        <v>158858</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74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139895</v>
      </c>
      <c r="D83" s="183">
        <f>SUM(D84,D89,D95,D103,D112,D116,D122,D128)</f>
        <v>139895</v>
      </c>
      <c r="E83" s="184">
        <f t="shared" ref="E83:F83" si="98">SUM(E84,E89,E95,E103,E112,E116,E122,E128)</f>
        <v>0</v>
      </c>
      <c r="F83" s="72">
        <f t="shared" si="98"/>
        <v>139895</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74850</v>
      </c>
      <c r="D84" s="186">
        <f>SUM(D85:D88)</f>
        <v>52850</v>
      </c>
      <c r="E84" s="187">
        <f t="shared" ref="E84:F84" si="103">SUM(E85:E88)</f>
        <v>22000</v>
      </c>
      <c r="F84" s="140">
        <f t="shared" si="103"/>
        <v>74850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18200</v>
      </c>
      <c r="D86" s="194">
        <v>18200</v>
      </c>
      <c r="E86" s="195"/>
      <c r="F86" s="55">
        <f t="shared" si="107"/>
        <v>18200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customHeight="1" x14ac:dyDescent="0.25">
      <c r="A88" s="51">
        <v>2219</v>
      </c>
      <c r="B88" s="88" t="s">
        <v>105</v>
      </c>
      <c r="C88" s="89">
        <f t="shared" si="102"/>
        <v>56650</v>
      </c>
      <c r="D88" s="194">
        <v>34650</v>
      </c>
      <c r="E88" s="198">
        <v>22000</v>
      </c>
      <c r="F88" s="55">
        <f t="shared" si="107"/>
        <v>56650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64045</v>
      </c>
      <c r="D95" s="189">
        <f>SUM(D96:D102)</f>
        <v>86045</v>
      </c>
      <c r="E95" s="190">
        <f t="shared" ref="E95:F95" si="119">SUM(E96:E102)</f>
        <v>-22000</v>
      </c>
      <c r="F95" s="55">
        <f t="shared" si="119"/>
        <v>64045</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5145</v>
      </c>
      <c r="D96" s="194">
        <v>5145</v>
      </c>
      <c r="E96" s="195"/>
      <c r="F96" s="55">
        <f t="shared" ref="F96:F102" si="123">D96+E96</f>
        <v>5145</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58900</v>
      </c>
      <c r="D102" s="194">
        <v>80900</v>
      </c>
      <c r="E102" s="198">
        <v>-22000</v>
      </c>
      <c r="F102" s="55">
        <f t="shared" si="123"/>
        <v>58900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1000</v>
      </c>
      <c r="D122" s="189">
        <f>SUM(D123:D127)</f>
        <v>1000</v>
      </c>
      <c r="E122" s="190">
        <f t="shared" ref="E122:F122" si="151">SUM(E123:E127)</f>
        <v>0</v>
      </c>
      <c r="F122" s="55">
        <f t="shared" si="151"/>
        <v>1000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1000</v>
      </c>
      <c r="D127" s="194">
        <v>1000</v>
      </c>
      <c r="E127" s="195"/>
      <c r="F127" s="55">
        <f t="shared" si="155"/>
        <v>1000</v>
      </c>
      <c r="G127" s="53"/>
      <c r="H127" s="54"/>
      <c r="I127" s="55">
        <f t="shared" si="156"/>
        <v>0</v>
      </c>
      <c r="J127" s="53"/>
      <c r="K127" s="54"/>
      <c r="L127" s="55">
        <f t="shared" si="157"/>
        <v>0</v>
      </c>
      <c r="M127" s="53"/>
      <c r="N127" s="54"/>
      <c r="O127" s="55">
        <f t="shared" si="158"/>
        <v>0</v>
      </c>
      <c r="P127" s="57"/>
    </row>
    <row r="128" spans="1:16" ht="48" hidden="1" x14ac:dyDescent="0.25">
      <c r="A128" s="174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18963</v>
      </c>
      <c r="D130" s="183">
        <f>SUM(D131,D136,D140,D141,D144,D151,D159,D160,D163)</f>
        <v>18963</v>
      </c>
      <c r="E130" s="184">
        <f t="shared" ref="E130:F130" si="160">SUM(E131,E136,E140,E141,E144,E151,E159,E160,E163)</f>
        <v>0</v>
      </c>
      <c r="F130" s="72">
        <f t="shared" si="160"/>
        <v>18963</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748">
        <v>2310</v>
      </c>
      <c r="B131" s="81" t="s">
        <v>148</v>
      </c>
      <c r="C131" s="82">
        <f t="shared" si="102"/>
        <v>18963</v>
      </c>
      <c r="D131" s="192">
        <f t="shared" ref="D131:O131" si="164">SUM(D132:D135)</f>
        <v>18963</v>
      </c>
      <c r="E131" s="193">
        <f t="shared" si="164"/>
        <v>0</v>
      </c>
      <c r="F131" s="133">
        <f t="shared" si="164"/>
        <v>18963</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18963</v>
      </c>
      <c r="D135" s="194">
        <v>18963</v>
      </c>
      <c r="E135" s="195"/>
      <c r="F135" s="55">
        <f t="shared" si="165"/>
        <v>18963</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74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74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74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748">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74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9500</v>
      </c>
      <c r="D194" s="172">
        <f>SUM(D195,D230,D269,D283)</f>
        <v>9500</v>
      </c>
      <c r="E194" s="173">
        <f t="shared" ref="E194:O194" si="259">SUM(E195,E230,E269,E283)</f>
        <v>0</v>
      </c>
      <c r="F194" s="174">
        <f t="shared" si="259"/>
        <v>9500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9500</v>
      </c>
      <c r="D195" s="178">
        <f>D196+D204</f>
        <v>9500</v>
      </c>
      <c r="E195" s="179">
        <f t="shared" ref="E195:F195" si="260">E196+E204</f>
        <v>0</v>
      </c>
      <c r="F195" s="180">
        <f t="shared" si="260"/>
        <v>9500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x14ac:dyDescent="0.25">
      <c r="A196" s="68">
        <v>5100</v>
      </c>
      <c r="B196" s="182" t="s">
        <v>213</v>
      </c>
      <c r="C196" s="69">
        <f t="shared" si="193"/>
        <v>9500</v>
      </c>
      <c r="D196" s="183">
        <f>D197+D198+D201+D202+D203</f>
        <v>9500</v>
      </c>
      <c r="E196" s="184">
        <f t="shared" ref="E196:F196" si="264">E197+E198+E201+E202+E203</f>
        <v>0</v>
      </c>
      <c r="F196" s="72">
        <f t="shared" si="264"/>
        <v>9500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748">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customHeight="1" x14ac:dyDescent="0.25">
      <c r="A202" s="188">
        <v>5140</v>
      </c>
      <c r="B202" s="88" t="s">
        <v>219</v>
      </c>
      <c r="C202" s="89">
        <f t="shared" si="193"/>
        <v>9500</v>
      </c>
      <c r="D202" s="194">
        <v>9500</v>
      </c>
      <c r="E202" s="195"/>
      <c r="F202" s="55">
        <f t="shared" si="272"/>
        <v>9500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748">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74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74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74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748">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748">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174568</v>
      </c>
      <c r="D289" s="251">
        <f t="shared" ref="D289:O289" si="389">SUM(D286,D269,D230,D195,D187,D173,D75,D53,D283)</f>
        <v>174568</v>
      </c>
      <c r="E289" s="252">
        <f t="shared" si="389"/>
        <v>0</v>
      </c>
      <c r="F289" s="253">
        <f t="shared" si="389"/>
        <v>174568</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1BEODt7MEgSc1PWMfIjeJgbjnanNi4ORHBb/zYsTS937bYBaKmFa3Qhyq2C2mXa2yCD4AFw40ZguBOEZhmMbA==" saltValue="hS7VqsTAAiEcAzki7iEGqA==" spinCount="100000" sheet="1" objects="1" scenarios="1" formatCells="0" formatColumns="0" formatRows="0" deleteColumns="0"/>
  <autoFilter ref="A18:P301">
    <filterColumn colId="2">
      <filters>
        <filter val="1 000"/>
        <filter val="1 210"/>
        <filter val="139 895"/>
        <filter val="158 858"/>
        <filter val="165 068"/>
        <filter val="174 568"/>
        <filter val="18 200"/>
        <filter val="18 963"/>
        <filter val="5 000"/>
        <filter val="5 145"/>
        <filter val="56 650"/>
        <filter val="58 900"/>
        <filter val="6 210"/>
        <filter val="64 045"/>
        <filter val="74 850"/>
        <filter val="9 5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25.pielikums Jūrmalas pilsētas domes
2019.gada 29.augusta saistošajiem noteikumiem Nr.31
(protokols Nr.12, 20.punkts)
 </firstHeader>
    <firstFooter>&amp;L&amp;9&amp;D; &amp;T&amp;R&amp;9&amp;P (&amp;N)</first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2341</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731</v>
      </c>
      <c r="D6" s="1972"/>
      <c r="E6" s="1972"/>
      <c r="F6" s="1972"/>
      <c r="G6" s="1972"/>
      <c r="H6" s="1972"/>
      <c r="I6" s="1972"/>
      <c r="J6" s="1972"/>
      <c r="K6" s="1972"/>
      <c r="L6" s="1972"/>
      <c r="M6" s="1972"/>
      <c r="N6" s="1972"/>
      <c r="O6" s="1972"/>
      <c r="P6" s="1973"/>
      <c r="Q6" s="276"/>
    </row>
    <row r="7" spans="1:17" x14ac:dyDescent="0.25">
      <c r="A7" s="7" t="s">
        <v>10</v>
      </c>
      <c r="B7" s="8"/>
      <c r="C7" s="1977" t="s">
        <v>732</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2342</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696982</v>
      </c>
      <c r="D20" s="32">
        <f>SUM(D21,D24,D25,D41,D43)</f>
        <v>697332</v>
      </c>
      <c r="E20" s="33">
        <f t="shared" ref="E20:F20" si="1">SUM(E21,E24,E25,E41,E43)</f>
        <v>-350</v>
      </c>
      <c r="F20" s="34">
        <f t="shared" si="1"/>
        <v>696982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696982</v>
      </c>
      <c r="D24" s="60">
        <f>D51</f>
        <v>697332</v>
      </c>
      <c r="E24" s="61">
        <f>E51</f>
        <v>-350</v>
      </c>
      <c r="F24" s="62">
        <f t="shared" si="9"/>
        <v>696982</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696982</v>
      </c>
      <c r="D50" s="158">
        <f>SUM(D51,D286)</f>
        <v>697332</v>
      </c>
      <c r="E50" s="159">
        <f t="shared" ref="E50:F50" si="26">SUM(E51,E286)</f>
        <v>-350</v>
      </c>
      <c r="F50" s="160">
        <f t="shared" si="26"/>
        <v>696982</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696982</v>
      </c>
      <c r="D51" s="164">
        <f>SUM(D52,D194)</f>
        <v>697332</v>
      </c>
      <c r="E51" s="165">
        <f t="shared" ref="E51:F51" si="30">SUM(E52,E194)</f>
        <v>-350</v>
      </c>
      <c r="F51" s="166">
        <f t="shared" si="30"/>
        <v>696982</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696982</v>
      </c>
      <c r="D52" s="172">
        <f>SUM(D53,D75,D173,D187)</f>
        <v>697332</v>
      </c>
      <c r="E52" s="173">
        <f t="shared" ref="E52:F52" si="34">SUM(E53,E75,E173,E187)</f>
        <v>-350</v>
      </c>
      <c r="F52" s="174">
        <f t="shared" si="34"/>
        <v>696982</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675">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612810</v>
      </c>
      <c r="D75" s="178">
        <f>SUM(D76,D83,D130,D164,D165,D172)</f>
        <v>613160</v>
      </c>
      <c r="E75" s="179">
        <f t="shared" ref="E75:F75" si="74">SUM(E76,E83,E130,E164,E165,E172)</f>
        <v>-350</v>
      </c>
      <c r="F75" s="180">
        <f t="shared" si="74"/>
        <v>612810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675">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612510</v>
      </c>
      <c r="D83" s="183">
        <f>SUM(D84,D89,D95,D103,D112,D116,D122,D128)</f>
        <v>612860</v>
      </c>
      <c r="E83" s="184">
        <f t="shared" ref="E83:F83" si="98">SUM(E84,E89,E95,E103,E112,E116,E122,E128)</f>
        <v>-350</v>
      </c>
      <c r="F83" s="72">
        <f t="shared" si="98"/>
        <v>612510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612510</v>
      </c>
      <c r="D122" s="189">
        <f>SUM(D123:D127)</f>
        <v>612860</v>
      </c>
      <c r="E122" s="190">
        <f t="shared" ref="E122:F122" si="151">SUM(E123:E127)</f>
        <v>-350</v>
      </c>
      <c r="F122" s="55">
        <f t="shared" si="151"/>
        <v>612510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612510</v>
      </c>
      <c r="D127" s="194">
        <v>612860</v>
      </c>
      <c r="E127" s="1934">
        <v>-350</v>
      </c>
      <c r="F127" s="55">
        <f t="shared" si="155"/>
        <v>612510</v>
      </c>
      <c r="G127" s="53"/>
      <c r="H127" s="54"/>
      <c r="I127" s="55">
        <f t="shared" si="156"/>
        <v>0</v>
      </c>
      <c r="J127" s="53"/>
      <c r="K127" s="54"/>
      <c r="L127" s="55">
        <f t="shared" si="157"/>
        <v>0</v>
      </c>
      <c r="M127" s="53"/>
      <c r="N127" s="54"/>
      <c r="O127" s="55">
        <f t="shared" si="158"/>
        <v>0</v>
      </c>
      <c r="P127" s="57"/>
    </row>
    <row r="128" spans="1:16" ht="48" hidden="1" x14ac:dyDescent="0.25">
      <c r="A128" s="1675">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300</v>
      </c>
      <c r="D130" s="183">
        <f>SUM(D131,D136,D140,D141,D144,D151,D159,D160,D163)</f>
        <v>300</v>
      </c>
      <c r="E130" s="184">
        <f t="shared" ref="E130:F130" si="160">SUM(E131,E136,E140,E141,E144,E151,E159,E160,E163)</f>
        <v>0</v>
      </c>
      <c r="F130" s="72">
        <f t="shared" si="160"/>
        <v>300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675">
        <v>2310</v>
      </c>
      <c r="B131" s="81" t="s">
        <v>148</v>
      </c>
      <c r="C131" s="82">
        <f t="shared" si="102"/>
        <v>300</v>
      </c>
      <c r="D131" s="192">
        <f>SUM(D132:D135)</f>
        <v>300</v>
      </c>
      <c r="E131" s="193">
        <f t="shared" ref="E131:O131" si="164">SUM(E132:E135)</f>
        <v>0</v>
      </c>
      <c r="F131" s="133">
        <f t="shared" si="164"/>
        <v>300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300</v>
      </c>
      <c r="D135" s="194">
        <v>300</v>
      </c>
      <c r="E135" s="195"/>
      <c r="F135" s="55">
        <f t="shared" si="165"/>
        <v>300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675">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x14ac:dyDescent="0.25">
      <c r="A173" s="176">
        <v>3000</v>
      </c>
      <c r="B173" s="176" t="s">
        <v>190</v>
      </c>
      <c r="C173" s="177">
        <f t="shared" si="193"/>
        <v>84172</v>
      </c>
      <c r="D173" s="178">
        <f>SUM(D174,D184)</f>
        <v>84172</v>
      </c>
      <c r="E173" s="179">
        <f t="shared" ref="E173:F173" si="216">SUM(E174,E184)</f>
        <v>0</v>
      </c>
      <c r="F173" s="180">
        <f t="shared" si="216"/>
        <v>84172</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x14ac:dyDescent="0.25">
      <c r="A174" s="68">
        <v>3200</v>
      </c>
      <c r="B174" s="207" t="s">
        <v>191</v>
      </c>
      <c r="C174" s="69">
        <f t="shared" si="193"/>
        <v>84172</v>
      </c>
      <c r="D174" s="183">
        <f>SUM(D175,D179)</f>
        <v>84172</v>
      </c>
      <c r="E174" s="184">
        <f t="shared" ref="E174:O174" si="220">SUM(E175,E179)</f>
        <v>0</v>
      </c>
      <c r="F174" s="72">
        <f t="shared" si="220"/>
        <v>84172</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x14ac:dyDescent="0.25">
      <c r="A175" s="1675">
        <v>3260</v>
      </c>
      <c r="B175" s="81" t="s">
        <v>192</v>
      </c>
      <c r="C175" s="82">
        <f t="shared" si="193"/>
        <v>84172</v>
      </c>
      <c r="D175" s="192">
        <f>SUM(D176:D178)</f>
        <v>84172</v>
      </c>
      <c r="E175" s="193">
        <f t="shared" ref="E175:F175" si="221">SUM(E176:E178)</f>
        <v>0</v>
      </c>
      <c r="F175" s="133">
        <f t="shared" si="221"/>
        <v>84172</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8" t="s">
        <v>195</v>
      </c>
      <c r="C178" s="89">
        <f t="shared" si="193"/>
        <v>84172</v>
      </c>
      <c r="D178" s="194">
        <v>84172</v>
      </c>
      <c r="E178" s="195"/>
      <c r="F178" s="55">
        <f t="shared" si="225"/>
        <v>84172</v>
      </c>
      <c r="G178" s="53"/>
      <c r="H178" s="54"/>
      <c r="I178" s="55">
        <f t="shared" si="226"/>
        <v>0</v>
      </c>
      <c r="J178" s="53"/>
      <c r="K178" s="54"/>
      <c r="L178" s="55">
        <f t="shared" si="227"/>
        <v>0</v>
      </c>
      <c r="M178" s="53"/>
      <c r="N178" s="54"/>
      <c r="O178" s="55">
        <f t="shared" si="228"/>
        <v>0</v>
      </c>
      <c r="P178" s="57"/>
    </row>
    <row r="179" spans="1:16" ht="84" hidden="1" x14ac:dyDescent="0.25">
      <c r="A179" s="1675">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675">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675">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SUM(D195,D230,D269,D283)</f>
        <v>0</v>
      </c>
      <c r="E194" s="173">
        <f t="shared" ref="E194:O194" si="259">SUM(E195,E230,E269,E283)</f>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675">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675">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SUM(D234)</f>
        <v>0</v>
      </c>
      <c r="E233" s="190">
        <f t="shared" ref="E233:O233" si="313">SUM(E234)</f>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675">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675">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675">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675">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SUM(D277:D279)</f>
        <v>0</v>
      </c>
      <c r="E276" s="190">
        <f t="shared" ref="E276:O276" si="372">SUM(E277:E279)</f>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675">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D282</f>
        <v>0</v>
      </c>
      <c r="E281" s="235">
        <f t="shared" ref="E281:O281" si="378">E282</f>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696982</v>
      </c>
      <c r="D289" s="251">
        <f t="shared" ref="D289:O289" si="389">SUM(D286,D269,D230,D195,D187,D173,D75,D53,D283)</f>
        <v>697332</v>
      </c>
      <c r="E289" s="252">
        <f t="shared" si="389"/>
        <v>-350</v>
      </c>
      <c r="F289" s="253">
        <f t="shared" si="389"/>
        <v>696982</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hidden="1" thickTop="1" x14ac:dyDescent="0.25">
      <c r="A302" s="1756"/>
      <c r="B302" s="1757"/>
      <c r="C302" s="1757"/>
      <c r="D302" s="1757"/>
      <c r="E302" s="1757"/>
      <c r="F302" s="1757"/>
      <c r="G302" s="1757"/>
      <c r="H302" s="1757"/>
      <c r="I302" s="1757"/>
      <c r="J302" s="1757"/>
      <c r="K302" s="1757"/>
      <c r="L302" s="1757"/>
      <c r="M302" s="1757"/>
      <c r="N302" s="1757"/>
      <c r="O302" s="1757"/>
      <c r="P302" s="1758"/>
    </row>
    <row r="303" spans="1:16" ht="12.75" thickTop="1"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u7U6nDBu/mrtw7hhAMfArivgedt2KuIW+Gm6GTuGzoWbjOCjsPYUujh6SosUteIIibCM1yjyo0T/1WhdvLlPaw==" saltValue="pdc9cVhm5LHf0RVg2pyRvg==" spinCount="100000" sheet="1" objects="1" scenarios="1" formatCells="0" formatColumns="0" formatRows="0" deleteColumns="0"/>
  <autoFilter ref="A18:P301">
    <filterColumn colId="2">
      <filters>
        <filter val="300"/>
        <filter val="612 510"/>
        <filter val="612 810"/>
        <filter val="696 982"/>
        <filter val="84 17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26.pielikums Jūrmalas pilsētas domes
2019.gada 29.augusta saistošajiem noteikumiem Nr.31
(protokols Nr.12, 20.punkts)
 </firstHeader>
    <firstFooter>&amp;L&amp;9&amp;D; &amp;T&amp;R&amp;9&amp;P (&amp;N)</first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3" sqref="U2:U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2343</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2344</v>
      </c>
      <c r="D5" s="1972"/>
      <c r="E5" s="1972"/>
      <c r="F5" s="1972"/>
      <c r="G5" s="1972"/>
      <c r="H5" s="1972"/>
      <c r="I5" s="1972"/>
      <c r="J5" s="1972"/>
      <c r="K5" s="1972"/>
      <c r="L5" s="1972"/>
      <c r="M5" s="1972"/>
      <c r="N5" s="1972"/>
      <c r="O5" s="1972"/>
      <c r="P5" s="1973"/>
      <c r="Q5" s="276"/>
    </row>
    <row r="6" spans="1:17" ht="12.75" customHeight="1" x14ac:dyDescent="0.25">
      <c r="A6" s="7" t="s">
        <v>8</v>
      </c>
      <c r="B6" s="8"/>
      <c r="C6" s="1972" t="s">
        <v>731</v>
      </c>
      <c r="D6" s="1972"/>
      <c r="E6" s="1972"/>
      <c r="F6" s="1972"/>
      <c r="G6" s="1972"/>
      <c r="H6" s="1972"/>
      <c r="I6" s="1972"/>
      <c r="J6" s="1972"/>
      <c r="K6" s="1972"/>
      <c r="L6" s="1972"/>
      <c r="M6" s="1972"/>
      <c r="N6" s="1972"/>
      <c r="O6" s="1972"/>
      <c r="P6" s="1973"/>
      <c r="Q6" s="276"/>
    </row>
    <row r="7" spans="1:17" x14ac:dyDescent="0.25">
      <c r="A7" s="7" t="s">
        <v>10</v>
      </c>
      <c r="B7" s="8"/>
      <c r="C7" s="1977" t="s">
        <v>771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384218</v>
      </c>
      <c r="D20" s="32">
        <f>SUM(D21,D24,D25,D41,D43)</f>
        <v>383868</v>
      </c>
      <c r="E20" s="33">
        <f t="shared" ref="E20:F20" si="1">SUM(E21,E24,E25,E41,E43)</f>
        <v>350</v>
      </c>
      <c r="F20" s="34">
        <f t="shared" si="1"/>
        <v>384218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384218</v>
      </c>
      <c r="D24" s="60">
        <f>383868</f>
        <v>383868</v>
      </c>
      <c r="E24" s="61">
        <v>350</v>
      </c>
      <c r="F24" s="62">
        <f t="shared" si="9"/>
        <v>384218</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384218</v>
      </c>
      <c r="D50" s="158">
        <f>SUM(D51,D286)</f>
        <v>383868</v>
      </c>
      <c r="E50" s="159">
        <f t="shared" ref="E50:F50" si="26">SUM(E51,E286)</f>
        <v>350</v>
      </c>
      <c r="F50" s="160">
        <f t="shared" si="26"/>
        <v>384218</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384218</v>
      </c>
      <c r="D51" s="164">
        <f>SUM(D52,D194)</f>
        <v>383868</v>
      </c>
      <c r="E51" s="165">
        <f t="shared" ref="E51:F51" si="30">SUM(E52,E194)</f>
        <v>350</v>
      </c>
      <c r="F51" s="166">
        <f t="shared" si="30"/>
        <v>384218</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373049</v>
      </c>
      <c r="D52" s="172">
        <f>SUM(D53,D75,D173,D187)</f>
        <v>372699</v>
      </c>
      <c r="E52" s="173">
        <f t="shared" ref="E52:F52" si="34">SUM(E53,E75,E173,E187)</f>
        <v>350</v>
      </c>
      <c r="F52" s="174">
        <f t="shared" si="34"/>
        <v>373049</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39.75" hidden="1" customHeight="1" x14ac:dyDescent="0.25">
      <c r="A57" s="851">
        <v>1119</v>
      </c>
      <c r="B57" s="852" t="s">
        <v>76</v>
      </c>
      <c r="C57" s="853">
        <f t="shared" si="0"/>
        <v>0</v>
      </c>
      <c r="D57" s="303"/>
      <c r="E57" s="542"/>
      <c r="F57" s="543">
        <f t="shared" si="50"/>
        <v>0</v>
      </c>
      <c r="G57" s="303"/>
      <c r="H57" s="542"/>
      <c r="I57" s="543">
        <f t="shared" si="51"/>
        <v>0</v>
      </c>
      <c r="J57" s="303"/>
      <c r="K57" s="542"/>
      <c r="L57" s="543">
        <f t="shared" si="52"/>
        <v>0</v>
      </c>
      <c r="M57" s="303"/>
      <c r="N57" s="542"/>
      <c r="O57" s="543">
        <f t="shared" si="53"/>
        <v>0</v>
      </c>
      <c r="P57" s="1348"/>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1.25" hidden="1" customHeight="1" x14ac:dyDescent="0.25">
      <c r="A64" s="851">
        <v>1148</v>
      </c>
      <c r="B64" s="852" t="s">
        <v>83</v>
      </c>
      <c r="C64" s="853">
        <f t="shared" si="0"/>
        <v>0</v>
      </c>
      <c r="D64" s="303"/>
      <c r="E64" s="542"/>
      <c r="F64" s="543">
        <f t="shared" si="58"/>
        <v>0</v>
      </c>
      <c r="G64" s="303"/>
      <c r="H64" s="542"/>
      <c r="I64" s="543">
        <f t="shared" si="59"/>
        <v>0</v>
      </c>
      <c r="J64" s="303"/>
      <c r="K64" s="542"/>
      <c r="L64" s="543">
        <f t="shared" si="60"/>
        <v>0</v>
      </c>
      <c r="M64" s="303"/>
      <c r="N64" s="542"/>
      <c r="O64" s="543">
        <f t="shared" si="61"/>
        <v>0</v>
      </c>
      <c r="P64" s="1348"/>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675">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45500</v>
      </c>
      <c r="D75" s="178">
        <f>SUM(D76,D83,D130,D164,D165,D172)</f>
        <v>45500</v>
      </c>
      <c r="E75" s="179">
        <f t="shared" ref="E75:F75" si="74">SUM(E76,E83,E130,E164,E165,E172)</f>
        <v>0</v>
      </c>
      <c r="F75" s="180">
        <f t="shared" si="74"/>
        <v>45500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675">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15000</v>
      </c>
      <c r="D83" s="183">
        <f>SUM(D84,D89,D95,D103,D112,D116,D122,D128)</f>
        <v>15000</v>
      </c>
      <c r="E83" s="184">
        <f t="shared" ref="E83:F83" si="98">SUM(E84,E89,E95,E103,E112,E116,E122,E128)</f>
        <v>0</v>
      </c>
      <c r="F83" s="72">
        <f t="shared" si="98"/>
        <v>15000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26.25"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14500</v>
      </c>
      <c r="D116" s="189">
        <f>SUM(D117:D121)</f>
        <v>14500</v>
      </c>
      <c r="E116" s="190">
        <f t="shared" ref="E116:F116" si="143">SUM(E117:E121)</f>
        <v>0</v>
      </c>
      <c r="F116" s="55">
        <f t="shared" si="143"/>
        <v>14500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customHeight="1" x14ac:dyDescent="0.25">
      <c r="A117" s="51">
        <v>2261</v>
      </c>
      <c r="B117" s="88" t="s">
        <v>134</v>
      </c>
      <c r="C117" s="89">
        <f t="shared" si="102"/>
        <v>1500</v>
      </c>
      <c r="D117" s="194">
        <v>1500</v>
      </c>
      <c r="E117" s="195"/>
      <c r="F117" s="55">
        <f t="shared" ref="F117:F121" si="147">D117+E117</f>
        <v>1500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8" t="s">
        <v>135</v>
      </c>
      <c r="C118" s="89">
        <f t="shared" si="102"/>
        <v>13000</v>
      </c>
      <c r="D118" s="194">
        <v>13000</v>
      </c>
      <c r="E118" s="195"/>
      <c r="F118" s="55">
        <f t="shared" si="147"/>
        <v>13000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500</v>
      </c>
      <c r="D122" s="189">
        <f>SUM(D123:D127)</f>
        <v>500</v>
      </c>
      <c r="E122" s="190">
        <f t="shared" ref="E122:F122" si="151">SUM(E123:E127)</f>
        <v>0</v>
      </c>
      <c r="F122" s="55">
        <f t="shared" si="151"/>
        <v>500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500</v>
      </c>
      <c r="D127" s="194">
        <f>500</f>
        <v>500</v>
      </c>
      <c r="E127" s="195"/>
      <c r="F127" s="55">
        <f t="shared" si="155"/>
        <v>500</v>
      </c>
      <c r="G127" s="53"/>
      <c r="H127" s="54"/>
      <c r="I127" s="55">
        <f t="shared" si="156"/>
        <v>0</v>
      </c>
      <c r="J127" s="53"/>
      <c r="K127" s="54"/>
      <c r="L127" s="55">
        <f t="shared" si="157"/>
        <v>0</v>
      </c>
      <c r="M127" s="53"/>
      <c r="N127" s="54"/>
      <c r="O127" s="55">
        <f t="shared" si="158"/>
        <v>0</v>
      </c>
      <c r="P127" s="57"/>
    </row>
    <row r="128" spans="1:16" ht="40.5" hidden="1" customHeight="1" x14ac:dyDescent="0.25">
      <c r="A128" s="1675">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30500</v>
      </c>
      <c r="D130" s="183">
        <f>SUM(D131,D136,D140,D141,D144,D151,D159,D160,D163)</f>
        <v>30500</v>
      </c>
      <c r="E130" s="184">
        <f t="shared" ref="E130:F130" si="160">SUM(E131,E136,E140,E141,E144,E151,E159,E160,E163)</f>
        <v>0</v>
      </c>
      <c r="F130" s="72">
        <f t="shared" si="160"/>
        <v>30500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675">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26.25"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823"/>
      <c r="L133" s="55">
        <f t="shared" si="167"/>
        <v>0</v>
      </c>
      <c r="M133" s="53"/>
      <c r="N133" s="54"/>
      <c r="O133" s="55">
        <f t="shared" si="168"/>
        <v>0</v>
      </c>
      <c r="P133" s="1935"/>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30500</v>
      </c>
      <c r="D151" s="189">
        <f>SUM(D152:D158)</f>
        <v>30500</v>
      </c>
      <c r="E151" s="190">
        <f t="shared" ref="E151:F151" si="194">SUM(E152:E158)</f>
        <v>0</v>
      </c>
      <c r="F151" s="55">
        <f t="shared" si="194"/>
        <v>30500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customHeight="1" x14ac:dyDescent="0.25">
      <c r="A152" s="50">
        <v>2361</v>
      </c>
      <c r="B152" s="88" t="s">
        <v>169</v>
      </c>
      <c r="C152" s="89">
        <f t="shared" si="193"/>
        <v>20500</v>
      </c>
      <c r="D152" s="194">
        <f>17000+3500</f>
        <v>20500</v>
      </c>
      <c r="E152" s="195"/>
      <c r="F152" s="55">
        <f t="shared" ref="F152:F159" si="198">D152+E152</f>
        <v>20500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75" customHeight="1" x14ac:dyDescent="0.25">
      <c r="A154" s="50">
        <v>2363</v>
      </c>
      <c r="B154" s="88" t="s">
        <v>171</v>
      </c>
      <c r="C154" s="89">
        <f t="shared" si="193"/>
        <v>10000</v>
      </c>
      <c r="D154" s="194">
        <v>10000</v>
      </c>
      <c r="E154" s="195"/>
      <c r="F154" s="55">
        <f t="shared" si="198"/>
        <v>10000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24"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57"/>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675">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x14ac:dyDescent="0.25">
      <c r="A173" s="176">
        <v>3000</v>
      </c>
      <c r="B173" s="176" t="s">
        <v>190</v>
      </c>
      <c r="C173" s="177">
        <f t="shared" si="193"/>
        <v>327549</v>
      </c>
      <c r="D173" s="178">
        <f>SUM(D174,D184)</f>
        <v>327199</v>
      </c>
      <c r="E173" s="179">
        <f t="shared" ref="E173:F173" si="216">SUM(E174,E184)</f>
        <v>350</v>
      </c>
      <c r="F173" s="180">
        <f t="shared" si="216"/>
        <v>327549</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x14ac:dyDescent="0.25">
      <c r="A174" s="68">
        <v>3200</v>
      </c>
      <c r="B174" s="207" t="s">
        <v>191</v>
      </c>
      <c r="C174" s="69">
        <f t="shared" si="193"/>
        <v>327549</v>
      </c>
      <c r="D174" s="183">
        <f>SUM(D175,D179)</f>
        <v>327199</v>
      </c>
      <c r="E174" s="184">
        <f t="shared" ref="E174:O174" si="220">SUM(E175,E179)</f>
        <v>350</v>
      </c>
      <c r="F174" s="72">
        <f t="shared" si="220"/>
        <v>327549</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x14ac:dyDescent="0.25">
      <c r="A175" s="1675">
        <v>3260</v>
      </c>
      <c r="B175" s="81" t="s">
        <v>192</v>
      </c>
      <c r="C175" s="82">
        <f t="shared" si="193"/>
        <v>327549</v>
      </c>
      <c r="D175" s="192">
        <f>SUM(D176:D178)</f>
        <v>327199</v>
      </c>
      <c r="E175" s="193">
        <f t="shared" ref="E175:F175" si="221">SUM(E176:E178)</f>
        <v>350</v>
      </c>
      <c r="F175" s="133">
        <f t="shared" si="221"/>
        <v>327549</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8" t="s">
        <v>195</v>
      </c>
      <c r="C178" s="89">
        <f t="shared" si="193"/>
        <v>327549</v>
      </c>
      <c r="D178" s="194">
        <v>327199</v>
      </c>
      <c r="E178" s="1934">
        <v>350</v>
      </c>
      <c r="F178" s="55">
        <f t="shared" si="225"/>
        <v>327549</v>
      </c>
      <c r="G178" s="53"/>
      <c r="H178" s="54"/>
      <c r="I178" s="55">
        <f t="shared" si="226"/>
        <v>0</v>
      </c>
      <c r="J178" s="53"/>
      <c r="K178" s="54"/>
      <c r="L178" s="55">
        <f t="shared" si="227"/>
        <v>0</v>
      </c>
      <c r="M178" s="53"/>
      <c r="N178" s="54"/>
      <c r="O178" s="55">
        <f t="shared" si="228"/>
        <v>0</v>
      </c>
      <c r="P178" s="57" t="s">
        <v>2347</v>
      </c>
    </row>
    <row r="179" spans="1:16" ht="84" hidden="1" x14ac:dyDescent="0.25">
      <c r="A179" s="1675">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675">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675">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11169</v>
      </c>
      <c r="D194" s="172">
        <f t="shared" ref="D194:O194" si="259">SUM(D195,D230,D269,D283)</f>
        <v>11169</v>
      </c>
      <c r="E194" s="173">
        <f t="shared" si="259"/>
        <v>0</v>
      </c>
      <c r="F194" s="174">
        <f t="shared" si="259"/>
        <v>11169</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675">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11169</v>
      </c>
      <c r="D230" s="178">
        <f>D231+D251+D259</f>
        <v>11169</v>
      </c>
      <c r="E230" s="179">
        <f t="shared" ref="E230:F230" si="305">E231+E251+E259</f>
        <v>0</v>
      </c>
      <c r="F230" s="180">
        <f t="shared" si="305"/>
        <v>11169</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675">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675">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675">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11169</v>
      </c>
      <c r="D259" s="183">
        <f>SUM(D260,D264)</f>
        <v>11169</v>
      </c>
      <c r="E259" s="184">
        <f t="shared" ref="E259:O259" si="341">SUM(E260,E264)</f>
        <v>0</v>
      </c>
      <c r="F259" s="72">
        <f t="shared" si="341"/>
        <v>11169</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675">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11169</v>
      </c>
      <c r="D264" s="189">
        <f>SUM(D265:D268)</f>
        <v>11169</v>
      </c>
      <c r="E264" s="190">
        <f t="shared" ref="E264:F264" si="347">SUM(E265:E268)</f>
        <v>0</v>
      </c>
      <c r="F264" s="55">
        <f t="shared" si="347"/>
        <v>11169</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8" t="s">
        <v>283</v>
      </c>
      <c r="C266" s="89">
        <f t="shared" si="288"/>
        <v>11169</v>
      </c>
      <c r="D266" s="194">
        <v>11169</v>
      </c>
      <c r="E266" s="195"/>
      <c r="F266" s="55">
        <f t="shared" si="351"/>
        <v>11169</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851">
        <v>6424</v>
      </c>
      <c r="B268" s="852" t="s">
        <v>285</v>
      </c>
      <c r="C268" s="853">
        <f t="shared" si="288"/>
        <v>0</v>
      </c>
      <c r="D268" s="544">
        <v>0</v>
      </c>
      <c r="E268" s="545"/>
      <c r="F268" s="543">
        <f t="shared" si="351"/>
        <v>0</v>
      </c>
      <c r="G268" s="303"/>
      <c r="H268" s="542"/>
      <c r="I268" s="543">
        <f t="shared" si="352"/>
        <v>0</v>
      </c>
      <c r="J268" s="303"/>
      <c r="K268" s="542"/>
      <c r="L268" s="543">
        <f t="shared" si="353"/>
        <v>0</v>
      </c>
      <c r="M268" s="303"/>
      <c r="N268" s="542"/>
      <c r="O268" s="543">
        <f t="shared" si="354"/>
        <v>0</v>
      </c>
      <c r="P268" s="546"/>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675">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675">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384218</v>
      </c>
      <c r="D289" s="251">
        <f t="shared" ref="D289:O289" si="389">SUM(D286,D269,D230,D195,D187,D173,D75,D53,D283)</f>
        <v>383868</v>
      </c>
      <c r="E289" s="252">
        <f t="shared" si="389"/>
        <v>350</v>
      </c>
      <c r="F289" s="253">
        <f t="shared" si="389"/>
        <v>384218</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iMJI5l7tIiv3gXrFTnmSl4i6NC42awV1l0QxoUunwbKgedeNQ+PRZfLfhVer5bvP47MatuAQ+TfUB5OVElK60A==" saltValue="ect6u7gkldb9oJ/+/f6w8A==" spinCount="100000" sheet="1" objects="1" scenarios="1" formatCells="0" formatColumns="0" formatRows="0" deleteColumns="0"/>
  <autoFilter ref="A18:P301">
    <filterColumn colId="2">
      <filters>
        <filter val="1 500"/>
        <filter val="10 000"/>
        <filter val="11 169"/>
        <filter val="13 000"/>
        <filter val="14 500"/>
        <filter val="15 000"/>
        <filter val="20 500"/>
        <filter val="30 500"/>
        <filter val="327 549"/>
        <filter val="-350"/>
        <filter val="373 049"/>
        <filter val="383 868"/>
        <filter val="384 218"/>
        <filter val="45 500"/>
        <filter val="5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27.pielikums Jūrmalas pilsētas domes
2019.gada 29.augusta saistošajiem noteikumiem Nr.31
(protokols Nr.12, 20.punkts)
 </firstHeader>
    <firstFooter>&amp;L&amp;9&amp;D; &amp;T&amp;R&amp;9&amp;P (&amp;N)</first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1765</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1310</v>
      </c>
      <c r="D6" s="1972"/>
      <c r="E6" s="1972"/>
      <c r="F6" s="1972"/>
      <c r="G6" s="1972"/>
      <c r="H6" s="1972"/>
      <c r="I6" s="1972"/>
      <c r="J6" s="1972"/>
      <c r="K6" s="1972"/>
      <c r="L6" s="1972"/>
      <c r="M6" s="1972"/>
      <c r="N6" s="1972"/>
      <c r="O6" s="1972"/>
      <c r="P6" s="1973"/>
      <c r="Q6" s="276"/>
    </row>
    <row r="7" spans="1:17" ht="23.25" customHeight="1" x14ac:dyDescent="0.25">
      <c r="A7" s="7" t="s">
        <v>10</v>
      </c>
      <c r="B7" s="8"/>
      <c r="C7" s="1977" t="s">
        <v>1309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222570</v>
      </c>
      <c r="D20" s="32">
        <f>SUM(D21,D24,D25,D41,D43)</f>
        <v>219655</v>
      </c>
      <c r="E20" s="33">
        <f t="shared" ref="E20:F20" si="1">SUM(E21,E24,E25,E41,E43)</f>
        <v>2915</v>
      </c>
      <c r="F20" s="34">
        <f t="shared" si="1"/>
        <v>222570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7.5" customHeight="1" thickTop="1" thickBot="1" x14ac:dyDescent="0.3">
      <c r="A24" s="58">
        <v>19300</v>
      </c>
      <c r="B24" s="58" t="s">
        <v>43</v>
      </c>
      <c r="C24" s="59">
        <f>F24+I24</f>
        <v>222570</v>
      </c>
      <c r="D24" s="60">
        <f>D51</f>
        <v>219655</v>
      </c>
      <c r="E24" s="741">
        <v>2915</v>
      </c>
      <c r="F24" s="62">
        <f t="shared" si="9"/>
        <v>222570</v>
      </c>
      <c r="G24" s="60">
        <f>G51</f>
        <v>0</v>
      </c>
      <c r="H24" s="61"/>
      <c r="I24" s="62">
        <f t="shared" si="10"/>
        <v>0</v>
      </c>
      <c r="J24" s="63" t="s">
        <v>44</v>
      </c>
      <c r="K24" s="64" t="s">
        <v>44</v>
      </c>
      <c r="L24" s="65" t="s">
        <v>44</v>
      </c>
      <c r="M24" s="63" t="s">
        <v>44</v>
      </c>
      <c r="N24" s="64" t="s">
        <v>44</v>
      </c>
      <c r="O24" s="65" t="s">
        <v>44</v>
      </c>
      <c r="P24" s="66" t="s">
        <v>1766</v>
      </c>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222570</v>
      </c>
      <c r="D50" s="158">
        <f>SUM(D51,D286)</f>
        <v>219655</v>
      </c>
      <c r="E50" s="159">
        <f t="shared" ref="E50:F50" si="26">SUM(E51,E286)</f>
        <v>2915</v>
      </c>
      <c r="F50" s="160">
        <f t="shared" si="26"/>
        <v>222570</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222570</v>
      </c>
      <c r="D51" s="164">
        <f>SUM(D52,D194)</f>
        <v>219655</v>
      </c>
      <c r="E51" s="165">
        <f t="shared" ref="E51:F51" si="30">SUM(E52,E194)</f>
        <v>2915</v>
      </c>
      <c r="F51" s="166">
        <f t="shared" si="30"/>
        <v>222570</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2550</v>
      </c>
      <c r="D52" s="172">
        <f>SUM(D53,D75,D173,D187)</f>
        <v>2550</v>
      </c>
      <c r="E52" s="173">
        <f t="shared" ref="E52:F52" si="34">SUM(E53,E75,E173,E187)</f>
        <v>0</v>
      </c>
      <c r="F52" s="174">
        <f t="shared" si="34"/>
        <v>2550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213">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2550</v>
      </c>
      <c r="D75" s="178">
        <f>SUM(D76,D83,D130,D164,D165,D172)</f>
        <v>2550</v>
      </c>
      <c r="E75" s="179">
        <f t="shared" ref="E75:F75" si="74">SUM(E76,E83,E130,E164,E165,E172)</f>
        <v>0</v>
      </c>
      <c r="F75" s="180">
        <f t="shared" si="74"/>
        <v>2550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21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2550</v>
      </c>
      <c r="D83" s="183">
        <f>SUM(D84,D89,D95,D103,D112,D116,D122,D128)</f>
        <v>2550</v>
      </c>
      <c r="E83" s="184">
        <f t="shared" ref="E83:F83" si="98">SUM(E84,E89,E95,E103,E112,E116,E122,E128)</f>
        <v>0</v>
      </c>
      <c r="F83" s="72">
        <f t="shared" si="98"/>
        <v>2550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2550</v>
      </c>
      <c r="D103" s="189">
        <f>SUM(D104:D111)</f>
        <v>2550</v>
      </c>
      <c r="E103" s="190">
        <f t="shared" ref="E103:F103" si="127">SUM(E104:E111)</f>
        <v>0</v>
      </c>
      <c r="F103" s="55">
        <f t="shared" si="127"/>
        <v>2550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customHeight="1" x14ac:dyDescent="0.25">
      <c r="A104" s="51">
        <v>2241</v>
      </c>
      <c r="B104" s="88" t="s">
        <v>121</v>
      </c>
      <c r="C104" s="89">
        <f t="shared" si="102"/>
        <v>2550</v>
      </c>
      <c r="D104" s="194">
        <v>2550</v>
      </c>
      <c r="E104" s="195"/>
      <c r="F104" s="55">
        <f t="shared" ref="F104:F111" si="131">D104+E104</f>
        <v>2550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1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213">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21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21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1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21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21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220020</v>
      </c>
      <c r="D194" s="172">
        <f>SUM(D195,D230,D269,D283)</f>
        <v>217105</v>
      </c>
      <c r="E194" s="173">
        <f t="shared" ref="E194:O194" si="259">SUM(E195,E230,E269,E283)</f>
        <v>2915</v>
      </c>
      <c r="F194" s="174">
        <f t="shared" si="259"/>
        <v>220020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220020</v>
      </c>
      <c r="D195" s="178">
        <f>D196+D204</f>
        <v>217105</v>
      </c>
      <c r="E195" s="179">
        <f t="shared" ref="E195:F195" si="260">E196+E204</f>
        <v>2915</v>
      </c>
      <c r="F195" s="180">
        <f t="shared" si="260"/>
        <v>220020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213">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220020</v>
      </c>
      <c r="D204" s="183">
        <f>D205+D215+D216+D225+D226+D227+D229</f>
        <v>217105</v>
      </c>
      <c r="E204" s="184">
        <f t="shared" ref="E204:F204" si="276">E205+E215+E216+E225+E226+E227+E229</f>
        <v>2915</v>
      </c>
      <c r="F204" s="72">
        <f t="shared" si="276"/>
        <v>220020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20.25" customHeight="1" x14ac:dyDescent="0.25">
      <c r="A226" s="188">
        <v>5250</v>
      </c>
      <c r="B226" s="88" t="s">
        <v>243</v>
      </c>
      <c r="C226" s="89">
        <f t="shared" si="288"/>
        <v>220020</v>
      </c>
      <c r="D226" s="194">
        <f>215001+2104</f>
        <v>217105</v>
      </c>
      <c r="E226" s="195">
        <v>2915</v>
      </c>
      <c r="F226" s="55">
        <f t="shared" si="293"/>
        <v>220020</v>
      </c>
      <c r="G226" s="53"/>
      <c r="H226" s="54"/>
      <c r="I226" s="55">
        <f t="shared" si="294"/>
        <v>0</v>
      </c>
      <c r="J226" s="53"/>
      <c r="K226" s="54"/>
      <c r="L226" s="55">
        <f t="shared" si="295"/>
        <v>0</v>
      </c>
      <c r="M226" s="53"/>
      <c r="N226" s="54"/>
      <c r="O226" s="55">
        <f t="shared" si="296"/>
        <v>0</v>
      </c>
      <c r="P226" s="57" t="s">
        <v>1767</v>
      </c>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21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1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21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21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21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1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222570</v>
      </c>
      <c r="D289" s="251">
        <f t="shared" ref="D289:O289" si="389">SUM(D286,D269,D230,D195,D187,D173,D75,D53,D283)</f>
        <v>219655</v>
      </c>
      <c r="E289" s="252">
        <f t="shared" si="389"/>
        <v>2915</v>
      </c>
      <c r="F289" s="253">
        <f t="shared" si="389"/>
        <v>222570</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XQ2pdDuDEc4d49BQ2q4xAwFkz/m2xi2TFxh6AVXEVz1KFFfiWqNbTaHT845M4jfwfUSB15Tz4zTnJrTtoE70rQ==" saltValue="SbjVX049Gb4xbyCT6Z8dCA==" spinCount="100000" sheet="1" objects="1" scenarios="1" formatCells="0" formatColumns="0" formatRows="0" deleteColumns="0"/>
  <autoFilter ref="A18:P301">
    <filterColumn colId="2">
      <filters>
        <filter val="2 550"/>
        <filter val="220 020"/>
        <filter val="222 57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28.pielikums Jūrmalas pilsētas domes
2019.gada 29.augusta saistošajiem noteikumiem Nr.31
(protokols Nr.12, 20.punkts)
 </firstHeader>
    <firstFooter>&amp;L&amp;9&amp;D; &amp;T&amp;R&amp;9&amp;P (&amp;N)</first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7" sqref="T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1371</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1222</v>
      </c>
      <c r="D6" s="1972"/>
      <c r="E6" s="1972"/>
      <c r="F6" s="1972"/>
      <c r="G6" s="1972"/>
      <c r="H6" s="1972"/>
      <c r="I6" s="1972"/>
      <c r="J6" s="1972"/>
      <c r="K6" s="1972"/>
      <c r="L6" s="1972"/>
      <c r="M6" s="1972"/>
      <c r="N6" s="1972"/>
      <c r="O6" s="1972"/>
      <c r="P6" s="1973"/>
      <c r="Q6" s="276"/>
    </row>
    <row r="7" spans="1:17" ht="24" customHeight="1" x14ac:dyDescent="0.25">
      <c r="A7" s="7" t="s">
        <v>10</v>
      </c>
      <c r="B7" s="8"/>
      <c r="C7" s="1977" t="s">
        <v>1302</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6598</v>
      </c>
      <c r="D20" s="32">
        <f>SUM(D21,D24,D25,D41,D43)</f>
        <v>1357</v>
      </c>
      <c r="E20" s="33">
        <f t="shared" ref="E20:F20" si="1">SUM(E21,E24,E25,E41,E43)</f>
        <v>5241</v>
      </c>
      <c r="F20" s="34">
        <f t="shared" si="1"/>
        <v>6598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6598</v>
      </c>
      <c r="D24" s="60">
        <f>D51</f>
        <v>1357</v>
      </c>
      <c r="E24" s="741">
        <v>5241</v>
      </c>
      <c r="F24" s="62">
        <f t="shared" si="9"/>
        <v>6598</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6598</v>
      </c>
      <c r="D50" s="158">
        <f>SUM(D51,D286)</f>
        <v>1357</v>
      </c>
      <c r="E50" s="159">
        <f t="shared" ref="E50:F50" si="26">SUM(E51,E286)</f>
        <v>5241</v>
      </c>
      <c r="F50" s="160">
        <f t="shared" si="26"/>
        <v>6598</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6598</v>
      </c>
      <c r="D51" s="164">
        <f>SUM(D52,D194)</f>
        <v>1357</v>
      </c>
      <c r="E51" s="165">
        <f t="shared" ref="E51:F51" si="30">SUM(E52,E194)</f>
        <v>5241</v>
      </c>
      <c r="F51" s="166">
        <f t="shared" si="30"/>
        <v>6598</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6598</v>
      </c>
      <c r="D52" s="172">
        <f>SUM(D53,D75,D173,D187)</f>
        <v>1357</v>
      </c>
      <c r="E52" s="173">
        <f t="shared" ref="E52:F52" si="34">SUM(E53,E75,E173,E187)</f>
        <v>5241</v>
      </c>
      <c r="F52" s="174">
        <f t="shared" si="34"/>
        <v>6598</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729">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6598</v>
      </c>
      <c r="D75" s="178">
        <f>SUM(D76,D83,D130,D164,D165,D172)</f>
        <v>1357</v>
      </c>
      <c r="E75" s="179">
        <f t="shared" ref="E75:F75" si="74">SUM(E76,E83,E130,E164,E165,E172)</f>
        <v>5241</v>
      </c>
      <c r="F75" s="180">
        <f t="shared" si="74"/>
        <v>6598</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729">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6598</v>
      </c>
      <c r="D83" s="183">
        <f>SUM(D84,D89,D95,D103,D112,D116,D122,D128)</f>
        <v>1357</v>
      </c>
      <c r="E83" s="184">
        <f t="shared" ref="E83:F83" si="98">SUM(E84,E89,E95,E103,E112,E116,E122,E128)</f>
        <v>5241</v>
      </c>
      <c r="F83" s="72">
        <f t="shared" si="98"/>
        <v>6598</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6598</v>
      </c>
      <c r="D103" s="189">
        <f>SUM(D104:D111)</f>
        <v>1357</v>
      </c>
      <c r="E103" s="190">
        <f t="shared" ref="E103:F103" si="127">SUM(E104:E111)</f>
        <v>5241</v>
      </c>
      <c r="F103" s="55">
        <f t="shared" si="127"/>
        <v>6598</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customHeight="1" x14ac:dyDescent="0.25">
      <c r="A104" s="51">
        <v>2241</v>
      </c>
      <c r="B104" s="88" t="s">
        <v>121</v>
      </c>
      <c r="C104" s="89">
        <f t="shared" si="102"/>
        <v>6598</v>
      </c>
      <c r="D104" s="194">
        <v>1357</v>
      </c>
      <c r="E104" s="198">
        <v>5241</v>
      </c>
      <c r="F104" s="55">
        <f t="shared" ref="F104:F111" si="131">D104+E104</f>
        <v>6598</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729">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729">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729">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729">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29">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729">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729">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SUM(D195,D230,D269,D283)</f>
        <v>0</v>
      </c>
      <c r="E194" s="173">
        <f t="shared" ref="E194:O194" si="259">SUM(E195,E230,E269,E283)</f>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729">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729">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29">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729">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729">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729">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29">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6598</v>
      </c>
      <c r="D289" s="251">
        <f t="shared" ref="D289:O289" si="389">SUM(D286,D269,D230,D195,D187,D173,D75,D53,D283)</f>
        <v>1357</v>
      </c>
      <c r="E289" s="252">
        <f t="shared" si="389"/>
        <v>5241</v>
      </c>
      <c r="F289" s="253">
        <f t="shared" si="389"/>
        <v>6598</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F3xxPIvZg2aOINdmuCqKgdiqX7TBSyfpwd9m+Nqs7yartO8JBAPe7g6vPBcrlXtvy/QYfjFnT2aV7SoevZte5g==" saltValue="V7XoRwWwim6FwTOE8H1HlQ==" spinCount="100000" sheet="1" objects="1" scenarios="1" formatCells="0" formatColumns="0" formatRows="0" deleteColumns="0"/>
  <autoFilter ref="A18:P301">
    <filterColumn colId="2">
      <filters>
        <filter val="6 59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29.pielikums Jūrmalas pilsētas domes
2019.gada 29.augusta saistošajiem noteikumiem Nr.31
(protokols Nr.12, 20.punkts)</firstHeader>
    <firstFooter>&amp;L&amp;9&amp;D; &amp;T&amp;R&amp;9&amp;P (&amp;N)</first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4" sqref="T3:T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452</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448</v>
      </c>
      <c r="D6" s="1972"/>
      <c r="E6" s="1972"/>
      <c r="F6" s="1972"/>
      <c r="G6" s="1972"/>
      <c r="H6" s="1972"/>
      <c r="I6" s="1972"/>
      <c r="J6" s="1972"/>
      <c r="K6" s="1972"/>
      <c r="L6" s="1972"/>
      <c r="M6" s="1972"/>
      <c r="N6" s="1972"/>
      <c r="O6" s="1972"/>
      <c r="P6" s="1972"/>
      <c r="Q6" s="276"/>
    </row>
    <row r="7" spans="1:17" x14ac:dyDescent="0.25">
      <c r="A7" s="7" t="s">
        <v>10</v>
      </c>
      <c r="B7" s="8"/>
      <c r="C7" s="1977" t="s">
        <v>449</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4850</v>
      </c>
      <c r="D20" s="32">
        <f>SUM(D21,D24,D25,D41,D43)</f>
        <v>4850</v>
      </c>
      <c r="E20" s="33">
        <f t="shared" ref="E20:F20" si="1">SUM(E21,E24,E25,E41,E43)</f>
        <v>0</v>
      </c>
      <c r="F20" s="34">
        <f t="shared" si="1"/>
        <v>4850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4850</v>
      </c>
      <c r="D24" s="60">
        <f>D50</f>
        <v>4850</v>
      </c>
      <c r="E24" s="60">
        <f>E50</f>
        <v>0</v>
      </c>
      <c r="F24" s="62">
        <f t="shared" si="9"/>
        <v>4850</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4850</v>
      </c>
      <c r="D50" s="158">
        <f>SUM(D51,D286)</f>
        <v>4850</v>
      </c>
      <c r="E50" s="159">
        <f t="shared" ref="E50:F50" si="26">SUM(E51,E286)</f>
        <v>0</v>
      </c>
      <c r="F50" s="160">
        <f t="shared" si="26"/>
        <v>4850</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4850</v>
      </c>
      <c r="D51" s="164">
        <f>SUM(D52,D194)</f>
        <v>4850</v>
      </c>
      <c r="E51" s="165">
        <f t="shared" ref="E51:F51" si="30">SUM(E52,E194)</f>
        <v>0</v>
      </c>
      <c r="F51" s="166">
        <f t="shared" si="30"/>
        <v>4850</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4850</v>
      </c>
      <c r="D52" s="172">
        <f>SUM(D53,D75,D173,D187)</f>
        <v>4850</v>
      </c>
      <c r="E52" s="173">
        <f t="shared" ref="E52:F52" si="34">SUM(E53,E75,E173,E187)</f>
        <v>0</v>
      </c>
      <c r="F52" s="174">
        <f t="shared" si="34"/>
        <v>4850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4850</v>
      </c>
      <c r="D75" s="178">
        <f>SUM(D76,D83,D130,D164,D165,D172)</f>
        <v>4850</v>
      </c>
      <c r="E75" s="179">
        <f t="shared" ref="E75:F75" si="74">SUM(E76,E83,E130,E164,E165,E172)</f>
        <v>0</v>
      </c>
      <c r="F75" s="180">
        <f t="shared" si="74"/>
        <v>4850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4100</v>
      </c>
      <c r="D83" s="183">
        <f>SUM(D84,D89,D95,D103,D112,D116,D122,D128)</f>
        <v>4850</v>
      </c>
      <c r="E83" s="184">
        <f t="shared" ref="E83:F83" si="98">SUM(E84,E89,E95,E103,E112,E116,E122,E128)</f>
        <v>-750</v>
      </c>
      <c r="F83" s="72">
        <f t="shared" si="98"/>
        <v>4100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300</v>
      </c>
      <c r="D95" s="189">
        <f>SUM(D96:D102)</f>
        <v>300</v>
      </c>
      <c r="E95" s="190">
        <f t="shared" ref="E95:F95" si="119">SUM(E96:E102)</f>
        <v>0</v>
      </c>
      <c r="F95" s="55">
        <f t="shared" si="119"/>
        <v>300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300</v>
      </c>
      <c r="D96" s="194">
        <v>300</v>
      </c>
      <c r="E96" s="195"/>
      <c r="F96" s="55">
        <f t="shared" ref="F96:F102" si="123">D96+E96</f>
        <v>300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3800</v>
      </c>
      <c r="D122" s="189">
        <f>SUM(D123:D127)</f>
        <v>4550</v>
      </c>
      <c r="E122" s="190">
        <f t="shared" ref="E122:F122" si="151">SUM(E123:E127)</f>
        <v>-750</v>
      </c>
      <c r="F122" s="55">
        <f t="shared" si="151"/>
        <v>3800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3800</v>
      </c>
      <c r="D127" s="194">
        <v>4550</v>
      </c>
      <c r="E127" s="195">
        <v>-750</v>
      </c>
      <c r="F127" s="55">
        <f t="shared" si="155"/>
        <v>3800</v>
      </c>
      <c r="G127" s="53"/>
      <c r="H127" s="54"/>
      <c r="I127" s="55">
        <f t="shared" si="156"/>
        <v>0</v>
      </c>
      <c r="J127" s="53"/>
      <c r="K127" s="54"/>
      <c r="L127" s="55">
        <f t="shared" si="157"/>
        <v>0</v>
      </c>
      <c r="M127" s="53"/>
      <c r="N127" s="54"/>
      <c r="O127" s="55">
        <f t="shared" si="158"/>
        <v>0</v>
      </c>
      <c r="P127" s="57" t="s">
        <v>450</v>
      </c>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750</v>
      </c>
      <c r="D130" s="183">
        <f>SUM(D131,D136,D140,D141,D144,D151,D159,D160,D163)</f>
        <v>0</v>
      </c>
      <c r="E130" s="184">
        <f t="shared" ref="E130:F130" si="160">SUM(E131,E136,E140,E141,E144,E151,E159,E160,E163)</f>
        <v>750</v>
      </c>
      <c r="F130" s="72">
        <f t="shared" si="160"/>
        <v>750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750</v>
      </c>
      <c r="D131" s="192">
        <f t="shared" ref="D131:O131" si="164">SUM(D132:D135)</f>
        <v>0</v>
      </c>
      <c r="E131" s="193">
        <f t="shared" si="164"/>
        <v>750</v>
      </c>
      <c r="F131" s="133">
        <f t="shared" si="164"/>
        <v>750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750</v>
      </c>
      <c r="D135" s="194"/>
      <c r="E135" s="195">
        <v>750</v>
      </c>
      <c r="F135" s="55">
        <f t="shared" si="165"/>
        <v>750</v>
      </c>
      <c r="G135" s="53"/>
      <c r="H135" s="54"/>
      <c r="I135" s="55">
        <f t="shared" si="166"/>
        <v>0</v>
      </c>
      <c r="J135" s="53"/>
      <c r="K135" s="54"/>
      <c r="L135" s="55">
        <f t="shared" si="167"/>
        <v>0</v>
      </c>
      <c r="M135" s="53"/>
      <c r="N135" s="54"/>
      <c r="O135" s="55">
        <f t="shared" si="168"/>
        <v>0</v>
      </c>
      <c r="P135" s="57" t="s">
        <v>451</v>
      </c>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4850</v>
      </c>
      <c r="D289" s="251">
        <f t="shared" ref="D289:O289" si="389">SUM(D286,D269,D230,D195,D187,D173,D75,D53,D283)</f>
        <v>4850</v>
      </c>
      <c r="E289" s="252">
        <f t="shared" si="389"/>
        <v>0</v>
      </c>
      <c r="F289" s="253">
        <f t="shared" si="389"/>
        <v>4850</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DXnR11h0z53qRtZBzaot6zPY1w2k52x2kgoJ3R1QCkq6hAG4sm9xGKvz4w+GABxjDg6I+KNNN03JxNlwZl9bWg==" saltValue="9/Dtwl3F4l1c9J2HWSPLaA==" spinCount="100000" sheet="1" objects="1" scenarios="1" formatCells="0" formatColumns="0" formatRows="0" deleteColumns="0"/>
  <autoFilter ref="A18:P301">
    <filterColumn colId="2">
      <filters>
        <filter val="3 800"/>
        <filter val="300"/>
        <filter val="4 100"/>
        <filter val="4 850"/>
        <filter val="750"/>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30.pielikums Jūrmalas pilsētas domes
2019.gada 29.augusta saistošajiem noteikumiem Nr.31
(protokols Nr.12, 20.punkts)
 </firstHeader>
    <firstFooter>&amp;L&amp;9&amp;D; &amp;T&amp;R&amp;9&amp;P (&amp;N)</first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455</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448</v>
      </c>
      <c r="D6" s="1972"/>
      <c r="E6" s="1972"/>
      <c r="F6" s="1972"/>
      <c r="G6" s="1972"/>
      <c r="H6" s="1972"/>
      <c r="I6" s="1972"/>
      <c r="J6" s="1972"/>
      <c r="K6" s="1972"/>
      <c r="L6" s="1972"/>
      <c r="M6" s="1972"/>
      <c r="N6" s="1972"/>
      <c r="O6" s="1972"/>
      <c r="P6" s="1972"/>
      <c r="Q6" s="276"/>
    </row>
    <row r="7" spans="1:17" x14ac:dyDescent="0.25">
      <c r="A7" s="7" t="s">
        <v>10</v>
      </c>
      <c r="B7" s="8"/>
      <c r="C7" s="1977" t="s">
        <v>453</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5478</v>
      </c>
      <c r="D20" s="32">
        <f>SUM(D21,D24,D25,D41,D43)</f>
        <v>5878</v>
      </c>
      <c r="E20" s="33">
        <f t="shared" ref="E20:F20" si="1">SUM(E21,E24,E25,E41,E43)</f>
        <v>-400</v>
      </c>
      <c r="F20" s="34">
        <f t="shared" si="1"/>
        <v>5478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5478</v>
      </c>
      <c r="D24" s="60">
        <f>D50</f>
        <v>5878</v>
      </c>
      <c r="E24" s="60">
        <f>E50</f>
        <v>-400</v>
      </c>
      <c r="F24" s="62">
        <f t="shared" si="9"/>
        <v>5478</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5478</v>
      </c>
      <c r="D50" s="158">
        <f>SUM(D51,D286)</f>
        <v>5878</v>
      </c>
      <c r="E50" s="159">
        <f t="shared" ref="E50:F50" si="26">SUM(E51,E286)</f>
        <v>-400</v>
      </c>
      <c r="F50" s="160">
        <f t="shared" si="26"/>
        <v>5478</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5478</v>
      </c>
      <c r="D51" s="164">
        <f>SUM(D52,D194)</f>
        <v>5878</v>
      </c>
      <c r="E51" s="165">
        <f t="shared" ref="E51:F51" si="30">SUM(E52,E194)</f>
        <v>-400</v>
      </c>
      <c r="F51" s="166">
        <f t="shared" si="30"/>
        <v>5478</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5478</v>
      </c>
      <c r="D52" s="172">
        <f>SUM(D53,D75,D173,D187)</f>
        <v>5878</v>
      </c>
      <c r="E52" s="173">
        <f t="shared" ref="E52:F52" si="34">SUM(E53,E75,E173,E187)</f>
        <v>-400</v>
      </c>
      <c r="F52" s="174">
        <f t="shared" si="34"/>
        <v>5478</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5478</v>
      </c>
      <c r="D75" s="178">
        <f>SUM(D76,D83,D130,D164,D165,D172)</f>
        <v>5878</v>
      </c>
      <c r="E75" s="179">
        <f t="shared" ref="E75:F75" si="74">SUM(E76,E83,E130,E164,E165,E172)</f>
        <v>-400</v>
      </c>
      <c r="F75" s="180">
        <f t="shared" si="74"/>
        <v>5478</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5428</v>
      </c>
      <c r="D83" s="183">
        <f>SUM(D84,D89,D95,D103,D112,D116,D122,D128)</f>
        <v>5828</v>
      </c>
      <c r="E83" s="184">
        <f t="shared" ref="E83:F83" si="98">SUM(E84,E89,E95,E103,E112,E116,E122,E128)</f>
        <v>-400</v>
      </c>
      <c r="F83" s="72">
        <f t="shared" si="98"/>
        <v>5428</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498</v>
      </c>
      <c r="D95" s="189">
        <f>SUM(D96:D102)</f>
        <v>498</v>
      </c>
      <c r="E95" s="190">
        <f t="shared" ref="E95:F95" si="119">SUM(E96:E102)</f>
        <v>0</v>
      </c>
      <c r="F95" s="55">
        <f t="shared" si="119"/>
        <v>498</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498</v>
      </c>
      <c r="D96" s="194">
        <v>498</v>
      </c>
      <c r="E96" s="195"/>
      <c r="F96" s="55">
        <f t="shared" ref="F96:F102" si="123">D96+E96</f>
        <v>498</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4930</v>
      </c>
      <c r="D122" s="189">
        <f>SUM(D123:D127)</f>
        <v>5330</v>
      </c>
      <c r="E122" s="190">
        <f t="shared" ref="E122:F122" si="151">SUM(E123:E127)</f>
        <v>-400</v>
      </c>
      <c r="F122" s="55">
        <f t="shared" si="151"/>
        <v>4930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4930</v>
      </c>
      <c r="D127" s="194">
        <v>5330</v>
      </c>
      <c r="E127" s="195">
        <v>-400</v>
      </c>
      <c r="F127" s="55">
        <f t="shared" si="155"/>
        <v>4930</v>
      </c>
      <c r="G127" s="53"/>
      <c r="H127" s="54"/>
      <c r="I127" s="55">
        <f t="shared" si="156"/>
        <v>0</v>
      </c>
      <c r="J127" s="53"/>
      <c r="K127" s="54"/>
      <c r="L127" s="55">
        <f t="shared" si="157"/>
        <v>0</v>
      </c>
      <c r="M127" s="53"/>
      <c r="N127" s="54"/>
      <c r="O127" s="55">
        <f t="shared" si="158"/>
        <v>0</v>
      </c>
      <c r="P127" s="57" t="s">
        <v>454</v>
      </c>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50</v>
      </c>
      <c r="D130" s="183">
        <f>SUM(D131,D136,D140,D141,D144,D151,D159,D160,D163)</f>
        <v>50</v>
      </c>
      <c r="E130" s="184">
        <f t="shared" ref="E130:F130" si="160">SUM(E131,E136,E140,E141,E144,E151,E159,E160,E163)</f>
        <v>0</v>
      </c>
      <c r="F130" s="72">
        <f t="shared" si="160"/>
        <v>50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50</v>
      </c>
      <c r="D131" s="192">
        <f t="shared" ref="D131:O131" si="164">SUM(D132:D135)</f>
        <v>50</v>
      </c>
      <c r="E131" s="193">
        <f t="shared" si="164"/>
        <v>0</v>
      </c>
      <c r="F131" s="133">
        <f t="shared" si="164"/>
        <v>50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50</v>
      </c>
      <c r="D135" s="194">
        <v>50</v>
      </c>
      <c r="E135" s="195"/>
      <c r="F135" s="55">
        <f t="shared" si="165"/>
        <v>50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5478</v>
      </c>
      <c r="D289" s="251">
        <f t="shared" ref="D289:O289" si="389">SUM(D286,D269,D230,D195,D187,D173,D75,D53,D283)</f>
        <v>5878</v>
      </c>
      <c r="E289" s="252">
        <f t="shared" si="389"/>
        <v>-400</v>
      </c>
      <c r="F289" s="253">
        <f t="shared" si="389"/>
        <v>5478</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h5WQMdQ94rsOyDZajtX+/SU4CNM2+MENthVz32SAPGKcIefL915ZLFOAWIrSGzOiE+ubR4IQV23wHGT4ctb8Mg==" saltValue="nOTVMy8UxVXpypKh+7ezPA==" spinCount="100000" sheet="1" objects="1" scenarios="1" formatCells="0" formatColumns="0" formatRows="0" deleteColumns="0"/>
  <autoFilter ref="A18:P301">
    <filterColumn colId="2">
      <filters>
        <filter val="4 930"/>
        <filter val="498"/>
        <filter val="5 428"/>
        <filter val="5 478"/>
        <filter val="50"/>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31.pielikums Jūrmalas pilsētas domes
2019.gada 29.augusta saistošajiem noteikumiem Nr.31
(protokols Nr.12, 20.punkts)
 </firstHeader>
    <firstFooter>&amp;L&amp;9&amp;D; &amp;T&amp;R&amp;9&amp;P (&amp;N)</first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7"/>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1754</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1755</v>
      </c>
      <c r="D3" s="1977"/>
      <c r="E3" s="1977"/>
      <c r="F3" s="1977"/>
      <c r="G3" s="1977"/>
      <c r="H3" s="1977"/>
      <c r="I3" s="1977"/>
      <c r="J3" s="1977"/>
      <c r="K3" s="1977"/>
      <c r="L3" s="1977"/>
      <c r="M3" s="1977"/>
      <c r="N3" s="1977"/>
      <c r="O3" s="1977"/>
      <c r="P3" s="1978"/>
      <c r="Q3" s="276"/>
    </row>
    <row r="4" spans="1:17" ht="12.75" customHeight="1" x14ac:dyDescent="0.25">
      <c r="A4" s="5" t="s">
        <v>4</v>
      </c>
      <c r="B4" s="6"/>
      <c r="C4" s="1977"/>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1756</v>
      </c>
      <c r="D6" s="1972"/>
      <c r="E6" s="1972"/>
      <c r="F6" s="1972"/>
      <c r="G6" s="1972"/>
      <c r="H6" s="1972"/>
      <c r="I6" s="1972"/>
      <c r="J6" s="1972"/>
      <c r="K6" s="1972"/>
      <c r="L6" s="1972"/>
      <c r="M6" s="1972"/>
      <c r="N6" s="1972"/>
      <c r="O6" s="1972"/>
      <c r="P6" s="1973"/>
      <c r="Q6" s="276"/>
    </row>
    <row r="7" spans="1:17" x14ac:dyDescent="0.25">
      <c r="A7" s="7" t="s">
        <v>10</v>
      </c>
      <c r="B7" s="8"/>
      <c r="C7" s="1977" t="s">
        <v>1757</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1758</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2166</v>
      </c>
      <c r="D20" s="32">
        <f>SUM(D21,D24,D25,D41,D43)</f>
        <v>0</v>
      </c>
      <c r="E20" s="33">
        <f t="shared" ref="E20:F20" si="1">SUM(E21,E24,E25,E41,E43)</f>
        <v>0</v>
      </c>
      <c r="F20" s="34">
        <f t="shared" si="1"/>
        <v>0</v>
      </c>
      <c r="G20" s="32">
        <f>SUM(G21,G24,G43)</f>
        <v>4052</v>
      </c>
      <c r="H20" s="33">
        <f t="shared" ref="H20:I20" si="2">SUM(H21,H24,H43)</f>
        <v>-1886</v>
      </c>
      <c r="I20" s="34">
        <f t="shared" si="2"/>
        <v>2166</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2166</v>
      </c>
      <c r="D24" s="60"/>
      <c r="E24" s="61"/>
      <c r="F24" s="62">
        <f t="shared" si="9"/>
        <v>0</v>
      </c>
      <c r="G24" s="60">
        <v>4052</v>
      </c>
      <c r="H24" s="61">
        <v>-1886</v>
      </c>
      <c r="I24" s="62">
        <f t="shared" si="10"/>
        <v>2166</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2166</v>
      </c>
      <c r="D50" s="158">
        <f>SUM(D51,D286)</f>
        <v>0</v>
      </c>
      <c r="E50" s="159">
        <f t="shared" ref="E50:F50" si="26">SUM(E51,E286)</f>
        <v>0</v>
      </c>
      <c r="F50" s="160">
        <f t="shared" si="26"/>
        <v>0</v>
      </c>
      <c r="G50" s="158">
        <f>SUM(G51,G286)</f>
        <v>4052</v>
      </c>
      <c r="H50" s="159">
        <f>SUM(H51,H286)</f>
        <v>-1886</v>
      </c>
      <c r="I50" s="160">
        <f t="shared" ref="I50" si="27">SUM(I51,I286)</f>
        <v>2166</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2166</v>
      </c>
      <c r="D51" s="164">
        <f>SUM(D52,D194)</f>
        <v>0</v>
      </c>
      <c r="E51" s="165">
        <f t="shared" ref="E51:F51" si="30">SUM(E52,E194)</f>
        <v>0</v>
      </c>
      <c r="F51" s="166">
        <f t="shared" si="30"/>
        <v>0</v>
      </c>
      <c r="G51" s="164">
        <f>SUM(G52,G194)</f>
        <v>2166</v>
      </c>
      <c r="H51" s="165">
        <f t="shared" ref="H51:I51" si="31">SUM(H52,H194)</f>
        <v>0</v>
      </c>
      <c r="I51" s="166">
        <f t="shared" si="31"/>
        <v>2166</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hidden="1" x14ac:dyDescent="0.25">
      <c r="A52" s="24"/>
      <c r="B52" s="22" t="s">
        <v>71</v>
      </c>
      <c r="C52" s="171">
        <f t="shared" si="0"/>
        <v>0</v>
      </c>
      <c r="D52" s="172">
        <f>SUM(D53,D75,D173,D187)</f>
        <v>0</v>
      </c>
      <c r="E52" s="173">
        <f t="shared" ref="E52:F52" si="34">SUM(E53,E75,E173,E187)</f>
        <v>0</v>
      </c>
      <c r="F52" s="174">
        <f t="shared" si="34"/>
        <v>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212">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212">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12">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212">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212">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212">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12">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212">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212">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2166</v>
      </c>
      <c r="D194" s="172">
        <f t="shared" ref="D194:O194" si="259">SUM(D195,D230,D269,D283)</f>
        <v>0</v>
      </c>
      <c r="E194" s="173">
        <f t="shared" si="259"/>
        <v>0</v>
      </c>
      <c r="F194" s="174">
        <f t="shared" si="259"/>
        <v>0</v>
      </c>
      <c r="G194" s="172">
        <f t="shared" si="259"/>
        <v>2166</v>
      </c>
      <c r="H194" s="173">
        <f t="shared" si="259"/>
        <v>0</v>
      </c>
      <c r="I194" s="174">
        <f t="shared" si="259"/>
        <v>2166</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212">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212">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12">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212">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212">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2166</v>
      </c>
      <c r="D269" s="229">
        <f>SUM(D270,D281)</f>
        <v>0</v>
      </c>
      <c r="E269" s="230">
        <f t="shared" ref="E269:F269" si="355">SUM(E270,E281)</f>
        <v>0</v>
      </c>
      <c r="F269" s="231">
        <f t="shared" si="355"/>
        <v>0</v>
      </c>
      <c r="G269" s="229">
        <f>SUM(G270,G281)</f>
        <v>2166</v>
      </c>
      <c r="H269" s="230">
        <f t="shared" ref="H269:I269" si="356">SUM(H270,H281)</f>
        <v>0</v>
      </c>
      <c r="I269" s="231">
        <f t="shared" si="356"/>
        <v>2166</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x14ac:dyDescent="0.25">
      <c r="A270" s="68">
        <v>7200</v>
      </c>
      <c r="B270" s="182" t="s">
        <v>287</v>
      </c>
      <c r="C270" s="69">
        <f t="shared" si="288"/>
        <v>2166</v>
      </c>
      <c r="D270" s="183">
        <f>SUM(D271,D272,D275,D276,D280)</f>
        <v>0</v>
      </c>
      <c r="E270" s="184">
        <f t="shared" ref="E270:F270" si="359">SUM(E271,E272,E275,E276,E280)</f>
        <v>0</v>
      </c>
      <c r="F270" s="72">
        <f t="shared" si="359"/>
        <v>0</v>
      </c>
      <c r="G270" s="183">
        <f>SUM(G271,G272,G275,G276,G280)</f>
        <v>2166</v>
      </c>
      <c r="H270" s="184">
        <f t="shared" ref="H270:I270" si="360">SUM(H271,H272,H275,H276,H280)</f>
        <v>0</v>
      </c>
      <c r="I270" s="72">
        <f t="shared" si="360"/>
        <v>2166</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212">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x14ac:dyDescent="0.25">
      <c r="A276" s="188">
        <v>7240</v>
      </c>
      <c r="B276" s="88" t="s">
        <v>293</v>
      </c>
      <c r="C276" s="89">
        <f t="shared" ref="C276:C301" si="371">F276+I276+L276+O276</f>
        <v>2166</v>
      </c>
      <c r="D276" s="189">
        <f t="shared" ref="D276:O276" si="372">SUM(D277:D279)</f>
        <v>0</v>
      </c>
      <c r="E276" s="190">
        <f t="shared" si="372"/>
        <v>0</v>
      </c>
      <c r="F276" s="55">
        <f t="shared" si="372"/>
        <v>0</v>
      </c>
      <c r="G276" s="189">
        <f t="shared" si="372"/>
        <v>2166</v>
      </c>
      <c r="H276" s="190">
        <f t="shared" si="372"/>
        <v>0</v>
      </c>
      <c r="I276" s="55">
        <f t="shared" si="372"/>
        <v>2166</v>
      </c>
      <c r="J276" s="189">
        <f>SUM(J277:J279)</f>
        <v>0</v>
      </c>
      <c r="K276" s="190">
        <f t="shared" ref="K276:L276" si="373">SUM(K277:K279)</f>
        <v>0</v>
      </c>
      <c r="L276" s="55">
        <f t="shared" si="373"/>
        <v>0</v>
      </c>
      <c r="M276" s="189">
        <f t="shared" si="372"/>
        <v>0</v>
      </c>
      <c r="N276" s="190">
        <f t="shared" si="372"/>
        <v>0</v>
      </c>
      <c r="O276" s="55">
        <f t="shared" si="372"/>
        <v>0</v>
      </c>
      <c r="P276" s="57"/>
    </row>
    <row r="277" spans="1:16" ht="48" customHeight="1" x14ac:dyDescent="0.25">
      <c r="A277" s="51">
        <v>7245</v>
      </c>
      <c r="B277" s="88" t="s">
        <v>294</v>
      </c>
      <c r="C277" s="89">
        <f t="shared" si="371"/>
        <v>2166</v>
      </c>
      <c r="D277" s="194"/>
      <c r="E277" s="195"/>
      <c r="F277" s="55">
        <f t="shared" ref="F277:F280" si="374">D277+E277</f>
        <v>0</v>
      </c>
      <c r="G277" s="53">
        <v>2166</v>
      </c>
      <c r="H277" s="54"/>
      <c r="I277" s="55">
        <f t="shared" ref="I277:I280" si="375">G277+H277</f>
        <v>2166</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12">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0</v>
      </c>
      <c r="D286" s="189">
        <f>SUM(D287:D288)</f>
        <v>0</v>
      </c>
      <c r="E286" s="190">
        <f t="shared" ref="E286:F286" si="381">SUM(E287:E288)</f>
        <v>0</v>
      </c>
      <c r="F286" s="55">
        <f t="shared" si="381"/>
        <v>0</v>
      </c>
      <c r="G286" s="189">
        <f>SUM(G287:G288)</f>
        <v>1886</v>
      </c>
      <c r="H286" s="190">
        <f t="shared" ref="H286:I286" si="382">SUM(H287:H288)</f>
        <v>-1886</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9" t="s">
        <v>306</v>
      </c>
      <c r="B288" s="248" t="s">
        <v>307</v>
      </c>
      <c r="C288" s="82">
        <f t="shared" si="371"/>
        <v>0</v>
      </c>
      <c r="D288" s="196"/>
      <c r="E288" s="197"/>
      <c r="F288" s="133">
        <f t="shared" si="385"/>
        <v>0</v>
      </c>
      <c r="G288" s="46">
        <v>1886</v>
      </c>
      <c r="H288" s="47">
        <v>-1886</v>
      </c>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2166</v>
      </c>
      <c r="D289" s="251">
        <f t="shared" ref="D289:O289" si="389">SUM(D286,D269,D230,D195,D187,D173,D75,D53,D283)</f>
        <v>0</v>
      </c>
      <c r="E289" s="252">
        <f t="shared" si="389"/>
        <v>0</v>
      </c>
      <c r="F289" s="253">
        <f t="shared" si="389"/>
        <v>0</v>
      </c>
      <c r="G289" s="251">
        <f t="shared" si="389"/>
        <v>4052</v>
      </c>
      <c r="H289" s="252">
        <f t="shared" si="389"/>
        <v>-1886</v>
      </c>
      <c r="I289" s="253">
        <f t="shared" si="389"/>
        <v>2166</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945" t="s">
        <v>309</v>
      </c>
      <c r="B290" s="1946"/>
      <c r="C290" s="255">
        <f t="shared" si="371"/>
        <v>0</v>
      </c>
      <c r="D290" s="256">
        <f>SUM(D24,D25,D41)-D51</f>
        <v>0</v>
      </c>
      <c r="E290" s="257">
        <f t="shared" ref="E290:F290" si="390">SUM(E24,E25,E41)-E51</f>
        <v>0</v>
      </c>
      <c r="F290" s="258">
        <f t="shared" si="390"/>
        <v>0</v>
      </c>
      <c r="G290" s="256">
        <f>SUM(G24,G25,G41)-G51</f>
        <v>1886</v>
      </c>
      <c r="H290" s="257">
        <f t="shared" ref="H290:I290" si="391">SUM(H24,H25,H41)-H51</f>
        <v>-1886</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947" t="s">
        <v>310</v>
      </c>
      <c r="B291" s="1948"/>
      <c r="C291" s="260">
        <f t="shared" si="371"/>
        <v>0</v>
      </c>
      <c r="D291" s="261">
        <f t="shared" ref="D291:O291" si="394">SUM(D292,D293)-D300+D301</f>
        <v>0</v>
      </c>
      <c r="E291" s="262">
        <f t="shared" si="394"/>
        <v>0</v>
      </c>
      <c r="F291" s="263">
        <f t="shared" si="394"/>
        <v>0</v>
      </c>
      <c r="G291" s="261">
        <f t="shared" si="394"/>
        <v>-1886</v>
      </c>
      <c r="H291" s="262">
        <f t="shared" si="394"/>
        <v>1886</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6" t="s">
        <v>311</v>
      </c>
      <c r="B292" s="156" t="s">
        <v>312</v>
      </c>
      <c r="C292" s="157">
        <f t="shared" si="371"/>
        <v>0</v>
      </c>
      <c r="D292" s="158">
        <f t="shared" ref="D292:O292" si="395">D21-D286</f>
        <v>0</v>
      </c>
      <c r="E292" s="159">
        <f t="shared" si="395"/>
        <v>0</v>
      </c>
      <c r="F292" s="160">
        <f t="shared" si="395"/>
        <v>0</v>
      </c>
      <c r="G292" s="158">
        <f t="shared" si="395"/>
        <v>-1886</v>
      </c>
      <c r="H292" s="159">
        <f t="shared" si="395"/>
        <v>1886</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sheetData>
  <sheetProtection algorithmName="SHA-512" hashValue="Qs6hM/EhfBRj6lo1Y7p6wuJycOVRS4PMuAVlt/AOJH/Ja5o2v3aMTTBP5Qw1GTRr5McePA7u/4qZUv6uqVg3bQ==" saltValue="mx2i0geKjxlv0Kp1kxV4Nw==" spinCount="100000" sheet="1" objects="1" scenarios="1" formatCells="0" formatColumns="0" formatRows="0" deleteColumns="0"/>
  <autoFilter ref="A18:P301">
    <filterColumn colId="2">
      <filters>
        <filter val="1 886"/>
        <filter val="-1 886"/>
        <filter val="2 166"/>
        <filter val="4 05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5.pielikums Jūrmalas pilsētas domes
2019.gada 29.augusta saistošajiem noteikumiem Nr.31
(protokols Nr.12, 20.punkts)
 </firstHeader>
    <firstFooter>&amp;L&amp;9&amp;D; &amp;T&amp;R&amp;9&amp;P (&amp;N)</first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4" sqref="T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458</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448</v>
      </c>
      <c r="D6" s="1972"/>
      <c r="E6" s="1972"/>
      <c r="F6" s="1972"/>
      <c r="G6" s="1972"/>
      <c r="H6" s="1972"/>
      <c r="I6" s="1972"/>
      <c r="J6" s="1972"/>
      <c r="K6" s="1972"/>
      <c r="L6" s="1972"/>
      <c r="M6" s="1972"/>
      <c r="N6" s="1972"/>
      <c r="O6" s="1972"/>
      <c r="P6" s="1972"/>
      <c r="Q6" s="276"/>
    </row>
    <row r="7" spans="1:17" x14ac:dyDescent="0.25">
      <c r="A7" s="7" t="s">
        <v>10</v>
      </c>
      <c r="B7" s="8"/>
      <c r="C7" s="1977" t="s">
        <v>456</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93" t="s">
        <v>36</v>
      </c>
      <c r="Q16" s="277"/>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51338</v>
      </c>
      <c r="D20" s="32">
        <f>SUM(D21,D24,D25,D41,D43)</f>
        <v>50938</v>
      </c>
      <c r="E20" s="33">
        <f t="shared" ref="E20:F20" si="1">SUM(E21,E24,E25,E41,E43)</f>
        <v>400</v>
      </c>
      <c r="F20" s="34">
        <f t="shared" si="1"/>
        <v>51338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51338</v>
      </c>
      <c r="D24" s="60">
        <f>D50</f>
        <v>50938</v>
      </c>
      <c r="E24" s="60">
        <f>E50</f>
        <v>400</v>
      </c>
      <c r="F24" s="62">
        <f t="shared" si="9"/>
        <v>51338</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51338</v>
      </c>
      <c r="D50" s="158">
        <f>SUM(D51,D286)</f>
        <v>50938</v>
      </c>
      <c r="E50" s="159">
        <f t="shared" ref="E50:F50" si="26">SUM(E51,E286)</f>
        <v>400</v>
      </c>
      <c r="F50" s="160">
        <f t="shared" si="26"/>
        <v>51338</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51338</v>
      </c>
      <c r="D51" s="164">
        <f>SUM(D52,D194)</f>
        <v>50938</v>
      </c>
      <c r="E51" s="165">
        <f t="shared" ref="E51:F51" si="30">SUM(E52,E194)</f>
        <v>400</v>
      </c>
      <c r="F51" s="166">
        <f t="shared" si="30"/>
        <v>51338</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45838</v>
      </c>
      <c r="D52" s="172">
        <f>SUM(D53,D75,D173,D187)</f>
        <v>45438</v>
      </c>
      <c r="E52" s="173">
        <f t="shared" ref="E52:F52" si="34">SUM(E53,E75,E173,E187)</f>
        <v>400</v>
      </c>
      <c r="F52" s="174">
        <f t="shared" si="34"/>
        <v>45838</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45838</v>
      </c>
      <c r="D75" s="178">
        <f>SUM(D76,D83,D130,D164,D165,D172)</f>
        <v>45438</v>
      </c>
      <c r="E75" s="179">
        <f t="shared" ref="E75:F75" si="74">SUM(E76,E83,E130,E164,E165,E172)</f>
        <v>400</v>
      </c>
      <c r="F75" s="180">
        <f t="shared" si="74"/>
        <v>45838</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41844</v>
      </c>
      <c r="D83" s="183">
        <f>SUM(D84,D89,D95,D103,D112,D116,D122,D128)</f>
        <v>41844</v>
      </c>
      <c r="E83" s="184">
        <f t="shared" ref="E83:F83" si="98">SUM(E84,E89,E95,E103,E112,E116,E122,E128)</f>
        <v>0</v>
      </c>
      <c r="F83" s="72">
        <f t="shared" si="98"/>
        <v>41844</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3740</v>
      </c>
      <c r="D95" s="189">
        <f>SUM(D96:D102)</f>
        <v>3740</v>
      </c>
      <c r="E95" s="190">
        <f t="shared" ref="E95:F95" si="119">SUM(E96:E102)</f>
        <v>0</v>
      </c>
      <c r="F95" s="55">
        <f t="shared" si="119"/>
        <v>3740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3740</v>
      </c>
      <c r="D96" s="194">
        <v>3740</v>
      </c>
      <c r="E96" s="195"/>
      <c r="F96" s="55">
        <f t="shared" ref="F96:F102" si="123">D96+E96</f>
        <v>3740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38104</v>
      </c>
      <c r="D122" s="189">
        <f>SUM(D123:D127)</f>
        <v>38104</v>
      </c>
      <c r="E122" s="190">
        <f t="shared" ref="E122:F122" si="151">SUM(E123:E127)</f>
        <v>0</v>
      </c>
      <c r="F122" s="55">
        <f t="shared" si="151"/>
        <v>38104</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38104</v>
      </c>
      <c r="D127" s="194">
        <v>38104</v>
      </c>
      <c r="E127" s="195"/>
      <c r="F127" s="55">
        <f t="shared" si="155"/>
        <v>38104</v>
      </c>
      <c r="G127" s="53"/>
      <c r="H127" s="54"/>
      <c r="I127" s="55">
        <f t="shared" si="156"/>
        <v>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3994</v>
      </c>
      <c r="D130" s="183">
        <f>SUM(D131,D136,D140,D141,D144,D151,D159,D160,D163)</f>
        <v>3594</v>
      </c>
      <c r="E130" s="184">
        <f t="shared" ref="E130:F130" si="160">SUM(E131,E136,E140,E141,E144,E151,E159,E160,E163)</f>
        <v>400</v>
      </c>
      <c r="F130" s="72">
        <f t="shared" si="160"/>
        <v>3994</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3994</v>
      </c>
      <c r="D131" s="192">
        <f t="shared" ref="D131:O131" si="164">SUM(D132:D135)</f>
        <v>3594</v>
      </c>
      <c r="E131" s="193">
        <f t="shared" si="164"/>
        <v>400</v>
      </c>
      <c r="F131" s="133">
        <f t="shared" si="164"/>
        <v>3994</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3994</v>
      </c>
      <c r="D135" s="194">
        <v>3594</v>
      </c>
      <c r="E135" s="195">
        <v>400</v>
      </c>
      <c r="F135" s="55">
        <f t="shared" si="165"/>
        <v>3994</v>
      </c>
      <c r="G135" s="53"/>
      <c r="H135" s="54"/>
      <c r="I135" s="55">
        <f t="shared" si="166"/>
        <v>0</v>
      </c>
      <c r="J135" s="53"/>
      <c r="K135" s="54"/>
      <c r="L135" s="55">
        <f t="shared" si="167"/>
        <v>0</v>
      </c>
      <c r="M135" s="53"/>
      <c r="N135" s="54"/>
      <c r="O135" s="55">
        <f t="shared" si="168"/>
        <v>0</v>
      </c>
      <c r="P135" s="57" t="s">
        <v>457</v>
      </c>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5500</v>
      </c>
      <c r="D194" s="172">
        <f t="shared" ref="D194:O194" si="259">SUM(D195,D230,D269,D283)</f>
        <v>5500</v>
      </c>
      <c r="E194" s="173">
        <f t="shared" si="259"/>
        <v>0</v>
      </c>
      <c r="F194" s="174">
        <f t="shared" si="259"/>
        <v>5500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5500</v>
      </c>
      <c r="D230" s="178">
        <f>D231+D251+D259</f>
        <v>5500</v>
      </c>
      <c r="E230" s="179">
        <f t="shared" ref="E230:F230" si="305">E231+E251+E259</f>
        <v>0</v>
      </c>
      <c r="F230" s="180">
        <f t="shared" si="305"/>
        <v>5500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5500</v>
      </c>
      <c r="D259" s="183">
        <f>SUM(D260,D264)</f>
        <v>5500</v>
      </c>
      <c r="E259" s="184">
        <f t="shared" ref="E259:O259" si="341">SUM(E260,E264)</f>
        <v>0</v>
      </c>
      <c r="F259" s="72">
        <f t="shared" si="341"/>
        <v>5500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5500</v>
      </c>
      <c r="D264" s="189">
        <f>SUM(D265:D268)</f>
        <v>5500</v>
      </c>
      <c r="E264" s="190">
        <f t="shared" ref="E264:F264" si="347">SUM(E265:E268)</f>
        <v>0</v>
      </c>
      <c r="F264" s="55">
        <f t="shared" si="347"/>
        <v>5500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8" t="s">
        <v>283</v>
      </c>
      <c r="C266" s="89">
        <f t="shared" si="288"/>
        <v>5500</v>
      </c>
      <c r="D266" s="194">
        <v>5500</v>
      </c>
      <c r="E266" s="195"/>
      <c r="F266" s="55">
        <f t="shared" si="351"/>
        <v>5500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51338</v>
      </c>
      <c r="D289" s="251">
        <f t="shared" ref="D289:O289" si="389">SUM(D286,D269,D230,D195,D187,D173,D75,D53,D283)</f>
        <v>50938</v>
      </c>
      <c r="E289" s="252">
        <f t="shared" si="389"/>
        <v>400</v>
      </c>
      <c r="F289" s="253">
        <f t="shared" si="389"/>
        <v>51338</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6KXCu+iqu79oIay4cgABpfuDIZLvrGe7tS5cdhpGyriaoQGLXEUC68wuwUW71II0uTweF0axUrmVB/q7h/OhwA==" saltValue="FcdUiNjM0tWqvgEOcxWqgw==" spinCount="100000" sheet="1" objects="1" scenarios="1" formatCells="0" formatColumns="0" formatRows="0" deleteColumns="0"/>
  <autoFilter ref="A18:P301">
    <filterColumn colId="2">
      <filters>
        <filter val="3 740"/>
        <filter val="3 994"/>
        <filter val="38 104"/>
        <filter val="41 844"/>
        <filter val="45 838"/>
        <filter val="5 500"/>
        <filter val="51 338"/>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32.pielikums Jūrmalas pilsētas domes
2019.gada 29.augusta saistošajiem noteikumiem Nr.31
(protokols Nr.12, 20.punkts) </firstHeader>
    <firstFooter>&amp;L&amp;9&amp;D; &amp;T&amp;R&amp;9&amp;P (&amp;N)</first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7" sqref="U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1218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1219</v>
      </c>
      <c r="D3" s="1977"/>
      <c r="E3" s="1977"/>
      <c r="F3" s="1977"/>
      <c r="G3" s="1977"/>
      <c r="H3" s="1977"/>
      <c r="I3" s="1977"/>
      <c r="J3" s="1977"/>
      <c r="K3" s="1977"/>
      <c r="L3" s="1977"/>
      <c r="M3" s="1977"/>
      <c r="N3" s="1977"/>
      <c r="O3" s="1977"/>
      <c r="P3" s="1978"/>
      <c r="Q3" s="276"/>
    </row>
    <row r="4" spans="1:17" ht="12.75" customHeight="1" x14ac:dyDescent="0.25">
      <c r="A4" s="5" t="s">
        <v>4</v>
      </c>
      <c r="B4" s="6"/>
      <c r="C4" s="1977" t="s">
        <v>1220</v>
      </c>
      <c r="D4" s="1977"/>
      <c r="E4" s="1977"/>
      <c r="F4" s="1977"/>
      <c r="G4" s="1977"/>
      <c r="H4" s="1977"/>
      <c r="I4" s="1977"/>
      <c r="J4" s="1977"/>
      <c r="K4" s="1977"/>
      <c r="L4" s="1977"/>
      <c r="M4" s="1977"/>
      <c r="N4" s="1977"/>
      <c r="O4" s="1977"/>
      <c r="P4" s="1978"/>
      <c r="Q4" s="276"/>
    </row>
    <row r="5" spans="1:17" ht="12.75" customHeight="1" x14ac:dyDescent="0.25">
      <c r="A5" s="7" t="s">
        <v>6</v>
      </c>
      <c r="B5" s="8"/>
      <c r="C5" s="1972" t="s">
        <v>1221</v>
      </c>
      <c r="D5" s="1972"/>
      <c r="E5" s="1972"/>
      <c r="F5" s="1972"/>
      <c r="G5" s="1972"/>
      <c r="H5" s="1972"/>
      <c r="I5" s="1972"/>
      <c r="J5" s="1972"/>
      <c r="K5" s="1972"/>
      <c r="L5" s="1972"/>
      <c r="M5" s="1972"/>
      <c r="N5" s="1972"/>
      <c r="O5" s="1972"/>
      <c r="P5" s="1973"/>
      <c r="Q5" s="276"/>
    </row>
    <row r="6" spans="1:17" ht="12.75" customHeight="1" x14ac:dyDescent="0.25">
      <c r="A6" s="7" t="s">
        <v>8</v>
      </c>
      <c r="B6" s="8"/>
      <c r="C6" s="1972" t="s">
        <v>1222</v>
      </c>
      <c r="D6" s="1972"/>
      <c r="E6" s="1972"/>
      <c r="F6" s="1972"/>
      <c r="G6" s="1972"/>
      <c r="H6" s="1972"/>
      <c r="I6" s="1972"/>
      <c r="J6" s="1972"/>
      <c r="K6" s="1972"/>
      <c r="L6" s="1972"/>
      <c r="M6" s="1972"/>
      <c r="N6" s="1972"/>
      <c r="O6" s="1972"/>
      <c r="P6" s="1973"/>
      <c r="Q6" s="276"/>
    </row>
    <row r="7" spans="1:17" ht="24.75" customHeight="1" x14ac:dyDescent="0.25">
      <c r="A7" s="7" t="s">
        <v>10</v>
      </c>
      <c r="B7" s="8"/>
      <c r="C7" s="1977" t="s">
        <v>1223</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1224</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1225</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843853</v>
      </c>
      <c r="D20" s="32">
        <f>SUM(D21,D24,D25,D41,D43)</f>
        <v>835752</v>
      </c>
      <c r="E20" s="33">
        <f t="shared" ref="E20:F20" si="1">SUM(E21,E24,E25,E41,E43)</f>
        <v>969</v>
      </c>
      <c r="F20" s="34">
        <f t="shared" si="1"/>
        <v>836721</v>
      </c>
      <c r="G20" s="32">
        <f>SUM(G21,G24,G43)</f>
        <v>0</v>
      </c>
      <c r="H20" s="33">
        <f t="shared" ref="H20:I20" si="2">SUM(H21,H24,H43)</f>
        <v>0</v>
      </c>
      <c r="I20" s="34">
        <f t="shared" si="2"/>
        <v>0</v>
      </c>
      <c r="J20" s="32">
        <f>SUM(J21,J26,J43)</f>
        <v>7118</v>
      </c>
      <c r="K20" s="33">
        <f t="shared" ref="K20:L20" si="3">SUM(K21,K26,K43)</f>
        <v>14</v>
      </c>
      <c r="L20" s="34">
        <f t="shared" si="3"/>
        <v>7132</v>
      </c>
      <c r="M20" s="32">
        <f>SUM(M21,M45)</f>
        <v>0</v>
      </c>
      <c r="N20" s="33">
        <f t="shared" ref="N20:O20" si="4">SUM(N21,N45)</f>
        <v>0</v>
      </c>
      <c r="O20" s="34">
        <f t="shared" si="4"/>
        <v>0</v>
      </c>
      <c r="P20" s="35"/>
    </row>
    <row r="21" spans="1:16" ht="12.75" thickTop="1" x14ac:dyDescent="0.25">
      <c r="A21" s="36"/>
      <c r="B21" s="37" t="s">
        <v>40</v>
      </c>
      <c r="C21" s="38">
        <f t="shared" si="0"/>
        <v>471</v>
      </c>
      <c r="D21" s="39">
        <f>SUM(D22:D23)</f>
        <v>0</v>
      </c>
      <c r="E21" s="40">
        <f t="shared" ref="E21:F21" si="5">SUM(E22:E23)</f>
        <v>0</v>
      </c>
      <c r="F21" s="41">
        <f t="shared" si="5"/>
        <v>0</v>
      </c>
      <c r="G21" s="39">
        <f>SUM(G22:G23)</f>
        <v>0</v>
      </c>
      <c r="H21" s="40">
        <f t="shared" ref="H21:I21" si="6">SUM(H22:H23)</f>
        <v>0</v>
      </c>
      <c r="I21" s="41">
        <f t="shared" si="6"/>
        <v>0</v>
      </c>
      <c r="J21" s="39">
        <f>SUM(J22:J23)</f>
        <v>471</v>
      </c>
      <c r="K21" s="40">
        <f t="shared" ref="K21:L21" si="7">SUM(K22:K23)</f>
        <v>0</v>
      </c>
      <c r="L21" s="41">
        <f t="shared" si="7"/>
        <v>471</v>
      </c>
      <c r="M21" s="39">
        <f>SUM(M22:M23)</f>
        <v>0</v>
      </c>
      <c r="N21" s="40">
        <f t="shared" ref="N21:O21" si="8">SUM(N22:N23)</f>
        <v>0</v>
      </c>
      <c r="O21" s="41">
        <f t="shared" si="8"/>
        <v>0</v>
      </c>
      <c r="P21" s="42"/>
    </row>
    <row r="22" spans="1:16" ht="12" customHeight="1" x14ac:dyDescent="0.25">
      <c r="A22" s="43"/>
      <c r="B22" s="44" t="s">
        <v>41</v>
      </c>
      <c r="C22" s="45">
        <f t="shared" si="0"/>
        <v>100</v>
      </c>
      <c r="D22" s="46">
        <v>0</v>
      </c>
      <c r="E22" s="47"/>
      <c r="F22" s="48">
        <f>D22+E22</f>
        <v>0</v>
      </c>
      <c r="G22" s="46"/>
      <c r="H22" s="47"/>
      <c r="I22" s="48">
        <f>G22+H22</f>
        <v>0</v>
      </c>
      <c r="J22" s="46">
        <v>100</v>
      </c>
      <c r="K22" s="47"/>
      <c r="L22" s="48">
        <f>K22+J22</f>
        <v>100</v>
      </c>
      <c r="M22" s="46"/>
      <c r="N22" s="47"/>
      <c r="O22" s="48">
        <f>N22+M22</f>
        <v>0</v>
      </c>
      <c r="P22" s="49"/>
    </row>
    <row r="23" spans="1:16" x14ac:dyDescent="0.25">
      <c r="A23" s="50"/>
      <c r="B23" s="51" t="s">
        <v>42</v>
      </c>
      <c r="C23" s="52">
        <f t="shared" si="0"/>
        <v>371</v>
      </c>
      <c r="D23" s="53"/>
      <c r="E23" s="54"/>
      <c r="F23" s="55">
        <f t="shared" ref="F23:F25" si="9">D23+E23</f>
        <v>0</v>
      </c>
      <c r="G23" s="53"/>
      <c r="H23" s="54"/>
      <c r="I23" s="55">
        <f t="shared" ref="I23:I24" si="10">G23+H23</f>
        <v>0</v>
      </c>
      <c r="J23" s="53">
        <v>371</v>
      </c>
      <c r="K23" s="54"/>
      <c r="L23" s="56">
        <f>K23+J23</f>
        <v>371</v>
      </c>
      <c r="M23" s="53"/>
      <c r="N23" s="54"/>
      <c r="O23" s="55">
        <f>N23+M23</f>
        <v>0</v>
      </c>
      <c r="P23" s="57"/>
    </row>
    <row r="24" spans="1:16" s="28" customFormat="1" ht="24.75" customHeight="1" thickBot="1" x14ac:dyDescent="0.3">
      <c r="A24" s="58">
        <v>19300</v>
      </c>
      <c r="B24" s="58" t="s">
        <v>43</v>
      </c>
      <c r="C24" s="59">
        <f>F24+I24</f>
        <v>836721</v>
      </c>
      <c r="D24" s="60">
        <v>835752</v>
      </c>
      <c r="E24" s="61">
        <f>196+773</f>
        <v>969</v>
      </c>
      <c r="F24" s="62">
        <f t="shared" si="9"/>
        <v>836721</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6647</v>
      </c>
      <c r="D26" s="73" t="s">
        <v>44</v>
      </c>
      <c r="E26" s="74" t="s">
        <v>44</v>
      </c>
      <c r="F26" s="75" t="s">
        <v>44</v>
      </c>
      <c r="G26" s="73" t="s">
        <v>44</v>
      </c>
      <c r="H26" s="74" t="s">
        <v>44</v>
      </c>
      <c r="I26" s="75" t="s">
        <v>44</v>
      </c>
      <c r="J26" s="77">
        <f>SUM(J27,J31,J33,J36)</f>
        <v>6647</v>
      </c>
      <c r="K26" s="78">
        <f t="shared" ref="K26:L26" si="11">SUM(K27,K31,K33,K36)</f>
        <v>0</v>
      </c>
      <c r="L26" s="79">
        <f t="shared" si="11"/>
        <v>6647</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customHeight="1" x14ac:dyDescent="0.25">
      <c r="A31" s="80">
        <v>21370</v>
      </c>
      <c r="B31" s="68" t="s">
        <v>51</v>
      </c>
      <c r="C31" s="69">
        <f>L31</f>
        <v>5776</v>
      </c>
      <c r="D31" s="73" t="s">
        <v>44</v>
      </c>
      <c r="E31" s="74" t="s">
        <v>44</v>
      </c>
      <c r="F31" s="75" t="s">
        <v>44</v>
      </c>
      <c r="G31" s="73" t="s">
        <v>44</v>
      </c>
      <c r="H31" s="74" t="s">
        <v>44</v>
      </c>
      <c r="I31" s="75" t="s">
        <v>44</v>
      </c>
      <c r="J31" s="77">
        <f>SUM(J32)</f>
        <v>5776</v>
      </c>
      <c r="K31" s="78">
        <f t="shared" ref="K31:L31" si="15">SUM(K32)</f>
        <v>0</v>
      </c>
      <c r="L31" s="79">
        <f t="shared" si="15"/>
        <v>5776</v>
      </c>
      <c r="M31" s="77" t="s">
        <v>44</v>
      </c>
      <c r="N31" s="78" t="s">
        <v>44</v>
      </c>
      <c r="O31" s="79" t="s">
        <v>44</v>
      </c>
      <c r="P31" s="76"/>
    </row>
    <row r="32" spans="1:16" ht="36" customHeight="1" x14ac:dyDescent="0.25">
      <c r="A32" s="95">
        <v>21379</v>
      </c>
      <c r="B32" s="96" t="s">
        <v>52</v>
      </c>
      <c r="C32" s="97">
        <f t="shared" ref="C32:C40" si="16">L32</f>
        <v>5776</v>
      </c>
      <c r="D32" s="98" t="s">
        <v>44</v>
      </c>
      <c r="E32" s="99" t="s">
        <v>44</v>
      </c>
      <c r="F32" s="100" t="s">
        <v>44</v>
      </c>
      <c r="G32" s="98" t="s">
        <v>44</v>
      </c>
      <c r="H32" s="99" t="s">
        <v>44</v>
      </c>
      <c r="I32" s="100" t="s">
        <v>44</v>
      </c>
      <c r="J32" s="101">
        <v>5776</v>
      </c>
      <c r="K32" s="102"/>
      <c r="L32" s="103">
        <f>K32+J32</f>
        <v>5776</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customHeight="1" x14ac:dyDescent="0.25">
      <c r="A36" s="80">
        <v>21390</v>
      </c>
      <c r="B36" s="68" t="s">
        <v>56</v>
      </c>
      <c r="C36" s="69">
        <f t="shared" si="16"/>
        <v>871</v>
      </c>
      <c r="D36" s="73" t="s">
        <v>44</v>
      </c>
      <c r="E36" s="74" t="s">
        <v>44</v>
      </c>
      <c r="F36" s="75" t="s">
        <v>44</v>
      </c>
      <c r="G36" s="73" t="s">
        <v>44</v>
      </c>
      <c r="H36" s="74" t="s">
        <v>44</v>
      </c>
      <c r="I36" s="75" t="s">
        <v>44</v>
      </c>
      <c r="J36" s="77">
        <f>SUM(J37:J40)</f>
        <v>871</v>
      </c>
      <c r="K36" s="78">
        <f t="shared" ref="K36:L36" si="19">SUM(K37:K40)</f>
        <v>0</v>
      </c>
      <c r="L36" s="79">
        <f t="shared" si="19"/>
        <v>871</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871</v>
      </c>
      <c r="D40" s="110" t="s">
        <v>44</v>
      </c>
      <c r="E40" s="111" t="s">
        <v>44</v>
      </c>
      <c r="F40" s="112" t="s">
        <v>44</v>
      </c>
      <c r="G40" s="110" t="s">
        <v>44</v>
      </c>
      <c r="H40" s="111" t="s">
        <v>44</v>
      </c>
      <c r="I40" s="112" t="s">
        <v>44</v>
      </c>
      <c r="J40" s="113">
        <v>871</v>
      </c>
      <c r="K40" s="114"/>
      <c r="L40" s="115">
        <f t="shared" si="20"/>
        <v>871</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x14ac:dyDescent="0.25">
      <c r="A43" s="80">
        <v>21490</v>
      </c>
      <c r="B43" s="68" t="s">
        <v>63</v>
      </c>
      <c r="C43" s="131">
        <f>F43+I43+L43</f>
        <v>14</v>
      </c>
      <c r="D43" s="77">
        <f>D44</f>
        <v>0</v>
      </c>
      <c r="E43" s="78">
        <f t="shared" ref="E43:L43" si="22">E44</f>
        <v>0</v>
      </c>
      <c r="F43" s="79">
        <f t="shared" si="22"/>
        <v>0</v>
      </c>
      <c r="G43" s="77">
        <f t="shared" si="22"/>
        <v>0</v>
      </c>
      <c r="H43" s="78">
        <f t="shared" si="22"/>
        <v>0</v>
      </c>
      <c r="I43" s="79">
        <f t="shared" si="22"/>
        <v>0</v>
      </c>
      <c r="J43" s="77">
        <f t="shared" si="22"/>
        <v>0</v>
      </c>
      <c r="K43" s="78">
        <f t="shared" si="22"/>
        <v>14</v>
      </c>
      <c r="L43" s="79">
        <f t="shared" si="22"/>
        <v>14</v>
      </c>
      <c r="M43" s="77" t="s">
        <v>44</v>
      </c>
      <c r="N43" s="78" t="s">
        <v>44</v>
      </c>
      <c r="O43" s="79" t="s">
        <v>44</v>
      </c>
      <c r="P43" s="76"/>
    </row>
    <row r="44" spans="1:16" s="28" customFormat="1" ht="24" customHeight="1" x14ac:dyDescent="0.25">
      <c r="A44" s="51">
        <v>21499</v>
      </c>
      <c r="B44" s="88" t="s">
        <v>64</v>
      </c>
      <c r="C44" s="132">
        <f>F44+I44+L44</f>
        <v>14</v>
      </c>
      <c r="D44" s="46"/>
      <c r="E44" s="47"/>
      <c r="F44" s="133">
        <f>D44+E44</f>
        <v>0</v>
      </c>
      <c r="G44" s="46"/>
      <c r="H44" s="47"/>
      <c r="I44" s="133">
        <f>G44+H44</f>
        <v>0</v>
      </c>
      <c r="J44" s="46"/>
      <c r="K44" s="47">
        <v>14</v>
      </c>
      <c r="L44" s="48">
        <f>K44+J44</f>
        <v>14</v>
      </c>
      <c r="M44" s="86" t="s">
        <v>44</v>
      </c>
      <c r="N44" s="87" t="s">
        <v>44</v>
      </c>
      <c r="O44" s="48" t="s">
        <v>44</v>
      </c>
      <c r="P44" s="49" t="s">
        <v>1226</v>
      </c>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843853</v>
      </c>
      <c r="D50" s="158">
        <f>SUM(D51,D286)</f>
        <v>835752</v>
      </c>
      <c r="E50" s="159">
        <f t="shared" ref="E50:F50" si="26">SUM(E51,E286)</f>
        <v>969</v>
      </c>
      <c r="F50" s="160">
        <f t="shared" si="26"/>
        <v>836721</v>
      </c>
      <c r="G50" s="158">
        <f>SUM(G51,G286)</f>
        <v>0</v>
      </c>
      <c r="H50" s="159">
        <f>SUM(H51,H286)</f>
        <v>0</v>
      </c>
      <c r="I50" s="160">
        <f t="shared" ref="I50" si="27">SUM(I51,I286)</f>
        <v>0</v>
      </c>
      <c r="J50" s="32">
        <f>SUM(J51,J286)</f>
        <v>7118</v>
      </c>
      <c r="K50" s="33">
        <f t="shared" ref="K50:L50" si="28">SUM(K51,K286)</f>
        <v>14</v>
      </c>
      <c r="L50" s="34">
        <f t="shared" si="28"/>
        <v>7132</v>
      </c>
      <c r="M50" s="32">
        <f>SUM(M51,M286)</f>
        <v>0</v>
      </c>
      <c r="N50" s="33">
        <f t="shared" ref="N50:O50" si="29">SUM(N51,N286)</f>
        <v>0</v>
      </c>
      <c r="O50" s="34">
        <f t="shared" si="29"/>
        <v>0</v>
      </c>
      <c r="P50" s="35"/>
    </row>
    <row r="51" spans="1:16" s="28" customFormat="1" ht="36.75" thickTop="1" x14ac:dyDescent="0.25">
      <c r="A51" s="161"/>
      <c r="B51" s="162" t="s">
        <v>70</v>
      </c>
      <c r="C51" s="163">
        <f t="shared" si="0"/>
        <v>843753</v>
      </c>
      <c r="D51" s="164">
        <f>SUM(D52,D194)</f>
        <v>835752</v>
      </c>
      <c r="E51" s="165">
        <f t="shared" ref="E51:F51" si="30">SUM(E52,E194)</f>
        <v>969</v>
      </c>
      <c r="F51" s="166">
        <f t="shared" si="30"/>
        <v>836721</v>
      </c>
      <c r="G51" s="164">
        <f>SUM(G52,G194)</f>
        <v>0</v>
      </c>
      <c r="H51" s="165">
        <f t="shared" ref="H51:I51" si="31">SUM(H52,H194)</f>
        <v>0</v>
      </c>
      <c r="I51" s="166">
        <f t="shared" si="31"/>
        <v>0</v>
      </c>
      <c r="J51" s="167">
        <f>SUM(J52,J194)</f>
        <v>7018</v>
      </c>
      <c r="K51" s="168">
        <f t="shared" ref="K51:L51" si="32">SUM(K52,K194)</f>
        <v>14</v>
      </c>
      <c r="L51" s="169">
        <f t="shared" si="32"/>
        <v>7032</v>
      </c>
      <c r="M51" s="167">
        <f>SUM(M52,M194)</f>
        <v>0</v>
      </c>
      <c r="N51" s="168">
        <f t="shared" ref="N51:O51" si="33">SUM(N52,N194)</f>
        <v>0</v>
      </c>
      <c r="O51" s="169">
        <f t="shared" si="33"/>
        <v>0</v>
      </c>
      <c r="P51" s="170"/>
    </row>
    <row r="52" spans="1:16" s="28" customFormat="1" ht="24" x14ac:dyDescent="0.25">
      <c r="A52" s="24"/>
      <c r="B52" s="22" t="s">
        <v>71</v>
      </c>
      <c r="C52" s="171">
        <f t="shared" si="0"/>
        <v>818739</v>
      </c>
      <c r="D52" s="172">
        <f>SUM(D53,D75,D173,D187)</f>
        <v>810752</v>
      </c>
      <c r="E52" s="173">
        <f t="shared" ref="E52:F52" si="34">SUM(E53,E75,E173,E187)</f>
        <v>969</v>
      </c>
      <c r="F52" s="174">
        <f t="shared" si="34"/>
        <v>811721</v>
      </c>
      <c r="G52" s="172">
        <f>SUM(G53,G75,G173,G187)</f>
        <v>0</v>
      </c>
      <c r="H52" s="173">
        <f t="shared" ref="H52:I52" si="35">SUM(H53,H75,H173,H187)</f>
        <v>0</v>
      </c>
      <c r="I52" s="174">
        <f t="shared" si="35"/>
        <v>0</v>
      </c>
      <c r="J52" s="172">
        <f>SUM(J53,J75,J173,J187)</f>
        <v>7018</v>
      </c>
      <c r="K52" s="173">
        <f t="shared" ref="K52:L52" si="36">SUM(K53,K75,K173,K187)</f>
        <v>0</v>
      </c>
      <c r="L52" s="174">
        <f t="shared" si="36"/>
        <v>7018</v>
      </c>
      <c r="M52" s="172">
        <f>SUM(M53,M75,M173,M187)</f>
        <v>0</v>
      </c>
      <c r="N52" s="173">
        <f t="shared" ref="N52:O52" si="37">SUM(N53,N75,N173,N187)</f>
        <v>0</v>
      </c>
      <c r="O52" s="174">
        <f t="shared" si="37"/>
        <v>0</v>
      </c>
      <c r="P52" s="175"/>
    </row>
    <row r="53" spans="1:16" s="28" customFormat="1" ht="14.25" customHeight="1" x14ac:dyDescent="0.25">
      <c r="A53" s="176">
        <v>1000</v>
      </c>
      <c r="B53" s="176" t="s">
        <v>72</v>
      </c>
      <c r="C53" s="177">
        <f t="shared" si="0"/>
        <v>726720</v>
      </c>
      <c r="D53" s="178">
        <f>SUM(D54,D67)</f>
        <v>726720</v>
      </c>
      <c r="E53" s="179">
        <f t="shared" ref="E53:F53" si="38">SUM(E54,E67)</f>
        <v>0</v>
      </c>
      <c r="F53" s="180">
        <f t="shared" si="38"/>
        <v>726720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t="15" customHeight="1" x14ac:dyDescent="0.25">
      <c r="A54" s="68">
        <v>1100</v>
      </c>
      <c r="B54" s="182" t="s">
        <v>73</v>
      </c>
      <c r="C54" s="69">
        <f t="shared" si="0"/>
        <v>551366</v>
      </c>
      <c r="D54" s="183">
        <f>SUM(D55,D58,D66)</f>
        <v>551366</v>
      </c>
      <c r="E54" s="184">
        <f t="shared" ref="E54:F54" si="42">SUM(E55,E58,E66)</f>
        <v>0</v>
      </c>
      <c r="F54" s="72">
        <f t="shared" si="42"/>
        <v>551366</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t="15.75" customHeight="1" x14ac:dyDescent="0.25">
      <c r="A55" s="185">
        <v>1110</v>
      </c>
      <c r="B55" s="137" t="s">
        <v>74</v>
      </c>
      <c r="C55" s="142">
        <f t="shared" si="0"/>
        <v>509192</v>
      </c>
      <c r="D55" s="186">
        <f>SUM(D56:D57)</f>
        <v>509192</v>
      </c>
      <c r="E55" s="187">
        <f t="shared" ref="E55:F55" si="46">SUM(E56:E57)</f>
        <v>0</v>
      </c>
      <c r="F55" s="140">
        <f t="shared" si="46"/>
        <v>509192</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5.5" customHeight="1" x14ac:dyDescent="0.25">
      <c r="A57" s="51">
        <v>1119</v>
      </c>
      <c r="B57" s="88" t="s">
        <v>76</v>
      </c>
      <c r="C57" s="89">
        <f t="shared" si="0"/>
        <v>509192</v>
      </c>
      <c r="D57" s="53">
        <v>509192</v>
      </c>
      <c r="E57" s="54"/>
      <c r="F57" s="55">
        <f t="shared" si="50"/>
        <v>509192</v>
      </c>
      <c r="G57" s="53"/>
      <c r="H57" s="54"/>
      <c r="I57" s="55">
        <f t="shared" si="51"/>
        <v>0</v>
      </c>
      <c r="J57" s="53"/>
      <c r="K57" s="54"/>
      <c r="L57" s="55">
        <f t="shared" si="52"/>
        <v>0</v>
      </c>
      <c r="M57" s="53"/>
      <c r="N57" s="54"/>
      <c r="O57" s="55">
        <f t="shared" si="53"/>
        <v>0</v>
      </c>
      <c r="P57" s="57"/>
    </row>
    <row r="58" spans="1:16" ht="13.5" customHeight="1" x14ac:dyDescent="0.25">
      <c r="A58" s="188">
        <v>1140</v>
      </c>
      <c r="B58" s="88" t="s">
        <v>77</v>
      </c>
      <c r="C58" s="89">
        <f t="shared" si="0"/>
        <v>40624</v>
      </c>
      <c r="D58" s="189">
        <f>SUM(D59:D65)</f>
        <v>40624</v>
      </c>
      <c r="E58" s="190">
        <f>SUM(E59:E65)</f>
        <v>0</v>
      </c>
      <c r="F58" s="55">
        <f t="shared" ref="F58" si="54">SUM(F59:F65)</f>
        <v>40624</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5" customHeight="1" x14ac:dyDescent="0.25">
      <c r="A63" s="51">
        <v>1147</v>
      </c>
      <c r="B63" s="88" t="s">
        <v>82</v>
      </c>
      <c r="C63" s="89">
        <f t="shared" si="0"/>
        <v>12342</v>
      </c>
      <c r="D63" s="53">
        <v>12342</v>
      </c>
      <c r="E63" s="54"/>
      <c r="F63" s="55">
        <f t="shared" si="58"/>
        <v>12342</v>
      </c>
      <c r="G63" s="53"/>
      <c r="H63" s="54"/>
      <c r="I63" s="55">
        <f t="shared" si="59"/>
        <v>0</v>
      </c>
      <c r="J63" s="53"/>
      <c r="K63" s="54"/>
      <c r="L63" s="55">
        <f t="shared" si="60"/>
        <v>0</v>
      </c>
      <c r="M63" s="53"/>
      <c r="N63" s="54"/>
      <c r="O63" s="55">
        <f t="shared" si="61"/>
        <v>0</v>
      </c>
      <c r="P63" s="57"/>
    </row>
    <row r="64" spans="1:16" ht="15.75" customHeight="1" x14ac:dyDescent="0.25">
      <c r="A64" s="51">
        <v>1148</v>
      </c>
      <c r="B64" s="88" t="s">
        <v>83</v>
      </c>
      <c r="C64" s="89">
        <f t="shared" si="0"/>
        <v>28282</v>
      </c>
      <c r="D64" s="53">
        <v>28282</v>
      </c>
      <c r="E64" s="54"/>
      <c r="F64" s="55">
        <f t="shared" si="58"/>
        <v>28282</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9" customHeight="1" x14ac:dyDescent="0.25">
      <c r="A66" s="185">
        <v>1150</v>
      </c>
      <c r="B66" s="137" t="s">
        <v>85</v>
      </c>
      <c r="C66" s="142">
        <f t="shared" si="0"/>
        <v>1550</v>
      </c>
      <c r="D66" s="143">
        <v>1550</v>
      </c>
      <c r="E66" s="144"/>
      <c r="F66" s="140">
        <f t="shared" si="58"/>
        <v>1550</v>
      </c>
      <c r="G66" s="143"/>
      <c r="H66" s="144"/>
      <c r="I66" s="140">
        <f t="shared" si="59"/>
        <v>0</v>
      </c>
      <c r="J66" s="143"/>
      <c r="K66" s="144"/>
      <c r="L66" s="140">
        <f t="shared" si="60"/>
        <v>0</v>
      </c>
      <c r="M66" s="143"/>
      <c r="N66" s="144"/>
      <c r="O66" s="140">
        <f t="shared" si="61"/>
        <v>0</v>
      </c>
      <c r="P66" s="128"/>
    </row>
    <row r="67" spans="1:16" ht="27.75" customHeight="1" x14ac:dyDescent="0.25">
      <c r="A67" s="68">
        <v>1200</v>
      </c>
      <c r="B67" s="182" t="s">
        <v>86</v>
      </c>
      <c r="C67" s="69">
        <f t="shared" si="0"/>
        <v>175354</v>
      </c>
      <c r="D67" s="183">
        <f>SUM(D68:D69)</f>
        <v>175354</v>
      </c>
      <c r="E67" s="184">
        <f t="shared" ref="E67:F67" si="62">SUM(E68:E69)</f>
        <v>0</v>
      </c>
      <c r="F67" s="72">
        <f t="shared" si="62"/>
        <v>175354</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8.5" customHeight="1" x14ac:dyDescent="0.25">
      <c r="A68" s="293">
        <v>1210</v>
      </c>
      <c r="B68" s="81" t="s">
        <v>87</v>
      </c>
      <c r="C68" s="82">
        <f t="shared" si="0"/>
        <v>138445</v>
      </c>
      <c r="D68" s="46">
        <v>138445</v>
      </c>
      <c r="E68" s="47"/>
      <c r="F68" s="133">
        <f>D68+E68</f>
        <v>138445</v>
      </c>
      <c r="G68" s="46"/>
      <c r="H68" s="47"/>
      <c r="I68" s="133">
        <f>G68+H68</f>
        <v>0</v>
      </c>
      <c r="J68" s="46"/>
      <c r="K68" s="47"/>
      <c r="L68" s="133">
        <f>K68+J68</f>
        <v>0</v>
      </c>
      <c r="M68" s="46"/>
      <c r="N68" s="47"/>
      <c r="O68" s="133">
        <f>N68+M68</f>
        <v>0</v>
      </c>
      <c r="P68" s="49"/>
    </row>
    <row r="69" spans="1:16" ht="28.5" customHeight="1" x14ac:dyDescent="0.25">
      <c r="A69" s="188">
        <v>1220</v>
      </c>
      <c r="B69" s="88" t="s">
        <v>88</v>
      </c>
      <c r="C69" s="89">
        <f t="shared" si="0"/>
        <v>36909</v>
      </c>
      <c r="D69" s="189">
        <f>SUM(D70:D74)</f>
        <v>36909</v>
      </c>
      <c r="E69" s="190">
        <f t="shared" ref="E69:F69" si="66">SUM(E70:E74)</f>
        <v>0</v>
      </c>
      <c r="F69" s="55">
        <f t="shared" si="66"/>
        <v>36909</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51.75" customHeight="1" x14ac:dyDescent="0.25">
      <c r="A70" s="51">
        <v>1221</v>
      </c>
      <c r="B70" s="88" t="s">
        <v>89</v>
      </c>
      <c r="C70" s="89">
        <f t="shared" si="0"/>
        <v>24883</v>
      </c>
      <c r="D70" s="53">
        <v>24883</v>
      </c>
      <c r="E70" s="54"/>
      <c r="F70" s="55">
        <f t="shared" ref="F70:F74" si="70">D70+E70</f>
        <v>24883</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42" customHeight="1" x14ac:dyDescent="0.25">
      <c r="A73" s="51">
        <v>1227</v>
      </c>
      <c r="B73" s="88" t="s">
        <v>92</v>
      </c>
      <c r="C73" s="89">
        <f t="shared" si="0"/>
        <v>11526</v>
      </c>
      <c r="D73" s="53">
        <v>11526</v>
      </c>
      <c r="E73" s="54"/>
      <c r="F73" s="55">
        <f t="shared" si="70"/>
        <v>11526</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92019</v>
      </c>
      <c r="D75" s="178">
        <f>SUM(D76,D83,D130,D164,D165,D172)</f>
        <v>84032</v>
      </c>
      <c r="E75" s="179">
        <f t="shared" ref="E75:F75" si="74">SUM(E76,E83,E130,E164,E165,E172)</f>
        <v>969</v>
      </c>
      <c r="F75" s="180">
        <f t="shared" si="74"/>
        <v>85001</v>
      </c>
      <c r="G75" s="178">
        <f>SUM(G76,G83,G130,G164,G165,G172)</f>
        <v>0</v>
      </c>
      <c r="H75" s="179">
        <f t="shared" ref="H75:I75" si="75">SUM(H76,H83,H130,H164,H165,H172)</f>
        <v>0</v>
      </c>
      <c r="I75" s="180">
        <f t="shared" si="75"/>
        <v>0</v>
      </c>
      <c r="J75" s="178">
        <f>SUM(J76,J83,J130,J164,J165,J172)</f>
        <v>7018</v>
      </c>
      <c r="K75" s="179">
        <f t="shared" ref="K75:L75" si="76">SUM(K76,K83,K130,K164,K165,K172)</f>
        <v>0</v>
      </c>
      <c r="L75" s="180">
        <f t="shared" si="76"/>
        <v>7018</v>
      </c>
      <c r="M75" s="178">
        <f>SUM(M76,M83,M130,M164,M165,M172)</f>
        <v>0</v>
      </c>
      <c r="N75" s="179">
        <f t="shared" ref="N75:O75" si="77">SUM(N76,N83,N130,N164,N165,N172)</f>
        <v>0</v>
      </c>
      <c r="O75" s="180">
        <f t="shared" si="77"/>
        <v>0</v>
      </c>
      <c r="P75" s="181"/>
    </row>
    <row r="76" spans="1:16" ht="24" x14ac:dyDescent="0.25">
      <c r="A76" s="68">
        <v>2100</v>
      </c>
      <c r="B76" s="182" t="s">
        <v>95</v>
      </c>
      <c r="C76" s="69">
        <f t="shared" si="0"/>
        <v>35</v>
      </c>
      <c r="D76" s="183">
        <f>SUM(D77,D80)</f>
        <v>0</v>
      </c>
      <c r="E76" s="184">
        <f t="shared" ref="E76:F76" si="78">SUM(E77,E80)</f>
        <v>0</v>
      </c>
      <c r="F76" s="72">
        <f t="shared" si="78"/>
        <v>0</v>
      </c>
      <c r="G76" s="183">
        <f>SUM(G77,G80)</f>
        <v>0</v>
      </c>
      <c r="H76" s="184">
        <f t="shared" ref="H76:I76" si="79">SUM(H77,H80)</f>
        <v>0</v>
      </c>
      <c r="I76" s="72">
        <f t="shared" si="79"/>
        <v>0</v>
      </c>
      <c r="J76" s="183">
        <f>SUM(J77,J80)</f>
        <v>35</v>
      </c>
      <c r="K76" s="184">
        <f t="shared" ref="K76:L76" si="80">SUM(K77,K80)</f>
        <v>0</v>
      </c>
      <c r="L76" s="72">
        <f t="shared" si="80"/>
        <v>35</v>
      </c>
      <c r="M76" s="183">
        <f>SUM(M77,M80)</f>
        <v>0</v>
      </c>
      <c r="N76" s="184">
        <f t="shared" ref="N76:O76" si="81">SUM(N77,N80)</f>
        <v>0</v>
      </c>
      <c r="O76" s="72">
        <f t="shared" si="81"/>
        <v>0</v>
      </c>
      <c r="P76" s="76"/>
    </row>
    <row r="77" spans="1:16" ht="24" x14ac:dyDescent="0.25">
      <c r="A77" s="293">
        <v>2110</v>
      </c>
      <c r="B77" s="81" t="s">
        <v>96</v>
      </c>
      <c r="C77" s="82">
        <f t="shared" si="0"/>
        <v>35</v>
      </c>
      <c r="D77" s="192">
        <f>SUM(D78:D79)</f>
        <v>0</v>
      </c>
      <c r="E77" s="193">
        <f t="shared" ref="E77:F77" si="82">SUM(E78:E79)</f>
        <v>0</v>
      </c>
      <c r="F77" s="133">
        <f t="shared" si="82"/>
        <v>0</v>
      </c>
      <c r="G77" s="192">
        <f>SUM(G78:G79)</f>
        <v>0</v>
      </c>
      <c r="H77" s="193">
        <f t="shared" ref="H77:I77" si="83">SUM(H78:H79)</f>
        <v>0</v>
      </c>
      <c r="I77" s="133">
        <f t="shared" si="83"/>
        <v>0</v>
      </c>
      <c r="J77" s="192">
        <f>SUM(J78:J79)</f>
        <v>35</v>
      </c>
      <c r="K77" s="193">
        <f t="shared" ref="K77:L77" si="84">SUM(K78:K79)</f>
        <v>0</v>
      </c>
      <c r="L77" s="133">
        <f t="shared" si="84"/>
        <v>35</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8" t="s">
        <v>98</v>
      </c>
      <c r="C79" s="89">
        <f t="shared" si="0"/>
        <v>35</v>
      </c>
      <c r="D79" s="194"/>
      <c r="E79" s="195"/>
      <c r="F79" s="55">
        <f t="shared" si="86"/>
        <v>0</v>
      </c>
      <c r="G79" s="53"/>
      <c r="H79" s="54"/>
      <c r="I79" s="55">
        <f t="shared" si="87"/>
        <v>0</v>
      </c>
      <c r="J79" s="53">
        <v>35</v>
      </c>
      <c r="K79" s="54"/>
      <c r="L79" s="55">
        <f t="shared" si="88"/>
        <v>35</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60486</v>
      </c>
      <c r="D83" s="183">
        <f>SUM(D84,D89,D95,D103,D112,D116,D122,D128)</f>
        <v>54145</v>
      </c>
      <c r="E83" s="184">
        <f t="shared" ref="E83:F83" si="98">SUM(E84,E89,E95,E103,E112,E116,E122,E128)</f>
        <v>969</v>
      </c>
      <c r="F83" s="72">
        <f t="shared" si="98"/>
        <v>55114</v>
      </c>
      <c r="G83" s="183">
        <f>SUM(G84,G89,G95,G103,G112,G116,G122,G128)</f>
        <v>0</v>
      </c>
      <c r="H83" s="184">
        <f t="shared" ref="H83:I83" si="99">SUM(H84,H89,H95,H103,H112,H116,H122,H128)</f>
        <v>0</v>
      </c>
      <c r="I83" s="72">
        <f t="shared" si="99"/>
        <v>0</v>
      </c>
      <c r="J83" s="183">
        <f>SUM(J84,J89,J95,J103,J112,J116,J122,J128)</f>
        <v>5372</v>
      </c>
      <c r="K83" s="184">
        <f t="shared" ref="K83:L83" si="100">SUM(K84,K89,K95,K103,K112,K116,K122,K128)</f>
        <v>0</v>
      </c>
      <c r="L83" s="72">
        <f t="shared" si="100"/>
        <v>5372</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611</v>
      </c>
      <c r="D84" s="186">
        <f>SUM(D85:D88)</f>
        <v>560</v>
      </c>
      <c r="E84" s="187">
        <f t="shared" ref="E84:F84" si="103">SUM(E85:E88)</f>
        <v>0</v>
      </c>
      <c r="F84" s="140">
        <f t="shared" si="103"/>
        <v>560</v>
      </c>
      <c r="G84" s="186">
        <f>SUM(G85:G88)</f>
        <v>0</v>
      </c>
      <c r="H84" s="187">
        <f t="shared" ref="H84:I84" si="104">SUM(H85:H88)</f>
        <v>0</v>
      </c>
      <c r="I84" s="140">
        <f t="shared" si="104"/>
        <v>0</v>
      </c>
      <c r="J84" s="186">
        <f>SUM(J85:J88)</f>
        <v>51</v>
      </c>
      <c r="K84" s="187">
        <f t="shared" ref="K84:L84" si="105">SUM(K85:K88)</f>
        <v>0</v>
      </c>
      <c r="L84" s="140">
        <f t="shared" si="105"/>
        <v>51</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560</v>
      </c>
      <c r="D86" s="194">
        <v>560</v>
      </c>
      <c r="E86" s="195"/>
      <c r="F86" s="55">
        <f t="shared" si="107"/>
        <v>560</v>
      </c>
      <c r="G86" s="53"/>
      <c r="H86" s="54"/>
      <c r="I86" s="55">
        <f t="shared" si="108"/>
        <v>0</v>
      </c>
      <c r="J86" s="53"/>
      <c r="K86" s="54"/>
      <c r="L86" s="55">
        <f t="shared" si="109"/>
        <v>0</v>
      </c>
      <c r="M86" s="53"/>
      <c r="N86" s="54"/>
      <c r="O86" s="55">
        <f t="shared" si="110"/>
        <v>0</v>
      </c>
      <c r="P86" s="57"/>
    </row>
    <row r="87" spans="1:16" ht="24" customHeight="1" x14ac:dyDescent="0.25">
      <c r="A87" s="51">
        <v>2214</v>
      </c>
      <c r="B87" s="88" t="s">
        <v>104</v>
      </c>
      <c r="C87" s="89">
        <f t="shared" si="102"/>
        <v>51</v>
      </c>
      <c r="D87" s="194"/>
      <c r="E87" s="195"/>
      <c r="F87" s="55">
        <f t="shared" si="107"/>
        <v>0</v>
      </c>
      <c r="G87" s="53"/>
      <c r="H87" s="54"/>
      <c r="I87" s="55">
        <f t="shared" si="108"/>
        <v>0</v>
      </c>
      <c r="J87" s="53">
        <v>51</v>
      </c>
      <c r="K87" s="54"/>
      <c r="L87" s="55">
        <f t="shared" si="109"/>
        <v>51</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40626</v>
      </c>
      <c r="D89" s="189">
        <f>SUM(D90:D94)</f>
        <v>36296</v>
      </c>
      <c r="E89" s="190">
        <f t="shared" ref="E89:F89" si="111">SUM(E90:E94)</f>
        <v>0</v>
      </c>
      <c r="F89" s="55">
        <f t="shared" si="111"/>
        <v>36296</v>
      </c>
      <c r="G89" s="189">
        <f>SUM(G90:G94)</f>
        <v>0</v>
      </c>
      <c r="H89" s="190">
        <f t="shared" ref="H89:I89" si="112">SUM(H90:H94)</f>
        <v>0</v>
      </c>
      <c r="I89" s="55">
        <f t="shared" si="112"/>
        <v>0</v>
      </c>
      <c r="J89" s="189">
        <f>SUM(J90:J94)</f>
        <v>4330</v>
      </c>
      <c r="K89" s="190">
        <f t="shared" ref="K89:L89" si="113">SUM(K90:K94)</f>
        <v>0</v>
      </c>
      <c r="L89" s="55">
        <f t="shared" si="113"/>
        <v>4330</v>
      </c>
      <c r="M89" s="189">
        <f>SUM(M90:M94)</f>
        <v>0</v>
      </c>
      <c r="N89" s="190">
        <f t="shared" ref="N89:O89" si="114">SUM(N90:N94)</f>
        <v>0</v>
      </c>
      <c r="O89" s="55">
        <f t="shared" si="114"/>
        <v>0</v>
      </c>
      <c r="P89" s="57"/>
    </row>
    <row r="90" spans="1:16" ht="24" customHeight="1" x14ac:dyDescent="0.25">
      <c r="A90" s="51">
        <v>2221</v>
      </c>
      <c r="B90" s="88" t="s">
        <v>107</v>
      </c>
      <c r="C90" s="89">
        <f t="shared" si="102"/>
        <v>16247</v>
      </c>
      <c r="D90" s="194">
        <v>16247</v>
      </c>
      <c r="E90" s="195"/>
      <c r="F90" s="55">
        <f t="shared" ref="F90:F94" si="115">D90+E90</f>
        <v>16247</v>
      </c>
      <c r="G90" s="53"/>
      <c r="H90" s="54"/>
      <c r="I90" s="55">
        <f t="shared" ref="I90:I94" si="116">G90+H90</f>
        <v>0</v>
      </c>
      <c r="J90" s="53"/>
      <c r="K90" s="54"/>
      <c r="L90" s="55">
        <f t="shared" ref="L90:L94" si="117">K90+J90</f>
        <v>0</v>
      </c>
      <c r="M90" s="53"/>
      <c r="N90" s="54"/>
      <c r="O90" s="55">
        <f t="shared" ref="O90:O94" si="118">N90+M90</f>
        <v>0</v>
      </c>
      <c r="P90" s="57"/>
    </row>
    <row r="91" spans="1:16" ht="12" customHeight="1" x14ac:dyDescent="0.25">
      <c r="A91" s="51">
        <v>2222</v>
      </c>
      <c r="B91" s="88" t="s">
        <v>108</v>
      </c>
      <c r="C91" s="89">
        <f t="shared" si="102"/>
        <v>1299</v>
      </c>
      <c r="D91" s="194"/>
      <c r="E91" s="195"/>
      <c r="F91" s="55">
        <f t="shared" si="115"/>
        <v>0</v>
      </c>
      <c r="G91" s="53"/>
      <c r="H91" s="54"/>
      <c r="I91" s="55">
        <f t="shared" si="116"/>
        <v>0</v>
      </c>
      <c r="J91" s="53">
        <v>1299</v>
      </c>
      <c r="K91" s="54"/>
      <c r="L91" s="55">
        <f t="shared" si="117"/>
        <v>1299</v>
      </c>
      <c r="M91" s="53"/>
      <c r="N91" s="54"/>
      <c r="O91" s="55">
        <f t="shared" si="118"/>
        <v>0</v>
      </c>
      <c r="P91" s="57"/>
    </row>
    <row r="92" spans="1:16" ht="12" customHeight="1" x14ac:dyDescent="0.25">
      <c r="A92" s="51">
        <v>2223</v>
      </c>
      <c r="B92" s="88" t="s">
        <v>109</v>
      </c>
      <c r="C92" s="89">
        <f t="shared" si="102"/>
        <v>22565</v>
      </c>
      <c r="D92" s="194">
        <v>20049</v>
      </c>
      <c r="E92" s="195"/>
      <c r="F92" s="55">
        <f t="shared" si="115"/>
        <v>20049</v>
      </c>
      <c r="G92" s="53"/>
      <c r="H92" s="54"/>
      <c r="I92" s="55">
        <f t="shared" si="116"/>
        <v>0</v>
      </c>
      <c r="J92" s="53">
        <v>2516</v>
      </c>
      <c r="K92" s="54"/>
      <c r="L92" s="55">
        <f t="shared" si="117"/>
        <v>2516</v>
      </c>
      <c r="M92" s="53"/>
      <c r="N92" s="54"/>
      <c r="O92" s="55">
        <f t="shared" si="118"/>
        <v>0</v>
      </c>
      <c r="P92" s="57"/>
    </row>
    <row r="93" spans="1:16" ht="48" customHeight="1" x14ac:dyDescent="0.25">
      <c r="A93" s="51">
        <v>2224</v>
      </c>
      <c r="B93" s="88" t="s">
        <v>110</v>
      </c>
      <c r="C93" s="89">
        <f t="shared" si="102"/>
        <v>515</v>
      </c>
      <c r="D93" s="194"/>
      <c r="E93" s="195"/>
      <c r="F93" s="55">
        <f t="shared" si="115"/>
        <v>0</v>
      </c>
      <c r="G93" s="53"/>
      <c r="H93" s="54"/>
      <c r="I93" s="55">
        <f t="shared" si="116"/>
        <v>0</v>
      </c>
      <c r="J93" s="53">
        <v>515</v>
      </c>
      <c r="K93" s="54"/>
      <c r="L93" s="55">
        <f t="shared" si="117"/>
        <v>515</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1295</v>
      </c>
      <c r="D95" s="189">
        <f>SUM(D96:D102)</f>
        <v>1133</v>
      </c>
      <c r="E95" s="190">
        <f t="shared" ref="E95:F95" si="119">SUM(E96:E102)</f>
        <v>0</v>
      </c>
      <c r="F95" s="55">
        <f t="shared" si="119"/>
        <v>1133</v>
      </c>
      <c r="G95" s="189">
        <f>SUM(G96:G102)</f>
        <v>0</v>
      </c>
      <c r="H95" s="190">
        <f t="shared" ref="H95:I95" si="120">SUM(H96:H102)</f>
        <v>0</v>
      </c>
      <c r="I95" s="55">
        <f t="shared" si="120"/>
        <v>0</v>
      </c>
      <c r="J95" s="189">
        <f>SUM(J96:J102)</f>
        <v>162</v>
      </c>
      <c r="K95" s="190">
        <f t="shared" ref="K95:L95" si="121">SUM(K96:K102)</f>
        <v>0</v>
      </c>
      <c r="L95" s="55">
        <f t="shared" si="121"/>
        <v>162</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8" t="s">
        <v>118</v>
      </c>
      <c r="C101" s="89">
        <f t="shared" si="102"/>
        <v>60</v>
      </c>
      <c r="D101" s="194"/>
      <c r="E101" s="195"/>
      <c r="F101" s="55">
        <f t="shared" si="123"/>
        <v>0</v>
      </c>
      <c r="G101" s="53"/>
      <c r="H101" s="54"/>
      <c r="I101" s="55">
        <f t="shared" si="124"/>
        <v>0</v>
      </c>
      <c r="J101" s="53">
        <v>60</v>
      </c>
      <c r="K101" s="54"/>
      <c r="L101" s="55">
        <f t="shared" si="125"/>
        <v>60</v>
      </c>
      <c r="M101" s="53"/>
      <c r="N101" s="54"/>
      <c r="O101" s="55">
        <f t="shared" si="126"/>
        <v>0</v>
      </c>
      <c r="P101" s="57"/>
    </row>
    <row r="102" spans="1:16" ht="24" customHeight="1" x14ac:dyDescent="0.25">
      <c r="A102" s="51">
        <v>2239</v>
      </c>
      <c r="B102" s="88" t="s">
        <v>119</v>
      </c>
      <c r="C102" s="89">
        <f t="shared" si="102"/>
        <v>1235</v>
      </c>
      <c r="D102" s="194">
        <v>1133</v>
      </c>
      <c r="E102" s="195"/>
      <c r="F102" s="55">
        <f t="shared" si="123"/>
        <v>1133</v>
      </c>
      <c r="G102" s="53"/>
      <c r="H102" s="54"/>
      <c r="I102" s="55">
        <f t="shared" si="124"/>
        <v>0</v>
      </c>
      <c r="J102" s="53">
        <v>102</v>
      </c>
      <c r="K102" s="54"/>
      <c r="L102" s="55">
        <f t="shared" si="125"/>
        <v>102</v>
      </c>
      <c r="M102" s="53"/>
      <c r="N102" s="54"/>
      <c r="O102" s="55">
        <f t="shared" si="126"/>
        <v>0</v>
      </c>
      <c r="P102" s="57"/>
    </row>
    <row r="103" spans="1:16" ht="36" x14ac:dyDescent="0.25">
      <c r="A103" s="188">
        <v>2240</v>
      </c>
      <c r="B103" s="88" t="s">
        <v>120</v>
      </c>
      <c r="C103" s="89">
        <f t="shared" si="102"/>
        <v>13460</v>
      </c>
      <c r="D103" s="189">
        <f>SUM(D104:D111)</f>
        <v>11872</v>
      </c>
      <c r="E103" s="190">
        <f t="shared" ref="E103:F103" si="127">SUM(E104:E111)</f>
        <v>969</v>
      </c>
      <c r="F103" s="55">
        <f t="shared" si="127"/>
        <v>12841</v>
      </c>
      <c r="G103" s="189">
        <f>SUM(G104:G111)</f>
        <v>0</v>
      </c>
      <c r="H103" s="190">
        <f t="shared" ref="H103:I103" si="128">SUM(H104:H111)</f>
        <v>0</v>
      </c>
      <c r="I103" s="55">
        <f t="shared" si="128"/>
        <v>0</v>
      </c>
      <c r="J103" s="189">
        <f>SUM(J104:J111)</f>
        <v>619</v>
      </c>
      <c r="K103" s="190">
        <f t="shared" ref="K103:L103" si="129">SUM(K104:K111)</f>
        <v>0</v>
      </c>
      <c r="L103" s="55">
        <f t="shared" si="129"/>
        <v>619</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8" t="s">
        <v>122</v>
      </c>
      <c r="C105" s="89">
        <f t="shared" si="102"/>
        <v>1542</v>
      </c>
      <c r="D105" s="194">
        <v>679</v>
      </c>
      <c r="E105" s="195">
        <v>773</v>
      </c>
      <c r="F105" s="55">
        <f t="shared" si="131"/>
        <v>1452</v>
      </c>
      <c r="G105" s="53"/>
      <c r="H105" s="54"/>
      <c r="I105" s="55">
        <f t="shared" si="132"/>
        <v>0</v>
      </c>
      <c r="J105" s="53">
        <v>90</v>
      </c>
      <c r="K105" s="54"/>
      <c r="L105" s="55">
        <f t="shared" si="133"/>
        <v>90</v>
      </c>
      <c r="M105" s="53"/>
      <c r="N105" s="54"/>
      <c r="O105" s="55">
        <f t="shared" si="134"/>
        <v>0</v>
      </c>
      <c r="P105" s="57" t="s">
        <v>1877</v>
      </c>
    </row>
    <row r="106" spans="1:16" ht="28.5" customHeight="1" x14ac:dyDescent="0.25">
      <c r="A106" s="851">
        <v>2243</v>
      </c>
      <c r="B106" s="852" t="s">
        <v>123</v>
      </c>
      <c r="C106" s="853">
        <f t="shared" si="102"/>
        <v>764</v>
      </c>
      <c r="D106" s="544">
        <v>764</v>
      </c>
      <c r="E106" s="545"/>
      <c r="F106" s="543">
        <f t="shared" si="131"/>
        <v>764</v>
      </c>
      <c r="G106" s="303"/>
      <c r="H106" s="542"/>
      <c r="I106" s="543">
        <f t="shared" si="132"/>
        <v>0</v>
      </c>
      <c r="J106" s="303"/>
      <c r="K106" s="542"/>
      <c r="L106" s="543">
        <f t="shared" si="133"/>
        <v>0</v>
      </c>
      <c r="M106" s="303"/>
      <c r="N106" s="542"/>
      <c r="O106" s="543">
        <f t="shared" si="134"/>
        <v>0</v>
      </c>
      <c r="P106" s="546"/>
    </row>
    <row r="107" spans="1:16" ht="18.75" customHeight="1" x14ac:dyDescent="0.25">
      <c r="A107" s="51">
        <v>2244</v>
      </c>
      <c r="B107" s="88" t="s">
        <v>124</v>
      </c>
      <c r="C107" s="89">
        <f t="shared" si="102"/>
        <v>11154</v>
      </c>
      <c r="D107" s="194">
        <v>10429</v>
      </c>
      <c r="E107" s="195">
        <v>196</v>
      </c>
      <c r="F107" s="55">
        <f t="shared" si="131"/>
        <v>10625</v>
      </c>
      <c r="G107" s="53"/>
      <c r="H107" s="54"/>
      <c r="I107" s="55">
        <f t="shared" si="132"/>
        <v>0</v>
      </c>
      <c r="J107" s="53">
        <v>529</v>
      </c>
      <c r="K107" s="54"/>
      <c r="L107" s="55">
        <f t="shared" si="133"/>
        <v>529</v>
      </c>
      <c r="M107" s="53"/>
      <c r="N107" s="54"/>
      <c r="O107" s="55">
        <f t="shared" si="134"/>
        <v>0</v>
      </c>
      <c r="P107" s="57" t="s">
        <v>1227</v>
      </c>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8" t="s">
        <v>129</v>
      </c>
      <c r="C112" s="89">
        <f t="shared" si="102"/>
        <v>4284</v>
      </c>
      <c r="D112" s="189">
        <f>SUM(D113:D115)</f>
        <v>4284</v>
      </c>
      <c r="E112" s="190">
        <f t="shared" ref="E112:F112" si="135">SUM(E113:E115)</f>
        <v>0</v>
      </c>
      <c r="F112" s="55">
        <f t="shared" si="135"/>
        <v>4284</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8" t="s">
        <v>132</v>
      </c>
      <c r="C115" s="89">
        <f t="shared" si="102"/>
        <v>4284</v>
      </c>
      <c r="D115" s="194">
        <v>4284</v>
      </c>
      <c r="E115" s="195"/>
      <c r="F115" s="55">
        <f t="shared" si="139"/>
        <v>4284</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210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210</v>
      </c>
      <c r="K116" s="190">
        <f t="shared" ref="K116:L116" si="145">SUM(K117:K121)</f>
        <v>0</v>
      </c>
      <c r="L116" s="55">
        <f t="shared" si="145"/>
        <v>210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8" t="s">
        <v>137</v>
      </c>
      <c r="C120" s="89">
        <f t="shared" si="102"/>
        <v>153</v>
      </c>
      <c r="D120" s="194"/>
      <c r="E120" s="195"/>
      <c r="F120" s="55">
        <f t="shared" si="147"/>
        <v>0</v>
      </c>
      <c r="G120" s="53"/>
      <c r="H120" s="54"/>
      <c r="I120" s="55">
        <f t="shared" si="148"/>
        <v>0</v>
      </c>
      <c r="J120" s="53">
        <v>153</v>
      </c>
      <c r="K120" s="54"/>
      <c r="L120" s="55">
        <f t="shared" si="149"/>
        <v>153</v>
      </c>
      <c r="M120" s="53"/>
      <c r="N120" s="54"/>
      <c r="O120" s="55">
        <f t="shared" si="150"/>
        <v>0</v>
      </c>
      <c r="P120" s="57"/>
    </row>
    <row r="121" spans="1:16" ht="12" customHeight="1" x14ac:dyDescent="0.25">
      <c r="A121" s="51">
        <v>2269</v>
      </c>
      <c r="B121" s="88" t="s">
        <v>138</v>
      </c>
      <c r="C121" s="89">
        <f t="shared" si="102"/>
        <v>57</v>
      </c>
      <c r="D121" s="194"/>
      <c r="E121" s="195"/>
      <c r="F121" s="55">
        <f t="shared" si="147"/>
        <v>0</v>
      </c>
      <c r="G121" s="53"/>
      <c r="H121" s="54"/>
      <c r="I121" s="55">
        <f t="shared" si="148"/>
        <v>0</v>
      </c>
      <c r="J121" s="53">
        <v>57</v>
      </c>
      <c r="K121" s="54"/>
      <c r="L121" s="55">
        <f t="shared" si="149"/>
        <v>57</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21524</v>
      </c>
      <c r="D130" s="183">
        <f>SUM(D131,D136,D140,D141,D144,D151,D159,D160,D163)</f>
        <v>19913</v>
      </c>
      <c r="E130" s="184">
        <f t="shared" ref="E130:F130" si="160">SUM(E131,E136,E140,E141,E144,E151,E159,E160,E163)</f>
        <v>0</v>
      </c>
      <c r="F130" s="72">
        <f t="shared" si="160"/>
        <v>19913</v>
      </c>
      <c r="G130" s="183">
        <f>SUM(G131,G136,G140,G141,G144,G151,G159,G160,G163)</f>
        <v>0</v>
      </c>
      <c r="H130" s="184">
        <f t="shared" ref="H130:I130" si="161">SUM(H131,H136,H140,H141,H144,H151,H159,H160,H163)</f>
        <v>0</v>
      </c>
      <c r="I130" s="72">
        <f t="shared" si="161"/>
        <v>0</v>
      </c>
      <c r="J130" s="183">
        <f>SUM(J131,J136,J140,J141,J144,J151,J159,J160,J163)</f>
        <v>1611</v>
      </c>
      <c r="K130" s="184">
        <f t="shared" ref="K130:L130" si="162">SUM(K131,K136,K140,K141,K144,K151,K159,K160,K163)</f>
        <v>0</v>
      </c>
      <c r="L130" s="72">
        <f t="shared" si="162"/>
        <v>1611</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8095</v>
      </c>
      <c r="D131" s="192">
        <f t="shared" ref="D131:O131" si="164">SUM(D132:D135)</f>
        <v>7129</v>
      </c>
      <c r="E131" s="193">
        <f t="shared" si="164"/>
        <v>0</v>
      </c>
      <c r="F131" s="133">
        <f t="shared" si="164"/>
        <v>7129</v>
      </c>
      <c r="G131" s="192">
        <f t="shared" si="164"/>
        <v>0</v>
      </c>
      <c r="H131" s="193">
        <f t="shared" si="164"/>
        <v>0</v>
      </c>
      <c r="I131" s="133">
        <f t="shared" si="164"/>
        <v>0</v>
      </c>
      <c r="J131" s="192">
        <f t="shared" si="164"/>
        <v>966</v>
      </c>
      <c r="K131" s="193">
        <f t="shared" si="164"/>
        <v>0</v>
      </c>
      <c r="L131" s="133">
        <f t="shared" si="164"/>
        <v>966</v>
      </c>
      <c r="M131" s="192">
        <f t="shared" si="164"/>
        <v>0</v>
      </c>
      <c r="N131" s="193">
        <f t="shared" si="164"/>
        <v>0</v>
      </c>
      <c r="O131" s="133">
        <f t="shared" si="164"/>
        <v>0</v>
      </c>
      <c r="P131" s="49"/>
    </row>
    <row r="132" spans="1:16" ht="22.5" customHeight="1" x14ac:dyDescent="0.25">
      <c r="A132" s="51">
        <v>2311</v>
      </c>
      <c r="B132" s="88" t="s">
        <v>149</v>
      </c>
      <c r="C132" s="89">
        <f t="shared" si="102"/>
        <v>4494</v>
      </c>
      <c r="D132" s="194">
        <v>3923</v>
      </c>
      <c r="E132" s="195"/>
      <c r="F132" s="55">
        <f t="shared" ref="F132:F135" si="165">D132+E132</f>
        <v>3923</v>
      </c>
      <c r="G132" s="53"/>
      <c r="H132" s="54"/>
      <c r="I132" s="55">
        <f t="shared" ref="I132:I135" si="166">G132+H132</f>
        <v>0</v>
      </c>
      <c r="J132" s="53">
        <v>571</v>
      </c>
      <c r="K132" s="54"/>
      <c r="L132" s="55">
        <f t="shared" ref="L132:L135" si="167">K132+J132</f>
        <v>571</v>
      </c>
      <c r="M132" s="53"/>
      <c r="N132" s="54"/>
      <c r="O132" s="55">
        <f t="shared" ref="O132:O135" si="168">N132+M132</f>
        <v>0</v>
      </c>
      <c r="P132" s="57"/>
    </row>
    <row r="133" spans="1:16" ht="12" customHeight="1" x14ac:dyDescent="0.25">
      <c r="A133" s="51">
        <v>2312</v>
      </c>
      <c r="B133" s="88" t="s">
        <v>150</v>
      </c>
      <c r="C133" s="89">
        <f t="shared" si="102"/>
        <v>2408</v>
      </c>
      <c r="D133" s="194">
        <v>2013</v>
      </c>
      <c r="E133" s="195"/>
      <c r="F133" s="55">
        <f t="shared" si="165"/>
        <v>2013</v>
      </c>
      <c r="G133" s="53"/>
      <c r="H133" s="54"/>
      <c r="I133" s="55">
        <f t="shared" si="166"/>
        <v>0</v>
      </c>
      <c r="J133" s="53">
        <v>395</v>
      </c>
      <c r="K133" s="54"/>
      <c r="L133" s="55">
        <f t="shared" si="167"/>
        <v>395</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1193</v>
      </c>
      <c r="D135" s="194">
        <v>1193</v>
      </c>
      <c r="E135" s="195"/>
      <c r="F135" s="55">
        <f t="shared" si="165"/>
        <v>1193</v>
      </c>
      <c r="G135" s="53"/>
      <c r="H135" s="54"/>
      <c r="I135" s="55">
        <f t="shared" si="166"/>
        <v>0</v>
      </c>
      <c r="J135" s="53"/>
      <c r="K135" s="54"/>
      <c r="L135" s="55">
        <f t="shared" si="167"/>
        <v>0</v>
      </c>
      <c r="M135" s="53"/>
      <c r="N135" s="54"/>
      <c r="O135" s="55">
        <f t="shared" si="168"/>
        <v>0</v>
      </c>
      <c r="P135" s="57"/>
    </row>
    <row r="136" spans="1:16" x14ac:dyDescent="0.25">
      <c r="A136" s="188">
        <v>2320</v>
      </c>
      <c r="B136" s="88" t="s">
        <v>153</v>
      </c>
      <c r="C136" s="89">
        <f t="shared" si="102"/>
        <v>10032</v>
      </c>
      <c r="D136" s="189">
        <f>SUM(D137:D139)</f>
        <v>10032</v>
      </c>
      <c r="E136" s="190">
        <f t="shared" ref="E136:F136" si="169">SUM(E137:E139)</f>
        <v>0</v>
      </c>
      <c r="F136" s="55">
        <f t="shared" si="169"/>
        <v>10032</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customHeight="1" x14ac:dyDescent="0.25">
      <c r="A137" s="51">
        <v>2321</v>
      </c>
      <c r="B137" s="88" t="s">
        <v>154</v>
      </c>
      <c r="C137" s="89">
        <f t="shared" si="102"/>
        <v>8585</v>
      </c>
      <c r="D137" s="194">
        <v>8585</v>
      </c>
      <c r="E137" s="195"/>
      <c r="F137" s="55">
        <f t="shared" ref="F137:F140" si="173">D137+E137</f>
        <v>8585</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8" t="s">
        <v>155</v>
      </c>
      <c r="C138" s="89">
        <f t="shared" si="102"/>
        <v>1447</v>
      </c>
      <c r="D138" s="194">
        <v>1447</v>
      </c>
      <c r="E138" s="195"/>
      <c r="F138" s="55">
        <f t="shared" si="173"/>
        <v>1447</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3397</v>
      </c>
      <c r="D144" s="186">
        <f>SUM(D145:D150)</f>
        <v>2752</v>
      </c>
      <c r="E144" s="187">
        <f t="shared" ref="E144:F144" si="185">SUM(E145:E150)</f>
        <v>0</v>
      </c>
      <c r="F144" s="140">
        <f t="shared" si="185"/>
        <v>2752</v>
      </c>
      <c r="G144" s="186">
        <f>SUM(G145:G150)</f>
        <v>0</v>
      </c>
      <c r="H144" s="187">
        <f t="shared" ref="H144:I144" si="186">SUM(H145:H150)</f>
        <v>0</v>
      </c>
      <c r="I144" s="140">
        <f t="shared" si="186"/>
        <v>0</v>
      </c>
      <c r="J144" s="186">
        <f>SUM(J145:J150)</f>
        <v>645</v>
      </c>
      <c r="K144" s="187">
        <f t="shared" ref="K144:L144" si="187">SUM(K145:K150)</f>
        <v>0</v>
      </c>
      <c r="L144" s="140">
        <f t="shared" si="187"/>
        <v>645</v>
      </c>
      <c r="M144" s="186">
        <f>SUM(M145:M150)</f>
        <v>0</v>
      </c>
      <c r="N144" s="187">
        <f t="shared" ref="N144:O144" si="188">SUM(N145:N150)</f>
        <v>0</v>
      </c>
      <c r="O144" s="140">
        <f t="shared" si="188"/>
        <v>0</v>
      </c>
      <c r="P144" s="128"/>
    </row>
    <row r="145" spans="1:16" ht="12" customHeight="1" x14ac:dyDescent="0.25">
      <c r="A145" s="44">
        <v>2351</v>
      </c>
      <c r="B145" s="81" t="s">
        <v>162</v>
      </c>
      <c r="C145" s="82">
        <f t="shared" si="102"/>
        <v>200</v>
      </c>
      <c r="D145" s="196"/>
      <c r="E145" s="197"/>
      <c r="F145" s="133">
        <f t="shared" ref="F145:F150" si="189">D145+E145</f>
        <v>0</v>
      </c>
      <c r="G145" s="46"/>
      <c r="H145" s="47"/>
      <c r="I145" s="133">
        <f t="shared" ref="I145:I150" si="190">G145+H145</f>
        <v>0</v>
      </c>
      <c r="J145" s="46">
        <v>200</v>
      </c>
      <c r="K145" s="47"/>
      <c r="L145" s="133">
        <f t="shared" ref="L145:L150" si="191">K145+J145</f>
        <v>200</v>
      </c>
      <c r="M145" s="46"/>
      <c r="N145" s="47"/>
      <c r="O145" s="133">
        <f t="shared" ref="O145:O150" si="192">N145+M145</f>
        <v>0</v>
      </c>
      <c r="P145" s="49"/>
    </row>
    <row r="146" spans="1:16" ht="12" customHeight="1" x14ac:dyDescent="0.25">
      <c r="A146" s="51">
        <v>2352</v>
      </c>
      <c r="B146" s="88" t="s">
        <v>163</v>
      </c>
      <c r="C146" s="89">
        <f t="shared" si="102"/>
        <v>3185</v>
      </c>
      <c r="D146" s="194">
        <v>2740</v>
      </c>
      <c r="E146" s="195"/>
      <c r="F146" s="55">
        <f t="shared" si="189"/>
        <v>2740</v>
      </c>
      <c r="G146" s="53"/>
      <c r="H146" s="54"/>
      <c r="I146" s="55">
        <f t="shared" si="190"/>
        <v>0</v>
      </c>
      <c r="J146" s="53">
        <v>445</v>
      </c>
      <c r="K146" s="54"/>
      <c r="L146" s="55">
        <f t="shared" si="191"/>
        <v>445</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8" t="s">
        <v>165</v>
      </c>
      <c r="C148" s="89">
        <f t="shared" ref="C148:C211" si="193">F148+I148+L148+O148</f>
        <v>12</v>
      </c>
      <c r="D148" s="194">
        <v>12</v>
      </c>
      <c r="E148" s="195"/>
      <c r="F148" s="55">
        <f t="shared" si="189"/>
        <v>12</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customHeight="1" x14ac:dyDescent="0.25">
      <c r="A164" s="68">
        <v>2400</v>
      </c>
      <c r="B164" s="182" t="s">
        <v>181</v>
      </c>
      <c r="C164" s="69">
        <f t="shared" si="193"/>
        <v>9859</v>
      </c>
      <c r="D164" s="204">
        <v>9859</v>
      </c>
      <c r="E164" s="205"/>
      <c r="F164" s="72">
        <f t="shared" si="206"/>
        <v>9859</v>
      </c>
      <c r="G164" s="70"/>
      <c r="H164" s="71"/>
      <c r="I164" s="72">
        <f t="shared" si="207"/>
        <v>0</v>
      </c>
      <c r="J164" s="70"/>
      <c r="K164" s="71"/>
      <c r="L164" s="72">
        <f t="shared" si="208"/>
        <v>0</v>
      </c>
      <c r="M164" s="70"/>
      <c r="N164" s="71"/>
      <c r="O164" s="72">
        <f t="shared" si="209"/>
        <v>0</v>
      </c>
      <c r="P164" s="76"/>
    </row>
    <row r="165" spans="1:16" ht="24" x14ac:dyDescent="0.25">
      <c r="A165" s="68">
        <v>2500</v>
      </c>
      <c r="B165" s="182" t="s">
        <v>182</v>
      </c>
      <c r="C165" s="69">
        <f t="shared" si="193"/>
        <v>115</v>
      </c>
      <c r="D165" s="183">
        <f>SUM(D166,D171)</f>
        <v>115</v>
      </c>
      <c r="E165" s="184">
        <f t="shared" ref="E165:O165" si="210">SUM(E166,E171)</f>
        <v>0</v>
      </c>
      <c r="F165" s="72">
        <f t="shared" si="210"/>
        <v>115</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24" x14ac:dyDescent="0.25">
      <c r="A166" s="293">
        <v>2510</v>
      </c>
      <c r="B166" s="81" t="s">
        <v>183</v>
      </c>
      <c r="C166" s="82">
        <f t="shared" si="193"/>
        <v>115</v>
      </c>
      <c r="D166" s="192">
        <f>SUM(D167:D170)</f>
        <v>115</v>
      </c>
      <c r="E166" s="193">
        <f t="shared" ref="E166:O166" si="211">SUM(E167:E170)</f>
        <v>0</v>
      </c>
      <c r="F166" s="133">
        <f t="shared" si="211"/>
        <v>115</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8" t="s">
        <v>187</v>
      </c>
      <c r="C170" s="89">
        <f t="shared" si="193"/>
        <v>115</v>
      </c>
      <c r="D170" s="194">
        <v>115</v>
      </c>
      <c r="E170" s="195"/>
      <c r="F170" s="55">
        <f t="shared" si="212"/>
        <v>115</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25014</v>
      </c>
      <c r="D194" s="172">
        <f t="shared" ref="D194:O194" si="259">SUM(D195,D230,D269,D283)</f>
        <v>25000</v>
      </c>
      <c r="E194" s="173">
        <f t="shared" si="259"/>
        <v>0</v>
      </c>
      <c r="F194" s="174">
        <f t="shared" si="259"/>
        <v>25000</v>
      </c>
      <c r="G194" s="172">
        <f t="shared" si="259"/>
        <v>0</v>
      </c>
      <c r="H194" s="173">
        <f t="shared" si="259"/>
        <v>0</v>
      </c>
      <c r="I194" s="174">
        <f t="shared" si="259"/>
        <v>0</v>
      </c>
      <c r="J194" s="172">
        <f t="shared" si="259"/>
        <v>0</v>
      </c>
      <c r="K194" s="173">
        <f t="shared" si="259"/>
        <v>14</v>
      </c>
      <c r="L194" s="174">
        <f t="shared" si="259"/>
        <v>14</v>
      </c>
      <c r="M194" s="172">
        <f t="shared" si="259"/>
        <v>0</v>
      </c>
      <c r="N194" s="173">
        <f t="shared" si="259"/>
        <v>0</v>
      </c>
      <c r="O194" s="174">
        <f t="shared" si="259"/>
        <v>0</v>
      </c>
      <c r="P194" s="175"/>
    </row>
    <row r="195" spans="1:16" x14ac:dyDescent="0.25">
      <c r="A195" s="176">
        <v>5000</v>
      </c>
      <c r="B195" s="176" t="s">
        <v>212</v>
      </c>
      <c r="C195" s="177">
        <f t="shared" si="193"/>
        <v>25000</v>
      </c>
      <c r="D195" s="178">
        <f>D196+D204</f>
        <v>25000</v>
      </c>
      <c r="E195" s="179">
        <f t="shared" ref="E195:F195" si="260">E196+E204</f>
        <v>0</v>
      </c>
      <c r="F195" s="180">
        <f t="shared" si="260"/>
        <v>25000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25000</v>
      </c>
      <c r="D204" s="183">
        <f>D205+D215+D216+D225+D226+D227+D229</f>
        <v>25000</v>
      </c>
      <c r="E204" s="184">
        <f t="shared" ref="E204:F204" si="276">E205+E215+E216+E225+E226+E227+E229</f>
        <v>0</v>
      </c>
      <c r="F204" s="72">
        <f t="shared" si="276"/>
        <v>25000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25000</v>
      </c>
      <c r="D216" s="189">
        <f>SUM(D217:D224)</f>
        <v>25000</v>
      </c>
      <c r="E216" s="190">
        <f t="shared" ref="E216:F216" si="289">SUM(E217:E224)</f>
        <v>0</v>
      </c>
      <c r="F216" s="55">
        <f t="shared" si="289"/>
        <v>25000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8" t="s">
        <v>236</v>
      </c>
      <c r="C219" s="89">
        <f t="shared" si="288"/>
        <v>25000</v>
      </c>
      <c r="D219" s="194">
        <v>25000</v>
      </c>
      <c r="E219" s="195"/>
      <c r="F219" s="55">
        <f t="shared" si="293"/>
        <v>25000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14</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14</v>
      </c>
      <c r="L269" s="231">
        <f t="shared" si="357"/>
        <v>14</v>
      </c>
      <c r="M269" s="229">
        <f>SUM(M270,M281)</f>
        <v>0</v>
      </c>
      <c r="N269" s="230">
        <f t="shared" ref="N269:O269" si="358">SUM(N270,N281)</f>
        <v>0</v>
      </c>
      <c r="O269" s="231">
        <f t="shared" si="358"/>
        <v>0</v>
      </c>
      <c r="P269" s="232"/>
    </row>
    <row r="270" spans="1:16" ht="24" x14ac:dyDescent="0.25">
      <c r="A270" s="68">
        <v>7200</v>
      </c>
      <c r="B270" s="182" t="s">
        <v>287</v>
      </c>
      <c r="C270" s="69">
        <f t="shared" si="288"/>
        <v>14</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14</v>
      </c>
      <c r="L270" s="72">
        <f t="shared" si="361"/>
        <v>14</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8">
        <v>7230</v>
      </c>
      <c r="B275" s="88" t="s">
        <v>292</v>
      </c>
      <c r="C275" s="89">
        <f t="shared" si="288"/>
        <v>14</v>
      </c>
      <c r="D275" s="194"/>
      <c r="E275" s="195"/>
      <c r="F275" s="55">
        <f t="shared" si="367"/>
        <v>0</v>
      </c>
      <c r="G275" s="53"/>
      <c r="H275" s="54"/>
      <c r="I275" s="55">
        <f t="shared" si="368"/>
        <v>0</v>
      </c>
      <c r="J275" s="53"/>
      <c r="K275" s="54">
        <v>14</v>
      </c>
      <c r="L275" s="55">
        <f t="shared" si="369"/>
        <v>14</v>
      </c>
      <c r="M275" s="53"/>
      <c r="N275" s="54"/>
      <c r="O275" s="55">
        <f t="shared" si="370"/>
        <v>0</v>
      </c>
      <c r="P275" s="49" t="s">
        <v>1226</v>
      </c>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100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100</v>
      </c>
      <c r="K286" s="190">
        <f t="shared" ref="K286:L286" si="383">SUM(K287:K288)</f>
        <v>0</v>
      </c>
      <c r="L286" s="55">
        <f t="shared" si="383"/>
        <v>100</v>
      </c>
      <c r="M286" s="189">
        <f>SUM(M287:M288)</f>
        <v>0</v>
      </c>
      <c r="N286" s="190">
        <f t="shared" ref="N286:O286" si="384">SUM(N287:N288)</f>
        <v>0</v>
      </c>
      <c r="O286" s="55">
        <f t="shared" si="384"/>
        <v>0</v>
      </c>
      <c r="P286" s="57"/>
    </row>
    <row r="287" spans="1:16" ht="12" customHeight="1" x14ac:dyDescent="0.25">
      <c r="A287" s="199" t="s">
        <v>304</v>
      </c>
      <c r="B287" s="51" t="s">
        <v>305</v>
      </c>
      <c r="C287" s="89">
        <f t="shared" si="371"/>
        <v>100</v>
      </c>
      <c r="D287" s="194"/>
      <c r="E287" s="195"/>
      <c r="F287" s="55">
        <f t="shared" ref="F287:F288" si="385">D287+E287</f>
        <v>0</v>
      </c>
      <c r="G287" s="53"/>
      <c r="H287" s="54"/>
      <c r="I287" s="55">
        <f t="shared" ref="I287:I288" si="386">G287+H287</f>
        <v>0</v>
      </c>
      <c r="J287" s="53">
        <v>100</v>
      </c>
      <c r="K287" s="54"/>
      <c r="L287" s="55">
        <f t="shared" ref="L287:L288" si="387">K287+J287</f>
        <v>100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843853</v>
      </c>
      <c r="D289" s="251">
        <f t="shared" ref="D289:O289" si="389">SUM(D286,D269,D230,D195,D187,D173,D75,D53,D283)</f>
        <v>835752</v>
      </c>
      <c r="E289" s="252">
        <f t="shared" si="389"/>
        <v>969</v>
      </c>
      <c r="F289" s="253">
        <f t="shared" si="389"/>
        <v>836721</v>
      </c>
      <c r="G289" s="251">
        <f t="shared" si="389"/>
        <v>0</v>
      </c>
      <c r="H289" s="252">
        <f t="shared" si="389"/>
        <v>0</v>
      </c>
      <c r="I289" s="253">
        <f t="shared" si="389"/>
        <v>0</v>
      </c>
      <c r="J289" s="251">
        <f t="shared" si="389"/>
        <v>7118</v>
      </c>
      <c r="K289" s="252">
        <f t="shared" si="389"/>
        <v>14</v>
      </c>
      <c r="L289" s="253">
        <f t="shared" si="389"/>
        <v>7132</v>
      </c>
      <c r="M289" s="251">
        <f t="shared" si="389"/>
        <v>0</v>
      </c>
      <c r="N289" s="252">
        <f t="shared" si="389"/>
        <v>0</v>
      </c>
      <c r="O289" s="253">
        <f t="shared" si="389"/>
        <v>0</v>
      </c>
      <c r="P289" s="254"/>
    </row>
    <row r="290" spans="1:16" s="28" customFormat="1" ht="13.5" thickTop="1" thickBot="1" x14ac:dyDescent="0.3">
      <c r="A290" s="1945" t="s">
        <v>309</v>
      </c>
      <c r="B290" s="1946"/>
      <c r="C290" s="255">
        <f t="shared" si="371"/>
        <v>-371</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-371</v>
      </c>
      <c r="K290" s="257">
        <f t="shared" ref="K290:L290" si="392">(K26+K43)-K51</f>
        <v>0</v>
      </c>
      <c r="L290" s="258">
        <f t="shared" si="392"/>
        <v>-371</v>
      </c>
      <c r="M290" s="256">
        <f>M45-M51</f>
        <v>0</v>
      </c>
      <c r="N290" s="257">
        <f t="shared" ref="N290:O290" si="393">N45-N51</f>
        <v>0</v>
      </c>
      <c r="O290" s="258">
        <f t="shared" si="393"/>
        <v>0</v>
      </c>
      <c r="P290" s="259"/>
    </row>
    <row r="291" spans="1:16" s="28" customFormat="1" ht="12.75" thickTop="1" x14ac:dyDescent="0.25">
      <c r="A291" s="1947" t="s">
        <v>310</v>
      </c>
      <c r="B291" s="1948"/>
      <c r="C291" s="260">
        <f t="shared" si="371"/>
        <v>371</v>
      </c>
      <c r="D291" s="261">
        <f t="shared" ref="D291:O291" si="394">SUM(D292,D293)-D300+D301</f>
        <v>0</v>
      </c>
      <c r="E291" s="262">
        <f t="shared" si="394"/>
        <v>0</v>
      </c>
      <c r="F291" s="263">
        <f t="shared" si="394"/>
        <v>0</v>
      </c>
      <c r="G291" s="261">
        <f t="shared" si="394"/>
        <v>0</v>
      </c>
      <c r="H291" s="262">
        <f t="shared" si="394"/>
        <v>0</v>
      </c>
      <c r="I291" s="263">
        <f t="shared" si="394"/>
        <v>0</v>
      </c>
      <c r="J291" s="261">
        <f t="shared" si="394"/>
        <v>371</v>
      </c>
      <c r="K291" s="262">
        <f t="shared" si="394"/>
        <v>0</v>
      </c>
      <c r="L291" s="263">
        <f t="shared" si="394"/>
        <v>371</v>
      </c>
      <c r="M291" s="261">
        <f t="shared" si="394"/>
        <v>0</v>
      </c>
      <c r="N291" s="262">
        <f t="shared" si="394"/>
        <v>0</v>
      </c>
      <c r="O291" s="263">
        <f t="shared" si="394"/>
        <v>0</v>
      </c>
      <c r="P291" s="264"/>
    </row>
    <row r="292" spans="1:16" s="28" customFormat="1" ht="12.75" thickBot="1" x14ac:dyDescent="0.3">
      <c r="A292" s="156" t="s">
        <v>311</v>
      </c>
      <c r="B292" s="156" t="s">
        <v>312</v>
      </c>
      <c r="C292" s="157">
        <f t="shared" si="371"/>
        <v>371</v>
      </c>
      <c r="D292" s="158">
        <f t="shared" ref="D292:O292" si="395">D21-D286</f>
        <v>0</v>
      </c>
      <c r="E292" s="159">
        <f t="shared" si="395"/>
        <v>0</v>
      </c>
      <c r="F292" s="160">
        <f t="shared" si="395"/>
        <v>0</v>
      </c>
      <c r="G292" s="158">
        <f t="shared" si="395"/>
        <v>0</v>
      </c>
      <c r="H292" s="159">
        <f t="shared" si="395"/>
        <v>0</v>
      </c>
      <c r="I292" s="160">
        <f t="shared" si="395"/>
        <v>0</v>
      </c>
      <c r="J292" s="158">
        <f t="shared" si="395"/>
        <v>371</v>
      </c>
      <c r="K292" s="159">
        <f t="shared" si="395"/>
        <v>0</v>
      </c>
      <c r="L292" s="160">
        <f t="shared" si="395"/>
        <v>371</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IDBJeecV8C17MFtWG0BergTo76mBGGCS0cVNM5cjIiNmN3HhdO1b9wPU18hehv3dUEHzbhP9054SzmVwxUC6Xw==" saltValue="D//QW/r9Cb1POhUS0gxLGg==" spinCount="100000" sheet="1" objects="1" scenarios="1" formatCells="0" formatColumns="0" formatRows="0" deleteColumns="0"/>
  <autoFilter ref="A18:P301">
    <filterColumn colId="2">
      <filters>
        <filter val="1 193"/>
        <filter val="1 235"/>
        <filter val="1 295"/>
        <filter val="1 299"/>
        <filter val="1 447"/>
        <filter val="1 550"/>
        <filter val="10 032"/>
        <filter val="100"/>
        <filter val="11 154"/>
        <filter val="11 526"/>
        <filter val="115"/>
        <filter val="12"/>
        <filter val="12 342"/>
        <filter val="12 687"/>
        <filter val="138 445"/>
        <filter val="14"/>
        <filter val="153"/>
        <filter val="16 247"/>
        <filter val="175 354"/>
        <filter val="2 408"/>
        <filter val="200"/>
        <filter val="21 524"/>
        <filter val="210"/>
        <filter val="22 565"/>
        <filter val="24 883"/>
        <filter val="25 000"/>
        <filter val="25 014"/>
        <filter val="28 282"/>
        <filter val="3 185"/>
        <filter val="3 397"/>
        <filter val="35"/>
        <filter val="36 909"/>
        <filter val="371"/>
        <filter val="-371"/>
        <filter val="4 284"/>
        <filter val="4 494"/>
        <filter val="40 624"/>
        <filter val="40 626"/>
        <filter val="471"/>
        <filter val="5 776"/>
        <filter val="500"/>
        <filter val="509 192"/>
        <filter val="51"/>
        <filter val="515"/>
        <filter val="551 366"/>
        <filter val="560"/>
        <filter val="57"/>
        <filter val="59 713"/>
        <filter val="6 647"/>
        <filter val="60"/>
        <filter val="611"/>
        <filter val="726 720"/>
        <filter val="764"/>
        <filter val="769"/>
        <filter val="8 095"/>
        <filter val="8 585"/>
        <filter val="817 966"/>
        <filter val="835 948"/>
        <filter val="842 980"/>
        <filter val="843 080"/>
        <filter val="871"/>
        <filter val="9 859"/>
        <filter val="91 246"/>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33.pielikums Jūrmalas pilsētas domes
2019.gada 29.augusta saistošajiem noteikumiem Nr.31
(protokols Nr.12, 20.punkts)</firstHeader>
    <firstFooter>&amp;L&amp;9&amp;D; &amp;T&amp;R&amp;9&amp;P (&amp;N)</first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7" sqref="T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1374</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1375</v>
      </c>
      <c r="D3" s="1977"/>
      <c r="E3" s="1977"/>
      <c r="F3" s="1977"/>
      <c r="G3" s="1977"/>
      <c r="H3" s="1977"/>
      <c r="I3" s="1977"/>
      <c r="J3" s="1977"/>
      <c r="K3" s="1977"/>
      <c r="L3" s="1977"/>
      <c r="M3" s="1977"/>
      <c r="N3" s="1977"/>
      <c r="O3" s="1977"/>
      <c r="P3" s="1978"/>
      <c r="Q3" s="276"/>
    </row>
    <row r="4" spans="1:17" ht="12.75" customHeight="1" x14ac:dyDescent="0.25">
      <c r="A4" s="5" t="s">
        <v>4</v>
      </c>
      <c r="B4" s="6"/>
      <c r="C4" s="1977" t="s">
        <v>1376</v>
      </c>
      <c r="D4" s="1977"/>
      <c r="E4" s="1977"/>
      <c r="F4" s="1977"/>
      <c r="G4" s="1977"/>
      <c r="H4" s="1977"/>
      <c r="I4" s="1977"/>
      <c r="J4" s="1977"/>
      <c r="K4" s="1977"/>
      <c r="L4" s="1977"/>
      <c r="M4" s="1977"/>
      <c r="N4" s="1977"/>
      <c r="O4" s="1977"/>
      <c r="P4" s="1978"/>
      <c r="Q4" s="276"/>
    </row>
    <row r="5" spans="1:17" ht="12.75" customHeight="1" x14ac:dyDescent="0.25">
      <c r="A5" s="7" t="s">
        <v>6</v>
      </c>
      <c r="B5" s="8"/>
      <c r="C5" s="1972" t="s">
        <v>1377</v>
      </c>
      <c r="D5" s="1972"/>
      <c r="E5" s="1972"/>
      <c r="F5" s="1972"/>
      <c r="G5" s="1972"/>
      <c r="H5" s="1972"/>
      <c r="I5" s="1972"/>
      <c r="J5" s="1972"/>
      <c r="K5" s="1972"/>
      <c r="L5" s="1972"/>
      <c r="M5" s="1972"/>
      <c r="N5" s="1972"/>
      <c r="O5" s="1972"/>
      <c r="P5" s="1973"/>
      <c r="Q5" s="276"/>
    </row>
    <row r="6" spans="1:17" ht="12.75" customHeight="1" x14ac:dyDescent="0.25">
      <c r="A6" s="7" t="s">
        <v>8</v>
      </c>
      <c r="B6" s="8"/>
      <c r="C6" s="1972" t="s">
        <v>1310</v>
      </c>
      <c r="D6" s="1972"/>
      <c r="E6" s="1972"/>
      <c r="F6" s="1972"/>
      <c r="G6" s="1972"/>
      <c r="H6" s="1972"/>
      <c r="I6" s="1972"/>
      <c r="J6" s="1972"/>
      <c r="K6" s="1972"/>
      <c r="L6" s="1972"/>
      <c r="M6" s="1972"/>
      <c r="N6" s="1972"/>
      <c r="O6" s="1972"/>
      <c r="P6" s="1973"/>
      <c r="Q6" s="276"/>
    </row>
    <row r="7" spans="1:17" ht="26.25" customHeight="1" x14ac:dyDescent="0.25">
      <c r="A7" s="7" t="s">
        <v>10</v>
      </c>
      <c r="B7" s="8"/>
      <c r="C7" s="1977" t="s">
        <v>1395</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1378</v>
      </c>
      <c r="D9" s="1972"/>
      <c r="E9" s="1972"/>
      <c r="F9" s="1972"/>
      <c r="G9" s="1972"/>
      <c r="H9" s="1972"/>
      <c r="I9" s="1972"/>
      <c r="J9" s="1972"/>
      <c r="K9" s="1972"/>
      <c r="L9" s="1972"/>
      <c r="M9" s="1972"/>
      <c r="N9" s="1972"/>
      <c r="O9" s="1972"/>
      <c r="P9" s="1973"/>
      <c r="Q9" s="276"/>
    </row>
    <row r="10" spans="1:17" ht="12.75" customHeight="1" x14ac:dyDescent="0.25">
      <c r="A10" s="7"/>
      <c r="B10" s="8" t="s">
        <v>15</v>
      </c>
      <c r="C10" s="1972" t="s">
        <v>1379</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1380</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1024737</v>
      </c>
      <c r="D20" s="32">
        <f>SUM(D21,D24,D25,D41,D43)</f>
        <v>993681</v>
      </c>
      <c r="E20" s="33">
        <f t="shared" ref="E20:F20" si="1">SUM(E21,E24,E25,E41,E43)</f>
        <v>0</v>
      </c>
      <c r="F20" s="34">
        <f t="shared" si="1"/>
        <v>993681</v>
      </c>
      <c r="G20" s="32">
        <f>SUM(G21,G24,G43)</f>
        <v>10724</v>
      </c>
      <c r="H20" s="33">
        <f t="shared" ref="H20:I20" si="2">SUM(H21,H24,H43)</f>
        <v>0</v>
      </c>
      <c r="I20" s="34">
        <f t="shared" si="2"/>
        <v>10724</v>
      </c>
      <c r="J20" s="32">
        <f>SUM(J21,J26,J43)</f>
        <v>20332</v>
      </c>
      <c r="K20" s="33">
        <f t="shared" ref="K20:L20" si="3">SUM(K21,K26,K43)</f>
        <v>0</v>
      </c>
      <c r="L20" s="34">
        <f t="shared" si="3"/>
        <v>20332</v>
      </c>
      <c r="M20" s="32">
        <f>SUM(M21,M45)</f>
        <v>0</v>
      </c>
      <c r="N20" s="33">
        <f t="shared" ref="N20:O20" si="4">SUM(N21,N45)</f>
        <v>0</v>
      </c>
      <c r="O20" s="34">
        <f t="shared" si="4"/>
        <v>0</v>
      </c>
      <c r="P20" s="35"/>
    </row>
    <row r="21" spans="1:16" ht="12.75" thickTop="1" x14ac:dyDescent="0.25">
      <c r="A21" s="36"/>
      <c r="B21" s="37" t="s">
        <v>40</v>
      </c>
      <c r="C21" s="38">
        <f t="shared" si="0"/>
        <v>1951</v>
      </c>
      <c r="D21" s="39">
        <f>SUM(D22:D23)</f>
        <v>0</v>
      </c>
      <c r="E21" s="40">
        <f t="shared" ref="E21:F21" si="5">SUM(E22:E23)</f>
        <v>0</v>
      </c>
      <c r="F21" s="41">
        <f t="shared" si="5"/>
        <v>0</v>
      </c>
      <c r="G21" s="39">
        <f>SUM(G22:G23)</f>
        <v>0</v>
      </c>
      <c r="H21" s="40">
        <f t="shared" ref="H21:I21" si="6">SUM(H22:H23)</f>
        <v>0</v>
      </c>
      <c r="I21" s="41">
        <f t="shared" si="6"/>
        <v>0</v>
      </c>
      <c r="J21" s="39">
        <f>SUM(J22:J23)</f>
        <v>1951</v>
      </c>
      <c r="K21" s="40">
        <f t="shared" ref="K21:L21" si="7">SUM(K22:K23)</f>
        <v>0</v>
      </c>
      <c r="L21" s="41">
        <f t="shared" si="7"/>
        <v>1951</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1951</v>
      </c>
      <c r="D23" s="53"/>
      <c r="E23" s="54"/>
      <c r="F23" s="55">
        <f t="shared" ref="F23:F25" si="9">D23+E23</f>
        <v>0</v>
      </c>
      <c r="G23" s="53"/>
      <c r="H23" s="54"/>
      <c r="I23" s="55">
        <f t="shared" ref="I23:I24" si="10">G23+H23</f>
        <v>0</v>
      </c>
      <c r="J23" s="53">
        <v>1951</v>
      </c>
      <c r="K23" s="54"/>
      <c r="L23" s="56">
        <f>K23+J23</f>
        <v>1951</v>
      </c>
      <c r="M23" s="53"/>
      <c r="N23" s="54"/>
      <c r="O23" s="55">
        <f>N23+M23</f>
        <v>0</v>
      </c>
      <c r="P23" s="57"/>
    </row>
    <row r="24" spans="1:16" s="28" customFormat="1" ht="31.5" customHeight="1" thickBot="1" x14ac:dyDescent="0.3">
      <c r="A24" s="58">
        <v>19300</v>
      </c>
      <c r="B24" s="58" t="s">
        <v>43</v>
      </c>
      <c r="C24" s="59">
        <f>F24+I24</f>
        <v>1004405</v>
      </c>
      <c r="D24" s="60">
        <v>993681</v>
      </c>
      <c r="E24" s="61"/>
      <c r="F24" s="62">
        <f t="shared" si="9"/>
        <v>993681</v>
      </c>
      <c r="G24" s="60">
        <v>10724</v>
      </c>
      <c r="H24" s="61"/>
      <c r="I24" s="62">
        <f t="shared" si="10"/>
        <v>10724</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18067</v>
      </c>
      <c r="D26" s="73" t="s">
        <v>44</v>
      </c>
      <c r="E26" s="74" t="s">
        <v>44</v>
      </c>
      <c r="F26" s="75" t="s">
        <v>44</v>
      </c>
      <c r="G26" s="73" t="s">
        <v>44</v>
      </c>
      <c r="H26" s="74" t="s">
        <v>44</v>
      </c>
      <c r="I26" s="75" t="s">
        <v>44</v>
      </c>
      <c r="J26" s="77">
        <f>SUM(J27,J31,J33,J36)</f>
        <v>18067</v>
      </c>
      <c r="K26" s="78">
        <f t="shared" ref="K26:L26" si="11">SUM(K27,K31,K33,K36)</f>
        <v>0</v>
      </c>
      <c r="L26" s="79">
        <f t="shared" si="11"/>
        <v>18067</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customHeight="1" x14ac:dyDescent="0.25">
      <c r="A33" s="80">
        <v>21380</v>
      </c>
      <c r="B33" s="68" t="s">
        <v>53</v>
      </c>
      <c r="C33" s="69">
        <f t="shared" si="16"/>
        <v>15137</v>
      </c>
      <c r="D33" s="73" t="s">
        <v>44</v>
      </c>
      <c r="E33" s="74" t="s">
        <v>44</v>
      </c>
      <c r="F33" s="75" t="s">
        <v>44</v>
      </c>
      <c r="G33" s="73" t="s">
        <v>44</v>
      </c>
      <c r="H33" s="74" t="s">
        <v>44</v>
      </c>
      <c r="I33" s="75" t="s">
        <v>44</v>
      </c>
      <c r="J33" s="77">
        <f>SUM(J34:J35)</f>
        <v>15137</v>
      </c>
      <c r="K33" s="78">
        <f t="shared" ref="K33:L33" si="17">SUM(K34:K35)</f>
        <v>0</v>
      </c>
      <c r="L33" s="79">
        <f t="shared" si="17"/>
        <v>15137</v>
      </c>
      <c r="M33" s="77" t="s">
        <v>44</v>
      </c>
      <c r="N33" s="78" t="s">
        <v>44</v>
      </c>
      <c r="O33" s="79" t="s">
        <v>44</v>
      </c>
      <c r="P33" s="76"/>
    </row>
    <row r="34" spans="1:16" ht="12" customHeight="1" x14ac:dyDescent="0.25">
      <c r="A34" s="44">
        <v>21381</v>
      </c>
      <c r="B34" s="81" t="s">
        <v>54</v>
      </c>
      <c r="C34" s="82">
        <f t="shared" si="16"/>
        <v>14836</v>
      </c>
      <c r="D34" s="83" t="s">
        <v>44</v>
      </c>
      <c r="E34" s="84" t="s">
        <v>44</v>
      </c>
      <c r="F34" s="85" t="s">
        <v>44</v>
      </c>
      <c r="G34" s="83" t="s">
        <v>44</v>
      </c>
      <c r="H34" s="84" t="s">
        <v>44</v>
      </c>
      <c r="I34" s="85" t="s">
        <v>44</v>
      </c>
      <c r="J34" s="46">
        <v>14836</v>
      </c>
      <c r="K34" s="47"/>
      <c r="L34" s="48">
        <f t="shared" ref="L34:L35" si="18">K34+J34</f>
        <v>14836</v>
      </c>
      <c r="M34" s="86" t="s">
        <v>44</v>
      </c>
      <c r="N34" s="87" t="s">
        <v>44</v>
      </c>
      <c r="O34" s="48" t="s">
        <v>44</v>
      </c>
      <c r="P34" s="49"/>
    </row>
    <row r="35" spans="1:16" ht="24" customHeight="1" x14ac:dyDescent="0.25">
      <c r="A35" s="51">
        <v>21383</v>
      </c>
      <c r="B35" s="88" t="s">
        <v>55</v>
      </c>
      <c r="C35" s="89">
        <f t="shared" si="16"/>
        <v>301</v>
      </c>
      <c r="D35" s="90" t="s">
        <v>44</v>
      </c>
      <c r="E35" s="91" t="s">
        <v>44</v>
      </c>
      <c r="F35" s="92" t="s">
        <v>44</v>
      </c>
      <c r="G35" s="90" t="s">
        <v>44</v>
      </c>
      <c r="H35" s="91" t="s">
        <v>44</v>
      </c>
      <c r="I35" s="92" t="s">
        <v>44</v>
      </c>
      <c r="J35" s="53">
        <v>301</v>
      </c>
      <c r="K35" s="54"/>
      <c r="L35" s="56">
        <f t="shared" si="18"/>
        <v>301</v>
      </c>
      <c r="M35" s="93" t="s">
        <v>44</v>
      </c>
      <c r="N35" s="94" t="s">
        <v>44</v>
      </c>
      <c r="O35" s="56" t="s">
        <v>44</v>
      </c>
      <c r="P35" s="57"/>
    </row>
    <row r="36" spans="1:16" s="28" customFormat="1" ht="25.5" customHeight="1" x14ac:dyDescent="0.25">
      <c r="A36" s="80">
        <v>21390</v>
      </c>
      <c r="B36" s="68" t="s">
        <v>56</v>
      </c>
      <c r="C36" s="69">
        <f t="shared" si="16"/>
        <v>2930</v>
      </c>
      <c r="D36" s="73" t="s">
        <v>44</v>
      </c>
      <c r="E36" s="74" t="s">
        <v>44</v>
      </c>
      <c r="F36" s="75" t="s">
        <v>44</v>
      </c>
      <c r="G36" s="73" t="s">
        <v>44</v>
      </c>
      <c r="H36" s="74" t="s">
        <v>44</v>
      </c>
      <c r="I36" s="75" t="s">
        <v>44</v>
      </c>
      <c r="J36" s="77">
        <f>SUM(J37:J40)</f>
        <v>2930</v>
      </c>
      <c r="K36" s="78">
        <f t="shared" ref="K36:L36" si="19">SUM(K37:K40)</f>
        <v>0</v>
      </c>
      <c r="L36" s="79">
        <f t="shared" si="19"/>
        <v>2930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customHeight="1" x14ac:dyDescent="0.25">
      <c r="A38" s="51">
        <v>21393</v>
      </c>
      <c r="B38" s="88" t="s">
        <v>58</v>
      </c>
      <c r="C38" s="89">
        <f t="shared" si="16"/>
        <v>1480</v>
      </c>
      <c r="D38" s="90" t="s">
        <v>44</v>
      </c>
      <c r="E38" s="91" t="s">
        <v>44</v>
      </c>
      <c r="F38" s="92" t="s">
        <v>44</v>
      </c>
      <c r="G38" s="90" t="s">
        <v>44</v>
      </c>
      <c r="H38" s="91" t="s">
        <v>44</v>
      </c>
      <c r="I38" s="92" t="s">
        <v>44</v>
      </c>
      <c r="J38" s="53">
        <v>1480</v>
      </c>
      <c r="K38" s="54"/>
      <c r="L38" s="56">
        <f t="shared" si="20"/>
        <v>1480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1450</v>
      </c>
      <c r="D40" s="110" t="s">
        <v>44</v>
      </c>
      <c r="E40" s="111" t="s">
        <v>44</v>
      </c>
      <c r="F40" s="112" t="s">
        <v>44</v>
      </c>
      <c r="G40" s="110" t="s">
        <v>44</v>
      </c>
      <c r="H40" s="111" t="s">
        <v>44</v>
      </c>
      <c r="I40" s="112" t="s">
        <v>44</v>
      </c>
      <c r="J40" s="113">
        <v>1450</v>
      </c>
      <c r="K40" s="114"/>
      <c r="L40" s="115">
        <f t="shared" si="20"/>
        <v>1450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x14ac:dyDescent="0.25">
      <c r="A43" s="80">
        <v>21490</v>
      </c>
      <c r="B43" s="68" t="s">
        <v>63</v>
      </c>
      <c r="C43" s="131">
        <f>F43+I43+L43</f>
        <v>314</v>
      </c>
      <c r="D43" s="77">
        <f>D44</f>
        <v>0</v>
      </c>
      <c r="E43" s="78">
        <f t="shared" ref="E43:L43" si="22">E44</f>
        <v>0</v>
      </c>
      <c r="F43" s="79">
        <f t="shared" si="22"/>
        <v>0</v>
      </c>
      <c r="G43" s="77">
        <f t="shared" si="22"/>
        <v>0</v>
      </c>
      <c r="H43" s="78">
        <f t="shared" si="22"/>
        <v>0</v>
      </c>
      <c r="I43" s="79">
        <f t="shared" si="22"/>
        <v>0</v>
      </c>
      <c r="J43" s="77">
        <f t="shared" si="22"/>
        <v>314</v>
      </c>
      <c r="K43" s="78">
        <f t="shared" si="22"/>
        <v>0</v>
      </c>
      <c r="L43" s="79">
        <f t="shared" si="22"/>
        <v>314</v>
      </c>
      <c r="M43" s="77" t="s">
        <v>44</v>
      </c>
      <c r="N43" s="78" t="s">
        <v>44</v>
      </c>
      <c r="O43" s="79" t="s">
        <v>44</v>
      </c>
      <c r="P43" s="76"/>
    </row>
    <row r="44" spans="1:16" s="28" customFormat="1" ht="30.75" customHeight="1" x14ac:dyDescent="0.25">
      <c r="A44" s="51">
        <v>21499</v>
      </c>
      <c r="B44" s="88" t="s">
        <v>64</v>
      </c>
      <c r="C44" s="132">
        <f>F44+I44+L44</f>
        <v>314</v>
      </c>
      <c r="D44" s="46"/>
      <c r="E44" s="47"/>
      <c r="F44" s="133">
        <f>D44+E44</f>
        <v>0</v>
      </c>
      <c r="G44" s="46"/>
      <c r="H44" s="47"/>
      <c r="I44" s="133">
        <f>G44+H44</f>
        <v>0</v>
      </c>
      <c r="J44" s="46">
        <v>314</v>
      </c>
      <c r="K44" s="47"/>
      <c r="L44" s="48">
        <f>K44+J44</f>
        <v>314</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1024737</v>
      </c>
      <c r="D50" s="158">
        <f>SUM(D51,D286)</f>
        <v>993681</v>
      </c>
      <c r="E50" s="159">
        <f t="shared" ref="E50:F50" si="26">SUM(E51,E286)</f>
        <v>0</v>
      </c>
      <c r="F50" s="160">
        <f t="shared" si="26"/>
        <v>993681</v>
      </c>
      <c r="G50" s="158">
        <f>SUM(G51,G286)</f>
        <v>10724</v>
      </c>
      <c r="H50" s="159">
        <f>SUM(H51,H286)</f>
        <v>0</v>
      </c>
      <c r="I50" s="160">
        <f t="shared" ref="I50" si="27">SUM(I51,I286)</f>
        <v>10724</v>
      </c>
      <c r="J50" s="32">
        <f>SUM(J51,J286)</f>
        <v>20332</v>
      </c>
      <c r="K50" s="33">
        <f t="shared" ref="K50:L50" si="28">SUM(K51,K286)</f>
        <v>0</v>
      </c>
      <c r="L50" s="34">
        <f t="shared" si="28"/>
        <v>20332</v>
      </c>
      <c r="M50" s="32">
        <f>SUM(M51,M286)</f>
        <v>0</v>
      </c>
      <c r="N50" s="33">
        <f t="shared" ref="N50:O50" si="29">SUM(N51,N286)</f>
        <v>0</v>
      </c>
      <c r="O50" s="34">
        <f t="shared" si="29"/>
        <v>0</v>
      </c>
      <c r="P50" s="35"/>
    </row>
    <row r="51" spans="1:16" s="28" customFormat="1" ht="36.75" thickTop="1" x14ac:dyDescent="0.25">
      <c r="A51" s="161"/>
      <c r="B51" s="162" t="s">
        <v>70</v>
      </c>
      <c r="C51" s="163">
        <f t="shared" si="0"/>
        <v>1024737</v>
      </c>
      <c r="D51" s="164">
        <f>SUM(D52,D194)</f>
        <v>993681</v>
      </c>
      <c r="E51" s="165">
        <f t="shared" ref="E51:F51" si="30">SUM(E52,E194)</f>
        <v>0</v>
      </c>
      <c r="F51" s="166">
        <f t="shared" si="30"/>
        <v>993681</v>
      </c>
      <c r="G51" s="164">
        <f>SUM(G52,G194)</f>
        <v>10724</v>
      </c>
      <c r="H51" s="165">
        <f t="shared" ref="H51:I51" si="31">SUM(H52,H194)</f>
        <v>0</v>
      </c>
      <c r="I51" s="166">
        <f t="shared" si="31"/>
        <v>10724</v>
      </c>
      <c r="J51" s="167">
        <f>SUM(J52,J194)</f>
        <v>20332</v>
      </c>
      <c r="K51" s="168">
        <f t="shared" ref="K51:L51" si="32">SUM(K52,K194)</f>
        <v>0</v>
      </c>
      <c r="L51" s="169">
        <f t="shared" si="32"/>
        <v>20332</v>
      </c>
      <c r="M51" s="167">
        <f>SUM(M52,M194)</f>
        <v>0</v>
      </c>
      <c r="N51" s="168">
        <f t="shared" ref="N51:O51" si="33">SUM(N52,N194)</f>
        <v>0</v>
      </c>
      <c r="O51" s="169">
        <f t="shared" si="33"/>
        <v>0</v>
      </c>
      <c r="P51" s="170"/>
    </row>
    <row r="52" spans="1:16" s="28" customFormat="1" ht="24" x14ac:dyDescent="0.25">
      <c r="A52" s="24"/>
      <c r="B52" s="22" t="s">
        <v>71</v>
      </c>
      <c r="C52" s="171">
        <f t="shared" si="0"/>
        <v>986981</v>
      </c>
      <c r="D52" s="172">
        <f>SUM(D53,D75,D173,D187)</f>
        <v>956126</v>
      </c>
      <c r="E52" s="173">
        <f t="shared" ref="E52:F52" si="34">SUM(E53,E75,E173,E187)</f>
        <v>569</v>
      </c>
      <c r="F52" s="174">
        <f t="shared" si="34"/>
        <v>956695</v>
      </c>
      <c r="G52" s="172">
        <f>SUM(G53,G75,G173,G187)</f>
        <v>10724</v>
      </c>
      <c r="H52" s="173">
        <f t="shared" ref="H52:I52" si="35">SUM(H53,H75,H173,H187)</f>
        <v>0</v>
      </c>
      <c r="I52" s="174">
        <f t="shared" si="35"/>
        <v>10724</v>
      </c>
      <c r="J52" s="172">
        <f>SUM(J53,J75,J173,J187)</f>
        <v>19562</v>
      </c>
      <c r="K52" s="173">
        <f t="shared" ref="K52:L52" si="36">SUM(K53,K75,K173,K187)</f>
        <v>0</v>
      </c>
      <c r="L52" s="174">
        <f t="shared" si="36"/>
        <v>19562</v>
      </c>
      <c r="M52" s="172">
        <f>SUM(M53,M75,M173,M187)</f>
        <v>0</v>
      </c>
      <c r="N52" s="173">
        <f t="shared" ref="N52:O52" si="37">SUM(N53,N75,N173,N187)</f>
        <v>0</v>
      </c>
      <c r="O52" s="174">
        <f t="shared" si="37"/>
        <v>0</v>
      </c>
      <c r="P52" s="175"/>
    </row>
    <row r="53" spans="1:16" s="28" customFormat="1" x14ac:dyDescent="0.25">
      <c r="A53" s="176">
        <v>1000</v>
      </c>
      <c r="B53" s="176" t="s">
        <v>72</v>
      </c>
      <c r="C53" s="177">
        <f t="shared" si="0"/>
        <v>883412</v>
      </c>
      <c r="D53" s="178">
        <f>SUM(D54,D67)</f>
        <v>872474</v>
      </c>
      <c r="E53" s="179">
        <f t="shared" ref="E53:F53" si="38">SUM(E54,E67)</f>
        <v>0</v>
      </c>
      <c r="F53" s="180">
        <f t="shared" si="38"/>
        <v>872474</v>
      </c>
      <c r="G53" s="178">
        <f>SUM(G54,G67)</f>
        <v>10724</v>
      </c>
      <c r="H53" s="179">
        <f t="shared" ref="H53:I53" si="39">SUM(H54,H67)</f>
        <v>0</v>
      </c>
      <c r="I53" s="180">
        <f t="shared" si="39"/>
        <v>10724</v>
      </c>
      <c r="J53" s="178">
        <f>SUM(J54,J67)</f>
        <v>214</v>
      </c>
      <c r="K53" s="179">
        <f t="shared" ref="K53:L53" si="40">SUM(K54,K67)</f>
        <v>0</v>
      </c>
      <c r="L53" s="180">
        <f t="shared" si="40"/>
        <v>214</v>
      </c>
      <c r="M53" s="178">
        <f>SUM(M54,M67)</f>
        <v>0</v>
      </c>
      <c r="N53" s="179">
        <f t="shared" ref="N53:O53" si="41">SUM(N54,N67)</f>
        <v>0</v>
      </c>
      <c r="O53" s="180">
        <f t="shared" si="41"/>
        <v>0</v>
      </c>
      <c r="P53" s="181"/>
    </row>
    <row r="54" spans="1:16" x14ac:dyDescent="0.25">
      <c r="A54" s="68">
        <v>1100</v>
      </c>
      <c r="B54" s="182" t="s">
        <v>73</v>
      </c>
      <c r="C54" s="69">
        <f t="shared" si="0"/>
        <v>666955</v>
      </c>
      <c r="D54" s="183">
        <f>SUM(D55,D58,D66)</f>
        <v>658320</v>
      </c>
      <c r="E54" s="184">
        <f t="shared" ref="E54:F54" si="42">SUM(E55,E58,E66)</f>
        <v>-50</v>
      </c>
      <c r="F54" s="72">
        <f t="shared" si="42"/>
        <v>658270</v>
      </c>
      <c r="G54" s="183">
        <f>SUM(G55,G58,G66)</f>
        <v>8685</v>
      </c>
      <c r="H54" s="184">
        <f t="shared" ref="H54:I54" si="43">SUM(H55,H58,H66)</f>
        <v>0</v>
      </c>
      <c r="I54" s="72">
        <f t="shared" si="43"/>
        <v>8685</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620218</v>
      </c>
      <c r="D55" s="186">
        <f>SUM(D56:D57)</f>
        <v>611893</v>
      </c>
      <c r="E55" s="187">
        <f t="shared" ref="E55:F55" si="46">SUM(E56:E57)</f>
        <v>-360</v>
      </c>
      <c r="F55" s="140">
        <f t="shared" si="46"/>
        <v>611533</v>
      </c>
      <c r="G55" s="186">
        <f>SUM(G56:G57)</f>
        <v>8685</v>
      </c>
      <c r="H55" s="187">
        <f t="shared" ref="H55:I55" si="47">SUM(H56:H57)</f>
        <v>0</v>
      </c>
      <c r="I55" s="140">
        <f t="shared" si="47"/>
        <v>8685</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75" customHeight="1" x14ac:dyDescent="0.25">
      <c r="A57" s="51">
        <v>1119</v>
      </c>
      <c r="B57" s="88" t="s">
        <v>76</v>
      </c>
      <c r="C57" s="89">
        <f t="shared" si="0"/>
        <v>620218</v>
      </c>
      <c r="D57" s="53">
        <v>611893</v>
      </c>
      <c r="E57" s="54">
        <v>-360</v>
      </c>
      <c r="F57" s="55">
        <f t="shared" si="50"/>
        <v>611533</v>
      </c>
      <c r="G57" s="53">
        <v>8685</v>
      </c>
      <c r="H57" s="54"/>
      <c r="I57" s="55">
        <f t="shared" si="51"/>
        <v>8685</v>
      </c>
      <c r="J57" s="53"/>
      <c r="K57" s="54"/>
      <c r="L57" s="55">
        <f t="shared" si="52"/>
        <v>0</v>
      </c>
      <c r="M57" s="53"/>
      <c r="N57" s="54"/>
      <c r="O57" s="55">
        <f t="shared" si="53"/>
        <v>0</v>
      </c>
      <c r="P57" s="57" t="s">
        <v>1381</v>
      </c>
    </row>
    <row r="58" spans="1:16" x14ac:dyDescent="0.25">
      <c r="A58" s="188">
        <v>1140</v>
      </c>
      <c r="B58" s="88" t="s">
        <v>77</v>
      </c>
      <c r="C58" s="89">
        <f t="shared" si="0"/>
        <v>46737</v>
      </c>
      <c r="D58" s="189">
        <f>SUM(D59:D65)</f>
        <v>46427</v>
      </c>
      <c r="E58" s="190">
        <f>SUM(E59:E65)</f>
        <v>310</v>
      </c>
      <c r="F58" s="55">
        <f t="shared" ref="F58" si="54">SUM(F59:F65)</f>
        <v>46737</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4451</v>
      </c>
      <c r="D60" s="53">
        <v>0</v>
      </c>
      <c r="E60" s="54">
        <v>4451</v>
      </c>
      <c r="F60" s="55">
        <f t="shared" si="58"/>
        <v>4451</v>
      </c>
      <c r="G60" s="53"/>
      <c r="H60" s="54"/>
      <c r="I60" s="55">
        <f t="shared" si="59"/>
        <v>0</v>
      </c>
      <c r="J60" s="53"/>
      <c r="K60" s="54"/>
      <c r="L60" s="55">
        <f t="shared" si="60"/>
        <v>0</v>
      </c>
      <c r="M60" s="53"/>
      <c r="N60" s="54"/>
      <c r="O60" s="55">
        <f t="shared" si="61"/>
        <v>0</v>
      </c>
      <c r="P60" s="57" t="s">
        <v>1382</v>
      </c>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5" customHeight="1" x14ac:dyDescent="0.25">
      <c r="A63" s="51">
        <v>1147</v>
      </c>
      <c r="B63" s="88" t="s">
        <v>82</v>
      </c>
      <c r="C63" s="89">
        <f t="shared" si="0"/>
        <v>10097</v>
      </c>
      <c r="D63" s="53">
        <v>14598</v>
      </c>
      <c r="E63" s="54">
        <v>-4501</v>
      </c>
      <c r="F63" s="55">
        <f t="shared" si="58"/>
        <v>10097</v>
      </c>
      <c r="G63" s="53"/>
      <c r="H63" s="54"/>
      <c r="I63" s="55">
        <f t="shared" si="59"/>
        <v>0</v>
      </c>
      <c r="J63" s="53"/>
      <c r="K63" s="54"/>
      <c r="L63" s="55">
        <f t="shared" si="60"/>
        <v>0</v>
      </c>
      <c r="M63" s="53"/>
      <c r="N63" s="54"/>
      <c r="O63" s="55">
        <f t="shared" si="61"/>
        <v>0</v>
      </c>
      <c r="P63" s="57" t="s">
        <v>1383</v>
      </c>
    </row>
    <row r="64" spans="1:16" ht="14.25" customHeight="1" x14ac:dyDescent="0.25">
      <c r="A64" s="51">
        <v>1148</v>
      </c>
      <c r="B64" s="88" t="s">
        <v>83</v>
      </c>
      <c r="C64" s="89">
        <f t="shared" si="0"/>
        <v>32189</v>
      </c>
      <c r="D64" s="53">
        <v>31829</v>
      </c>
      <c r="E64" s="54">
        <v>360</v>
      </c>
      <c r="F64" s="55">
        <f t="shared" si="58"/>
        <v>32189</v>
      </c>
      <c r="G64" s="53"/>
      <c r="H64" s="54"/>
      <c r="I64" s="55">
        <f t="shared" si="59"/>
        <v>0</v>
      </c>
      <c r="J64" s="53"/>
      <c r="K64" s="54"/>
      <c r="L64" s="55">
        <f t="shared" si="60"/>
        <v>0</v>
      </c>
      <c r="M64" s="53"/>
      <c r="N64" s="54"/>
      <c r="O64" s="55">
        <f t="shared" si="61"/>
        <v>0</v>
      </c>
      <c r="P64" s="57" t="s">
        <v>1384</v>
      </c>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216457</v>
      </c>
      <c r="D67" s="183">
        <f>SUM(D68:D69)</f>
        <v>214154</v>
      </c>
      <c r="E67" s="184">
        <f t="shared" ref="E67:F67" si="62">SUM(E68:E69)</f>
        <v>50</v>
      </c>
      <c r="F67" s="72">
        <f t="shared" si="62"/>
        <v>214204</v>
      </c>
      <c r="G67" s="183">
        <f>SUM(G68:G69)</f>
        <v>2039</v>
      </c>
      <c r="H67" s="184">
        <f t="shared" ref="H67:I67" si="63">SUM(H68:H69)</f>
        <v>0</v>
      </c>
      <c r="I67" s="72">
        <f t="shared" si="63"/>
        <v>2039</v>
      </c>
      <c r="J67" s="183">
        <f>SUM(J68:J69)</f>
        <v>214</v>
      </c>
      <c r="K67" s="184">
        <f t="shared" ref="K67:L67" si="64">SUM(K68:K69)</f>
        <v>0</v>
      </c>
      <c r="L67" s="72">
        <f t="shared" si="64"/>
        <v>214</v>
      </c>
      <c r="M67" s="183">
        <f>SUM(M68:M69)</f>
        <v>0</v>
      </c>
      <c r="N67" s="184">
        <f t="shared" ref="N67:O67" si="65">SUM(N68:N69)</f>
        <v>0</v>
      </c>
      <c r="O67" s="72">
        <f t="shared" si="65"/>
        <v>0</v>
      </c>
      <c r="P67" s="76"/>
    </row>
    <row r="68" spans="1:16" ht="27" customHeight="1" x14ac:dyDescent="0.25">
      <c r="A68" s="729">
        <v>1210</v>
      </c>
      <c r="B68" s="81" t="s">
        <v>87</v>
      </c>
      <c r="C68" s="82">
        <f t="shared" si="0"/>
        <v>167342</v>
      </c>
      <c r="D68" s="46">
        <v>165303</v>
      </c>
      <c r="E68" s="47"/>
      <c r="F68" s="133">
        <f>D68+E68</f>
        <v>165303</v>
      </c>
      <c r="G68" s="46">
        <v>2039</v>
      </c>
      <c r="H68" s="47"/>
      <c r="I68" s="133">
        <f>G68+H68</f>
        <v>2039</v>
      </c>
      <c r="J68" s="46"/>
      <c r="K68" s="47"/>
      <c r="L68" s="133">
        <f>K68+J68</f>
        <v>0</v>
      </c>
      <c r="M68" s="46"/>
      <c r="N68" s="47"/>
      <c r="O68" s="133">
        <f>N68+M68</f>
        <v>0</v>
      </c>
      <c r="P68" s="57"/>
    </row>
    <row r="69" spans="1:16" ht="24" x14ac:dyDescent="0.25">
      <c r="A69" s="188">
        <v>1220</v>
      </c>
      <c r="B69" s="88" t="s">
        <v>88</v>
      </c>
      <c r="C69" s="89">
        <f t="shared" si="0"/>
        <v>49115</v>
      </c>
      <c r="D69" s="189">
        <f>SUM(D70:D74)</f>
        <v>48851</v>
      </c>
      <c r="E69" s="190">
        <f t="shared" ref="E69:F69" si="66">SUM(E70:E74)</f>
        <v>50</v>
      </c>
      <c r="F69" s="55">
        <f t="shared" si="66"/>
        <v>48901</v>
      </c>
      <c r="G69" s="189">
        <f>SUM(G70:G74)</f>
        <v>0</v>
      </c>
      <c r="H69" s="190">
        <f t="shared" ref="H69:I69" si="67">SUM(H70:H74)</f>
        <v>0</v>
      </c>
      <c r="I69" s="55">
        <f t="shared" si="67"/>
        <v>0</v>
      </c>
      <c r="J69" s="189">
        <f>SUM(J70:J74)</f>
        <v>214</v>
      </c>
      <c r="K69" s="190">
        <f t="shared" ref="K69:L69" si="68">SUM(K70:K74)</f>
        <v>0</v>
      </c>
      <c r="L69" s="55">
        <f t="shared" si="68"/>
        <v>214</v>
      </c>
      <c r="M69" s="189">
        <f>SUM(M70:M74)</f>
        <v>0</v>
      </c>
      <c r="N69" s="190">
        <f t="shared" ref="N69:O69" si="69">SUM(N70:N74)</f>
        <v>0</v>
      </c>
      <c r="O69" s="55">
        <f t="shared" si="69"/>
        <v>0</v>
      </c>
      <c r="P69" s="57"/>
    </row>
    <row r="70" spans="1:16" ht="48" customHeight="1" x14ac:dyDescent="0.25">
      <c r="A70" s="51">
        <v>1221</v>
      </c>
      <c r="B70" s="88" t="s">
        <v>89</v>
      </c>
      <c r="C70" s="89">
        <f t="shared" si="0"/>
        <v>28145</v>
      </c>
      <c r="D70" s="53">
        <v>28145</v>
      </c>
      <c r="E70" s="54"/>
      <c r="F70" s="55">
        <f t="shared" ref="F70:F74" si="70">D70+E70</f>
        <v>28145</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44.25" customHeight="1" x14ac:dyDescent="0.25">
      <c r="A73" s="51">
        <v>1227</v>
      </c>
      <c r="B73" s="88" t="s">
        <v>92</v>
      </c>
      <c r="C73" s="89">
        <f t="shared" si="0"/>
        <v>19637</v>
      </c>
      <c r="D73" s="53">
        <v>19423</v>
      </c>
      <c r="E73" s="54"/>
      <c r="F73" s="55">
        <f t="shared" si="70"/>
        <v>19423</v>
      </c>
      <c r="G73" s="53"/>
      <c r="H73" s="54"/>
      <c r="I73" s="55">
        <f t="shared" si="71"/>
        <v>0</v>
      </c>
      <c r="J73" s="53">
        <v>214</v>
      </c>
      <c r="K73" s="54"/>
      <c r="L73" s="55">
        <f t="shared" si="72"/>
        <v>214</v>
      </c>
      <c r="M73" s="53"/>
      <c r="N73" s="54"/>
      <c r="O73" s="55">
        <f t="shared" si="73"/>
        <v>0</v>
      </c>
      <c r="P73" s="57"/>
    </row>
    <row r="74" spans="1:16" ht="49.5" customHeight="1" x14ac:dyDescent="0.25">
      <c r="A74" s="51">
        <v>1228</v>
      </c>
      <c r="B74" s="88" t="s">
        <v>93</v>
      </c>
      <c r="C74" s="89">
        <f t="shared" si="0"/>
        <v>1333</v>
      </c>
      <c r="D74" s="53">
        <v>1283</v>
      </c>
      <c r="E74" s="54">
        <v>50</v>
      </c>
      <c r="F74" s="55">
        <f t="shared" si="70"/>
        <v>1333</v>
      </c>
      <c r="G74" s="53"/>
      <c r="H74" s="54"/>
      <c r="I74" s="55">
        <f t="shared" si="71"/>
        <v>0</v>
      </c>
      <c r="J74" s="53"/>
      <c r="K74" s="54"/>
      <c r="L74" s="55">
        <f t="shared" si="72"/>
        <v>0</v>
      </c>
      <c r="M74" s="53"/>
      <c r="N74" s="54"/>
      <c r="O74" s="55">
        <f t="shared" si="73"/>
        <v>0</v>
      </c>
      <c r="P74" s="57" t="s">
        <v>1385</v>
      </c>
    </row>
    <row r="75" spans="1:16" x14ac:dyDescent="0.25">
      <c r="A75" s="176">
        <v>2000</v>
      </c>
      <c r="B75" s="176" t="s">
        <v>94</v>
      </c>
      <c r="C75" s="177">
        <f t="shared" si="0"/>
        <v>103569</v>
      </c>
      <c r="D75" s="178">
        <f>SUM(D76,D83,D130,D164,D165,D172)</f>
        <v>83652</v>
      </c>
      <c r="E75" s="179">
        <f t="shared" ref="E75:F75" si="74">SUM(E76,E83,E130,E164,E165,E172)</f>
        <v>569</v>
      </c>
      <c r="F75" s="180">
        <f t="shared" si="74"/>
        <v>84221</v>
      </c>
      <c r="G75" s="178">
        <f>SUM(G76,G83,G130,G164,G165,G172)</f>
        <v>0</v>
      </c>
      <c r="H75" s="179">
        <f t="shared" ref="H75:I75" si="75">SUM(H76,H83,H130,H164,H165,H172)</f>
        <v>0</v>
      </c>
      <c r="I75" s="180">
        <f t="shared" si="75"/>
        <v>0</v>
      </c>
      <c r="J75" s="178">
        <f>SUM(J76,J83,J130,J164,J165,J172)</f>
        <v>19348</v>
      </c>
      <c r="K75" s="179">
        <f t="shared" ref="K75:L75" si="76">SUM(K76,K83,K130,K164,K165,K172)</f>
        <v>0</v>
      </c>
      <c r="L75" s="180">
        <f t="shared" si="76"/>
        <v>19348</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729">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90459</v>
      </c>
      <c r="D83" s="183">
        <f>SUM(D84,D89,D95,D103,D112,D116,D122,D128)</f>
        <v>74594</v>
      </c>
      <c r="E83" s="184">
        <f t="shared" ref="E83:F83" si="98">SUM(E84,E89,E95,E103,E112,E116,E122,E128)</f>
        <v>0</v>
      </c>
      <c r="F83" s="72">
        <f t="shared" si="98"/>
        <v>74594</v>
      </c>
      <c r="G83" s="183">
        <f>SUM(G84,G89,G95,G103,G112,G116,G122,G128)</f>
        <v>0</v>
      </c>
      <c r="H83" s="184">
        <f t="shared" ref="H83:I83" si="99">SUM(H84,H89,H95,H103,H112,H116,H122,H128)</f>
        <v>0</v>
      </c>
      <c r="I83" s="72">
        <f t="shared" si="99"/>
        <v>0</v>
      </c>
      <c r="J83" s="183">
        <f>SUM(J84,J89,J95,J103,J112,J116,J122,J128)</f>
        <v>15865</v>
      </c>
      <c r="K83" s="184">
        <f t="shared" ref="K83:L83" si="100">SUM(K84,K89,K95,K103,K112,K116,K122,K128)</f>
        <v>0</v>
      </c>
      <c r="L83" s="72">
        <f t="shared" si="100"/>
        <v>15865</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3520</v>
      </c>
      <c r="D84" s="186">
        <f>SUM(D85:D88)</f>
        <v>3420</v>
      </c>
      <c r="E84" s="187">
        <f t="shared" ref="E84:F84" si="103">SUM(E85:E88)</f>
        <v>0</v>
      </c>
      <c r="F84" s="140">
        <f t="shared" si="103"/>
        <v>3420</v>
      </c>
      <c r="G84" s="186">
        <f>SUM(G85:G88)</f>
        <v>0</v>
      </c>
      <c r="H84" s="187">
        <f t="shared" ref="H84:I84" si="104">SUM(H85:H88)</f>
        <v>0</v>
      </c>
      <c r="I84" s="140">
        <f t="shared" si="104"/>
        <v>0</v>
      </c>
      <c r="J84" s="186">
        <f>SUM(J85:J88)</f>
        <v>100</v>
      </c>
      <c r="K84" s="187">
        <f t="shared" ref="K84:L84" si="105">SUM(K85:K88)</f>
        <v>0</v>
      </c>
      <c r="L84" s="140">
        <f t="shared" si="105"/>
        <v>100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42.75" customHeight="1" x14ac:dyDescent="0.25">
      <c r="A86" s="51">
        <v>2212</v>
      </c>
      <c r="B86" s="88" t="s">
        <v>103</v>
      </c>
      <c r="C86" s="89">
        <f t="shared" si="102"/>
        <v>2946</v>
      </c>
      <c r="D86" s="194">
        <v>2896</v>
      </c>
      <c r="E86" s="195"/>
      <c r="F86" s="55">
        <f t="shared" si="107"/>
        <v>2896</v>
      </c>
      <c r="G86" s="53"/>
      <c r="H86" s="54"/>
      <c r="I86" s="55">
        <f t="shared" si="108"/>
        <v>0</v>
      </c>
      <c r="J86" s="53">
        <v>50</v>
      </c>
      <c r="K86" s="54"/>
      <c r="L86" s="55">
        <f t="shared" si="109"/>
        <v>50</v>
      </c>
      <c r="M86" s="53"/>
      <c r="N86" s="54"/>
      <c r="O86" s="55">
        <f t="shared" si="110"/>
        <v>0</v>
      </c>
      <c r="P86" s="57"/>
    </row>
    <row r="87" spans="1:16" ht="27.75" customHeight="1" x14ac:dyDescent="0.25">
      <c r="A87" s="51">
        <v>2214</v>
      </c>
      <c r="B87" s="88" t="s">
        <v>104</v>
      </c>
      <c r="C87" s="89">
        <f t="shared" si="102"/>
        <v>508</v>
      </c>
      <c r="D87" s="194">
        <v>458</v>
      </c>
      <c r="E87" s="195"/>
      <c r="F87" s="55">
        <f t="shared" si="107"/>
        <v>458</v>
      </c>
      <c r="G87" s="53"/>
      <c r="H87" s="54"/>
      <c r="I87" s="55">
        <f t="shared" si="108"/>
        <v>0</v>
      </c>
      <c r="J87" s="53">
        <v>50</v>
      </c>
      <c r="K87" s="54"/>
      <c r="L87" s="55">
        <f t="shared" si="109"/>
        <v>50</v>
      </c>
      <c r="M87" s="53"/>
      <c r="N87" s="54"/>
      <c r="O87" s="55">
        <f t="shared" si="110"/>
        <v>0</v>
      </c>
      <c r="P87" s="57"/>
    </row>
    <row r="88" spans="1:16" ht="16.5" customHeight="1" x14ac:dyDescent="0.25">
      <c r="A88" s="51">
        <v>2219</v>
      </c>
      <c r="B88" s="88" t="s">
        <v>105</v>
      </c>
      <c r="C88" s="89">
        <f t="shared" si="102"/>
        <v>66</v>
      </c>
      <c r="D88" s="194">
        <v>66</v>
      </c>
      <c r="E88" s="195"/>
      <c r="F88" s="55">
        <f t="shared" si="107"/>
        <v>66</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70859</v>
      </c>
      <c r="D89" s="189">
        <f>SUM(D90:D94)</f>
        <v>58977</v>
      </c>
      <c r="E89" s="190">
        <f t="shared" ref="E89:F89" si="111">SUM(E90:E94)</f>
        <v>0</v>
      </c>
      <c r="F89" s="55">
        <f t="shared" si="111"/>
        <v>58977</v>
      </c>
      <c r="G89" s="189">
        <f>SUM(G90:G94)</f>
        <v>0</v>
      </c>
      <c r="H89" s="190">
        <f t="shared" ref="H89:I89" si="112">SUM(H90:H94)</f>
        <v>0</v>
      </c>
      <c r="I89" s="55">
        <f t="shared" si="112"/>
        <v>0</v>
      </c>
      <c r="J89" s="189">
        <f>SUM(J90:J94)</f>
        <v>11882</v>
      </c>
      <c r="K89" s="190">
        <f t="shared" ref="K89:L89" si="113">SUM(K90:K94)</f>
        <v>0</v>
      </c>
      <c r="L89" s="55">
        <f t="shared" si="113"/>
        <v>11882</v>
      </c>
      <c r="M89" s="189">
        <f>SUM(M90:M94)</f>
        <v>0</v>
      </c>
      <c r="N89" s="190">
        <f t="shared" ref="N89:O89" si="114">SUM(N90:N94)</f>
        <v>0</v>
      </c>
      <c r="O89" s="55">
        <f t="shared" si="114"/>
        <v>0</v>
      </c>
      <c r="P89" s="57"/>
    </row>
    <row r="90" spans="1:16" ht="22.5" customHeight="1" x14ac:dyDescent="0.25">
      <c r="A90" s="51">
        <v>2221</v>
      </c>
      <c r="B90" s="88" t="s">
        <v>107</v>
      </c>
      <c r="C90" s="89">
        <f t="shared" si="102"/>
        <v>34721</v>
      </c>
      <c r="D90" s="194">
        <v>29076</v>
      </c>
      <c r="E90" s="195"/>
      <c r="F90" s="55">
        <f t="shared" ref="F90:F94" si="115">D90+E90</f>
        <v>29076</v>
      </c>
      <c r="G90" s="53"/>
      <c r="H90" s="54"/>
      <c r="I90" s="55">
        <f t="shared" ref="I90:I94" si="116">G90+H90</f>
        <v>0</v>
      </c>
      <c r="J90" s="53">
        <v>5645</v>
      </c>
      <c r="K90" s="54"/>
      <c r="L90" s="55">
        <f t="shared" ref="L90:L94" si="117">K90+J90</f>
        <v>5645</v>
      </c>
      <c r="M90" s="53"/>
      <c r="N90" s="54"/>
      <c r="O90" s="55">
        <f t="shared" ref="O90:O94" si="118">N90+M90</f>
        <v>0</v>
      </c>
      <c r="P90" s="57" t="s">
        <v>1386</v>
      </c>
    </row>
    <row r="91" spans="1:16" ht="16.5" customHeight="1" x14ac:dyDescent="0.25">
      <c r="A91" s="51">
        <v>2222</v>
      </c>
      <c r="B91" s="88" t="s">
        <v>108</v>
      </c>
      <c r="C91" s="89">
        <f t="shared" si="102"/>
        <v>3350</v>
      </c>
      <c r="D91" s="194">
        <v>2565</v>
      </c>
      <c r="E91" s="195"/>
      <c r="F91" s="55">
        <f t="shared" si="115"/>
        <v>2565</v>
      </c>
      <c r="G91" s="53"/>
      <c r="H91" s="54"/>
      <c r="I91" s="55">
        <f t="shared" si="116"/>
        <v>0</v>
      </c>
      <c r="J91" s="53">
        <v>785</v>
      </c>
      <c r="K91" s="54"/>
      <c r="L91" s="55">
        <f t="shared" si="117"/>
        <v>785</v>
      </c>
      <c r="M91" s="53"/>
      <c r="N91" s="54"/>
      <c r="O91" s="55">
        <f t="shared" si="118"/>
        <v>0</v>
      </c>
      <c r="P91" s="57" t="s">
        <v>1387</v>
      </c>
    </row>
    <row r="92" spans="1:16" ht="18" customHeight="1" x14ac:dyDescent="0.25">
      <c r="A92" s="51">
        <v>2223</v>
      </c>
      <c r="B92" s="88" t="s">
        <v>109</v>
      </c>
      <c r="C92" s="89">
        <f t="shared" si="102"/>
        <v>31453</v>
      </c>
      <c r="D92" s="194">
        <v>26581</v>
      </c>
      <c r="E92" s="195"/>
      <c r="F92" s="55">
        <f t="shared" si="115"/>
        <v>26581</v>
      </c>
      <c r="G92" s="53"/>
      <c r="H92" s="54"/>
      <c r="I92" s="55">
        <f t="shared" si="116"/>
        <v>0</v>
      </c>
      <c r="J92" s="53">
        <v>4872</v>
      </c>
      <c r="K92" s="54"/>
      <c r="L92" s="55">
        <f t="shared" si="117"/>
        <v>4872</v>
      </c>
      <c r="M92" s="53"/>
      <c r="N92" s="54"/>
      <c r="O92" s="55">
        <f t="shared" si="118"/>
        <v>0</v>
      </c>
      <c r="P92" s="57" t="s">
        <v>1388</v>
      </c>
    </row>
    <row r="93" spans="1:16" ht="53.25" customHeight="1" x14ac:dyDescent="0.25">
      <c r="A93" s="51">
        <v>2224</v>
      </c>
      <c r="B93" s="88" t="s">
        <v>110</v>
      </c>
      <c r="C93" s="89">
        <f t="shared" si="102"/>
        <v>1335</v>
      </c>
      <c r="D93" s="194">
        <v>755</v>
      </c>
      <c r="E93" s="195"/>
      <c r="F93" s="55">
        <f t="shared" si="115"/>
        <v>755</v>
      </c>
      <c r="G93" s="53"/>
      <c r="H93" s="54"/>
      <c r="I93" s="55">
        <f t="shared" si="116"/>
        <v>0</v>
      </c>
      <c r="J93" s="53">
        <v>580</v>
      </c>
      <c r="K93" s="54"/>
      <c r="L93" s="55">
        <f t="shared" si="117"/>
        <v>580</v>
      </c>
      <c r="M93" s="53"/>
      <c r="N93" s="54"/>
      <c r="O93" s="55">
        <f t="shared" si="118"/>
        <v>0</v>
      </c>
      <c r="P93" s="57" t="s">
        <v>1389</v>
      </c>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2204</v>
      </c>
      <c r="D95" s="189">
        <f>SUM(D96:D102)</f>
        <v>1600</v>
      </c>
      <c r="E95" s="190">
        <f t="shared" ref="E95:F95" si="119">SUM(E96:E102)</f>
        <v>0</v>
      </c>
      <c r="F95" s="55">
        <f t="shared" si="119"/>
        <v>1600</v>
      </c>
      <c r="G95" s="189">
        <f>SUM(G96:G102)</f>
        <v>0</v>
      </c>
      <c r="H95" s="190">
        <f t="shared" ref="H95:I95" si="120">SUM(H96:H102)</f>
        <v>0</v>
      </c>
      <c r="I95" s="55">
        <f t="shared" si="120"/>
        <v>0</v>
      </c>
      <c r="J95" s="189">
        <f>SUM(J96:J102)</f>
        <v>607</v>
      </c>
      <c r="K95" s="190">
        <f t="shared" ref="K95:L95" si="121">SUM(K96:K102)</f>
        <v>-3</v>
      </c>
      <c r="L95" s="55">
        <f t="shared" si="121"/>
        <v>604</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6.5" customHeight="1" x14ac:dyDescent="0.25">
      <c r="A101" s="51">
        <v>2236</v>
      </c>
      <c r="B101" s="88" t="s">
        <v>118</v>
      </c>
      <c r="C101" s="89">
        <f t="shared" si="102"/>
        <v>559</v>
      </c>
      <c r="D101" s="194"/>
      <c r="E101" s="195"/>
      <c r="F101" s="55">
        <f t="shared" si="123"/>
        <v>0</v>
      </c>
      <c r="G101" s="53"/>
      <c r="H101" s="54"/>
      <c r="I101" s="55">
        <f t="shared" si="124"/>
        <v>0</v>
      </c>
      <c r="J101" s="53">
        <v>562</v>
      </c>
      <c r="K101" s="54">
        <v>-3</v>
      </c>
      <c r="L101" s="55">
        <f t="shared" si="125"/>
        <v>559</v>
      </c>
      <c r="M101" s="53"/>
      <c r="N101" s="54"/>
      <c r="O101" s="55">
        <f t="shared" si="126"/>
        <v>0</v>
      </c>
      <c r="P101" s="57" t="s">
        <v>1390</v>
      </c>
    </row>
    <row r="102" spans="1:16" ht="24" customHeight="1" x14ac:dyDescent="0.25">
      <c r="A102" s="51">
        <v>2239</v>
      </c>
      <c r="B102" s="88" t="s">
        <v>119</v>
      </c>
      <c r="C102" s="89">
        <f t="shared" si="102"/>
        <v>1645</v>
      </c>
      <c r="D102" s="194">
        <v>1600</v>
      </c>
      <c r="E102" s="195"/>
      <c r="F102" s="55">
        <f t="shared" si="123"/>
        <v>1600</v>
      </c>
      <c r="G102" s="53"/>
      <c r="H102" s="54"/>
      <c r="I102" s="55">
        <f t="shared" si="124"/>
        <v>0</v>
      </c>
      <c r="J102" s="53">
        <v>45</v>
      </c>
      <c r="K102" s="54"/>
      <c r="L102" s="55">
        <f t="shared" si="125"/>
        <v>45</v>
      </c>
      <c r="M102" s="53"/>
      <c r="N102" s="54"/>
      <c r="O102" s="55">
        <f t="shared" si="126"/>
        <v>0</v>
      </c>
      <c r="P102" s="57"/>
    </row>
    <row r="103" spans="1:16" ht="36" x14ac:dyDescent="0.25">
      <c r="A103" s="188">
        <v>2240</v>
      </c>
      <c r="B103" s="88" t="s">
        <v>120</v>
      </c>
      <c r="C103" s="89">
        <f t="shared" si="102"/>
        <v>13439</v>
      </c>
      <c r="D103" s="189">
        <f>SUM(D104:D111)</f>
        <v>10518</v>
      </c>
      <c r="E103" s="190">
        <f t="shared" ref="E103:F103" si="127">SUM(E104:E111)</f>
        <v>0</v>
      </c>
      <c r="F103" s="55">
        <f t="shared" si="127"/>
        <v>10518</v>
      </c>
      <c r="G103" s="189">
        <f>SUM(G104:G111)</f>
        <v>0</v>
      </c>
      <c r="H103" s="190">
        <f t="shared" ref="H103:I103" si="128">SUM(H104:H111)</f>
        <v>0</v>
      </c>
      <c r="I103" s="55">
        <f t="shared" si="128"/>
        <v>0</v>
      </c>
      <c r="J103" s="189">
        <f>SUM(J104:J111)</f>
        <v>2921</v>
      </c>
      <c r="K103" s="190">
        <f t="shared" ref="K103:L103" si="129">SUM(K104:K111)</f>
        <v>0</v>
      </c>
      <c r="L103" s="55">
        <f t="shared" si="129"/>
        <v>2921</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1565</v>
      </c>
      <c r="D106" s="194">
        <v>485</v>
      </c>
      <c r="E106" s="195"/>
      <c r="F106" s="55">
        <f t="shared" si="131"/>
        <v>485</v>
      </c>
      <c r="G106" s="53"/>
      <c r="H106" s="54"/>
      <c r="I106" s="55">
        <f t="shared" si="132"/>
        <v>0</v>
      </c>
      <c r="J106" s="53">
        <v>1080</v>
      </c>
      <c r="K106" s="54"/>
      <c r="L106" s="55">
        <f t="shared" si="133"/>
        <v>1080</v>
      </c>
      <c r="M106" s="53"/>
      <c r="N106" s="54"/>
      <c r="O106" s="55">
        <f t="shared" si="134"/>
        <v>0</v>
      </c>
      <c r="P106" s="57"/>
    </row>
    <row r="107" spans="1:16" ht="12" customHeight="1" x14ac:dyDescent="0.25">
      <c r="A107" s="51">
        <v>2244</v>
      </c>
      <c r="B107" s="88" t="s">
        <v>124</v>
      </c>
      <c r="C107" s="89">
        <f t="shared" si="102"/>
        <v>9324</v>
      </c>
      <c r="D107" s="194">
        <v>8433</v>
      </c>
      <c r="E107" s="195"/>
      <c r="F107" s="55">
        <f t="shared" si="131"/>
        <v>8433</v>
      </c>
      <c r="G107" s="53"/>
      <c r="H107" s="54"/>
      <c r="I107" s="55">
        <f t="shared" si="132"/>
        <v>0</v>
      </c>
      <c r="J107" s="53">
        <v>891</v>
      </c>
      <c r="K107" s="54"/>
      <c r="L107" s="55">
        <f t="shared" si="133"/>
        <v>891</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8" t="s">
        <v>128</v>
      </c>
      <c r="C111" s="89">
        <f t="shared" si="102"/>
        <v>2550</v>
      </c>
      <c r="D111" s="194">
        <v>1600</v>
      </c>
      <c r="E111" s="195"/>
      <c r="F111" s="55">
        <f t="shared" si="131"/>
        <v>1600</v>
      </c>
      <c r="G111" s="53"/>
      <c r="H111" s="54"/>
      <c r="I111" s="55">
        <f t="shared" si="132"/>
        <v>0</v>
      </c>
      <c r="J111" s="53">
        <v>950</v>
      </c>
      <c r="K111" s="54"/>
      <c r="L111" s="55">
        <f t="shared" si="133"/>
        <v>950</v>
      </c>
      <c r="M111" s="53"/>
      <c r="N111" s="54"/>
      <c r="O111" s="55">
        <f t="shared" si="134"/>
        <v>0</v>
      </c>
      <c r="P111" s="57"/>
    </row>
    <row r="112" spans="1:16" x14ac:dyDescent="0.25">
      <c r="A112" s="188">
        <v>2250</v>
      </c>
      <c r="B112" s="88" t="s">
        <v>129</v>
      </c>
      <c r="C112" s="89">
        <f t="shared" si="102"/>
        <v>150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150</v>
      </c>
      <c r="K112" s="190">
        <f t="shared" ref="K112:L112" si="137">SUM(K113:K115)</f>
        <v>0</v>
      </c>
      <c r="L112" s="55">
        <f t="shared" si="137"/>
        <v>150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8" t="s">
        <v>132</v>
      </c>
      <c r="C115" s="89">
        <f t="shared" si="102"/>
        <v>150</v>
      </c>
      <c r="D115" s="194"/>
      <c r="E115" s="195"/>
      <c r="F115" s="55">
        <f t="shared" si="139"/>
        <v>0</v>
      </c>
      <c r="G115" s="53"/>
      <c r="H115" s="54"/>
      <c r="I115" s="55">
        <f t="shared" si="140"/>
        <v>0</v>
      </c>
      <c r="J115" s="53">
        <v>150</v>
      </c>
      <c r="K115" s="54"/>
      <c r="L115" s="55">
        <f t="shared" si="141"/>
        <v>150</v>
      </c>
      <c r="M115" s="53"/>
      <c r="N115" s="54"/>
      <c r="O115" s="55">
        <f t="shared" si="142"/>
        <v>0</v>
      </c>
      <c r="P115" s="57"/>
    </row>
    <row r="116" spans="1:16" x14ac:dyDescent="0.25">
      <c r="A116" s="188">
        <v>2260</v>
      </c>
      <c r="B116" s="88" t="s">
        <v>133</v>
      </c>
      <c r="C116" s="89">
        <f t="shared" si="102"/>
        <v>237</v>
      </c>
      <c r="D116" s="189">
        <f>SUM(D117:D121)</f>
        <v>79</v>
      </c>
      <c r="E116" s="190">
        <f t="shared" ref="E116:F116" si="143">SUM(E117:E121)</f>
        <v>0</v>
      </c>
      <c r="F116" s="55">
        <f t="shared" si="143"/>
        <v>79</v>
      </c>
      <c r="G116" s="189">
        <f>SUM(G117:G121)</f>
        <v>0</v>
      </c>
      <c r="H116" s="190">
        <f t="shared" ref="H116:I116" si="144">SUM(H117:H121)</f>
        <v>0</v>
      </c>
      <c r="I116" s="55">
        <f t="shared" si="144"/>
        <v>0</v>
      </c>
      <c r="J116" s="189">
        <f>SUM(J117:J121)</f>
        <v>155</v>
      </c>
      <c r="K116" s="190">
        <f t="shared" ref="K116:L116" si="145">SUM(K117:K121)</f>
        <v>3</v>
      </c>
      <c r="L116" s="55">
        <f t="shared" si="145"/>
        <v>158</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8" t="s">
        <v>137</v>
      </c>
      <c r="C120" s="89">
        <f t="shared" si="102"/>
        <v>140</v>
      </c>
      <c r="D120" s="194"/>
      <c r="E120" s="195"/>
      <c r="F120" s="55">
        <f t="shared" si="147"/>
        <v>0</v>
      </c>
      <c r="G120" s="53"/>
      <c r="H120" s="54"/>
      <c r="I120" s="55">
        <f t="shared" si="148"/>
        <v>0</v>
      </c>
      <c r="J120" s="53">
        <v>140</v>
      </c>
      <c r="K120" s="54"/>
      <c r="L120" s="55">
        <f t="shared" si="149"/>
        <v>140</v>
      </c>
      <c r="M120" s="53"/>
      <c r="N120" s="54"/>
      <c r="O120" s="55">
        <f t="shared" si="150"/>
        <v>0</v>
      </c>
      <c r="P120" s="57"/>
    </row>
    <row r="121" spans="1:16" ht="14.25" customHeight="1" x14ac:dyDescent="0.25">
      <c r="A121" s="51">
        <v>2269</v>
      </c>
      <c r="B121" s="88" t="s">
        <v>138</v>
      </c>
      <c r="C121" s="89">
        <f t="shared" si="102"/>
        <v>97</v>
      </c>
      <c r="D121" s="194">
        <v>79</v>
      </c>
      <c r="E121" s="195"/>
      <c r="F121" s="55">
        <f t="shared" si="147"/>
        <v>79</v>
      </c>
      <c r="G121" s="53"/>
      <c r="H121" s="54"/>
      <c r="I121" s="55">
        <f t="shared" si="148"/>
        <v>0</v>
      </c>
      <c r="J121" s="53">
        <v>15</v>
      </c>
      <c r="K121" s="54">
        <v>3</v>
      </c>
      <c r="L121" s="55">
        <f t="shared" si="149"/>
        <v>18</v>
      </c>
      <c r="M121" s="53"/>
      <c r="N121" s="54"/>
      <c r="O121" s="55">
        <f t="shared" si="150"/>
        <v>0</v>
      </c>
      <c r="P121" s="57" t="s">
        <v>1391</v>
      </c>
    </row>
    <row r="122" spans="1:16" x14ac:dyDescent="0.25">
      <c r="A122" s="188">
        <v>2270</v>
      </c>
      <c r="B122" s="88" t="s">
        <v>139</v>
      </c>
      <c r="C122" s="89">
        <f t="shared" si="102"/>
        <v>50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50</v>
      </c>
      <c r="K122" s="190">
        <f t="shared" ref="K122:L122" si="153">SUM(K123:K127)</f>
        <v>0</v>
      </c>
      <c r="L122" s="55">
        <f t="shared" si="153"/>
        <v>50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31.5" customHeight="1" x14ac:dyDescent="0.25">
      <c r="A127" s="51">
        <v>2279</v>
      </c>
      <c r="B127" s="88" t="s">
        <v>144</v>
      </c>
      <c r="C127" s="89">
        <f t="shared" si="102"/>
        <v>50</v>
      </c>
      <c r="D127" s="194"/>
      <c r="E127" s="195"/>
      <c r="F127" s="55">
        <f t="shared" si="155"/>
        <v>0</v>
      </c>
      <c r="G127" s="53"/>
      <c r="H127" s="54"/>
      <c r="I127" s="55">
        <f t="shared" si="156"/>
        <v>0</v>
      </c>
      <c r="J127" s="53">
        <v>50</v>
      </c>
      <c r="K127" s="54"/>
      <c r="L127" s="55">
        <f t="shared" si="157"/>
        <v>50</v>
      </c>
      <c r="M127" s="53"/>
      <c r="N127" s="54"/>
      <c r="O127" s="55">
        <f t="shared" si="158"/>
        <v>0</v>
      </c>
      <c r="P127" s="57"/>
    </row>
    <row r="128" spans="1:16" ht="48" hidden="1" x14ac:dyDescent="0.25">
      <c r="A128" s="729">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13110</v>
      </c>
      <c r="D130" s="183">
        <f>SUM(D131,D136,D140,D141,D144,D151,D159,D160,D163)</f>
        <v>9058</v>
      </c>
      <c r="E130" s="184">
        <f t="shared" ref="E130:F130" si="160">SUM(E131,E136,E140,E141,E144,E151,E159,E160,E163)</f>
        <v>569</v>
      </c>
      <c r="F130" s="72">
        <f t="shared" si="160"/>
        <v>9627</v>
      </c>
      <c r="G130" s="183">
        <f>SUM(G131,G136,G140,G141,G144,G151,G159,G160,G163)</f>
        <v>0</v>
      </c>
      <c r="H130" s="184">
        <f t="shared" ref="H130:I130" si="161">SUM(H131,H136,H140,H141,H144,H151,H159,H160,H163)</f>
        <v>0</v>
      </c>
      <c r="I130" s="72">
        <f t="shared" si="161"/>
        <v>0</v>
      </c>
      <c r="J130" s="183">
        <f>SUM(J131,J136,J140,J141,J144,J151,J159,J160,J163)</f>
        <v>3483</v>
      </c>
      <c r="K130" s="184">
        <f t="shared" ref="K130:L130" si="162">SUM(K131,K136,K140,K141,K144,K151,K159,K160,K163)</f>
        <v>0</v>
      </c>
      <c r="L130" s="72">
        <f t="shared" si="162"/>
        <v>3483</v>
      </c>
      <c r="M130" s="183">
        <f>SUM(M131,M136,M140,M141,M144,M151,M159,M160,M163)</f>
        <v>0</v>
      </c>
      <c r="N130" s="184">
        <f t="shared" ref="N130:O130" si="163">SUM(N131,N136,N140,N141,N144,N151,N159,N160,N163)</f>
        <v>0</v>
      </c>
      <c r="O130" s="72">
        <f t="shared" si="163"/>
        <v>0</v>
      </c>
      <c r="P130" s="76"/>
    </row>
    <row r="131" spans="1:16" ht="24" x14ac:dyDescent="0.25">
      <c r="A131" s="729">
        <v>2310</v>
      </c>
      <c r="B131" s="81" t="s">
        <v>148</v>
      </c>
      <c r="C131" s="82">
        <f t="shared" si="102"/>
        <v>5465</v>
      </c>
      <c r="D131" s="192">
        <f t="shared" ref="D131:O131" si="164">SUM(D132:D135)</f>
        <v>3401</v>
      </c>
      <c r="E131" s="193">
        <f t="shared" si="164"/>
        <v>524</v>
      </c>
      <c r="F131" s="133">
        <f t="shared" si="164"/>
        <v>3925</v>
      </c>
      <c r="G131" s="192">
        <f t="shared" si="164"/>
        <v>0</v>
      </c>
      <c r="H131" s="193">
        <f t="shared" si="164"/>
        <v>0</v>
      </c>
      <c r="I131" s="133">
        <f t="shared" si="164"/>
        <v>0</v>
      </c>
      <c r="J131" s="192">
        <f t="shared" si="164"/>
        <v>1540</v>
      </c>
      <c r="K131" s="193">
        <f t="shared" si="164"/>
        <v>0</v>
      </c>
      <c r="L131" s="133">
        <f t="shared" si="164"/>
        <v>1540</v>
      </c>
      <c r="M131" s="192">
        <f t="shared" si="164"/>
        <v>0</v>
      </c>
      <c r="N131" s="193">
        <f t="shared" si="164"/>
        <v>0</v>
      </c>
      <c r="O131" s="133">
        <f t="shared" si="164"/>
        <v>0</v>
      </c>
      <c r="P131" s="49"/>
    </row>
    <row r="132" spans="1:16" ht="12" customHeight="1" x14ac:dyDescent="0.25">
      <c r="A132" s="51">
        <v>2311</v>
      </c>
      <c r="B132" s="88" t="s">
        <v>149</v>
      </c>
      <c r="C132" s="89">
        <f t="shared" si="102"/>
        <v>1431</v>
      </c>
      <c r="D132" s="194">
        <v>1271</v>
      </c>
      <c r="E132" s="195"/>
      <c r="F132" s="55">
        <f t="shared" ref="F132:F135" si="165">D132+E132</f>
        <v>1271</v>
      </c>
      <c r="G132" s="53"/>
      <c r="H132" s="54"/>
      <c r="I132" s="55">
        <f t="shared" ref="I132:I135" si="166">G132+H132</f>
        <v>0</v>
      </c>
      <c r="J132" s="53">
        <v>160</v>
      </c>
      <c r="K132" s="54"/>
      <c r="L132" s="55">
        <f t="shared" ref="L132:L135" si="167">K132+J132</f>
        <v>160</v>
      </c>
      <c r="M132" s="53"/>
      <c r="N132" s="54"/>
      <c r="O132" s="55">
        <f t="shared" ref="O132:O135" si="168">N132+M132</f>
        <v>0</v>
      </c>
      <c r="P132" s="57"/>
    </row>
    <row r="133" spans="1:16" ht="15.75" customHeight="1" x14ac:dyDescent="0.25">
      <c r="A133" s="51">
        <v>2312</v>
      </c>
      <c r="B133" s="88" t="s">
        <v>150</v>
      </c>
      <c r="C133" s="89">
        <f t="shared" si="102"/>
        <v>3854</v>
      </c>
      <c r="D133" s="194">
        <v>2130</v>
      </c>
      <c r="E133" s="195">
        <v>524</v>
      </c>
      <c r="F133" s="55">
        <f t="shared" si="165"/>
        <v>2654</v>
      </c>
      <c r="G133" s="53"/>
      <c r="H133" s="54"/>
      <c r="I133" s="55">
        <f t="shared" si="166"/>
        <v>0</v>
      </c>
      <c r="J133" s="53">
        <v>1200</v>
      </c>
      <c r="K133" s="54"/>
      <c r="L133" s="55">
        <f t="shared" si="167"/>
        <v>1200</v>
      </c>
      <c r="M133" s="53"/>
      <c r="N133" s="54"/>
      <c r="O133" s="55">
        <f t="shared" si="168"/>
        <v>0</v>
      </c>
      <c r="P133" s="57" t="s">
        <v>1392</v>
      </c>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180</v>
      </c>
      <c r="D135" s="194"/>
      <c r="E135" s="195"/>
      <c r="F135" s="55">
        <f t="shared" si="165"/>
        <v>0</v>
      </c>
      <c r="G135" s="53"/>
      <c r="H135" s="54"/>
      <c r="I135" s="55">
        <f t="shared" si="166"/>
        <v>0</v>
      </c>
      <c r="J135" s="53">
        <v>180</v>
      </c>
      <c r="K135" s="54"/>
      <c r="L135" s="55">
        <f t="shared" si="167"/>
        <v>180</v>
      </c>
      <c r="M135" s="53"/>
      <c r="N135" s="54"/>
      <c r="O135" s="55">
        <f t="shared" si="168"/>
        <v>0</v>
      </c>
      <c r="P135" s="57"/>
    </row>
    <row r="136" spans="1:16" x14ac:dyDescent="0.25">
      <c r="A136" s="188">
        <v>2320</v>
      </c>
      <c r="B136" s="88" t="s">
        <v>153</v>
      </c>
      <c r="C136" s="89">
        <f t="shared" si="102"/>
        <v>1502</v>
      </c>
      <c r="D136" s="189">
        <f>SUM(D137:D139)</f>
        <v>1457</v>
      </c>
      <c r="E136" s="190">
        <f t="shared" ref="E136:F136" si="169">SUM(E137:E139)</f>
        <v>45</v>
      </c>
      <c r="F136" s="55">
        <f t="shared" si="169"/>
        <v>1502</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4.25" customHeight="1" x14ac:dyDescent="0.25">
      <c r="A138" s="51">
        <v>2322</v>
      </c>
      <c r="B138" s="88" t="s">
        <v>155</v>
      </c>
      <c r="C138" s="89">
        <f t="shared" si="102"/>
        <v>1502</v>
      </c>
      <c r="D138" s="194">
        <v>1457</v>
      </c>
      <c r="E138" s="195">
        <v>45</v>
      </c>
      <c r="F138" s="55">
        <f t="shared" si="173"/>
        <v>1502</v>
      </c>
      <c r="G138" s="53"/>
      <c r="H138" s="54"/>
      <c r="I138" s="55">
        <f t="shared" si="174"/>
        <v>0</v>
      </c>
      <c r="J138" s="53"/>
      <c r="K138" s="54"/>
      <c r="L138" s="55">
        <f t="shared" si="175"/>
        <v>0</v>
      </c>
      <c r="M138" s="53"/>
      <c r="N138" s="54"/>
      <c r="O138" s="55">
        <f t="shared" si="176"/>
        <v>0</v>
      </c>
      <c r="P138" s="57" t="s">
        <v>1393</v>
      </c>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5713</v>
      </c>
      <c r="D144" s="186">
        <f>SUM(D145:D150)</f>
        <v>4200</v>
      </c>
      <c r="E144" s="187">
        <f t="shared" ref="E144:F144" si="185">SUM(E145:E150)</f>
        <v>0</v>
      </c>
      <c r="F144" s="140">
        <f t="shared" si="185"/>
        <v>4200</v>
      </c>
      <c r="G144" s="186">
        <f>SUM(G145:G150)</f>
        <v>0</v>
      </c>
      <c r="H144" s="187">
        <f t="shared" ref="H144:I144" si="186">SUM(H145:H150)</f>
        <v>0</v>
      </c>
      <c r="I144" s="140">
        <f t="shared" si="186"/>
        <v>0</v>
      </c>
      <c r="J144" s="186">
        <f>SUM(J145:J150)</f>
        <v>1513</v>
      </c>
      <c r="K144" s="187">
        <f t="shared" ref="K144:L144" si="187">SUM(K145:K150)</f>
        <v>0</v>
      </c>
      <c r="L144" s="140">
        <f t="shared" si="187"/>
        <v>1513</v>
      </c>
      <c r="M144" s="186">
        <f>SUM(M145:M150)</f>
        <v>0</v>
      </c>
      <c r="N144" s="187">
        <f t="shared" ref="N144:O144" si="188">SUM(N145:N150)</f>
        <v>0</v>
      </c>
      <c r="O144" s="140">
        <f t="shared" si="188"/>
        <v>0</v>
      </c>
      <c r="P144" s="128"/>
    </row>
    <row r="145" spans="1:16" ht="12" customHeight="1" x14ac:dyDescent="0.25">
      <c r="A145" s="44">
        <v>2351</v>
      </c>
      <c r="B145" s="81" t="s">
        <v>162</v>
      </c>
      <c r="C145" s="82">
        <f t="shared" si="102"/>
        <v>400</v>
      </c>
      <c r="D145" s="196">
        <v>300</v>
      </c>
      <c r="E145" s="197"/>
      <c r="F145" s="133">
        <f t="shared" ref="F145:F150" si="189">D145+E145</f>
        <v>300</v>
      </c>
      <c r="G145" s="46"/>
      <c r="H145" s="47"/>
      <c r="I145" s="133">
        <f t="shared" ref="I145:I150" si="190">G145+H145</f>
        <v>0</v>
      </c>
      <c r="J145" s="46">
        <v>100</v>
      </c>
      <c r="K145" s="47"/>
      <c r="L145" s="133">
        <f t="shared" ref="L145:L150" si="191">K145+J145</f>
        <v>100</v>
      </c>
      <c r="M145" s="46"/>
      <c r="N145" s="47"/>
      <c r="O145" s="133">
        <f t="shared" ref="O145:O150" si="192">N145+M145</f>
        <v>0</v>
      </c>
      <c r="P145" s="49"/>
    </row>
    <row r="146" spans="1:16" ht="14.25" customHeight="1" x14ac:dyDescent="0.25">
      <c r="A146" s="51">
        <v>2352</v>
      </c>
      <c r="B146" s="88" t="s">
        <v>163</v>
      </c>
      <c r="C146" s="89">
        <f t="shared" si="102"/>
        <v>5131</v>
      </c>
      <c r="D146" s="194">
        <v>3900</v>
      </c>
      <c r="E146" s="195"/>
      <c r="F146" s="55">
        <f t="shared" si="189"/>
        <v>3900</v>
      </c>
      <c r="G146" s="53"/>
      <c r="H146" s="54"/>
      <c r="I146" s="55">
        <f t="shared" si="190"/>
        <v>0</v>
      </c>
      <c r="J146" s="53">
        <v>1231</v>
      </c>
      <c r="K146" s="54"/>
      <c r="L146" s="55">
        <f t="shared" si="191"/>
        <v>1231</v>
      </c>
      <c r="M146" s="53"/>
      <c r="N146" s="54"/>
      <c r="O146" s="55">
        <f t="shared" si="192"/>
        <v>0</v>
      </c>
      <c r="P146" s="57"/>
    </row>
    <row r="147" spans="1:16" ht="24" customHeight="1" x14ac:dyDescent="0.25">
      <c r="A147" s="51">
        <v>2353</v>
      </c>
      <c r="B147" s="88" t="s">
        <v>164</v>
      </c>
      <c r="C147" s="89">
        <f t="shared" si="102"/>
        <v>150</v>
      </c>
      <c r="D147" s="194"/>
      <c r="E147" s="195"/>
      <c r="F147" s="55">
        <f t="shared" si="189"/>
        <v>0</v>
      </c>
      <c r="G147" s="53"/>
      <c r="H147" s="54"/>
      <c r="I147" s="55">
        <f t="shared" si="190"/>
        <v>0</v>
      </c>
      <c r="J147" s="53">
        <v>150</v>
      </c>
      <c r="K147" s="54"/>
      <c r="L147" s="55">
        <f t="shared" si="191"/>
        <v>150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8" t="s">
        <v>166</v>
      </c>
      <c r="C149" s="89">
        <f t="shared" si="193"/>
        <v>32</v>
      </c>
      <c r="D149" s="194"/>
      <c r="E149" s="195"/>
      <c r="F149" s="55">
        <f t="shared" si="189"/>
        <v>0</v>
      </c>
      <c r="G149" s="53"/>
      <c r="H149" s="54"/>
      <c r="I149" s="55">
        <f t="shared" si="190"/>
        <v>0</v>
      </c>
      <c r="J149" s="53">
        <v>32</v>
      </c>
      <c r="K149" s="54"/>
      <c r="L149" s="55">
        <f t="shared" si="191"/>
        <v>32</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5">
        <v>2390</v>
      </c>
      <c r="B163" s="137" t="s">
        <v>180</v>
      </c>
      <c r="C163" s="142">
        <f t="shared" si="193"/>
        <v>430</v>
      </c>
      <c r="D163" s="202"/>
      <c r="E163" s="203"/>
      <c r="F163" s="140">
        <f t="shared" si="206"/>
        <v>0</v>
      </c>
      <c r="G163" s="143"/>
      <c r="H163" s="144"/>
      <c r="I163" s="140">
        <f t="shared" si="207"/>
        <v>0</v>
      </c>
      <c r="J163" s="143">
        <v>430</v>
      </c>
      <c r="K163" s="144"/>
      <c r="L163" s="140">
        <f t="shared" si="208"/>
        <v>430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729">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729">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29">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729">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729">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37756</v>
      </c>
      <c r="D194" s="172">
        <f t="shared" ref="D194:O194" si="259">SUM(D195,D230,D269,D283)</f>
        <v>37555</v>
      </c>
      <c r="E194" s="173">
        <f t="shared" si="259"/>
        <v>-569</v>
      </c>
      <c r="F194" s="174">
        <f t="shared" si="259"/>
        <v>36986</v>
      </c>
      <c r="G194" s="172">
        <f t="shared" si="259"/>
        <v>0</v>
      </c>
      <c r="H194" s="173">
        <f t="shared" si="259"/>
        <v>0</v>
      </c>
      <c r="I194" s="174">
        <f t="shared" si="259"/>
        <v>0</v>
      </c>
      <c r="J194" s="172">
        <f t="shared" si="259"/>
        <v>770</v>
      </c>
      <c r="K194" s="173">
        <f t="shared" si="259"/>
        <v>0</v>
      </c>
      <c r="L194" s="174">
        <f t="shared" si="259"/>
        <v>770</v>
      </c>
      <c r="M194" s="172">
        <f t="shared" si="259"/>
        <v>0</v>
      </c>
      <c r="N194" s="173">
        <f t="shared" si="259"/>
        <v>0</v>
      </c>
      <c r="O194" s="174">
        <f t="shared" si="259"/>
        <v>0</v>
      </c>
      <c r="P194" s="175"/>
    </row>
    <row r="195" spans="1:16" x14ac:dyDescent="0.25">
      <c r="A195" s="176">
        <v>5000</v>
      </c>
      <c r="B195" s="176" t="s">
        <v>212</v>
      </c>
      <c r="C195" s="177">
        <f t="shared" si="193"/>
        <v>37756</v>
      </c>
      <c r="D195" s="178">
        <f>D196+D204</f>
        <v>37555</v>
      </c>
      <c r="E195" s="179">
        <f t="shared" ref="E195:F195" si="260">E196+E204</f>
        <v>-569</v>
      </c>
      <c r="F195" s="180">
        <f t="shared" si="260"/>
        <v>36986</v>
      </c>
      <c r="G195" s="178">
        <f>G196+G204</f>
        <v>0</v>
      </c>
      <c r="H195" s="179">
        <f t="shared" ref="H195:I195" si="261">H196+H204</f>
        <v>0</v>
      </c>
      <c r="I195" s="180">
        <f t="shared" si="261"/>
        <v>0</v>
      </c>
      <c r="J195" s="178">
        <f>J196+J204</f>
        <v>770</v>
      </c>
      <c r="K195" s="179">
        <f t="shared" ref="K195:L195" si="262">K196+K204</f>
        <v>0</v>
      </c>
      <c r="L195" s="180">
        <f t="shared" si="262"/>
        <v>770</v>
      </c>
      <c r="M195" s="178">
        <f>M196+M204</f>
        <v>0</v>
      </c>
      <c r="N195" s="179">
        <f t="shared" ref="N195:O195" si="263">N196+N204</f>
        <v>0</v>
      </c>
      <c r="O195" s="180">
        <f t="shared" si="263"/>
        <v>0</v>
      </c>
      <c r="P195" s="181"/>
    </row>
    <row r="196" spans="1:16" x14ac:dyDescent="0.25">
      <c r="A196" s="68">
        <v>5100</v>
      </c>
      <c r="B196" s="182" t="s">
        <v>213</v>
      </c>
      <c r="C196" s="69">
        <f t="shared" si="193"/>
        <v>970</v>
      </c>
      <c r="D196" s="183">
        <f>D197+D198+D201+D202+D203</f>
        <v>200</v>
      </c>
      <c r="E196" s="184">
        <f t="shared" ref="E196:F196" si="264">E197+E198+E201+E202+E203</f>
        <v>0</v>
      </c>
      <c r="F196" s="72">
        <f t="shared" si="264"/>
        <v>200</v>
      </c>
      <c r="G196" s="183">
        <f>G197+G198+G201+G202+G203</f>
        <v>0</v>
      </c>
      <c r="H196" s="184">
        <f t="shared" ref="H196:I196" si="265">H197+H198+H201+H202+H203</f>
        <v>0</v>
      </c>
      <c r="I196" s="72">
        <f t="shared" si="265"/>
        <v>0</v>
      </c>
      <c r="J196" s="183">
        <f>J197+J198+J201+J202+J203</f>
        <v>770</v>
      </c>
      <c r="K196" s="184">
        <f t="shared" ref="K196:L196" si="266">K197+K198+K201+K202+K203</f>
        <v>0</v>
      </c>
      <c r="L196" s="72">
        <f t="shared" si="266"/>
        <v>770</v>
      </c>
      <c r="M196" s="183">
        <f>M197+M198+M201+M202+M203</f>
        <v>0</v>
      </c>
      <c r="N196" s="184">
        <f t="shared" ref="N196:O196" si="267">N197+N198+N201+N202+N203</f>
        <v>0</v>
      </c>
      <c r="O196" s="72">
        <f t="shared" si="267"/>
        <v>0</v>
      </c>
      <c r="P196" s="76"/>
    </row>
    <row r="197" spans="1:16" ht="12" hidden="1" customHeight="1" x14ac:dyDescent="0.25">
      <c r="A197" s="729">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x14ac:dyDescent="0.25">
      <c r="A198" s="188">
        <v>5120</v>
      </c>
      <c r="B198" s="88" t="s">
        <v>215</v>
      </c>
      <c r="C198" s="89">
        <f t="shared" si="193"/>
        <v>970</v>
      </c>
      <c r="D198" s="189">
        <f>D199+D200</f>
        <v>200</v>
      </c>
      <c r="E198" s="190">
        <f t="shared" ref="E198:F198" si="268">E199+E200</f>
        <v>0</v>
      </c>
      <c r="F198" s="55">
        <f t="shared" si="268"/>
        <v>200</v>
      </c>
      <c r="G198" s="189">
        <f>G199+G200</f>
        <v>0</v>
      </c>
      <c r="H198" s="190">
        <f t="shared" ref="H198:I198" si="269">H199+H200</f>
        <v>0</v>
      </c>
      <c r="I198" s="55">
        <f t="shared" si="269"/>
        <v>0</v>
      </c>
      <c r="J198" s="189">
        <f>J199+J200</f>
        <v>770</v>
      </c>
      <c r="K198" s="190">
        <f t="shared" ref="K198:L198" si="270">K199+K200</f>
        <v>0</v>
      </c>
      <c r="L198" s="55">
        <f t="shared" si="270"/>
        <v>770</v>
      </c>
      <c r="M198" s="189">
        <f>M199+M200</f>
        <v>0</v>
      </c>
      <c r="N198" s="190">
        <f t="shared" ref="N198:O198" si="271">N199+N200</f>
        <v>0</v>
      </c>
      <c r="O198" s="55">
        <f t="shared" si="271"/>
        <v>0</v>
      </c>
      <c r="P198" s="57"/>
    </row>
    <row r="199" spans="1:16" ht="18.75" customHeight="1" x14ac:dyDescent="0.2">
      <c r="A199" s="51">
        <v>5121</v>
      </c>
      <c r="B199" s="88" t="s">
        <v>216</v>
      </c>
      <c r="C199" s="89">
        <f t="shared" si="193"/>
        <v>970</v>
      </c>
      <c r="D199" s="194">
        <v>200</v>
      </c>
      <c r="E199" s="195"/>
      <c r="F199" s="55">
        <f t="shared" ref="F199:F203" si="272">D199+E199</f>
        <v>200</v>
      </c>
      <c r="G199" s="53"/>
      <c r="H199" s="54"/>
      <c r="I199" s="55">
        <f t="shared" ref="I199:I203" si="273">G199+H199</f>
        <v>0</v>
      </c>
      <c r="J199" s="53">
        <v>770</v>
      </c>
      <c r="K199" s="54"/>
      <c r="L199" s="55">
        <f t="shared" ref="L199:L203" si="274">K199+J199</f>
        <v>770</v>
      </c>
      <c r="M199" s="53"/>
      <c r="N199" s="54"/>
      <c r="O199" s="55">
        <f t="shared" ref="O199:O203" si="275">N199+M199</f>
        <v>0</v>
      </c>
      <c r="P199" s="1038"/>
    </row>
    <row r="200" spans="1:16" ht="24" hidden="1" customHeight="1" x14ac:dyDescent="0.2">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1038"/>
    </row>
    <row r="201" spans="1:16" ht="12" hidden="1" customHeight="1" x14ac:dyDescent="0.2">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1039"/>
    </row>
    <row r="202" spans="1:16" ht="12" hidden="1" customHeight="1" x14ac:dyDescent="0.2">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1040"/>
    </row>
    <row r="203" spans="1:16" ht="24" hidden="1" customHeight="1" x14ac:dyDescent="0.2">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1041"/>
    </row>
    <row r="204" spans="1:16" x14ac:dyDescent="0.25">
      <c r="A204" s="68">
        <v>5200</v>
      </c>
      <c r="B204" s="182" t="s">
        <v>221</v>
      </c>
      <c r="C204" s="69">
        <f t="shared" si="193"/>
        <v>36786</v>
      </c>
      <c r="D204" s="183">
        <f>D205+D215+D216+D225+D226+D227+D229</f>
        <v>37355</v>
      </c>
      <c r="E204" s="184">
        <f t="shared" ref="E204:F204" si="276">E205+E215+E216+E225+E226+E227+E229</f>
        <v>-569</v>
      </c>
      <c r="F204" s="72">
        <f t="shared" si="276"/>
        <v>36786</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36786</v>
      </c>
      <c r="D216" s="189">
        <f>SUM(D217:D224)</f>
        <v>37355</v>
      </c>
      <c r="E216" s="190">
        <f t="shared" ref="E216:F216" si="289">SUM(E217:E224)</f>
        <v>-569</v>
      </c>
      <c r="F216" s="55">
        <f t="shared" si="289"/>
        <v>36786</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75" customHeight="1" x14ac:dyDescent="0.25">
      <c r="A223" s="51">
        <v>5238</v>
      </c>
      <c r="B223" s="88" t="s">
        <v>240</v>
      </c>
      <c r="C223" s="89">
        <f t="shared" si="288"/>
        <v>1700</v>
      </c>
      <c r="D223" s="194">
        <v>1700</v>
      </c>
      <c r="E223" s="195"/>
      <c r="F223" s="55">
        <f t="shared" si="293"/>
        <v>1700</v>
      </c>
      <c r="G223" s="53"/>
      <c r="H223" s="54"/>
      <c r="I223" s="55">
        <f t="shared" si="294"/>
        <v>0</v>
      </c>
      <c r="J223" s="53"/>
      <c r="K223" s="54"/>
      <c r="L223" s="55">
        <f t="shared" si="295"/>
        <v>0</v>
      </c>
      <c r="M223" s="53"/>
      <c r="N223" s="54"/>
      <c r="O223" s="55">
        <f t="shared" si="296"/>
        <v>0</v>
      </c>
      <c r="P223" s="57"/>
    </row>
    <row r="224" spans="1:16" ht="25.5" customHeight="1" x14ac:dyDescent="0.25">
      <c r="A224" s="51">
        <v>5239</v>
      </c>
      <c r="B224" s="88" t="s">
        <v>241</v>
      </c>
      <c r="C224" s="89">
        <f t="shared" si="288"/>
        <v>35086</v>
      </c>
      <c r="D224" s="194">
        <v>35655</v>
      </c>
      <c r="E224" s="195">
        <v>-569</v>
      </c>
      <c r="F224" s="55">
        <f t="shared" si="293"/>
        <v>35086</v>
      </c>
      <c r="G224" s="53"/>
      <c r="H224" s="54"/>
      <c r="I224" s="55">
        <f t="shared" si="294"/>
        <v>0</v>
      </c>
      <c r="J224" s="53"/>
      <c r="K224" s="54"/>
      <c r="L224" s="55">
        <f t="shared" si="295"/>
        <v>0</v>
      </c>
      <c r="M224" s="53"/>
      <c r="N224" s="54"/>
      <c r="O224" s="55">
        <f t="shared" si="296"/>
        <v>0</v>
      </c>
      <c r="P224" s="57" t="s">
        <v>1394</v>
      </c>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729">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29">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729">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729">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729">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29">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1024737</v>
      </c>
      <c r="D289" s="251">
        <f t="shared" ref="D289:O289" si="389">SUM(D286,D269,D230,D195,D187,D173,D75,D53,D283)</f>
        <v>993681</v>
      </c>
      <c r="E289" s="252">
        <f t="shared" si="389"/>
        <v>0</v>
      </c>
      <c r="F289" s="253">
        <f t="shared" si="389"/>
        <v>993681</v>
      </c>
      <c r="G289" s="251">
        <f t="shared" si="389"/>
        <v>10724</v>
      </c>
      <c r="H289" s="252">
        <f t="shared" si="389"/>
        <v>0</v>
      </c>
      <c r="I289" s="253">
        <f t="shared" si="389"/>
        <v>10724</v>
      </c>
      <c r="J289" s="251">
        <f t="shared" si="389"/>
        <v>20332</v>
      </c>
      <c r="K289" s="252">
        <f t="shared" si="389"/>
        <v>0</v>
      </c>
      <c r="L289" s="253">
        <f t="shared" si="389"/>
        <v>20332</v>
      </c>
      <c r="M289" s="251">
        <f t="shared" si="389"/>
        <v>0</v>
      </c>
      <c r="N289" s="252">
        <f t="shared" si="389"/>
        <v>0</v>
      </c>
      <c r="O289" s="253">
        <f t="shared" si="389"/>
        <v>0</v>
      </c>
      <c r="P289" s="254"/>
    </row>
    <row r="290" spans="1:16" s="28" customFormat="1" ht="13.5" thickTop="1" thickBot="1" x14ac:dyDescent="0.3">
      <c r="A290" s="1945" t="s">
        <v>309</v>
      </c>
      <c r="B290" s="1946"/>
      <c r="C290" s="255">
        <f t="shared" si="371"/>
        <v>-1951</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-1951</v>
      </c>
      <c r="K290" s="257">
        <f t="shared" ref="K290:L290" si="392">(K26+K43)-K51</f>
        <v>0</v>
      </c>
      <c r="L290" s="258">
        <f t="shared" si="392"/>
        <v>-1951</v>
      </c>
      <c r="M290" s="256">
        <f>M45-M51</f>
        <v>0</v>
      </c>
      <c r="N290" s="257">
        <f t="shared" ref="N290:O290" si="393">N45-N51</f>
        <v>0</v>
      </c>
      <c r="O290" s="258">
        <f t="shared" si="393"/>
        <v>0</v>
      </c>
      <c r="P290" s="259"/>
    </row>
    <row r="291" spans="1:16" s="28" customFormat="1" ht="12.75" thickTop="1" x14ac:dyDescent="0.25">
      <c r="A291" s="1947" t="s">
        <v>310</v>
      </c>
      <c r="B291" s="1948"/>
      <c r="C291" s="260">
        <f t="shared" si="371"/>
        <v>1951</v>
      </c>
      <c r="D291" s="261">
        <f t="shared" ref="D291:O291" si="394">SUM(D292,D293)-D300+D301</f>
        <v>0</v>
      </c>
      <c r="E291" s="262">
        <f t="shared" si="394"/>
        <v>0</v>
      </c>
      <c r="F291" s="263">
        <f t="shared" si="394"/>
        <v>0</v>
      </c>
      <c r="G291" s="261">
        <f t="shared" si="394"/>
        <v>0</v>
      </c>
      <c r="H291" s="262">
        <f t="shared" si="394"/>
        <v>0</v>
      </c>
      <c r="I291" s="263">
        <f t="shared" si="394"/>
        <v>0</v>
      </c>
      <c r="J291" s="261">
        <f t="shared" si="394"/>
        <v>1951</v>
      </c>
      <c r="K291" s="262">
        <f t="shared" si="394"/>
        <v>0</v>
      </c>
      <c r="L291" s="263">
        <f t="shared" si="394"/>
        <v>1951</v>
      </c>
      <c r="M291" s="261">
        <f t="shared" si="394"/>
        <v>0</v>
      </c>
      <c r="N291" s="262">
        <f t="shared" si="394"/>
        <v>0</v>
      </c>
      <c r="O291" s="263">
        <f t="shared" si="394"/>
        <v>0</v>
      </c>
      <c r="P291" s="264"/>
    </row>
    <row r="292" spans="1:16" s="28" customFormat="1" ht="12.75" thickBot="1" x14ac:dyDescent="0.3">
      <c r="A292" s="156" t="s">
        <v>311</v>
      </c>
      <c r="B292" s="156" t="s">
        <v>312</v>
      </c>
      <c r="C292" s="157">
        <f t="shared" si="371"/>
        <v>1951</v>
      </c>
      <c r="D292" s="158">
        <f t="shared" ref="D292:O292" si="395">D21-D286</f>
        <v>0</v>
      </c>
      <c r="E292" s="159">
        <f t="shared" si="395"/>
        <v>0</v>
      </c>
      <c r="F292" s="160">
        <f t="shared" si="395"/>
        <v>0</v>
      </c>
      <c r="G292" s="158">
        <f t="shared" si="395"/>
        <v>0</v>
      </c>
      <c r="H292" s="159">
        <f t="shared" si="395"/>
        <v>0</v>
      </c>
      <c r="I292" s="160">
        <f t="shared" si="395"/>
        <v>0</v>
      </c>
      <c r="J292" s="158">
        <f t="shared" si="395"/>
        <v>1951</v>
      </c>
      <c r="K292" s="159">
        <f t="shared" si="395"/>
        <v>0</v>
      </c>
      <c r="L292" s="160">
        <f t="shared" si="395"/>
        <v>1951</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G1fjnoazwD5Zah8Tv0EMPFTakUHhkw8gdYm5R6wqD47PAqfcAmzhWO21CZAAWG1c5WIBu/R40vmiygu+FiokFg==" saltValue="moxqrI3TI1CSw5O+y7jLiQ==" spinCount="100000" sheet="1" objects="1" scenarios="1" formatCells="0" formatColumns="0" formatRows="0" deleteColumns="0"/>
  <autoFilter ref="A18:P301">
    <filterColumn colId="2">
      <filters>
        <filter val="1 004 405"/>
        <filter val="1 024 737"/>
        <filter val="1 333"/>
        <filter val="1 335"/>
        <filter val="1 431"/>
        <filter val="1 450"/>
        <filter val="1 480"/>
        <filter val="1 502"/>
        <filter val="1 565"/>
        <filter val="1 645"/>
        <filter val="1 700"/>
        <filter val="1 951"/>
        <filter val="-1 951"/>
        <filter val="10 097"/>
        <filter val="103 569"/>
        <filter val="13 110"/>
        <filter val="13 439"/>
        <filter val="14 836"/>
        <filter val="140"/>
        <filter val="15 137"/>
        <filter val="150"/>
        <filter val="167 342"/>
        <filter val="18 067"/>
        <filter val="180"/>
        <filter val="19 637"/>
        <filter val="2 204"/>
        <filter val="2 550"/>
        <filter val="2 930"/>
        <filter val="2 946"/>
        <filter val="216 457"/>
        <filter val="237"/>
        <filter val="28 145"/>
        <filter val="3 350"/>
        <filter val="3 520"/>
        <filter val="3 854"/>
        <filter val="301"/>
        <filter val="31 453"/>
        <filter val="314"/>
        <filter val="32"/>
        <filter val="32 189"/>
        <filter val="34 721"/>
        <filter val="35 086"/>
        <filter val="36 786"/>
        <filter val="37 756"/>
        <filter val="4 451"/>
        <filter val="400"/>
        <filter val="430"/>
        <filter val="46 737"/>
        <filter val="49 115"/>
        <filter val="5 131"/>
        <filter val="5 465"/>
        <filter val="5 713"/>
        <filter val="50"/>
        <filter val="508"/>
        <filter val="559"/>
        <filter val="620 218"/>
        <filter val="66"/>
        <filter val="666 955"/>
        <filter val="70 859"/>
        <filter val="883 412"/>
        <filter val="9 324"/>
        <filter val="90 459"/>
        <filter val="97"/>
        <filter val="970"/>
        <filter val="986 981"/>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34.pielikums Jūrmalas pilsētas domes
2019.gada 29.augusta saistošajiem noteikumiem Nr.31
(protokols Nr.12, 20.punkts)
 </firstHeader>
    <firstFooter>&amp;L&amp;9&amp;D; &amp;T&amp;R&amp;9&amp;P (&amp;N)</first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6" sqref="T6"/>
    </sheetView>
  </sheetViews>
  <sheetFormatPr defaultColWidth="9.140625"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1026</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1027</v>
      </c>
      <c r="D3" s="1977"/>
      <c r="E3" s="1977"/>
      <c r="F3" s="1977"/>
      <c r="G3" s="1977"/>
      <c r="H3" s="1977"/>
      <c r="I3" s="1977"/>
      <c r="J3" s="1977"/>
      <c r="K3" s="1977"/>
      <c r="L3" s="1977"/>
      <c r="M3" s="1977"/>
      <c r="N3" s="1977"/>
      <c r="O3" s="1977"/>
      <c r="P3" s="1978"/>
      <c r="Q3" s="276"/>
    </row>
    <row r="4" spans="1:17" ht="12.75" customHeight="1" x14ac:dyDescent="0.25">
      <c r="A4" s="5" t="s">
        <v>4</v>
      </c>
      <c r="B4" s="6"/>
      <c r="C4" s="1977" t="s">
        <v>1028</v>
      </c>
      <c r="D4" s="1977"/>
      <c r="E4" s="1977"/>
      <c r="F4" s="1977"/>
      <c r="G4" s="1977"/>
      <c r="H4" s="1977"/>
      <c r="I4" s="1977"/>
      <c r="J4" s="1977"/>
      <c r="K4" s="1977"/>
      <c r="L4" s="1977"/>
      <c r="M4" s="1977"/>
      <c r="N4" s="1977"/>
      <c r="O4" s="1977"/>
      <c r="P4" s="1978"/>
      <c r="Q4" s="276"/>
    </row>
    <row r="5" spans="1:17" ht="12.75" customHeight="1" x14ac:dyDescent="0.25">
      <c r="A5" s="7" t="s">
        <v>6</v>
      </c>
      <c r="B5" s="8"/>
      <c r="C5" s="1972" t="s">
        <v>1029</v>
      </c>
      <c r="D5" s="1972"/>
      <c r="E5" s="1972"/>
      <c r="F5" s="1972"/>
      <c r="G5" s="1972"/>
      <c r="H5" s="1972"/>
      <c r="I5" s="1972"/>
      <c r="J5" s="1972"/>
      <c r="K5" s="1972"/>
      <c r="L5" s="1972"/>
      <c r="M5" s="1972"/>
      <c r="N5" s="1972"/>
      <c r="O5" s="1972"/>
      <c r="P5" s="1973"/>
      <c r="Q5" s="276"/>
    </row>
    <row r="6" spans="1:17" ht="12.75" customHeight="1" x14ac:dyDescent="0.25">
      <c r="A6" s="7" t="s">
        <v>8</v>
      </c>
      <c r="B6" s="8"/>
      <c r="C6" s="1972" t="s">
        <v>1030</v>
      </c>
      <c r="D6" s="1972"/>
      <c r="E6" s="1972"/>
      <c r="F6" s="1972"/>
      <c r="G6" s="1972"/>
      <c r="H6" s="1972"/>
      <c r="I6" s="1972"/>
      <c r="J6" s="1972"/>
      <c r="K6" s="1972"/>
      <c r="L6" s="1972"/>
      <c r="M6" s="1972"/>
      <c r="N6" s="1972"/>
      <c r="O6" s="1972"/>
      <c r="P6" s="1973"/>
      <c r="Q6" s="276"/>
    </row>
    <row r="7" spans="1:17" ht="25.5" customHeight="1" x14ac:dyDescent="0.25">
      <c r="A7" s="7" t="s">
        <v>10</v>
      </c>
      <c r="B7" s="8"/>
      <c r="C7" s="1977" t="s">
        <v>1039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1031</v>
      </c>
      <c r="D9" s="1972"/>
      <c r="E9" s="1972"/>
      <c r="F9" s="1972"/>
      <c r="G9" s="1972"/>
      <c r="H9" s="1972"/>
      <c r="I9" s="1972"/>
      <c r="J9" s="1972"/>
      <c r="K9" s="1972"/>
      <c r="L9" s="1972"/>
      <c r="M9" s="1972"/>
      <c r="N9" s="1972"/>
      <c r="O9" s="1972"/>
      <c r="P9" s="1973"/>
      <c r="Q9" s="276"/>
    </row>
    <row r="10" spans="1:17" ht="12.75" customHeight="1" x14ac:dyDescent="0.25">
      <c r="A10" s="7"/>
      <c r="B10" s="8" t="s">
        <v>15</v>
      </c>
      <c r="C10" s="1972" t="s">
        <v>1032</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1033</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616993</v>
      </c>
      <c r="D20" s="32">
        <f>SUM(D21,D24,D25,D41,D43)</f>
        <v>592478</v>
      </c>
      <c r="E20" s="33">
        <f t="shared" ref="E20:F20" si="1">SUM(E21,E24,E25,E41,E43)</f>
        <v>4555</v>
      </c>
      <c r="F20" s="34">
        <f t="shared" si="1"/>
        <v>597033</v>
      </c>
      <c r="G20" s="32">
        <f>SUM(G21,G24,G43)</f>
        <v>0</v>
      </c>
      <c r="H20" s="33">
        <f t="shared" ref="H20:I20" si="2">SUM(H21,H24,H43)</f>
        <v>0</v>
      </c>
      <c r="I20" s="34">
        <f t="shared" si="2"/>
        <v>0</v>
      </c>
      <c r="J20" s="32">
        <f>SUM(J21,J26,J43)</f>
        <v>19960</v>
      </c>
      <c r="K20" s="33">
        <f t="shared" ref="K20:L20" si="3">SUM(K21,K26,K43)</f>
        <v>0</v>
      </c>
      <c r="L20" s="34">
        <f t="shared" si="3"/>
        <v>19960</v>
      </c>
      <c r="M20" s="32">
        <f>SUM(M21,M45)</f>
        <v>0</v>
      </c>
      <c r="N20" s="33">
        <f t="shared" ref="N20:O20" si="4">SUM(N21,N45)</f>
        <v>0</v>
      </c>
      <c r="O20" s="34">
        <f t="shared" si="4"/>
        <v>0</v>
      </c>
      <c r="P20" s="35"/>
    </row>
    <row r="21" spans="1:16" ht="12.75" thickTop="1" x14ac:dyDescent="0.25">
      <c r="A21" s="36"/>
      <c r="B21" s="37" t="s">
        <v>40</v>
      </c>
      <c r="C21" s="38">
        <f t="shared" si="0"/>
        <v>714</v>
      </c>
      <c r="D21" s="39">
        <f>SUM(D22:D23)</f>
        <v>0</v>
      </c>
      <c r="E21" s="40">
        <f t="shared" ref="E21:F21" si="5">SUM(E22:E23)</f>
        <v>0</v>
      </c>
      <c r="F21" s="41">
        <f t="shared" si="5"/>
        <v>0</v>
      </c>
      <c r="G21" s="39">
        <f>SUM(G22:G23)</f>
        <v>0</v>
      </c>
      <c r="H21" s="40">
        <f t="shared" ref="H21:I21" si="6">SUM(H22:H23)</f>
        <v>0</v>
      </c>
      <c r="I21" s="41">
        <f t="shared" si="6"/>
        <v>0</v>
      </c>
      <c r="J21" s="39">
        <f>SUM(J22:J23)</f>
        <v>714</v>
      </c>
      <c r="K21" s="40">
        <f t="shared" ref="K21:L21" si="7">SUM(K22:K23)</f>
        <v>0</v>
      </c>
      <c r="L21" s="41">
        <f t="shared" si="7"/>
        <v>714</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714</v>
      </c>
      <c r="D23" s="53"/>
      <c r="E23" s="54"/>
      <c r="F23" s="55">
        <f t="shared" ref="F23:F25" si="9">D23+E23</f>
        <v>0</v>
      </c>
      <c r="G23" s="53"/>
      <c r="H23" s="54"/>
      <c r="I23" s="55">
        <f t="shared" ref="I23:I24" si="10">G23+H23</f>
        <v>0</v>
      </c>
      <c r="J23" s="53">
        <v>714</v>
      </c>
      <c r="K23" s="54"/>
      <c r="L23" s="56">
        <f>K23+J23</f>
        <v>714</v>
      </c>
      <c r="M23" s="53"/>
      <c r="N23" s="54"/>
      <c r="O23" s="55">
        <f>N23+M23</f>
        <v>0</v>
      </c>
      <c r="P23" s="57"/>
    </row>
    <row r="24" spans="1:16" s="28" customFormat="1" ht="24.75" customHeight="1" thickBot="1" x14ac:dyDescent="0.3">
      <c r="A24" s="58">
        <v>19300</v>
      </c>
      <c r="B24" s="58" t="s">
        <v>43</v>
      </c>
      <c r="C24" s="59">
        <f>F24+I24</f>
        <v>597033</v>
      </c>
      <c r="D24" s="60">
        <v>592478</v>
      </c>
      <c r="E24" s="61">
        <v>4555</v>
      </c>
      <c r="F24" s="62">
        <f t="shared" si="9"/>
        <v>597033</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19146</v>
      </c>
      <c r="D26" s="73" t="s">
        <v>44</v>
      </c>
      <c r="E26" s="74" t="s">
        <v>44</v>
      </c>
      <c r="F26" s="75" t="s">
        <v>44</v>
      </c>
      <c r="G26" s="73" t="s">
        <v>44</v>
      </c>
      <c r="H26" s="74" t="s">
        <v>44</v>
      </c>
      <c r="I26" s="75" t="s">
        <v>44</v>
      </c>
      <c r="J26" s="77">
        <f>SUM(J27,J31,J33,J36)</f>
        <v>19146</v>
      </c>
      <c r="K26" s="78">
        <f t="shared" ref="K26:L26" si="11">SUM(K27,K31,K33,K36)</f>
        <v>0</v>
      </c>
      <c r="L26" s="79">
        <f t="shared" si="11"/>
        <v>19146</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customHeight="1" x14ac:dyDescent="0.25">
      <c r="A33" s="80">
        <v>21380</v>
      </c>
      <c r="B33" s="68" t="s">
        <v>53</v>
      </c>
      <c r="C33" s="69">
        <f t="shared" si="16"/>
        <v>5255</v>
      </c>
      <c r="D33" s="73" t="s">
        <v>44</v>
      </c>
      <c r="E33" s="74" t="s">
        <v>44</v>
      </c>
      <c r="F33" s="75" t="s">
        <v>44</v>
      </c>
      <c r="G33" s="73" t="s">
        <v>44</v>
      </c>
      <c r="H33" s="74" t="s">
        <v>44</v>
      </c>
      <c r="I33" s="75" t="s">
        <v>44</v>
      </c>
      <c r="J33" s="77">
        <f>SUM(J34:J35)</f>
        <v>5255</v>
      </c>
      <c r="K33" s="78">
        <f t="shared" ref="K33:L33" si="17">SUM(K34:K35)</f>
        <v>0</v>
      </c>
      <c r="L33" s="79">
        <f t="shared" si="17"/>
        <v>5255</v>
      </c>
      <c r="M33" s="77" t="s">
        <v>44</v>
      </c>
      <c r="N33" s="78" t="s">
        <v>44</v>
      </c>
      <c r="O33" s="79" t="s">
        <v>44</v>
      </c>
      <c r="P33" s="76"/>
    </row>
    <row r="34" spans="1:16" ht="12" customHeight="1" x14ac:dyDescent="0.25">
      <c r="A34" s="44">
        <v>21381</v>
      </c>
      <c r="B34" s="81" t="s">
        <v>54</v>
      </c>
      <c r="C34" s="82">
        <f t="shared" si="16"/>
        <v>4655</v>
      </c>
      <c r="D34" s="83" t="s">
        <v>44</v>
      </c>
      <c r="E34" s="84" t="s">
        <v>44</v>
      </c>
      <c r="F34" s="85" t="s">
        <v>44</v>
      </c>
      <c r="G34" s="83" t="s">
        <v>44</v>
      </c>
      <c r="H34" s="84" t="s">
        <v>44</v>
      </c>
      <c r="I34" s="85" t="s">
        <v>44</v>
      </c>
      <c r="J34" s="46">
        <v>4655</v>
      </c>
      <c r="K34" s="47"/>
      <c r="L34" s="48">
        <f t="shared" ref="L34:L35" si="18">K34+J34</f>
        <v>4655</v>
      </c>
      <c r="M34" s="86" t="s">
        <v>44</v>
      </c>
      <c r="N34" s="87" t="s">
        <v>44</v>
      </c>
      <c r="O34" s="48" t="s">
        <v>44</v>
      </c>
      <c r="P34" s="49"/>
    </row>
    <row r="35" spans="1:16" ht="24" customHeight="1" x14ac:dyDescent="0.25">
      <c r="A35" s="51">
        <v>21383</v>
      </c>
      <c r="B35" s="88" t="s">
        <v>55</v>
      </c>
      <c r="C35" s="89">
        <f t="shared" si="16"/>
        <v>600</v>
      </c>
      <c r="D35" s="90" t="s">
        <v>44</v>
      </c>
      <c r="E35" s="91" t="s">
        <v>44</v>
      </c>
      <c r="F35" s="92" t="s">
        <v>44</v>
      </c>
      <c r="G35" s="90" t="s">
        <v>44</v>
      </c>
      <c r="H35" s="91" t="s">
        <v>44</v>
      </c>
      <c r="I35" s="92" t="s">
        <v>44</v>
      </c>
      <c r="J35" s="53">
        <v>600</v>
      </c>
      <c r="K35" s="54"/>
      <c r="L35" s="56">
        <f t="shared" si="18"/>
        <v>600</v>
      </c>
      <c r="M35" s="93" t="s">
        <v>44</v>
      </c>
      <c r="N35" s="94" t="s">
        <v>44</v>
      </c>
      <c r="O35" s="56" t="s">
        <v>44</v>
      </c>
      <c r="P35" s="57"/>
    </row>
    <row r="36" spans="1:16" s="28" customFormat="1" ht="25.5" customHeight="1" x14ac:dyDescent="0.25">
      <c r="A36" s="80">
        <v>21390</v>
      </c>
      <c r="B36" s="68" t="s">
        <v>56</v>
      </c>
      <c r="C36" s="69">
        <f t="shared" si="16"/>
        <v>13891</v>
      </c>
      <c r="D36" s="73" t="s">
        <v>44</v>
      </c>
      <c r="E36" s="74" t="s">
        <v>44</v>
      </c>
      <c r="F36" s="75" t="s">
        <v>44</v>
      </c>
      <c r="G36" s="73" t="s">
        <v>44</v>
      </c>
      <c r="H36" s="74" t="s">
        <v>44</v>
      </c>
      <c r="I36" s="75" t="s">
        <v>44</v>
      </c>
      <c r="J36" s="77">
        <f>SUM(J37:J40)</f>
        <v>13891</v>
      </c>
      <c r="K36" s="78">
        <f t="shared" ref="K36:L36" si="19">SUM(K37:K40)</f>
        <v>0</v>
      </c>
      <c r="L36" s="79">
        <f t="shared" si="19"/>
        <v>13891</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13891</v>
      </c>
      <c r="D40" s="110" t="s">
        <v>44</v>
      </c>
      <c r="E40" s="111" t="s">
        <v>44</v>
      </c>
      <c r="F40" s="112" t="s">
        <v>44</v>
      </c>
      <c r="G40" s="110" t="s">
        <v>44</v>
      </c>
      <c r="H40" s="111" t="s">
        <v>44</v>
      </c>
      <c r="I40" s="112" t="s">
        <v>44</v>
      </c>
      <c r="J40" s="113">
        <v>13891</v>
      </c>
      <c r="K40" s="114"/>
      <c r="L40" s="115">
        <f t="shared" si="20"/>
        <v>13891</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x14ac:dyDescent="0.25">
      <c r="A43" s="80">
        <v>21490</v>
      </c>
      <c r="B43" s="68" t="s">
        <v>63</v>
      </c>
      <c r="C43" s="131">
        <f>F43+I43+L43</f>
        <v>100</v>
      </c>
      <c r="D43" s="77">
        <f>D44</f>
        <v>0</v>
      </c>
      <c r="E43" s="78">
        <f t="shared" ref="E43:L43" si="22">E44</f>
        <v>0</v>
      </c>
      <c r="F43" s="79">
        <f t="shared" si="22"/>
        <v>0</v>
      </c>
      <c r="G43" s="77">
        <f t="shared" si="22"/>
        <v>0</v>
      </c>
      <c r="H43" s="78">
        <f t="shared" si="22"/>
        <v>0</v>
      </c>
      <c r="I43" s="79">
        <f t="shared" si="22"/>
        <v>0</v>
      </c>
      <c r="J43" s="77">
        <f t="shared" si="22"/>
        <v>100</v>
      </c>
      <c r="K43" s="78">
        <f t="shared" si="22"/>
        <v>0</v>
      </c>
      <c r="L43" s="79">
        <f t="shared" si="22"/>
        <v>100</v>
      </c>
      <c r="M43" s="77" t="s">
        <v>44</v>
      </c>
      <c r="N43" s="78" t="s">
        <v>44</v>
      </c>
      <c r="O43" s="79" t="s">
        <v>44</v>
      </c>
      <c r="P43" s="76"/>
    </row>
    <row r="44" spans="1:16" s="28" customFormat="1" ht="24" customHeight="1" x14ac:dyDescent="0.25">
      <c r="A44" s="51">
        <v>21499</v>
      </c>
      <c r="B44" s="88" t="s">
        <v>64</v>
      </c>
      <c r="C44" s="132">
        <f>F44+I44+L44</f>
        <v>100</v>
      </c>
      <c r="D44" s="46"/>
      <c r="E44" s="47"/>
      <c r="F44" s="133">
        <f>D44+E44</f>
        <v>0</v>
      </c>
      <c r="G44" s="46"/>
      <c r="H44" s="47"/>
      <c r="I44" s="133">
        <f>G44+H44</f>
        <v>0</v>
      </c>
      <c r="J44" s="46">
        <v>100</v>
      </c>
      <c r="K44" s="47"/>
      <c r="L44" s="48">
        <f>K44+J44</f>
        <v>100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616993</v>
      </c>
      <c r="D50" s="158">
        <f>SUM(D51,D286)</f>
        <v>592478</v>
      </c>
      <c r="E50" s="159">
        <f t="shared" ref="E50:F50" si="26">SUM(E51,E286)</f>
        <v>4555</v>
      </c>
      <c r="F50" s="160">
        <f t="shared" si="26"/>
        <v>597033</v>
      </c>
      <c r="G50" s="158">
        <f>SUM(G51,G286)</f>
        <v>0</v>
      </c>
      <c r="H50" s="159">
        <f>SUM(H51,H286)</f>
        <v>0</v>
      </c>
      <c r="I50" s="160">
        <f t="shared" ref="I50" si="27">SUM(I51,I286)</f>
        <v>0</v>
      </c>
      <c r="J50" s="32">
        <f>SUM(J51,J286)</f>
        <v>19960</v>
      </c>
      <c r="K50" s="33">
        <f t="shared" ref="K50:L50" si="28">SUM(K51,K286)</f>
        <v>0</v>
      </c>
      <c r="L50" s="34">
        <f t="shared" si="28"/>
        <v>19960</v>
      </c>
      <c r="M50" s="32">
        <f>SUM(M51,M286)</f>
        <v>0</v>
      </c>
      <c r="N50" s="33">
        <f t="shared" ref="N50:O50" si="29">SUM(N51,N286)</f>
        <v>0</v>
      </c>
      <c r="O50" s="34">
        <f t="shared" si="29"/>
        <v>0</v>
      </c>
      <c r="P50" s="35"/>
    </row>
    <row r="51" spans="1:16" s="28" customFormat="1" ht="36.75" thickTop="1" x14ac:dyDescent="0.25">
      <c r="A51" s="161"/>
      <c r="B51" s="162" t="s">
        <v>70</v>
      </c>
      <c r="C51" s="163">
        <f t="shared" si="0"/>
        <v>616993</v>
      </c>
      <c r="D51" s="164">
        <f>SUM(D52,D194)</f>
        <v>592478</v>
      </c>
      <c r="E51" s="165">
        <f t="shared" ref="E51:F51" si="30">SUM(E52,E194)</f>
        <v>4555</v>
      </c>
      <c r="F51" s="166">
        <f t="shared" si="30"/>
        <v>597033</v>
      </c>
      <c r="G51" s="164">
        <f>SUM(G52,G194)</f>
        <v>0</v>
      </c>
      <c r="H51" s="165">
        <f t="shared" ref="H51:I51" si="31">SUM(H52,H194)</f>
        <v>0</v>
      </c>
      <c r="I51" s="166">
        <f t="shared" si="31"/>
        <v>0</v>
      </c>
      <c r="J51" s="167">
        <f>SUM(J52,J194)</f>
        <v>19960</v>
      </c>
      <c r="K51" s="168">
        <f t="shared" ref="K51:L51" si="32">SUM(K52,K194)</f>
        <v>0</v>
      </c>
      <c r="L51" s="169">
        <f t="shared" si="32"/>
        <v>19960</v>
      </c>
      <c r="M51" s="167">
        <f>SUM(M52,M194)</f>
        <v>0</v>
      </c>
      <c r="N51" s="168">
        <f t="shared" ref="N51:O51" si="33">SUM(N52,N194)</f>
        <v>0</v>
      </c>
      <c r="O51" s="169">
        <f t="shared" si="33"/>
        <v>0</v>
      </c>
      <c r="P51" s="170"/>
    </row>
    <row r="52" spans="1:16" s="28" customFormat="1" ht="24" x14ac:dyDescent="0.25">
      <c r="A52" s="24"/>
      <c r="B52" s="22" t="s">
        <v>71</v>
      </c>
      <c r="C52" s="171">
        <f t="shared" si="0"/>
        <v>612093</v>
      </c>
      <c r="D52" s="172">
        <f>SUM(D53,D75,D173,D187)</f>
        <v>587578</v>
      </c>
      <c r="E52" s="173">
        <f t="shared" ref="E52:F52" si="34">SUM(E53,E75,E173,E187)</f>
        <v>4555</v>
      </c>
      <c r="F52" s="174">
        <f t="shared" si="34"/>
        <v>592133</v>
      </c>
      <c r="G52" s="172">
        <f>SUM(G53,G75,G173,G187)</f>
        <v>0</v>
      </c>
      <c r="H52" s="173">
        <f t="shared" ref="H52:I52" si="35">SUM(H53,H75,H173,H187)</f>
        <v>0</v>
      </c>
      <c r="I52" s="174">
        <f t="shared" si="35"/>
        <v>0</v>
      </c>
      <c r="J52" s="172">
        <f>SUM(J53,J75,J173,J187)</f>
        <v>19960</v>
      </c>
      <c r="K52" s="173">
        <f t="shared" ref="K52:L52" si="36">SUM(K53,K75,K173,K187)</f>
        <v>0</v>
      </c>
      <c r="L52" s="174">
        <f t="shared" si="36"/>
        <v>19960</v>
      </c>
      <c r="M52" s="172">
        <f>SUM(M53,M75,M173,M187)</f>
        <v>0</v>
      </c>
      <c r="N52" s="173">
        <f t="shared" ref="N52:O52" si="37">SUM(N53,N75,N173,N187)</f>
        <v>0</v>
      </c>
      <c r="O52" s="174">
        <f t="shared" si="37"/>
        <v>0</v>
      </c>
      <c r="P52" s="175"/>
    </row>
    <row r="53" spans="1:16" s="28" customFormat="1" x14ac:dyDescent="0.25">
      <c r="A53" s="176">
        <v>1000</v>
      </c>
      <c r="B53" s="176" t="s">
        <v>72</v>
      </c>
      <c r="C53" s="177">
        <f t="shared" si="0"/>
        <v>532510</v>
      </c>
      <c r="D53" s="178">
        <f>SUM(D54,D67)</f>
        <v>532510</v>
      </c>
      <c r="E53" s="179">
        <f t="shared" ref="E53:F53" si="38">SUM(E54,E67)</f>
        <v>0</v>
      </c>
      <c r="F53" s="180">
        <f t="shared" si="38"/>
        <v>532510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405275</v>
      </c>
      <c r="D54" s="183">
        <f>SUM(D55,D58,D66)</f>
        <v>405275</v>
      </c>
      <c r="E54" s="184">
        <f t="shared" ref="E54:F54" si="42">SUM(E55,E58,E66)</f>
        <v>0</v>
      </c>
      <c r="F54" s="72">
        <f t="shared" si="42"/>
        <v>405275</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368164</v>
      </c>
      <c r="D55" s="186">
        <f>SUM(D56:D57)</f>
        <v>368164</v>
      </c>
      <c r="E55" s="187">
        <f t="shared" ref="E55:F55" si="46">SUM(E56:E57)</f>
        <v>0</v>
      </c>
      <c r="F55" s="140">
        <f t="shared" si="46"/>
        <v>368164</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368164</v>
      </c>
      <c r="D57" s="53">
        <v>368164</v>
      </c>
      <c r="E57" s="54"/>
      <c r="F57" s="55">
        <f t="shared" si="50"/>
        <v>368164</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34498</v>
      </c>
      <c r="D58" s="189">
        <f>SUM(D59:D65)</f>
        <v>34498</v>
      </c>
      <c r="E58" s="190">
        <f>SUM(E59:E65)</f>
        <v>0</v>
      </c>
      <c r="F58" s="55">
        <f t="shared" ref="F58" si="54">SUM(F59:F65)</f>
        <v>34498</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8" t="s">
        <v>78</v>
      </c>
      <c r="C59" s="89">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8793</v>
      </c>
      <c r="D63" s="53">
        <v>8793</v>
      </c>
      <c r="E63" s="54"/>
      <c r="F63" s="55">
        <f t="shared" si="58"/>
        <v>8793</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20504</v>
      </c>
      <c r="D64" s="53">
        <v>20504</v>
      </c>
      <c r="E64" s="54"/>
      <c r="F64" s="55">
        <f t="shared" si="58"/>
        <v>20504</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2613</v>
      </c>
      <c r="D66" s="143">
        <v>2613</v>
      </c>
      <c r="E66" s="144"/>
      <c r="F66" s="140">
        <f t="shared" si="58"/>
        <v>2613</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127235</v>
      </c>
      <c r="D67" s="183">
        <f>SUM(D68:D69)</f>
        <v>127235</v>
      </c>
      <c r="E67" s="184">
        <f t="shared" ref="E67:F67" si="62">SUM(E68:E69)</f>
        <v>0</v>
      </c>
      <c r="F67" s="72">
        <f t="shared" si="62"/>
        <v>127235</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293">
        <v>1210</v>
      </c>
      <c r="B68" s="81" t="s">
        <v>87</v>
      </c>
      <c r="C68" s="82">
        <f t="shared" si="0"/>
        <v>99845</v>
      </c>
      <c r="D68" s="46">
        <v>99845</v>
      </c>
      <c r="E68" s="47"/>
      <c r="F68" s="133">
        <f>D68+E68</f>
        <v>99845</v>
      </c>
      <c r="G68" s="46"/>
      <c r="H68" s="47"/>
      <c r="I68" s="133">
        <f>G68+H68</f>
        <v>0</v>
      </c>
      <c r="J68" s="46"/>
      <c r="K68" s="47"/>
      <c r="L68" s="133">
        <f>K68+J68</f>
        <v>0</v>
      </c>
      <c r="M68" s="46"/>
      <c r="N68" s="47"/>
      <c r="O68" s="133">
        <f>N68+M68</f>
        <v>0</v>
      </c>
      <c r="P68" s="49"/>
    </row>
    <row r="69" spans="1:16" ht="24" x14ac:dyDescent="0.25">
      <c r="A69" s="188">
        <v>1220</v>
      </c>
      <c r="B69" s="88" t="s">
        <v>88</v>
      </c>
      <c r="C69" s="89">
        <f t="shared" si="0"/>
        <v>27390</v>
      </c>
      <c r="D69" s="189">
        <f>SUM(D70:D74)</f>
        <v>27390</v>
      </c>
      <c r="E69" s="190">
        <f t="shared" ref="E69:F69" si="66">SUM(E70:E74)</f>
        <v>0</v>
      </c>
      <c r="F69" s="55">
        <f t="shared" si="66"/>
        <v>27390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17979</v>
      </c>
      <c r="D70" s="53">
        <v>17979</v>
      </c>
      <c r="E70" s="54"/>
      <c r="F70" s="55">
        <f t="shared" ref="F70:F74" si="70">D70+E70</f>
        <v>17979</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8751</v>
      </c>
      <c r="D73" s="53">
        <v>8751</v>
      </c>
      <c r="E73" s="54"/>
      <c r="F73" s="55">
        <f t="shared" si="70"/>
        <v>8751</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660</v>
      </c>
      <c r="D74" s="53">
        <v>660</v>
      </c>
      <c r="E74" s="54"/>
      <c r="F74" s="55">
        <f t="shared" si="70"/>
        <v>660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79583</v>
      </c>
      <c r="D75" s="178">
        <f>SUM(D76,D83,D130,D164,D165,D172)</f>
        <v>55068</v>
      </c>
      <c r="E75" s="179">
        <f t="shared" ref="E75:F75" si="74">SUM(E76,E83,E130,E164,E165,E172)</f>
        <v>4555</v>
      </c>
      <c r="F75" s="180">
        <f t="shared" si="74"/>
        <v>59623</v>
      </c>
      <c r="G75" s="178">
        <f>SUM(G76,G83,G130,G164,G165,G172)</f>
        <v>0</v>
      </c>
      <c r="H75" s="179">
        <f t="shared" ref="H75:I75" si="75">SUM(H76,H83,H130,H164,H165,H172)</f>
        <v>0</v>
      </c>
      <c r="I75" s="180">
        <f t="shared" si="75"/>
        <v>0</v>
      </c>
      <c r="J75" s="178">
        <f>SUM(J76,J83,J130,J164,J165,J172)</f>
        <v>19960</v>
      </c>
      <c r="K75" s="179">
        <f t="shared" ref="K75:L75" si="76">SUM(K76,K83,K130,K164,K165,K172)</f>
        <v>0</v>
      </c>
      <c r="L75" s="180">
        <f t="shared" si="76"/>
        <v>19960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9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54956</v>
      </c>
      <c r="D83" s="183">
        <f>SUM(D84,D89,D95,D103,D112,D116,D122,D128)</f>
        <v>41978</v>
      </c>
      <c r="E83" s="184">
        <f t="shared" ref="E83:F83" si="98">SUM(E84,E89,E95,E103,E112,E116,E122,E128)</f>
        <v>4555</v>
      </c>
      <c r="F83" s="72">
        <f t="shared" si="98"/>
        <v>46533</v>
      </c>
      <c r="G83" s="183">
        <f>SUM(G84,G89,G95,G103,G112,G116,G122,G128)</f>
        <v>0</v>
      </c>
      <c r="H83" s="184">
        <f t="shared" ref="H83:I83" si="99">SUM(H84,H89,H95,H103,H112,H116,H122,H128)</f>
        <v>0</v>
      </c>
      <c r="I83" s="72">
        <f t="shared" si="99"/>
        <v>0</v>
      </c>
      <c r="J83" s="183">
        <f>SUM(J84,J89,J95,J103,J112,J116,J122,J128)</f>
        <v>8523</v>
      </c>
      <c r="K83" s="184">
        <f t="shared" ref="K83:L83" si="100">SUM(K84,K89,K95,K103,K112,K116,K122,K128)</f>
        <v>-100</v>
      </c>
      <c r="L83" s="72">
        <f t="shared" si="100"/>
        <v>8423</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2366</v>
      </c>
      <c r="D84" s="186">
        <f>SUM(D85:D88)</f>
        <v>1236</v>
      </c>
      <c r="E84" s="187">
        <f t="shared" ref="E84:F84" si="103">SUM(E85:E88)</f>
        <v>0</v>
      </c>
      <c r="F84" s="140">
        <f t="shared" si="103"/>
        <v>1236</v>
      </c>
      <c r="G84" s="186">
        <f>SUM(G85:G88)</f>
        <v>0</v>
      </c>
      <c r="H84" s="187">
        <f t="shared" ref="H84:I84" si="104">SUM(H85:H88)</f>
        <v>0</v>
      </c>
      <c r="I84" s="140">
        <f t="shared" si="104"/>
        <v>0</v>
      </c>
      <c r="J84" s="186">
        <f>SUM(J85:J88)</f>
        <v>1130</v>
      </c>
      <c r="K84" s="187">
        <f t="shared" ref="K84:L84" si="105">SUM(K85:K88)</f>
        <v>0</v>
      </c>
      <c r="L84" s="140">
        <f t="shared" si="105"/>
        <v>1130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41.25" customHeight="1" x14ac:dyDescent="0.25">
      <c r="A86" s="51">
        <v>2212</v>
      </c>
      <c r="B86" s="88" t="s">
        <v>103</v>
      </c>
      <c r="C86" s="89">
        <f t="shared" si="102"/>
        <v>1757</v>
      </c>
      <c r="D86" s="194">
        <v>760</v>
      </c>
      <c r="E86" s="195"/>
      <c r="F86" s="55">
        <f t="shared" si="107"/>
        <v>760</v>
      </c>
      <c r="G86" s="53"/>
      <c r="H86" s="54"/>
      <c r="I86" s="55">
        <f t="shared" si="108"/>
        <v>0</v>
      </c>
      <c r="J86" s="53">
        <v>997</v>
      </c>
      <c r="K86" s="54"/>
      <c r="L86" s="55">
        <f t="shared" si="109"/>
        <v>997</v>
      </c>
      <c r="M86" s="53"/>
      <c r="N86" s="54"/>
      <c r="O86" s="55">
        <f t="shared" si="110"/>
        <v>0</v>
      </c>
      <c r="P86" s="57"/>
    </row>
    <row r="87" spans="1:16" ht="24" customHeight="1" x14ac:dyDescent="0.25">
      <c r="A87" s="51">
        <v>2214</v>
      </c>
      <c r="B87" s="88" t="s">
        <v>104</v>
      </c>
      <c r="C87" s="89">
        <f t="shared" si="102"/>
        <v>576</v>
      </c>
      <c r="D87" s="194">
        <v>476</v>
      </c>
      <c r="E87" s="195"/>
      <c r="F87" s="55">
        <f t="shared" si="107"/>
        <v>476</v>
      </c>
      <c r="G87" s="53"/>
      <c r="H87" s="54"/>
      <c r="I87" s="55">
        <f t="shared" si="108"/>
        <v>0</v>
      </c>
      <c r="J87" s="53">
        <v>100</v>
      </c>
      <c r="K87" s="54"/>
      <c r="L87" s="55">
        <f t="shared" si="109"/>
        <v>100</v>
      </c>
      <c r="M87" s="53"/>
      <c r="N87" s="54"/>
      <c r="O87" s="55">
        <f t="shared" si="110"/>
        <v>0</v>
      </c>
      <c r="P87" s="57"/>
    </row>
    <row r="88" spans="1:16" ht="23.45" customHeight="1" x14ac:dyDescent="0.25">
      <c r="A88" s="51">
        <v>2219</v>
      </c>
      <c r="B88" s="88" t="s">
        <v>105</v>
      </c>
      <c r="C88" s="89">
        <f t="shared" si="102"/>
        <v>33</v>
      </c>
      <c r="D88" s="194"/>
      <c r="E88" s="195"/>
      <c r="F88" s="55">
        <f t="shared" si="107"/>
        <v>0</v>
      </c>
      <c r="G88" s="53"/>
      <c r="H88" s="54"/>
      <c r="I88" s="55">
        <f t="shared" si="108"/>
        <v>0</v>
      </c>
      <c r="J88" s="53">
        <v>33</v>
      </c>
      <c r="K88" s="54"/>
      <c r="L88" s="55">
        <f t="shared" si="109"/>
        <v>33</v>
      </c>
      <c r="M88" s="53"/>
      <c r="N88" s="54"/>
      <c r="O88" s="55">
        <f t="shared" si="110"/>
        <v>0</v>
      </c>
      <c r="P88" s="57"/>
    </row>
    <row r="89" spans="1:16" ht="24" x14ac:dyDescent="0.25">
      <c r="A89" s="188">
        <v>2220</v>
      </c>
      <c r="B89" s="88" t="s">
        <v>106</v>
      </c>
      <c r="C89" s="89">
        <f t="shared" si="102"/>
        <v>40449</v>
      </c>
      <c r="D89" s="189">
        <f>SUM(D90:D94)</f>
        <v>31634</v>
      </c>
      <c r="E89" s="190">
        <f t="shared" ref="E89:F89" si="111">SUM(E90:E94)</f>
        <v>3683</v>
      </c>
      <c r="F89" s="55">
        <f t="shared" si="111"/>
        <v>35317</v>
      </c>
      <c r="G89" s="189">
        <f>SUM(G90:G94)</f>
        <v>0</v>
      </c>
      <c r="H89" s="190">
        <f t="shared" ref="H89:I89" si="112">SUM(H90:H94)</f>
        <v>0</v>
      </c>
      <c r="I89" s="55">
        <f t="shared" si="112"/>
        <v>0</v>
      </c>
      <c r="J89" s="189">
        <f>SUM(J90:J94)</f>
        <v>5031</v>
      </c>
      <c r="K89" s="190">
        <f t="shared" ref="K89:L89" si="113">SUM(K90:K94)</f>
        <v>101</v>
      </c>
      <c r="L89" s="55">
        <f t="shared" si="113"/>
        <v>5132</v>
      </c>
      <c r="M89" s="189">
        <f>SUM(M90:M94)</f>
        <v>0</v>
      </c>
      <c r="N89" s="190">
        <f t="shared" ref="N89:O89" si="114">SUM(N90:N94)</f>
        <v>0</v>
      </c>
      <c r="O89" s="55">
        <f t="shared" si="114"/>
        <v>0</v>
      </c>
      <c r="P89" s="57"/>
    </row>
    <row r="90" spans="1:16" ht="27" customHeight="1" x14ac:dyDescent="0.25">
      <c r="A90" s="51">
        <v>2221</v>
      </c>
      <c r="B90" s="88" t="s">
        <v>107</v>
      </c>
      <c r="C90" s="89">
        <f t="shared" si="102"/>
        <v>16770</v>
      </c>
      <c r="D90" s="194">
        <v>11470</v>
      </c>
      <c r="E90" s="195">
        <v>3683</v>
      </c>
      <c r="F90" s="55">
        <f t="shared" ref="F90:F94" si="115">D90+E90</f>
        <v>15153</v>
      </c>
      <c r="G90" s="53"/>
      <c r="H90" s="54"/>
      <c r="I90" s="55">
        <f t="shared" ref="I90:I94" si="116">G90+H90</f>
        <v>0</v>
      </c>
      <c r="J90" s="53">
        <v>1617</v>
      </c>
      <c r="K90" s="54"/>
      <c r="L90" s="55">
        <f t="shared" ref="L90:L94" si="117">K90+J90</f>
        <v>1617</v>
      </c>
      <c r="M90" s="53"/>
      <c r="N90" s="54"/>
      <c r="O90" s="55">
        <f t="shared" ref="O90:O94" si="118">N90+M90</f>
        <v>0</v>
      </c>
      <c r="P90" s="57" t="s">
        <v>1034</v>
      </c>
    </row>
    <row r="91" spans="1:16" ht="15" customHeight="1" x14ac:dyDescent="0.25">
      <c r="A91" s="829">
        <v>2222</v>
      </c>
      <c r="B91" s="830" t="s">
        <v>108</v>
      </c>
      <c r="C91" s="89">
        <f t="shared" si="102"/>
        <v>1786</v>
      </c>
      <c r="D91" s="194">
        <v>665</v>
      </c>
      <c r="E91" s="195"/>
      <c r="F91" s="55">
        <f t="shared" si="115"/>
        <v>665</v>
      </c>
      <c r="G91" s="53"/>
      <c r="H91" s="54"/>
      <c r="I91" s="55">
        <f t="shared" si="116"/>
        <v>0</v>
      </c>
      <c r="J91" s="53">
        <v>1020</v>
      </c>
      <c r="K91" s="54">
        <v>101</v>
      </c>
      <c r="L91" s="55">
        <f t="shared" si="117"/>
        <v>1121</v>
      </c>
      <c r="M91" s="53"/>
      <c r="N91" s="54"/>
      <c r="O91" s="55">
        <f t="shared" si="118"/>
        <v>0</v>
      </c>
      <c r="P91" s="57" t="s">
        <v>1035</v>
      </c>
    </row>
    <row r="92" spans="1:16" ht="12" customHeight="1" x14ac:dyDescent="0.25">
      <c r="A92" s="51">
        <v>2223</v>
      </c>
      <c r="B92" s="88" t="s">
        <v>109</v>
      </c>
      <c r="C92" s="89">
        <f t="shared" si="102"/>
        <v>21482</v>
      </c>
      <c r="D92" s="194">
        <v>19396</v>
      </c>
      <c r="E92" s="195"/>
      <c r="F92" s="55">
        <f t="shared" si="115"/>
        <v>19396</v>
      </c>
      <c r="G92" s="53"/>
      <c r="H92" s="54"/>
      <c r="I92" s="55">
        <f t="shared" si="116"/>
        <v>0</v>
      </c>
      <c r="J92" s="53">
        <v>2086</v>
      </c>
      <c r="K92" s="54"/>
      <c r="L92" s="55">
        <f t="shared" si="117"/>
        <v>2086</v>
      </c>
      <c r="M92" s="53"/>
      <c r="N92" s="54"/>
      <c r="O92" s="55">
        <f t="shared" si="118"/>
        <v>0</v>
      </c>
      <c r="P92" s="57"/>
    </row>
    <row r="93" spans="1:16" ht="48" customHeight="1" x14ac:dyDescent="0.25">
      <c r="A93" s="51">
        <v>2224</v>
      </c>
      <c r="B93" s="88" t="s">
        <v>110</v>
      </c>
      <c r="C93" s="89">
        <f t="shared" si="102"/>
        <v>411</v>
      </c>
      <c r="D93" s="194">
        <v>103</v>
      </c>
      <c r="E93" s="195"/>
      <c r="F93" s="55">
        <f t="shared" si="115"/>
        <v>103</v>
      </c>
      <c r="G93" s="53"/>
      <c r="H93" s="54"/>
      <c r="I93" s="55">
        <f t="shared" si="116"/>
        <v>0</v>
      </c>
      <c r="J93" s="53">
        <v>308</v>
      </c>
      <c r="K93" s="54"/>
      <c r="L93" s="55">
        <f t="shared" si="117"/>
        <v>308</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956</v>
      </c>
      <c r="D95" s="189">
        <f>SUM(D96:D102)</f>
        <v>556</v>
      </c>
      <c r="E95" s="190">
        <f t="shared" ref="E95:F95" si="119">SUM(E96:E102)</f>
        <v>0</v>
      </c>
      <c r="F95" s="55">
        <f t="shared" si="119"/>
        <v>556</v>
      </c>
      <c r="G95" s="189">
        <f>SUM(G96:G102)</f>
        <v>0</v>
      </c>
      <c r="H95" s="190">
        <f t="shared" ref="H95:I95" si="120">SUM(H96:H102)</f>
        <v>0</v>
      </c>
      <c r="I95" s="55">
        <f t="shared" si="120"/>
        <v>0</v>
      </c>
      <c r="J95" s="189">
        <f>SUM(J96:J102)</f>
        <v>400</v>
      </c>
      <c r="K95" s="190">
        <f t="shared" ref="K95:L95" si="121">SUM(K96:K102)</f>
        <v>0</v>
      </c>
      <c r="L95" s="55">
        <f t="shared" si="121"/>
        <v>400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8" t="s">
        <v>118</v>
      </c>
      <c r="C101" s="89">
        <f t="shared" si="102"/>
        <v>204</v>
      </c>
      <c r="D101" s="194"/>
      <c r="E101" s="195"/>
      <c r="F101" s="55">
        <f t="shared" si="123"/>
        <v>0</v>
      </c>
      <c r="G101" s="53"/>
      <c r="H101" s="54"/>
      <c r="I101" s="55">
        <f t="shared" si="124"/>
        <v>0</v>
      </c>
      <c r="J101" s="53">
        <v>204</v>
      </c>
      <c r="K101" s="54"/>
      <c r="L101" s="55">
        <f t="shared" si="125"/>
        <v>204</v>
      </c>
      <c r="M101" s="53"/>
      <c r="N101" s="54"/>
      <c r="O101" s="55">
        <f t="shared" si="126"/>
        <v>0</v>
      </c>
      <c r="P101" s="57"/>
    </row>
    <row r="102" spans="1:16" ht="24" customHeight="1" x14ac:dyDescent="0.25">
      <c r="A102" s="51">
        <v>2239</v>
      </c>
      <c r="B102" s="88" t="s">
        <v>119</v>
      </c>
      <c r="C102" s="89">
        <f t="shared" si="102"/>
        <v>752</v>
      </c>
      <c r="D102" s="194">
        <v>556</v>
      </c>
      <c r="E102" s="195"/>
      <c r="F102" s="55">
        <f t="shared" si="123"/>
        <v>556</v>
      </c>
      <c r="G102" s="53"/>
      <c r="H102" s="54"/>
      <c r="I102" s="55">
        <f t="shared" si="124"/>
        <v>0</v>
      </c>
      <c r="J102" s="53">
        <v>196</v>
      </c>
      <c r="K102" s="54"/>
      <c r="L102" s="55">
        <f t="shared" si="125"/>
        <v>196</v>
      </c>
      <c r="M102" s="53"/>
      <c r="N102" s="54"/>
      <c r="O102" s="55">
        <f t="shared" si="126"/>
        <v>0</v>
      </c>
      <c r="P102" s="57"/>
    </row>
    <row r="103" spans="1:16" ht="36" x14ac:dyDescent="0.25">
      <c r="A103" s="188">
        <v>2240</v>
      </c>
      <c r="B103" s="88" t="s">
        <v>120</v>
      </c>
      <c r="C103" s="89">
        <f t="shared" si="102"/>
        <v>8927</v>
      </c>
      <c r="D103" s="189">
        <f>SUM(D104:D111)</f>
        <v>7007</v>
      </c>
      <c r="E103" s="190">
        <f t="shared" ref="E103:F103" si="127">SUM(E104:E111)</f>
        <v>872</v>
      </c>
      <c r="F103" s="55">
        <f t="shared" si="127"/>
        <v>7879</v>
      </c>
      <c r="G103" s="189">
        <f>SUM(G104:G111)</f>
        <v>0</v>
      </c>
      <c r="H103" s="190">
        <f t="shared" ref="H103:I103" si="128">SUM(H104:H111)</f>
        <v>0</v>
      </c>
      <c r="I103" s="55">
        <f t="shared" si="128"/>
        <v>0</v>
      </c>
      <c r="J103" s="189">
        <f>SUM(J104:J111)</f>
        <v>1048</v>
      </c>
      <c r="K103" s="190">
        <f t="shared" ref="K103:L103" si="129">SUM(K104:K111)</f>
        <v>0</v>
      </c>
      <c r="L103" s="55">
        <f t="shared" si="129"/>
        <v>1048</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7" customHeight="1" x14ac:dyDescent="0.25">
      <c r="A106" s="51">
        <v>2243</v>
      </c>
      <c r="B106" s="88" t="s">
        <v>123</v>
      </c>
      <c r="C106" s="89">
        <f t="shared" si="102"/>
        <v>1163</v>
      </c>
      <c r="D106" s="194">
        <v>100</v>
      </c>
      <c r="E106" s="195">
        <v>872</v>
      </c>
      <c r="F106" s="55">
        <f t="shared" si="131"/>
        <v>972</v>
      </c>
      <c r="G106" s="53"/>
      <c r="H106" s="54"/>
      <c r="I106" s="55">
        <f t="shared" si="132"/>
        <v>0</v>
      </c>
      <c r="J106" s="53">
        <v>191</v>
      </c>
      <c r="K106" s="54"/>
      <c r="L106" s="55">
        <f t="shared" si="133"/>
        <v>191</v>
      </c>
      <c r="M106" s="53"/>
      <c r="N106" s="54"/>
      <c r="O106" s="55">
        <f t="shared" si="134"/>
        <v>0</v>
      </c>
      <c r="P106" s="57" t="s">
        <v>1036</v>
      </c>
    </row>
    <row r="107" spans="1:16" ht="12" customHeight="1" x14ac:dyDescent="0.25">
      <c r="A107" s="51">
        <v>2244</v>
      </c>
      <c r="B107" s="88" t="s">
        <v>124</v>
      </c>
      <c r="C107" s="89">
        <f t="shared" si="102"/>
        <v>7711</v>
      </c>
      <c r="D107" s="194">
        <v>6907</v>
      </c>
      <c r="E107" s="195"/>
      <c r="F107" s="55">
        <f t="shared" si="131"/>
        <v>6907</v>
      </c>
      <c r="G107" s="53"/>
      <c r="H107" s="54"/>
      <c r="I107" s="55">
        <f t="shared" si="132"/>
        <v>0</v>
      </c>
      <c r="J107" s="53">
        <v>804</v>
      </c>
      <c r="K107" s="54"/>
      <c r="L107" s="55">
        <f t="shared" si="133"/>
        <v>804</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8" t="s">
        <v>128</v>
      </c>
      <c r="C111" s="89">
        <f t="shared" si="102"/>
        <v>53</v>
      </c>
      <c r="D111" s="194"/>
      <c r="E111" s="195"/>
      <c r="F111" s="55">
        <f t="shared" si="131"/>
        <v>0</v>
      </c>
      <c r="G111" s="53"/>
      <c r="H111" s="54"/>
      <c r="I111" s="55">
        <f t="shared" si="132"/>
        <v>0</v>
      </c>
      <c r="J111" s="53">
        <v>53</v>
      </c>
      <c r="K111" s="54"/>
      <c r="L111" s="55">
        <f t="shared" si="133"/>
        <v>53</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1672</v>
      </c>
      <c r="D116" s="189">
        <f>SUM(D117:D121)</f>
        <v>1212</v>
      </c>
      <c r="E116" s="190">
        <f t="shared" ref="E116:F116" si="143">SUM(E117:E121)</f>
        <v>0</v>
      </c>
      <c r="F116" s="55">
        <f t="shared" si="143"/>
        <v>1212</v>
      </c>
      <c r="G116" s="189">
        <f>SUM(G117:G121)</f>
        <v>0</v>
      </c>
      <c r="H116" s="190">
        <f t="shared" ref="H116:I116" si="144">SUM(H117:H121)</f>
        <v>0</v>
      </c>
      <c r="I116" s="55">
        <f t="shared" si="144"/>
        <v>0</v>
      </c>
      <c r="J116" s="189">
        <f>SUM(J117:J121)</f>
        <v>661</v>
      </c>
      <c r="K116" s="190">
        <f t="shared" ref="K116:L116" si="145">SUM(K117:K121)</f>
        <v>-201</v>
      </c>
      <c r="L116" s="55">
        <f t="shared" si="145"/>
        <v>460</v>
      </c>
      <c r="M116" s="189">
        <f>SUM(M117:M121)</f>
        <v>0</v>
      </c>
      <c r="N116" s="190">
        <f t="shared" ref="N116:O116" si="146">SUM(N117:N121)</f>
        <v>0</v>
      </c>
      <c r="O116" s="55">
        <f t="shared" si="146"/>
        <v>0</v>
      </c>
      <c r="P116" s="57"/>
    </row>
    <row r="117" spans="1:16" ht="12" customHeight="1" x14ac:dyDescent="0.25">
      <c r="A117" s="51">
        <v>2261</v>
      </c>
      <c r="B117" s="88" t="s">
        <v>134</v>
      </c>
      <c r="C117" s="89">
        <f t="shared" si="102"/>
        <v>160</v>
      </c>
      <c r="D117" s="194"/>
      <c r="E117" s="195"/>
      <c r="F117" s="55">
        <f t="shared" ref="F117:F121" si="147">D117+E117</f>
        <v>0</v>
      </c>
      <c r="G117" s="53"/>
      <c r="H117" s="54"/>
      <c r="I117" s="55">
        <f t="shared" ref="I117:I121" si="148">G117+H117</f>
        <v>0</v>
      </c>
      <c r="J117" s="53">
        <v>361</v>
      </c>
      <c r="K117" s="54">
        <v>-201</v>
      </c>
      <c r="L117" s="55">
        <f t="shared" ref="L117:L121" si="149">K117+J117</f>
        <v>160</v>
      </c>
      <c r="M117" s="53"/>
      <c r="N117" s="54"/>
      <c r="O117" s="55">
        <f t="shared" ref="O117:O121" si="150">N117+M117</f>
        <v>0</v>
      </c>
      <c r="P117" s="57" t="s">
        <v>1037</v>
      </c>
    </row>
    <row r="118" spans="1:16" ht="12" customHeight="1" x14ac:dyDescent="0.25">
      <c r="A118" s="51">
        <v>2262</v>
      </c>
      <c r="B118" s="88" t="s">
        <v>135</v>
      </c>
      <c r="C118" s="89">
        <f t="shared" si="102"/>
        <v>300</v>
      </c>
      <c r="D118" s="194"/>
      <c r="E118" s="195"/>
      <c r="F118" s="55">
        <f t="shared" si="147"/>
        <v>0</v>
      </c>
      <c r="G118" s="53"/>
      <c r="H118" s="54"/>
      <c r="I118" s="55">
        <f t="shared" si="148"/>
        <v>0</v>
      </c>
      <c r="J118" s="53">
        <v>300</v>
      </c>
      <c r="K118" s="54"/>
      <c r="L118" s="55">
        <f t="shared" si="149"/>
        <v>300</v>
      </c>
      <c r="M118" s="53"/>
      <c r="N118" s="54"/>
      <c r="O118" s="55">
        <f t="shared" si="150"/>
        <v>0</v>
      </c>
      <c r="P118" s="57"/>
    </row>
    <row r="119" spans="1:16" ht="12" customHeight="1" x14ac:dyDescent="0.25">
      <c r="A119" s="51">
        <v>2263</v>
      </c>
      <c r="B119" s="88" t="s">
        <v>136</v>
      </c>
      <c r="C119" s="89">
        <f t="shared" si="102"/>
        <v>1187</v>
      </c>
      <c r="D119" s="194">
        <v>1187</v>
      </c>
      <c r="E119" s="195"/>
      <c r="F119" s="55">
        <f t="shared" si="147"/>
        <v>1187</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8" t="s">
        <v>138</v>
      </c>
      <c r="C121" s="89">
        <f t="shared" si="102"/>
        <v>25</v>
      </c>
      <c r="D121" s="194">
        <v>25</v>
      </c>
      <c r="E121" s="195"/>
      <c r="F121" s="55">
        <f t="shared" si="147"/>
        <v>25</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586</v>
      </c>
      <c r="D122" s="189">
        <f>SUM(D123:D127)</f>
        <v>333</v>
      </c>
      <c r="E122" s="190">
        <f t="shared" ref="E122:F122" si="151">SUM(E123:E127)</f>
        <v>0</v>
      </c>
      <c r="F122" s="55">
        <f t="shared" si="151"/>
        <v>333</v>
      </c>
      <c r="G122" s="189">
        <f>SUM(G123:G127)</f>
        <v>0</v>
      </c>
      <c r="H122" s="190">
        <f t="shared" ref="H122:I122" si="152">SUM(H123:H127)</f>
        <v>0</v>
      </c>
      <c r="I122" s="55">
        <f t="shared" si="152"/>
        <v>0</v>
      </c>
      <c r="J122" s="189">
        <f>SUM(J123:J127)</f>
        <v>253</v>
      </c>
      <c r="K122" s="190">
        <f t="shared" ref="K122:L122" si="153">SUM(K123:K127)</f>
        <v>0</v>
      </c>
      <c r="L122" s="55">
        <f t="shared" si="153"/>
        <v>253</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586</v>
      </c>
      <c r="D127" s="194">
        <v>333</v>
      </c>
      <c r="E127" s="195"/>
      <c r="F127" s="55">
        <f t="shared" si="155"/>
        <v>333</v>
      </c>
      <c r="G127" s="53"/>
      <c r="H127" s="54"/>
      <c r="I127" s="55">
        <f t="shared" si="156"/>
        <v>0</v>
      </c>
      <c r="J127" s="53">
        <v>253</v>
      </c>
      <c r="K127" s="54"/>
      <c r="L127" s="55">
        <f t="shared" si="157"/>
        <v>253</v>
      </c>
      <c r="M127" s="53"/>
      <c r="N127" s="54"/>
      <c r="O127" s="55">
        <f t="shared" si="158"/>
        <v>0</v>
      </c>
      <c r="P127" s="57"/>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24602</v>
      </c>
      <c r="D130" s="183">
        <f>SUM(D131,D136,D140,D141,D144,D151,D159,D160,D163)</f>
        <v>13065</v>
      </c>
      <c r="E130" s="184">
        <f t="shared" ref="E130:F130" si="160">SUM(E131,E136,E140,E141,E144,E151,E159,E160,E163)</f>
        <v>0</v>
      </c>
      <c r="F130" s="72">
        <f t="shared" si="160"/>
        <v>13065</v>
      </c>
      <c r="G130" s="183">
        <f>SUM(G131,G136,G140,G141,G144,G151,G159,G160,G163)</f>
        <v>0</v>
      </c>
      <c r="H130" s="184">
        <f t="shared" ref="H130:I130" si="161">SUM(H131,H136,H140,H141,H144,H151,H159,H160,H163)</f>
        <v>0</v>
      </c>
      <c r="I130" s="72">
        <f t="shared" si="161"/>
        <v>0</v>
      </c>
      <c r="J130" s="183">
        <f>SUM(J131,J136,J140,J141,J144,J151,J159,J160,J163)</f>
        <v>11437</v>
      </c>
      <c r="K130" s="184">
        <f t="shared" ref="K130:L130" si="162">SUM(K131,K136,K140,K141,K144,K151,K159,K160,K163)</f>
        <v>100</v>
      </c>
      <c r="L130" s="72">
        <f t="shared" si="162"/>
        <v>11537</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5859</v>
      </c>
      <c r="D131" s="192">
        <f t="shared" ref="D131:O131" si="164">SUM(D132:D135)</f>
        <v>5551</v>
      </c>
      <c r="E131" s="193">
        <f t="shared" si="164"/>
        <v>0</v>
      </c>
      <c r="F131" s="133">
        <f t="shared" si="164"/>
        <v>5551</v>
      </c>
      <c r="G131" s="192">
        <f t="shared" si="164"/>
        <v>0</v>
      </c>
      <c r="H131" s="193">
        <f t="shared" si="164"/>
        <v>0</v>
      </c>
      <c r="I131" s="133">
        <f t="shared" si="164"/>
        <v>0</v>
      </c>
      <c r="J131" s="192">
        <f t="shared" si="164"/>
        <v>308</v>
      </c>
      <c r="K131" s="193">
        <f t="shared" si="164"/>
        <v>0</v>
      </c>
      <c r="L131" s="133">
        <f t="shared" si="164"/>
        <v>308</v>
      </c>
      <c r="M131" s="192">
        <f t="shared" si="164"/>
        <v>0</v>
      </c>
      <c r="N131" s="193">
        <f t="shared" si="164"/>
        <v>0</v>
      </c>
      <c r="O131" s="133">
        <f t="shared" si="164"/>
        <v>0</v>
      </c>
      <c r="P131" s="49"/>
    </row>
    <row r="132" spans="1:16" ht="12" customHeight="1" x14ac:dyDescent="0.25">
      <c r="A132" s="51">
        <v>2311</v>
      </c>
      <c r="B132" s="88" t="s">
        <v>149</v>
      </c>
      <c r="C132" s="89">
        <f t="shared" si="102"/>
        <v>1850</v>
      </c>
      <c r="D132" s="194">
        <v>1850</v>
      </c>
      <c r="E132" s="195"/>
      <c r="F132" s="55">
        <f t="shared" ref="F132:F135" si="165">D132+E132</f>
        <v>1850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3741</v>
      </c>
      <c r="D133" s="194">
        <v>3601</v>
      </c>
      <c r="E133" s="195"/>
      <c r="F133" s="55">
        <f t="shared" si="165"/>
        <v>3601</v>
      </c>
      <c r="G133" s="53"/>
      <c r="H133" s="54"/>
      <c r="I133" s="55">
        <f t="shared" si="166"/>
        <v>0</v>
      </c>
      <c r="J133" s="53">
        <v>140</v>
      </c>
      <c r="K133" s="54"/>
      <c r="L133" s="55">
        <f t="shared" si="167"/>
        <v>140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268</v>
      </c>
      <c r="D135" s="194">
        <v>100</v>
      </c>
      <c r="E135" s="195"/>
      <c r="F135" s="55">
        <f t="shared" si="165"/>
        <v>100</v>
      </c>
      <c r="G135" s="53"/>
      <c r="H135" s="54"/>
      <c r="I135" s="55">
        <f t="shared" si="166"/>
        <v>0</v>
      </c>
      <c r="J135" s="53">
        <v>168</v>
      </c>
      <c r="K135" s="54"/>
      <c r="L135" s="55">
        <f t="shared" si="167"/>
        <v>168</v>
      </c>
      <c r="M135" s="53"/>
      <c r="N135" s="54"/>
      <c r="O135" s="55">
        <f t="shared" si="168"/>
        <v>0</v>
      </c>
      <c r="P135" s="57"/>
    </row>
    <row r="136" spans="1:16" x14ac:dyDescent="0.25">
      <c r="A136" s="188">
        <v>2320</v>
      </c>
      <c r="B136" s="88" t="s">
        <v>153</v>
      </c>
      <c r="C136" s="89">
        <f t="shared" si="102"/>
        <v>3449</v>
      </c>
      <c r="D136" s="189">
        <f>SUM(D137:D139)</f>
        <v>2899</v>
      </c>
      <c r="E136" s="190">
        <f t="shared" ref="E136:F136" si="169">SUM(E137:E139)</f>
        <v>0</v>
      </c>
      <c r="F136" s="55">
        <f t="shared" si="169"/>
        <v>2899</v>
      </c>
      <c r="G136" s="189">
        <f>SUM(G137:G139)</f>
        <v>0</v>
      </c>
      <c r="H136" s="190">
        <f t="shared" ref="H136:I136" si="170">SUM(H137:H139)</f>
        <v>0</v>
      </c>
      <c r="I136" s="55">
        <f t="shared" si="170"/>
        <v>0</v>
      </c>
      <c r="J136" s="189">
        <f>SUM(J137:J139)</f>
        <v>450</v>
      </c>
      <c r="K136" s="190">
        <f t="shared" ref="K136:L136" si="171">SUM(K137:K139)</f>
        <v>100</v>
      </c>
      <c r="L136" s="55">
        <f t="shared" si="171"/>
        <v>550</v>
      </c>
      <c r="M136" s="189">
        <f>SUM(M137:M139)</f>
        <v>0</v>
      </c>
      <c r="N136" s="190">
        <f t="shared" ref="N136:O136" si="172">SUM(N137:N139)</f>
        <v>0</v>
      </c>
      <c r="O136" s="55">
        <f t="shared" si="172"/>
        <v>0</v>
      </c>
      <c r="P136" s="57"/>
    </row>
    <row r="137" spans="1:16" ht="13.5" customHeight="1" x14ac:dyDescent="0.25">
      <c r="A137" s="51">
        <v>2321</v>
      </c>
      <c r="B137" s="88" t="s">
        <v>154</v>
      </c>
      <c r="C137" s="89">
        <f t="shared" si="102"/>
        <v>2898</v>
      </c>
      <c r="D137" s="194">
        <v>2348</v>
      </c>
      <c r="E137" s="195"/>
      <c r="F137" s="55">
        <f t="shared" ref="F137:F140" si="173">D137+E137</f>
        <v>2348</v>
      </c>
      <c r="G137" s="53"/>
      <c r="H137" s="54"/>
      <c r="I137" s="55">
        <f t="shared" ref="I137:I140" si="174">G137+H137</f>
        <v>0</v>
      </c>
      <c r="J137" s="53">
        <v>450</v>
      </c>
      <c r="K137" s="54">
        <v>100</v>
      </c>
      <c r="L137" s="55">
        <f t="shared" ref="L137:L140" si="175">K137+J137</f>
        <v>550</v>
      </c>
      <c r="M137" s="53"/>
      <c r="N137" s="54"/>
      <c r="O137" s="55">
        <f t="shared" ref="O137:O140" si="176">N137+M137</f>
        <v>0</v>
      </c>
      <c r="P137" s="57" t="s">
        <v>1038</v>
      </c>
    </row>
    <row r="138" spans="1:16" ht="12" customHeight="1" x14ac:dyDescent="0.25">
      <c r="A138" s="51">
        <v>2322</v>
      </c>
      <c r="B138" s="88" t="s">
        <v>155</v>
      </c>
      <c r="C138" s="89">
        <f t="shared" si="102"/>
        <v>551</v>
      </c>
      <c r="D138" s="194">
        <v>551</v>
      </c>
      <c r="E138" s="195"/>
      <c r="F138" s="55">
        <f t="shared" si="173"/>
        <v>551</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1.45" customHeight="1" x14ac:dyDescent="0.25">
      <c r="A140" s="188">
        <v>2330</v>
      </c>
      <c r="B140" s="88" t="s">
        <v>157</v>
      </c>
      <c r="C140" s="89">
        <f t="shared" si="102"/>
        <v>9493</v>
      </c>
      <c r="D140" s="194"/>
      <c r="E140" s="195"/>
      <c r="F140" s="55">
        <f t="shared" si="173"/>
        <v>0</v>
      </c>
      <c r="G140" s="53"/>
      <c r="H140" s="54"/>
      <c r="I140" s="55">
        <f t="shared" si="174"/>
        <v>0</v>
      </c>
      <c r="J140" s="53">
        <v>9493</v>
      </c>
      <c r="K140" s="54"/>
      <c r="L140" s="55">
        <f t="shared" si="175"/>
        <v>9493</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5201</v>
      </c>
      <c r="D144" s="186">
        <f>SUM(D145:D150)</f>
        <v>4015</v>
      </c>
      <c r="E144" s="187">
        <f t="shared" ref="E144:F144" si="185">SUM(E145:E150)</f>
        <v>0</v>
      </c>
      <c r="F144" s="140">
        <f t="shared" si="185"/>
        <v>4015</v>
      </c>
      <c r="G144" s="186">
        <f>SUM(G145:G150)</f>
        <v>0</v>
      </c>
      <c r="H144" s="187">
        <f t="shared" ref="H144:I144" si="186">SUM(H145:H150)</f>
        <v>0</v>
      </c>
      <c r="I144" s="140">
        <f t="shared" si="186"/>
        <v>0</v>
      </c>
      <c r="J144" s="186">
        <f>SUM(J145:J150)</f>
        <v>1186</v>
      </c>
      <c r="K144" s="187">
        <f t="shared" ref="K144:L144" si="187">SUM(K145:K150)</f>
        <v>0</v>
      </c>
      <c r="L144" s="140">
        <f t="shared" si="187"/>
        <v>1186</v>
      </c>
      <c r="M144" s="186">
        <f>SUM(M145:M150)</f>
        <v>0</v>
      </c>
      <c r="N144" s="187">
        <f t="shared" ref="N144:O144" si="188">SUM(N145:N150)</f>
        <v>0</v>
      </c>
      <c r="O144" s="140">
        <f t="shared" si="188"/>
        <v>0</v>
      </c>
      <c r="P144" s="128"/>
    </row>
    <row r="145" spans="1:16" ht="12" customHeight="1" x14ac:dyDescent="0.25">
      <c r="A145" s="44">
        <v>2351</v>
      </c>
      <c r="B145" s="81" t="s">
        <v>162</v>
      </c>
      <c r="C145" s="82">
        <f t="shared" si="102"/>
        <v>1646</v>
      </c>
      <c r="D145" s="196">
        <v>1646</v>
      </c>
      <c r="E145" s="197"/>
      <c r="F145" s="133">
        <f t="shared" ref="F145:F150" si="189">D145+E145</f>
        <v>1646</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3555</v>
      </c>
      <c r="D146" s="194">
        <v>2369</v>
      </c>
      <c r="E146" s="195"/>
      <c r="F146" s="55">
        <f t="shared" si="189"/>
        <v>2369</v>
      </c>
      <c r="G146" s="53"/>
      <c r="H146" s="54"/>
      <c r="I146" s="55">
        <f t="shared" si="190"/>
        <v>0</v>
      </c>
      <c r="J146" s="53">
        <v>1186</v>
      </c>
      <c r="K146" s="54"/>
      <c r="L146" s="55">
        <f t="shared" si="191"/>
        <v>1186</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x14ac:dyDescent="0.25">
      <c r="A160" s="185">
        <v>2380</v>
      </c>
      <c r="B160" s="137" t="s">
        <v>177</v>
      </c>
      <c r="C160" s="142">
        <f t="shared" si="193"/>
        <v>600</v>
      </c>
      <c r="D160" s="186">
        <f>SUM(D161:D162)</f>
        <v>600</v>
      </c>
      <c r="E160" s="187">
        <f t="shared" ref="E160:F160" si="202">SUM(E161:E162)</f>
        <v>0</v>
      </c>
      <c r="F160" s="140">
        <f t="shared" si="202"/>
        <v>600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11.45" customHeight="1" x14ac:dyDescent="0.25">
      <c r="A162" s="50">
        <v>2389</v>
      </c>
      <c r="B162" s="88" t="s">
        <v>179</v>
      </c>
      <c r="C162" s="89">
        <f t="shared" si="193"/>
        <v>600</v>
      </c>
      <c r="D162" s="194">
        <v>600</v>
      </c>
      <c r="E162" s="195"/>
      <c r="F162" s="55">
        <f t="shared" si="206"/>
        <v>600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x14ac:dyDescent="0.25">
      <c r="A165" s="68">
        <v>2500</v>
      </c>
      <c r="B165" s="182" t="s">
        <v>182</v>
      </c>
      <c r="C165" s="69">
        <f t="shared" si="193"/>
        <v>25</v>
      </c>
      <c r="D165" s="183">
        <f>SUM(D166,D171)</f>
        <v>25</v>
      </c>
      <c r="E165" s="184">
        <f t="shared" ref="E165:O165" si="210">SUM(E166,E171)</f>
        <v>0</v>
      </c>
      <c r="F165" s="72">
        <f t="shared" si="210"/>
        <v>25</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24" x14ac:dyDescent="0.25">
      <c r="A166" s="293">
        <v>2510</v>
      </c>
      <c r="B166" s="81" t="s">
        <v>183</v>
      </c>
      <c r="C166" s="82">
        <f t="shared" si="193"/>
        <v>25</v>
      </c>
      <c r="D166" s="192">
        <f>SUM(D167:D170)</f>
        <v>25</v>
      </c>
      <c r="E166" s="193">
        <f t="shared" ref="E166:O166" si="211">SUM(E167:E170)</f>
        <v>0</v>
      </c>
      <c r="F166" s="133">
        <f t="shared" si="211"/>
        <v>25</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customHeight="1" x14ac:dyDescent="0.25">
      <c r="A168" s="51">
        <v>2513</v>
      </c>
      <c r="B168" s="88" t="s">
        <v>185</v>
      </c>
      <c r="C168" s="89">
        <f t="shared" si="193"/>
        <v>25</v>
      </c>
      <c r="D168" s="194">
        <v>25</v>
      </c>
      <c r="E168" s="195"/>
      <c r="F168" s="55">
        <f t="shared" si="212"/>
        <v>25</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4900</v>
      </c>
      <c r="D194" s="172">
        <f t="shared" ref="D194:O194" si="259">SUM(D195,D230,D269,D283)</f>
        <v>4900</v>
      </c>
      <c r="E194" s="173">
        <f t="shared" si="259"/>
        <v>0</v>
      </c>
      <c r="F194" s="174">
        <f t="shared" si="259"/>
        <v>4900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4900</v>
      </c>
      <c r="D195" s="178">
        <f>D196+D204</f>
        <v>4900</v>
      </c>
      <c r="E195" s="179">
        <f t="shared" ref="E195:F195" si="260">E196+E204</f>
        <v>0</v>
      </c>
      <c r="F195" s="180">
        <f t="shared" si="260"/>
        <v>4900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4900</v>
      </c>
      <c r="D204" s="183">
        <f>D205+D215+D216+D225+D226+D227+D229</f>
        <v>4900</v>
      </c>
      <c r="E204" s="184">
        <f t="shared" ref="E204:F204" si="276">E205+E215+E216+E225+E226+E227+E229</f>
        <v>0</v>
      </c>
      <c r="F204" s="72">
        <f t="shared" si="276"/>
        <v>4900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4900</v>
      </c>
      <c r="D216" s="189">
        <f>SUM(D217:D224)</f>
        <v>4900</v>
      </c>
      <c r="E216" s="190">
        <f t="shared" ref="E216:F216" si="289">SUM(E217:E224)</f>
        <v>0</v>
      </c>
      <c r="F216" s="55">
        <f t="shared" si="289"/>
        <v>4900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4900</v>
      </c>
      <c r="D223" s="194">
        <v>4900</v>
      </c>
      <c r="E223" s="195"/>
      <c r="F223" s="55">
        <f t="shared" si="293"/>
        <v>4900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616993</v>
      </c>
      <c r="D289" s="251">
        <f t="shared" ref="D289:O289" si="389">SUM(D286,D269,D230,D195,D187,D173,D75,D53,D283)</f>
        <v>592478</v>
      </c>
      <c r="E289" s="252">
        <f t="shared" si="389"/>
        <v>4555</v>
      </c>
      <c r="F289" s="253">
        <f t="shared" si="389"/>
        <v>597033</v>
      </c>
      <c r="G289" s="251">
        <f t="shared" si="389"/>
        <v>0</v>
      </c>
      <c r="H289" s="252">
        <f t="shared" si="389"/>
        <v>0</v>
      </c>
      <c r="I289" s="253">
        <f t="shared" si="389"/>
        <v>0</v>
      </c>
      <c r="J289" s="251">
        <f t="shared" si="389"/>
        <v>19960</v>
      </c>
      <c r="K289" s="252">
        <f t="shared" si="389"/>
        <v>0</v>
      </c>
      <c r="L289" s="253">
        <f t="shared" si="389"/>
        <v>19960</v>
      </c>
      <c r="M289" s="251">
        <f t="shared" si="389"/>
        <v>0</v>
      </c>
      <c r="N289" s="252">
        <f t="shared" si="389"/>
        <v>0</v>
      </c>
      <c r="O289" s="253">
        <f t="shared" si="389"/>
        <v>0</v>
      </c>
      <c r="P289" s="254"/>
    </row>
    <row r="290" spans="1:16" s="28" customFormat="1" ht="13.5" thickTop="1" thickBot="1" x14ac:dyDescent="0.3">
      <c r="A290" s="1945" t="s">
        <v>309</v>
      </c>
      <c r="B290" s="1946"/>
      <c r="C290" s="255">
        <f t="shared" si="371"/>
        <v>-714</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-714</v>
      </c>
      <c r="K290" s="257">
        <f t="shared" ref="K290:L290" si="392">(K26+K43)-K51</f>
        <v>0</v>
      </c>
      <c r="L290" s="258">
        <f t="shared" si="392"/>
        <v>-714</v>
      </c>
      <c r="M290" s="256">
        <f>M45-M51</f>
        <v>0</v>
      </c>
      <c r="N290" s="257">
        <f t="shared" ref="N290:O290" si="393">N45-N51</f>
        <v>0</v>
      </c>
      <c r="O290" s="258">
        <f t="shared" si="393"/>
        <v>0</v>
      </c>
      <c r="P290" s="259"/>
    </row>
    <row r="291" spans="1:16" s="28" customFormat="1" ht="12.75" thickTop="1" x14ac:dyDescent="0.25">
      <c r="A291" s="1947" t="s">
        <v>310</v>
      </c>
      <c r="B291" s="1948"/>
      <c r="C291" s="260">
        <f t="shared" si="371"/>
        <v>714</v>
      </c>
      <c r="D291" s="261">
        <f t="shared" ref="D291:O291" si="394">SUM(D292,D293)-D300+D301</f>
        <v>0</v>
      </c>
      <c r="E291" s="262">
        <f t="shared" si="394"/>
        <v>0</v>
      </c>
      <c r="F291" s="263">
        <f t="shared" si="394"/>
        <v>0</v>
      </c>
      <c r="G291" s="261">
        <f t="shared" si="394"/>
        <v>0</v>
      </c>
      <c r="H291" s="262">
        <f t="shared" si="394"/>
        <v>0</v>
      </c>
      <c r="I291" s="263">
        <f t="shared" si="394"/>
        <v>0</v>
      </c>
      <c r="J291" s="261">
        <f t="shared" si="394"/>
        <v>714</v>
      </c>
      <c r="K291" s="262">
        <f t="shared" si="394"/>
        <v>0</v>
      </c>
      <c r="L291" s="263">
        <f t="shared" si="394"/>
        <v>714</v>
      </c>
      <c r="M291" s="261">
        <f t="shared" si="394"/>
        <v>0</v>
      </c>
      <c r="N291" s="262">
        <f t="shared" si="394"/>
        <v>0</v>
      </c>
      <c r="O291" s="263">
        <f t="shared" si="394"/>
        <v>0</v>
      </c>
      <c r="P291" s="264"/>
    </row>
    <row r="292" spans="1:16" s="28" customFormat="1" ht="12.75" thickBot="1" x14ac:dyDescent="0.3">
      <c r="A292" s="156" t="s">
        <v>311</v>
      </c>
      <c r="B292" s="156" t="s">
        <v>312</v>
      </c>
      <c r="C292" s="157">
        <f t="shared" si="371"/>
        <v>714</v>
      </c>
      <c r="D292" s="158">
        <f t="shared" ref="D292:O292" si="395">D21-D286</f>
        <v>0</v>
      </c>
      <c r="E292" s="159">
        <f t="shared" si="395"/>
        <v>0</v>
      </c>
      <c r="F292" s="160">
        <f t="shared" si="395"/>
        <v>0</v>
      </c>
      <c r="G292" s="158">
        <f t="shared" si="395"/>
        <v>0</v>
      </c>
      <c r="H292" s="159">
        <f t="shared" si="395"/>
        <v>0</v>
      </c>
      <c r="I292" s="160">
        <f t="shared" si="395"/>
        <v>0</v>
      </c>
      <c r="J292" s="158">
        <f t="shared" si="395"/>
        <v>714</v>
      </c>
      <c r="K292" s="159">
        <f t="shared" si="395"/>
        <v>0</v>
      </c>
      <c r="L292" s="160">
        <f t="shared" si="395"/>
        <v>714</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v0wDSg7nXC7MD1JblALaR4lt3cpWwjKZWgbEVH9IXq/geLxzB6ePvJPNd5EPP9Qav+E5r+RVkLRP0WVEfJoc+w==" saltValue="kWYFeQOjyUbaLzM9YTNbbA==" spinCount="100000" sheet="1" objects="1" scenarios="1" formatCells="0" formatColumns="0" formatRows="0" deleteColumns="0"/>
  <autoFilter ref="A18:P301">
    <filterColumn colId="2">
      <filters>
        <filter val="1 029"/>
        <filter val="1 163"/>
        <filter val="1 187"/>
        <filter val="1 646"/>
        <filter val="1 672"/>
        <filter val="1 757"/>
        <filter val="1 786"/>
        <filter val="1 850"/>
        <filter val="100"/>
        <filter val="127 235"/>
        <filter val="13 891"/>
        <filter val="16 770"/>
        <filter val="160"/>
        <filter val="17 979"/>
        <filter val="19 146"/>
        <filter val="2 366"/>
        <filter val="2 613"/>
        <filter val="2 898"/>
        <filter val="20 504"/>
        <filter val="204"/>
        <filter val="21 482"/>
        <filter val="24 602"/>
        <filter val="25"/>
        <filter val="268"/>
        <filter val="27 390"/>
        <filter val="3 449"/>
        <filter val="3 555"/>
        <filter val="3 741"/>
        <filter val="300"/>
        <filter val="33"/>
        <filter val="34 498"/>
        <filter val="368 164"/>
        <filter val="4 172"/>
        <filter val="4 655"/>
        <filter val="4 900"/>
        <filter val="40 449"/>
        <filter val="405 275"/>
        <filter val="411"/>
        <filter val="5 201"/>
        <filter val="5 255"/>
        <filter val="5 859"/>
        <filter val="53"/>
        <filter val="532 510"/>
        <filter val="54 956"/>
        <filter val="551"/>
        <filter val="576"/>
        <filter val="586"/>
        <filter val="597 033"/>
        <filter val="600"/>
        <filter val="612 093"/>
        <filter val="616 993"/>
        <filter val="660"/>
        <filter val="7 711"/>
        <filter val="714"/>
        <filter val="-714"/>
        <filter val="752"/>
        <filter val="79 583"/>
        <filter val="8 751"/>
        <filter val="8 793"/>
        <filter val="8 927"/>
        <filter val="9 493"/>
        <filter val="956"/>
        <filter val="99 84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35.pielikums Jūrmalas pilsētas domes
2019.gada 29.augusta saistošajiem noteikumiem Nr.31
(protokols Nr.12, 20.punkts)
 </firstHeader>
    <firstFooter>&amp;L&amp;9&amp;D; &amp;T&amp;R&amp;9&amp;P (&amp;N)</first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8" sqref="T8"/>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1719</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1720</v>
      </c>
      <c r="D6" s="1972"/>
      <c r="E6" s="1972"/>
      <c r="F6" s="1972"/>
      <c r="G6" s="1972"/>
      <c r="H6" s="1972"/>
      <c r="I6" s="1972"/>
      <c r="J6" s="1972"/>
      <c r="K6" s="1972"/>
      <c r="L6" s="1972"/>
      <c r="M6" s="1972"/>
      <c r="N6" s="1972"/>
      <c r="O6" s="1972"/>
      <c r="P6" s="1973"/>
      <c r="Q6" s="276"/>
    </row>
    <row r="7" spans="1:17" x14ac:dyDescent="0.25">
      <c r="A7" s="7" t="s">
        <v>10</v>
      </c>
      <c r="B7" s="8"/>
      <c r="C7" s="1977" t="s">
        <v>11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14</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332821</v>
      </c>
      <c r="D20" s="32">
        <f>SUM(D21,D24,D25,D41,D43)</f>
        <v>318321</v>
      </c>
      <c r="E20" s="33">
        <f t="shared" ref="E20:F20" si="1">SUM(E21,E24,E25,E41,E43)</f>
        <v>14500</v>
      </c>
      <c r="F20" s="34">
        <f t="shared" si="1"/>
        <v>332821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332821</v>
      </c>
      <c r="D24" s="60">
        <f>313321+5000</f>
        <v>318321</v>
      </c>
      <c r="E24" s="741">
        <v>14500</v>
      </c>
      <c r="F24" s="62">
        <f t="shared" si="9"/>
        <v>332821</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332821</v>
      </c>
      <c r="D50" s="158">
        <f>SUM(D51,D286)</f>
        <v>318321</v>
      </c>
      <c r="E50" s="159">
        <f t="shared" ref="E50:F50" si="26">SUM(E51,E286)</f>
        <v>14500</v>
      </c>
      <c r="F50" s="160">
        <f t="shared" si="26"/>
        <v>332821</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332821</v>
      </c>
      <c r="D51" s="164">
        <f>SUM(D52,D194)</f>
        <v>318321</v>
      </c>
      <c r="E51" s="165">
        <f t="shared" ref="E51:F51" si="30">SUM(E52,E194)</f>
        <v>14500</v>
      </c>
      <c r="F51" s="166">
        <f t="shared" si="30"/>
        <v>332821</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332821</v>
      </c>
      <c r="D52" s="172">
        <f>SUM(D53,D75,D173,D187)</f>
        <v>318321</v>
      </c>
      <c r="E52" s="173">
        <f t="shared" ref="E52:F52" si="34">SUM(E53,E75,E173,E187)</f>
        <v>14500</v>
      </c>
      <c r="F52" s="174">
        <f t="shared" si="34"/>
        <v>332821</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332821</v>
      </c>
      <c r="D53" s="178">
        <f>SUM(D54,D67)</f>
        <v>318321</v>
      </c>
      <c r="E53" s="179">
        <f t="shared" ref="E53:F53" si="38">SUM(E54,E67)</f>
        <v>14500</v>
      </c>
      <c r="F53" s="180">
        <f t="shared" si="38"/>
        <v>332821</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252622</v>
      </c>
      <c r="D54" s="183">
        <f>SUM(D55,D58,D66)</f>
        <v>240622</v>
      </c>
      <c r="E54" s="184">
        <f t="shared" ref="E54:F54" si="42">SUM(E55,E58,E66)</f>
        <v>12000</v>
      </c>
      <c r="F54" s="72">
        <f t="shared" si="42"/>
        <v>252622</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220665</v>
      </c>
      <c r="D55" s="186">
        <f>SUM(D56:D57)</f>
        <v>210665</v>
      </c>
      <c r="E55" s="187">
        <f t="shared" ref="E55:F55" si="46">SUM(E56:E57)</f>
        <v>10000</v>
      </c>
      <c r="F55" s="140">
        <f t="shared" si="46"/>
        <v>220665</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220665</v>
      </c>
      <c r="D57" s="53">
        <v>210665</v>
      </c>
      <c r="E57" s="201">
        <v>10000</v>
      </c>
      <c r="F57" s="55">
        <f t="shared" si="50"/>
        <v>220665</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31957</v>
      </c>
      <c r="D58" s="189">
        <f>SUM(D59:D65)</f>
        <v>29957</v>
      </c>
      <c r="E58" s="190">
        <f>SUM(E59:E65)</f>
        <v>2000</v>
      </c>
      <c r="F58" s="55">
        <f t="shared" ref="F58" si="54">SUM(F59:F65)</f>
        <v>31957</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285</v>
      </c>
      <c r="D60" s="53">
        <v>285</v>
      </c>
      <c r="E60" s="54"/>
      <c r="F60" s="55">
        <f t="shared" si="58"/>
        <v>285</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8" t="s">
        <v>81</v>
      </c>
      <c r="C62" s="89">
        <f t="shared" si="0"/>
        <v>5000</v>
      </c>
      <c r="D62" s="53">
        <v>5000</v>
      </c>
      <c r="E62" s="54"/>
      <c r="F62" s="55">
        <f t="shared" si="58"/>
        <v>5000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12285</v>
      </c>
      <c r="D63" s="53">
        <f>5285+5000</f>
        <v>10285</v>
      </c>
      <c r="E63" s="201">
        <v>2000</v>
      </c>
      <c r="F63" s="55">
        <f t="shared" si="58"/>
        <v>12285</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14387</v>
      </c>
      <c r="D64" s="53">
        <v>14387</v>
      </c>
      <c r="E64" s="54"/>
      <c r="F64" s="55">
        <f t="shared" si="58"/>
        <v>14387</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80199</v>
      </c>
      <c r="D67" s="183">
        <f>SUM(D68:D69)</f>
        <v>77699</v>
      </c>
      <c r="E67" s="184">
        <f t="shared" ref="E67:F67" si="62">SUM(E68:E69)</f>
        <v>2500</v>
      </c>
      <c r="F67" s="72">
        <f t="shared" si="62"/>
        <v>80199</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095">
        <v>1210</v>
      </c>
      <c r="B68" s="81" t="s">
        <v>87</v>
      </c>
      <c r="C68" s="82">
        <f t="shared" si="0"/>
        <v>62829</v>
      </c>
      <c r="D68" s="46">
        <v>60329</v>
      </c>
      <c r="E68" s="743">
        <v>2500</v>
      </c>
      <c r="F68" s="133">
        <f>D68+E68</f>
        <v>62829</v>
      </c>
      <c r="G68" s="46"/>
      <c r="H68" s="47"/>
      <c r="I68" s="133">
        <f>G68+H68</f>
        <v>0</v>
      </c>
      <c r="J68" s="46"/>
      <c r="K68" s="47"/>
      <c r="L68" s="133">
        <f>K68+J68</f>
        <v>0</v>
      </c>
      <c r="M68" s="46"/>
      <c r="N68" s="47"/>
      <c r="O68" s="133">
        <f>N68+M68</f>
        <v>0</v>
      </c>
      <c r="P68" s="49"/>
    </row>
    <row r="69" spans="1:16" ht="24" x14ac:dyDescent="0.25">
      <c r="A69" s="188">
        <v>1220</v>
      </c>
      <c r="B69" s="88" t="s">
        <v>88</v>
      </c>
      <c r="C69" s="89">
        <f t="shared" si="0"/>
        <v>17370</v>
      </c>
      <c r="D69" s="189">
        <f>SUM(D70:D74)</f>
        <v>17370</v>
      </c>
      <c r="E69" s="190">
        <f t="shared" ref="E69:F69" si="66">SUM(E70:E74)</f>
        <v>0</v>
      </c>
      <c r="F69" s="55">
        <f t="shared" si="66"/>
        <v>17370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14808</v>
      </c>
      <c r="D70" s="53">
        <v>14808</v>
      </c>
      <c r="E70" s="54"/>
      <c r="F70" s="55">
        <f t="shared" ref="F70:F74" si="70">D70+E70</f>
        <v>14808</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2562</v>
      </c>
      <c r="D73" s="53">
        <v>2562</v>
      </c>
      <c r="E73" s="54"/>
      <c r="F73" s="55">
        <f t="shared" si="70"/>
        <v>2562</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095">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095">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095">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095">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095">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095">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095">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095">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095">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095">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095">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095">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095">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095">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095">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332821</v>
      </c>
      <c r="D289" s="251">
        <f t="shared" ref="D289:O289" si="389">SUM(D286,D269,D230,D195,D187,D173,D75,D53,D283)</f>
        <v>318321</v>
      </c>
      <c r="E289" s="252">
        <f t="shared" si="389"/>
        <v>14500</v>
      </c>
      <c r="F289" s="253">
        <f t="shared" si="389"/>
        <v>332821</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hYWsRhbOe/nNtPLIzb50Imq/rWWOLyJnICM3n8X8UjIcExmhysWcD/f/ka8+4qoPPWC/kNW5r7r62YNNcIlpKw==" saltValue="ghvhvPobhH9HZrLtYCtD9g==" spinCount="100000" sheet="1" objects="1" scenarios="1" formatCells="0" formatColumns="0" formatRows="0" deleteColumns="0"/>
  <autoFilter ref="A18:P301">
    <filterColumn colId="2">
      <filters>
        <filter val="12 285"/>
        <filter val="14 387"/>
        <filter val="14 808"/>
        <filter val="17 370"/>
        <filter val="2 562"/>
        <filter val="220 665"/>
        <filter val="252 622"/>
        <filter val="285"/>
        <filter val="31 957"/>
        <filter val="332 821"/>
        <filter val="5 000"/>
        <filter val="62 829"/>
        <filter val="80 19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36.pielikums Jūrmalas pilsētas domes
2019.gada 29.augusta saistošajiem noteikumiem Nr.31
(protokols Nr.12, 20.punkts)
 </firstHeader>
    <firstFooter>&amp;L&amp;9&amp;D; &amp;T&amp;R&amp;9&amp;P (&amp;N)</first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4" sqref="T4"/>
    </sheetView>
  </sheetViews>
  <sheetFormatPr defaultRowHeight="15"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886</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726"/>
    </row>
    <row r="3" spans="1:17" ht="12.75" customHeight="1" x14ac:dyDescent="0.25">
      <c r="A3" s="5" t="s">
        <v>2</v>
      </c>
      <c r="B3" s="6"/>
      <c r="C3" s="1977" t="s">
        <v>3</v>
      </c>
      <c r="D3" s="1977"/>
      <c r="E3" s="1977"/>
      <c r="F3" s="1977"/>
      <c r="G3" s="1977"/>
      <c r="H3" s="1977"/>
      <c r="I3" s="1977"/>
      <c r="J3" s="1977"/>
      <c r="K3" s="1977"/>
      <c r="L3" s="1977"/>
      <c r="M3" s="1977"/>
      <c r="N3" s="1977"/>
      <c r="O3" s="1977"/>
      <c r="P3" s="1978"/>
      <c r="Q3" s="726"/>
    </row>
    <row r="4" spans="1:17" ht="12.75" customHeight="1" x14ac:dyDescent="0.25">
      <c r="A4" s="5" t="s">
        <v>4</v>
      </c>
      <c r="B4" s="6"/>
      <c r="C4" s="1977" t="s">
        <v>5</v>
      </c>
      <c r="D4" s="1977"/>
      <c r="E4" s="1977"/>
      <c r="F4" s="1977"/>
      <c r="G4" s="1977"/>
      <c r="H4" s="1977"/>
      <c r="I4" s="1977"/>
      <c r="J4" s="1977"/>
      <c r="K4" s="1977"/>
      <c r="L4" s="1977"/>
      <c r="M4" s="1977"/>
      <c r="N4" s="1977"/>
      <c r="O4" s="1977"/>
      <c r="P4" s="1978"/>
      <c r="Q4" s="726"/>
    </row>
    <row r="5" spans="1:17" ht="12.75" customHeight="1" x14ac:dyDescent="0.25">
      <c r="A5" s="7" t="s">
        <v>6</v>
      </c>
      <c r="B5" s="8"/>
      <c r="C5" s="1972" t="s">
        <v>7</v>
      </c>
      <c r="D5" s="1972"/>
      <c r="E5" s="1972"/>
      <c r="F5" s="1972"/>
      <c r="G5" s="1972"/>
      <c r="H5" s="1972"/>
      <c r="I5" s="1972"/>
      <c r="J5" s="1972"/>
      <c r="K5" s="1972"/>
      <c r="L5" s="1972"/>
      <c r="M5" s="1972"/>
      <c r="N5" s="1972"/>
      <c r="O5" s="1972"/>
      <c r="P5" s="1973"/>
      <c r="Q5" s="726"/>
    </row>
    <row r="6" spans="1:17" ht="12.75" customHeight="1" x14ac:dyDescent="0.25">
      <c r="A6" s="7" t="s">
        <v>8</v>
      </c>
      <c r="B6" s="8"/>
      <c r="C6" s="1972" t="s">
        <v>836</v>
      </c>
      <c r="D6" s="1972"/>
      <c r="E6" s="1972"/>
      <c r="F6" s="1972"/>
      <c r="G6" s="1972"/>
      <c r="H6" s="1972"/>
      <c r="I6" s="1972"/>
      <c r="J6" s="1972"/>
      <c r="K6" s="1972"/>
      <c r="L6" s="1972"/>
      <c r="M6" s="1972"/>
      <c r="N6" s="1972"/>
      <c r="O6" s="1972"/>
      <c r="P6" s="1973"/>
      <c r="Q6" s="726"/>
    </row>
    <row r="7" spans="1:17" x14ac:dyDescent="0.25">
      <c r="A7" s="7" t="s">
        <v>10</v>
      </c>
      <c r="B7" s="8"/>
      <c r="C7" s="1977" t="s">
        <v>887</v>
      </c>
      <c r="D7" s="1977"/>
      <c r="E7" s="1977"/>
      <c r="F7" s="1977"/>
      <c r="G7" s="1977"/>
      <c r="H7" s="1977"/>
      <c r="I7" s="1977"/>
      <c r="J7" s="1977"/>
      <c r="K7" s="1977"/>
      <c r="L7" s="1977"/>
      <c r="M7" s="1977"/>
      <c r="N7" s="1977"/>
      <c r="O7" s="1977"/>
      <c r="P7" s="1978"/>
      <c r="Q7" s="726"/>
    </row>
    <row r="8" spans="1:17" ht="12.75" customHeight="1" x14ac:dyDescent="0.25">
      <c r="A8" s="9" t="s">
        <v>12</v>
      </c>
      <c r="B8" s="8"/>
      <c r="C8" s="1979"/>
      <c r="D8" s="1979"/>
      <c r="E8" s="1979"/>
      <c r="F8" s="1979"/>
      <c r="G8" s="1979"/>
      <c r="H8" s="1979"/>
      <c r="I8" s="1979"/>
      <c r="J8" s="1979"/>
      <c r="K8" s="1979"/>
      <c r="L8" s="1979"/>
      <c r="M8" s="1979"/>
      <c r="N8" s="1979"/>
      <c r="O8" s="1979"/>
      <c r="P8" s="1980"/>
      <c r="Q8" s="726"/>
    </row>
    <row r="9" spans="1:17" ht="12.75" customHeight="1" x14ac:dyDescent="0.25">
      <c r="A9" s="7"/>
      <c r="B9" s="8" t="s">
        <v>13</v>
      </c>
      <c r="C9" s="1972" t="s">
        <v>880</v>
      </c>
      <c r="D9" s="1972"/>
      <c r="E9" s="1972"/>
      <c r="F9" s="1972"/>
      <c r="G9" s="1972"/>
      <c r="H9" s="1972"/>
      <c r="I9" s="1972"/>
      <c r="J9" s="1972"/>
      <c r="K9" s="1972"/>
      <c r="L9" s="1972"/>
      <c r="M9" s="1972"/>
      <c r="N9" s="1972"/>
      <c r="O9" s="1972"/>
      <c r="P9" s="1973"/>
      <c r="Q9" s="72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72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72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72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726"/>
    </row>
    <row r="14" spans="1:17" ht="12.75" customHeight="1" x14ac:dyDescent="0.25">
      <c r="A14" s="10"/>
      <c r="B14" s="11"/>
      <c r="C14" s="1952"/>
      <c r="D14" s="1952"/>
      <c r="E14" s="1952"/>
      <c r="F14" s="1952"/>
      <c r="G14" s="1952"/>
      <c r="H14" s="1952"/>
      <c r="I14" s="1952"/>
      <c r="J14" s="1952"/>
      <c r="K14" s="1952"/>
      <c r="L14" s="1952"/>
      <c r="M14" s="1952"/>
      <c r="N14" s="1952"/>
      <c r="O14" s="1952"/>
      <c r="P14" s="1953"/>
      <c r="Q14" s="72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70567</v>
      </c>
      <c r="D20" s="32">
        <f>SUM(D21,D24,D25,D41,D43)</f>
        <v>38543</v>
      </c>
      <c r="E20" s="33">
        <f t="shared" ref="E20:F20" si="1">SUM(E21,E24,E25,E41,E43)</f>
        <v>32024</v>
      </c>
      <c r="F20" s="34">
        <f t="shared" si="1"/>
        <v>70567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70567</v>
      </c>
      <c r="D24" s="60">
        <v>38543</v>
      </c>
      <c r="E24" s="741">
        <v>32024</v>
      </c>
      <c r="F24" s="62">
        <f t="shared" si="9"/>
        <v>70567</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70567</v>
      </c>
      <c r="D50" s="158">
        <f>SUM(D51,D286)</f>
        <v>38543</v>
      </c>
      <c r="E50" s="159">
        <f t="shared" ref="E50:F50" si="26">SUM(E51,E286)</f>
        <v>32024</v>
      </c>
      <c r="F50" s="160">
        <f t="shared" si="26"/>
        <v>70567</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70567</v>
      </c>
      <c r="D51" s="164">
        <f>SUM(D52,D194)</f>
        <v>38543</v>
      </c>
      <c r="E51" s="165">
        <f t="shared" ref="E51:F51" si="30">SUM(E52,E194)</f>
        <v>32024</v>
      </c>
      <c r="F51" s="166">
        <f t="shared" si="30"/>
        <v>70567</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68567</v>
      </c>
      <c r="D52" s="172">
        <f>SUM(D53,D75,D173,D187)</f>
        <v>36543</v>
      </c>
      <c r="E52" s="173">
        <f t="shared" ref="E52:F52" si="34">SUM(E53,E75,E173,E187)</f>
        <v>32024</v>
      </c>
      <c r="F52" s="174">
        <f t="shared" si="34"/>
        <v>68567</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t="12" x14ac:dyDescent="0.25">
      <c r="A53" s="176">
        <v>1000</v>
      </c>
      <c r="B53" s="176" t="s">
        <v>72</v>
      </c>
      <c r="C53" s="177">
        <f t="shared" si="0"/>
        <v>9795</v>
      </c>
      <c r="D53" s="178">
        <f>SUM(D54,D67)</f>
        <v>10384</v>
      </c>
      <c r="E53" s="179">
        <f t="shared" ref="E53:F53" si="38">SUM(E54,E67)</f>
        <v>-589</v>
      </c>
      <c r="F53" s="180">
        <f t="shared" si="38"/>
        <v>9795</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8949</v>
      </c>
      <c r="D54" s="183">
        <f>SUM(D55,D58,D66)</f>
        <v>9464</v>
      </c>
      <c r="E54" s="184">
        <f t="shared" ref="E54:F54" si="42">SUM(E55,E58,E66)</f>
        <v>-515</v>
      </c>
      <c r="F54" s="72">
        <f t="shared" si="42"/>
        <v>8949</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8949</v>
      </c>
      <c r="D66" s="143">
        <v>9464</v>
      </c>
      <c r="E66" s="742">
        <f>-375-140</f>
        <v>-515</v>
      </c>
      <c r="F66" s="140">
        <f t="shared" si="58"/>
        <v>8949</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846</v>
      </c>
      <c r="D67" s="183">
        <f>SUM(D68:D69)</f>
        <v>920</v>
      </c>
      <c r="E67" s="184">
        <f t="shared" ref="E67:F67" si="62">SUM(E68:E69)</f>
        <v>-74</v>
      </c>
      <c r="F67" s="72">
        <f t="shared" si="62"/>
        <v>846</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293">
        <v>1210</v>
      </c>
      <c r="B68" s="81" t="s">
        <v>87</v>
      </c>
      <c r="C68" s="82">
        <f t="shared" si="0"/>
        <v>846</v>
      </c>
      <c r="D68" s="46">
        <v>920</v>
      </c>
      <c r="E68" s="743">
        <f>-18-34-22</f>
        <v>-74</v>
      </c>
      <c r="F68" s="133">
        <f>D68+E68</f>
        <v>846</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58772</v>
      </c>
      <c r="D75" s="178">
        <f>SUM(D76,D83,D130,D164,D165,D172)</f>
        <v>26159</v>
      </c>
      <c r="E75" s="179">
        <f t="shared" ref="E75:F75" si="74">SUM(E76,E83,E130,E164,E165,E172)</f>
        <v>32613</v>
      </c>
      <c r="F75" s="180">
        <f t="shared" si="74"/>
        <v>58772</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9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ht="12.75" customHeight="1" x14ac:dyDescent="0.25">
      <c r="A83" s="68">
        <v>2200</v>
      </c>
      <c r="B83" s="182" t="s">
        <v>100</v>
      </c>
      <c r="C83" s="69">
        <f t="shared" si="0"/>
        <v>10041</v>
      </c>
      <c r="D83" s="183">
        <f>SUM(D84,D89,D95,D103,D112,D116,D122,D128)</f>
        <v>11482</v>
      </c>
      <c r="E83" s="184">
        <f t="shared" ref="E83:F83" si="98">SUM(E84,E89,E95,E103,E112,E116,E122,E128)</f>
        <v>-1441</v>
      </c>
      <c r="F83" s="72">
        <f t="shared" si="98"/>
        <v>10041</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250</v>
      </c>
      <c r="D84" s="186">
        <f>SUM(D85:D88)</f>
        <v>250</v>
      </c>
      <c r="E84" s="187">
        <f t="shared" ref="E84:F84" si="103">SUM(E85:E88)</f>
        <v>0</v>
      </c>
      <c r="F84" s="140">
        <f t="shared" si="103"/>
        <v>250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customHeight="1" x14ac:dyDescent="0.25">
      <c r="A88" s="51">
        <v>2219</v>
      </c>
      <c r="B88" s="88" t="s">
        <v>105</v>
      </c>
      <c r="C88" s="89">
        <f t="shared" si="102"/>
        <v>250</v>
      </c>
      <c r="D88" s="194">
        <v>250</v>
      </c>
      <c r="E88" s="195"/>
      <c r="F88" s="55">
        <f t="shared" si="107"/>
        <v>250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1065</v>
      </c>
      <c r="D95" s="189">
        <f>SUM(D96:D102)</f>
        <v>1017</v>
      </c>
      <c r="E95" s="190">
        <f t="shared" ref="E95:F95" si="119">SUM(E96:E102)</f>
        <v>48</v>
      </c>
      <c r="F95" s="55">
        <f t="shared" si="119"/>
        <v>1065</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877</v>
      </c>
      <c r="D96" s="194">
        <f>1285-348</f>
        <v>937</v>
      </c>
      <c r="E96" s="198">
        <v>-60</v>
      </c>
      <c r="F96" s="55">
        <f t="shared" ref="F96:F102" si="123">D96+E96</f>
        <v>877</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188</v>
      </c>
      <c r="D102" s="194">
        <v>80</v>
      </c>
      <c r="E102" s="195">
        <v>108</v>
      </c>
      <c r="F102" s="55">
        <f t="shared" si="123"/>
        <v>188</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35</v>
      </c>
      <c r="D103" s="189">
        <f>SUM(D104:D111)</f>
        <v>0</v>
      </c>
      <c r="E103" s="190">
        <f t="shared" ref="E103:F103" si="127">SUM(E104:E111)</f>
        <v>35</v>
      </c>
      <c r="F103" s="55">
        <f t="shared" si="127"/>
        <v>35</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customHeight="1" x14ac:dyDescent="0.25">
      <c r="A110" s="51">
        <v>2248</v>
      </c>
      <c r="B110" s="88" t="s">
        <v>127</v>
      </c>
      <c r="C110" s="89">
        <f t="shared" si="102"/>
        <v>35</v>
      </c>
      <c r="D110" s="194">
        <v>0</v>
      </c>
      <c r="E110" s="198">
        <v>35</v>
      </c>
      <c r="F110" s="55">
        <f t="shared" si="131"/>
        <v>35</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t="15" hidden="1" customHeight="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t="12" customHeight="1" x14ac:dyDescent="0.25">
      <c r="A116" s="188">
        <v>2260</v>
      </c>
      <c r="B116" s="88" t="s">
        <v>133</v>
      </c>
      <c r="C116" s="89">
        <f t="shared" si="102"/>
        <v>7098</v>
      </c>
      <c r="D116" s="189">
        <f>SUM(D117:D121)</f>
        <v>8635</v>
      </c>
      <c r="E116" s="190">
        <f t="shared" ref="E116:F116" si="143">SUM(E117:E121)</f>
        <v>-1537</v>
      </c>
      <c r="F116" s="55">
        <f t="shared" si="143"/>
        <v>7098</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8" t="s">
        <v>135</v>
      </c>
      <c r="C118" s="89">
        <f t="shared" si="102"/>
        <v>4382</v>
      </c>
      <c r="D118" s="194">
        <v>5485</v>
      </c>
      <c r="E118" s="198">
        <f>-773-330</f>
        <v>-1103</v>
      </c>
      <c r="F118" s="55">
        <f t="shared" si="147"/>
        <v>4382</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545"/>
      <c r="F119" s="55">
        <f t="shared" si="147"/>
        <v>0</v>
      </c>
      <c r="G119" s="53"/>
      <c r="H119" s="54"/>
      <c r="I119" s="55">
        <f t="shared" si="148"/>
        <v>0</v>
      </c>
      <c r="J119" s="53"/>
      <c r="K119" s="54"/>
      <c r="L119" s="55">
        <f t="shared" si="149"/>
        <v>0</v>
      </c>
      <c r="M119" s="53"/>
      <c r="N119" s="54"/>
      <c r="O119" s="55">
        <f t="shared" si="150"/>
        <v>0</v>
      </c>
      <c r="P119" s="57"/>
    </row>
    <row r="120" spans="1:16" ht="21" customHeight="1" x14ac:dyDescent="0.25">
      <c r="A120" s="51">
        <v>2264</v>
      </c>
      <c r="B120" s="88" t="s">
        <v>137</v>
      </c>
      <c r="C120" s="89">
        <f t="shared" si="102"/>
        <v>2716</v>
      </c>
      <c r="D120" s="194">
        <v>3150</v>
      </c>
      <c r="E120" s="195">
        <v>-434</v>
      </c>
      <c r="F120" s="55">
        <f t="shared" si="147"/>
        <v>2716</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t="12" customHeight="1" x14ac:dyDescent="0.25">
      <c r="A122" s="188">
        <v>2270</v>
      </c>
      <c r="B122" s="88" t="s">
        <v>139</v>
      </c>
      <c r="C122" s="89">
        <f t="shared" si="102"/>
        <v>1593</v>
      </c>
      <c r="D122" s="189">
        <f>SUM(D123:D127)</f>
        <v>1580</v>
      </c>
      <c r="E122" s="190">
        <f t="shared" ref="E122:F122" si="151">SUM(E123:E127)</f>
        <v>13</v>
      </c>
      <c r="F122" s="55">
        <f t="shared" si="151"/>
        <v>1593</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1593</v>
      </c>
      <c r="D127" s="194">
        <v>1580</v>
      </c>
      <c r="E127" s="198">
        <f>267-64-190</f>
        <v>13</v>
      </c>
      <c r="F127" s="55">
        <f t="shared" si="155"/>
        <v>1593</v>
      </c>
      <c r="G127" s="53"/>
      <c r="H127" s="54"/>
      <c r="I127" s="55">
        <f t="shared" si="156"/>
        <v>0</v>
      </c>
      <c r="J127" s="53"/>
      <c r="K127" s="54"/>
      <c r="L127" s="55">
        <f t="shared" si="157"/>
        <v>0</v>
      </c>
      <c r="M127" s="53"/>
      <c r="N127" s="54"/>
      <c r="O127" s="55">
        <f t="shared" si="158"/>
        <v>0</v>
      </c>
      <c r="P127" s="57"/>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48731</v>
      </c>
      <c r="D130" s="183">
        <f>SUM(D131,D136,D140,D141,D144,D151,D159,D160,D163)</f>
        <v>14677</v>
      </c>
      <c r="E130" s="184">
        <f t="shared" ref="E130:F130" si="160">SUM(E131,E136,E140,E141,E144,E151,E159,E160,E163)</f>
        <v>34054</v>
      </c>
      <c r="F130" s="72">
        <f t="shared" si="160"/>
        <v>48731</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10278</v>
      </c>
      <c r="D131" s="192">
        <f t="shared" ref="D131:O131" si="164">SUM(D132:D135)</f>
        <v>10172</v>
      </c>
      <c r="E131" s="193">
        <f t="shared" si="164"/>
        <v>106</v>
      </c>
      <c r="F131" s="133">
        <f t="shared" si="164"/>
        <v>10278</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190</v>
      </c>
      <c r="D132" s="194">
        <v>140</v>
      </c>
      <c r="E132" s="198">
        <v>50</v>
      </c>
      <c r="F132" s="55">
        <f t="shared" ref="F132:F135" si="165">D132+E132</f>
        <v>190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10088</v>
      </c>
      <c r="D135" s="194">
        <f>9684+348</f>
        <v>10032</v>
      </c>
      <c r="E135" s="198">
        <f>204-148</f>
        <v>56</v>
      </c>
      <c r="F135" s="55">
        <f t="shared" si="165"/>
        <v>10088</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60</v>
      </c>
      <c r="E136" s="190">
        <f t="shared" ref="E136:F136" si="169">SUM(E137:E139)</f>
        <v>-60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60</v>
      </c>
      <c r="E138" s="198">
        <v>-60</v>
      </c>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36536</v>
      </c>
      <c r="D151" s="189">
        <f>SUM(D152:D158)</f>
        <v>2895</v>
      </c>
      <c r="E151" s="190">
        <f t="shared" ref="E151:F151" si="194">SUM(E152:E158)</f>
        <v>33641</v>
      </c>
      <c r="F151" s="55">
        <f t="shared" si="194"/>
        <v>36536</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customHeight="1" x14ac:dyDescent="0.25">
      <c r="A152" s="50">
        <v>2361</v>
      </c>
      <c r="B152" s="88" t="s">
        <v>169</v>
      </c>
      <c r="C152" s="89">
        <f t="shared" si="193"/>
        <v>34216</v>
      </c>
      <c r="D152" s="194">
        <v>0</v>
      </c>
      <c r="E152" s="198">
        <v>34216</v>
      </c>
      <c r="F152" s="55">
        <f t="shared" ref="F152:F159" si="198">D152+E152</f>
        <v>34216</v>
      </c>
      <c r="G152" s="53"/>
      <c r="H152" s="54"/>
      <c r="I152" s="55">
        <f t="shared" ref="I152:I159" si="199">G152+H152</f>
        <v>0</v>
      </c>
      <c r="J152" s="53"/>
      <c r="K152" s="54"/>
      <c r="L152" s="55">
        <f t="shared" ref="L152:L159" si="200">K152+J152</f>
        <v>0</v>
      </c>
      <c r="M152" s="53"/>
      <c r="N152" s="54"/>
      <c r="O152" s="55">
        <f t="shared" ref="O152:O159" si="201">N152+M152</f>
        <v>0</v>
      </c>
      <c r="P152" s="57" t="s">
        <v>888</v>
      </c>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8" t="s">
        <v>171</v>
      </c>
      <c r="C154" s="89">
        <f t="shared" si="193"/>
        <v>2320</v>
      </c>
      <c r="D154" s="194">
        <v>2895</v>
      </c>
      <c r="E154" s="198">
        <v>-575</v>
      </c>
      <c r="F154" s="55">
        <f t="shared" si="198"/>
        <v>2320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5">
        <v>2370</v>
      </c>
      <c r="B159" s="137" t="s">
        <v>176</v>
      </c>
      <c r="C159" s="142">
        <f t="shared" si="193"/>
        <v>1917</v>
      </c>
      <c r="D159" s="202">
        <v>1550</v>
      </c>
      <c r="E159" s="744">
        <v>367</v>
      </c>
      <c r="F159" s="140">
        <f t="shared" si="198"/>
        <v>1917</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9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2000</v>
      </c>
      <c r="D194" s="172">
        <f>SUM(D195,D230,D269,D283)</f>
        <v>2000</v>
      </c>
      <c r="E194" s="173">
        <f t="shared" ref="E194:O194" si="259">SUM(E195,E230,E269,E283)</f>
        <v>0</v>
      </c>
      <c r="F194" s="174">
        <f t="shared" si="259"/>
        <v>2000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2000</v>
      </c>
      <c r="D230" s="178">
        <f>D231+D251+D259</f>
        <v>2000</v>
      </c>
      <c r="E230" s="179">
        <f t="shared" ref="E230:F230" si="305">E231+E251+E259</f>
        <v>0</v>
      </c>
      <c r="F230" s="180">
        <f t="shared" si="305"/>
        <v>2000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2000</v>
      </c>
      <c r="D259" s="183">
        <f>SUM(D260,D264)</f>
        <v>2000</v>
      </c>
      <c r="E259" s="184">
        <f t="shared" ref="E259:O259" si="341">SUM(E260,E264)</f>
        <v>0</v>
      </c>
      <c r="F259" s="72">
        <f t="shared" si="341"/>
        <v>2000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2000</v>
      </c>
      <c r="D264" s="189">
        <f>SUM(D265:D268)</f>
        <v>2000</v>
      </c>
      <c r="E264" s="190">
        <f t="shared" ref="E264:F264" si="347">SUM(E265:E268)</f>
        <v>0</v>
      </c>
      <c r="F264" s="55">
        <f t="shared" si="347"/>
        <v>2000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8" t="s">
        <v>283</v>
      </c>
      <c r="C266" s="89">
        <f t="shared" si="288"/>
        <v>2000</v>
      </c>
      <c r="D266" s="194">
        <v>2000</v>
      </c>
      <c r="E266" s="195"/>
      <c r="F266" s="55">
        <f t="shared" si="351"/>
        <v>2000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3.5" customHeight="1" thickBot="1" x14ac:dyDescent="0.3">
      <c r="A289" s="249"/>
      <c r="B289" s="249" t="s">
        <v>308</v>
      </c>
      <c r="C289" s="250">
        <f t="shared" si="371"/>
        <v>70567</v>
      </c>
      <c r="D289" s="251">
        <f t="shared" ref="D289:O289" si="389">SUM(D286,D269,D230,D195,D187,D173,D75,D53,D283)</f>
        <v>38543</v>
      </c>
      <c r="E289" s="252">
        <f t="shared" si="389"/>
        <v>32024</v>
      </c>
      <c r="F289" s="253">
        <f t="shared" si="389"/>
        <v>70567</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RXhtq7Xt4FwWZI9ulNXj08HI4bMJPScCO5t7oO4gn9RnOpBuSnuO63DPFWCAYdWG9itw8WNmjG2h3LoUXA/kQA==" saltValue="Kbg9luyPz2/Ro6/gn1Y7tg==" spinCount="100000" sheet="1" objects="1" scenarios="1" formatCells="0" formatColumns="0" formatRows="0" deleteColumns="0"/>
  <autoFilter ref="A18:P301">
    <filterColumn colId="2">
      <filters>
        <filter val="1 065"/>
        <filter val="1 593"/>
        <filter val="1 917"/>
        <filter val="10 041"/>
        <filter val="10 088"/>
        <filter val="10 278"/>
        <filter val="188"/>
        <filter val="190"/>
        <filter val="2 000"/>
        <filter val="2 320"/>
        <filter val="2 716"/>
        <filter val="250"/>
        <filter val="34 216"/>
        <filter val="35"/>
        <filter val="36 536"/>
        <filter val="4 382"/>
        <filter val="48 731"/>
        <filter val="58 772"/>
        <filter val="68 567"/>
        <filter val="7 098"/>
        <filter val="70 567"/>
        <filter val="8 949"/>
        <filter val="846"/>
        <filter val="877"/>
        <filter val="9 79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37.pielikums Jūrmalas pilsētas domes
2019.gada 29.augusta saistošajiem noteikumiem Nr.31
(protokols Nr.12, 20.punkts)
 </firstHeader>
    <firstFooter>&amp;L&amp;9&amp;D; &amp;T&amp;R&amp;9&amp;P (&amp;N)</first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5" sqref="T5"/>
    </sheetView>
  </sheetViews>
  <sheetFormatPr defaultRowHeight="15"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collapsed="1"/>
    <col min="18" max="16384" width="9.140625" style="4"/>
  </cols>
  <sheetData>
    <row r="1" spans="1:17" x14ac:dyDescent="0.25">
      <c r="A1" s="1"/>
      <c r="B1" s="1"/>
      <c r="C1" s="1"/>
      <c r="D1" s="1"/>
      <c r="E1" s="1"/>
      <c r="F1" s="1"/>
      <c r="G1" s="1"/>
      <c r="H1" s="1"/>
      <c r="I1" s="1"/>
      <c r="J1" s="1"/>
      <c r="K1" s="1"/>
      <c r="L1" s="1"/>
      <c r="M1" s="1"/>
      <c r="N1" s="2"/>
      <c r="O1" s="3" t="s">
        <v>884</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726"/>
    </row>
    <row r="3" spans="1:17" ht="12.75" customHeight="1" x14ac:dyDescent="0.25">
      <c r="A3" s="5" t="s">
        <v>2</v>
      </c>
      <c r="B3" s="6"/>
      <c r="C3" s="1977" t="s">
        <v>3</v>
      </c>
      <c r="D3" s="1977"/>
      <c r="E3" s="1977"/>
      <c r="F3" s="1977"/>
      <c r="G3" s="1977"/>
      <c r="H3" s="1977"/>
      <c r="I3" s="1977"/>
      <c r="J3" s="1977"/>
      <c r="K3" s="1977"/>
      <c r="L3" s="1977"/>
      <c r="M3" s="1977"/>
      <c r="N3" s="1977"/>
      <c r="O3" s="1977"/>
      <c r="P3" s="1978"/>
      <c r="Q3" s="726"/>
    </row>
    <row r="4" spans="1:17" ht="12.75" customHeight="1" x14ac:dyDescent="0.25">
      <c r="A4" s="5" t="s">
        <v>4</v>
      </c>
      <c r="B4" s="6"/>
      <c r="C4" s="1977" t="s">
        <v>5</v>
      </c>
      <c r="D4" s="1977"/>
      <c r="E4" s="1977"/>
      <c r="F4" s="1977"/>
      <c r="G4" s="1977"/>
      <c r="H4" s="1977"/>
      <c r="I4" s="1977"/>
      <c r="J4" s="1977"/>
      <c r="K4" s="1977"/>
      <c r="L4" s="1977"/>
      <c r="M4" s="1977"/>
      <c r="N4" s="1977"/>
      <c r="O4" s="1977"/>
      <c r="P4" s="1978"/>
      <c r="Q4" s="726"/>
    </row>
    <row r="5" spans="1:17" ht="12.75" customHeight="1" x14ac:dyDescent="0.25">
      <c r="A5" s="7" t="s">
        <v>6</v>
      </c>
      <c r="B5" s="8"/>
      <c r="C5" s="1972" t="s">
        <v>7</v>
      </c>
      <c r="D5" s="1972"/>
      <c r="E5" s="1972"/>
      <c r="F5" s="1972"/>
      <c r="G5" s="1972"/>
      <c r="H5" s="1972"/>
      <c r="I5" s="1972"/>
      <c r="J5" s="1972"/>
      <c r="K5" s="1972"/>
      <c r="L5" s="1972"/>
      <c r="M5" s="1972"/>
      <c r="N5" s="1972"/>
      <c r="O5" s="1972"/>
      <c r="P5" s="1973"/>
      <c r="Q5" s="726"/>
    </row>
    <row r="6" spans="1:17" ht="12.75" customHeight="1" x14ac:dyDescent="0.25">
      <c r="A6" s="7" t="s">
        <v>8</v>
      </c>
      <c r="B6" s="8"/>
      <c r="C6" s="1972" t="s">
        <v>836</v>
      </c>
      <c r="D6" s="1972"/>
      <c r="E6" s="1972"/>
      <c r="F6" s="1972"/>
      <c r="G6" s="1972"/>
      <c r="H6" s="1972"/>
      <c r="I6" s="1972"/>
      <c r="J6" s="1972"/>
      <c r="K6" s="1972"/>
      <c r="L6" s="1972"/>
      <c r="M6" s="1972"/>
      <c r="N6" s="1972"/>
      <c r="O6" s="1972"/>
      <c r="P6" s="1973"/>
      <c r="Q6" s="726"/>
    </row>
    <row r="7" spans="1:17" x14ac:dyDescent="0.25">
      <c r="A7" s="7" t="s">
        <v>10</v>
      </c>
      <c r="B7" s="8"/>
      <c r="C7" s="1977" t="s">
        <v>732</v>
      </c>
      <c r="D7" s="1977"/>
      <c r="E7" s="1977"/>
      <c r="F7" s="1977"/>
      <c r="G7" s="1977"/>
      <c r="H7" s="1977"/>
      <c r="I7" s="1977"/>
      <c r="J7" s="1977"/>
      <c r="K7" s="1977"/>
      <c r="L7" s="1977"/>
      <c r="M7" s="1977"/>
      <c r="N7" s="1977"/>
      <c r="O7" s="1977"/>
      <c r="P7" s="1978"/>
      <c r="Q7" s="726"/>
    </row>
    <row r="8" spans="1:17" ht="12.75" customHeight="1" x14ac:dyDescent="0.25">
      <c r="A8" s="9" t="s">
        <v>12</v>
      </c>
      <c r="B8" s="8"/>
      <c r="C8" s="1979"/>
      <c r="D8" s="1979"/>
      <c r="E8" s="1979"/>
      <c r="F8" s="1979"/>
      <c r="G8" s="1979"/>
      <c r="H8" s="1979"/>
      <c r="I8" s="1979"/>
      <c r="J8" s="1979"/>
      <c r="K8" s="1979"/>
      <c r="L8" s="1979"/>
      <c r="M8" s="1979"/>
      <c r="N8" s="1979"/>
      <c r="O8" s="1979"/>
      <c r="P8" s="1980"/>
      <c r="Q8" s="726"/>
    </row>
    <row r="9" spans="1:17" ht="12.75" customHeight="1" x14ac:dyDescent="0.25">
      <c r="A9" s="7"/>
      <c r="B9" s="8" t="s">
        <v>13</v>
      </c>
      <c r="C9" s="1972" t="s">
        <v>880</v>
      </c>
      <c r="D9" s="1972"/>
      <c r="E9" s="1972"/>
      <c r="F9" s="1972"/>
      <c r="G9" s="1972"/>
      <c r="H9" s="1972"/>
      <c r="I9" s="1972"/>
      <c r="J9" s="1972"/>
      <c r="K9" s="1972"/>
      <c r="L9" s="1972"/>
      <c r="M9" s="1972"/>
      <c r="N9" s="1972"/>
      <c r="O9" s="1972"/>
      <c r="P9" s="1973"/>
      <c r="Q9" s="72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72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72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72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726"/>
    </row>
    <row r="14" spans="1:17" ht="12.75" customHeight="1" x14ac:dyDescent="0.25">
      <c r="A14" s="10"/>
      <c r="B14" s="11"/>
      <c r="C14" s="1952"/>
      <c r="D14" s="1952"/>
      <c r="E14" s="1952"/>
      <c r="F14" s="1952"/>
      <c r="G14" s="1952"/>
      <c r="H14" s="1952"/>
      <c r="I14" s="1952"/>
      <c r="J14" s="1952"/>
      <c r="K14" s="1952"/>
      <c r="L14" s="1952"/>
      <c r="M14" s="1952"/>
      <c r="N14" s="1952"/>
      <c r="O14" s="1952"/>
      <c r="P14" s="1953"/>
      <c r="Q14" s="72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17264</v>
      </c>
      <c r="D20" s="32">
        <f>SUM(D21,D24,D25,D41,D43)</f>
        <v>16064</v>
      </c>
      <c r="E20" s="33">
        <f t="shared" ref="E20:F20" si="1">SUM(E21,E24,E25,E41,E43)</f>
        <v>1200</v>
      </c>
      <c r="F20" s="34">
        <f t="shared" si="1"/>
        <v>17264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5.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5.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17264</v>
      </c>
      <c r="D24" s="60">
        <f>15520+544</f>
        <v>16064</v>
      </c>
      <c r="E24" s="741">
        <v>1200</v>
      </c>
      <c r="F24" s="62">
        <f t="shared" si="9"/>
        <v>17264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17264</v>
      </c>
      <c r="D50" s="158">
        <f>SUM(D51,D286)</f>
        <v>16064</v>
      </c>
      <c r="E50" s="159">
        <f t="shared" ref="E50:F50" si="26">SUM(E51,E286)</f>
        <v>1200</v>
      </c>
      <c r="F50" s="160">
        <f t="shared" si="26"/>
        <v>17264</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17264</v>
      </c>
      <c r="D51" s="164">
        <f>SUM(D52,D194)</f>
        <v>16064</v>
      </c>
      <c r="E51" s="165">
        <f t="shared" ref="E51:F51" si="30">SUM(E52,E194)</f>
        <v>1200</v>
      </c>
      <c r="F51" s="166">
        <f t="shared" si="30"/>
        <v>17264</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17264</v>
      </c>
      <c r="D52" s="172">
        <f>SUM(D53,D75,D173,D187)</f>
        <v>16064</v>
      </c>
      <c r="E52" s="173">
        <f t="shared" ref="E52:F52" si="34">SUM(E53,E75,E173,E187)</f>
        <v>1200</v>
      </c>
      <c r="F52" s="174">
        <f t="shared" si="34"/>
        <v>17264</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t="12" x14ac:dyDescent="0.25">
      <c r="A53" s="176">
        <v>1000</v>
      </c>
      <c r="B53" s="176" t="s">
        <v>72</v>
      </c>
      <c r="C53" s="177">
        <f t="shared" si="0"/>
        <v>6299</v>
      </c>
      <c r="D53" s="178">
        <f>SUM(D54,D67)</f>
        <v>4799</v>
      </c>
      <c r="E53" s="179">
        <f t="shared" ref="E53:F53" si="38">SUM(E54,E67)</f>
        <v>1500</v>
      </c>
      <c r="F53" s="180">
        <f t="shared" si="38"/>
        <v>6299</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5074</v>
      </c>
      <c r="D54" s="183">
        <f>SUM(D55,D58,D66)</f>
        <v>3874</v>
      </c>
      <c r="E54" s="184">
        <f t="shared" ref="E54:F54" si="42">SUM(E55,E58,E66)</f>
        <v>1200</v>
      </c>
      <c r="F54" s="72">
        <f t="shared" si="42"/>
        <v>5074</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5074</v>
      </c>
      <c r="D66" s="143">
        <f>3424+450</f>
        <v>3874</v>
      </c>
      <c r="E66" s="742">
        <v>1200</v>
      </c>
      <c r="F66" s="140">
        <f t="shared" si="58"/>
        <v>5074</v>
      </c>
      <c r="G66" s="143"/>
      <c r="H66" s="144"/>
      <c r="I66" s="140">
        <f t="shared" si="59"/>
        <v>0</v>
      </c>
      <c r="J66" s="143"/>
      <c r="K66" s="144"/>
      <c r="L66" s="140">
        <f t="shared" si="60"/>
        <v>0</v>
      </c>
      <c r="M66" s="143"/>
      <c r="N66" s="144"/>
      <c r="O66" s="140">
        <f t="shared" si="61"/>
        <v>0</v>
      </c>
      <c r="P66" s="128" t="s">
        <v>885</v>
      </c>
    </row>
    <row r="67" spans="1:16" ht="24" x14ac:dyDescent="0.25">
      <c r="A67" s="68">
        <v>1200</v>
      </c>
      <c r="B67" s="182" t="s">
        <v>86</v>
      </c>
      <c r="C67" s="69">
        <f t="shared" si="0"/>
        <v>1225</v>
      </c>
      <c r="D67" s="183">
        <f>SUM(D68:D69)</f>
        <v>925</v>
      </c>
      <c r="E67" s="184">
        <f t="shared" ref="E67:F67" si="62">SUM(E68:E69)</f>
        <v>300</v>
      </c>
      <c r="F67" s="72">
        <f t="shared" si="62"/>
        <v>1225</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293">
        <v>1210</v>
      </c>
      <c r="B68" s="81" t="s">
        <v>87</v>
      </c>
      <c r="C68" s="82">
        <f t="shared" si="0"/>
        <v>1225</v>
      </c>
      <c r="D68" s="46">
        <f>831+94</f>
        <v>925</v>
      </c>
      <c r="E68" s="743">
        <v>300</v>
      </c>
      <c r="F68" s="133">
        <f>D68+E68</f>
        <v>1225</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10965</v>
      </c>
      <c r="D75" s="178">
        <f>SUM(D76,D83,D130,D164,D165,D172)</f>
        <v>11265</v>
      </c>
      <c r="E75" s="179">
        <f t="shared" ref="E75:F75" si="74">SUM(E76,E83,E130,E164,E165,E172)</f>
        <v>-300</v>
      </c>
      <c r="F75" s="180">
        <f t="shared" si="74"/>
        <v>10965</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9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1060</v>
      </c>
      <c r="D83" s="183">
        <f>SUM(D84,D89,D95,D103,D112,D116,D122,D128)</f>
        <v>1360</v>
      </c>
      <c r="E83" s="184">
        <f t="shared" ref="E83:F83" si="98">SUM(E84,E89,E95,E103,E112,E116,E122,E128)</f>
        <v>-300</v>
      </c>
      <c r="F83" s="72">
        <f t="shared" si="98"/>
        <v>1060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900</v>
      </c>
      <c r="D116" s="189">
        <f>SUM(D117:D121)</f>
        <v>1200</v>
      </c>
      <c r="E116" s="190">
        <f t="shared" ref="E116:F116" si="143">SUM(E117:E121)</f>
        <v>-300</v>
      </c>
      <c r="F116" s="55">
        <f t="shared" si="143"/>
        <v>900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8" t="s">
        <v>135</v>
      </c>
      <c r="C118" s="89">
        <f t="shared" si="102"/>
        <v>900</v>
      </c>
      <c r="D118" s="194">
        <v>1200</v>
      </c>
      <c r="E118" s="198">
        <v>-300</v>
      </c>
      <c r="F118" s="55">
        <f t="shared" si="147"/>
        <v>900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54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160</v>
      </c>
      <c r="D122" s="189">
        <f>SUM(D123:D127)</f>
        <v>160</v>
      </c>
      <c r="E122" s="190">
        <f t="shared" ref="E122:F122" si="151">SUM(E123:E127)</f>
        <v>0</v>
      </c>
      <c r="F122" s="55">
        <f t="shared" si="151"/>
        <v>160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160</v>
      </c>
      <c r="D127" s="194">
        <v>160</v>
      </c>
      <c r="E127" s="195"/>
      <c r="F127" s="55">
        <f t="shared" si="155"/>
        <v>160</v>
      </c>
      <c r="G127" s="53"/>
      <c r="H127" s="54"/>
      <c r="I127" s="55">
        <f t="shared" si="156"/>
        <v>0</v>
      </c>
      <c r="J127" s="53"/>
      <c r="K127" s="54"/>
      <c r="L127" s="55">
        <f t="shared" si="157"/>
        <v>0</v>
      </c>
      <c r="M127" s="53"/>
      <c r="N127" s="54"/>
      <c r="O127" s="55">
        <f t="shared" si="158"/>
        <v>0</v>
      </c>
      <c r="P127" s="57"/>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9905</v>
      </c>
      <c r="D130" s="183">
        <f>SUM(D131,D136,D140,D141,D144,D151,D159,D160,D163)</f>
        <v>9905</v>
      </c>
      <c r="E130" s="184">
        <f t="shared" ref="E130:F130" si="160">SUM(E131,E136,E140,E141,E144,E151,E159,E160,E163)</f>
        <v>0</v>
      </c>
      <c r="F130" s="72">
        <f t="shared" si="160"/>
        <v>9905</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9433</v>
      </c>
      <c r="D131" s="192">
        <f t="shared" ref="D131:O131" si="164">SUM(D132:D135)</f>
        <v>9433</v>
      </c>
      <c r="E131" s="193">
        <f t="shared" si="164"/>
        <v>0</v>
      </c>
      <c r="F131" s="133">
        <f t="shared" si="164"/>
        <v>9433</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9433</v>
      </c>
      <c r="D135" s="194">
        <v>9433</v>
      </c>
      <c r="E135" s="195"/>
      <c r="F135" s="55">
        <f t="shared" si="165"/>
        <v>9433</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472</v>
      </c>
      <c r="D151" s="189">
        <f>SUM(D152:D158)</f>
        <v>472</v>
      </c>
      <c r="E151" s="190">
        <f t="shared" ref="E151:F151" si="194">SUM(E152:E158)</f>
        <v>0</v>
      </c>
      <c r="F151" s="55">
        <f t="shared" si="194"/>
        <v>472</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8" t="s">
        <v>171</v>
      </c>
      <c r="C154" s="89">
        <f t="shared" si="193"/>
        <v>472</v>
      </c>
      <c r="D154" s="194">
        <v>472</v>
      </c>
      <c r="E154" s="545"/>
      <c r="F154" s="55">
        <f t="shared" si="198"/>
        <v>472</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9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SUM(D195,D230,D269,D283)</f>
        <v>0</v>
      </c>
      <c r="E194" s="173">
        <f t="shared" ref="E194:O194" si="259">SUM(E195,E230,E269,E283)</f>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5.75" thickBot="1" x14ac:dyDescent="0.3">
      <c r="A289" s="249"/>
      <c r="B289" s="249" t="s">
        <v>308</v>
      </c>
      <c r="C289" s="250">
        <f t="shared" si="371"/>
        <v>17264</v>
      </c>
      <c r="D289" s="251">
        <f t="shared" ref="D289:O289" si="389">SUM(D286,D269,D230,D195,D187,D173,D75,D53,D283)</f>
        <v>16064</v>
      </c>
      <c r="E289" s="252">
        <f t="shared" si="389"/>
        <v>1200</v>
      </c>
      <c r="F289" s="253">
        <f t="shared" si="389"/>
        <v>17264</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5.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IabT98m99HefQ1Ymzlo3U9F1Kw7yrYmSfgbKzGtcLdB8x6iWpj4vg0SDdO5CgbLmRHc/uWcXGPGyf4jtS+z/jQ==" saltValue="X4sQoumDINrqzBoEpo/TGQ==" spinCount="100000" sheet="1" objects="1" scenarios="1" formatCells="0" formatColumns="0" formatRows="0" deleteColumns="0"/>
  <autoFilter ref="A18:P301">
    <filterColumn colId="2">
      <filters>
        <filter val="1 060"/>
        <filter val="1 225"/>
        <filter val="10 965"/>
        <filter val="160"/>
        <filter val="17 264"/>
        <filter val="472"/>
        <filter val="5 074"/>
        <filter val="6 299"/>
        <filter val="9 433"/>
        <filter val="9 905"/>
        <filter val="9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38.pielikums Jūrmalas pilsētas domes
2019.gada 29.augusta saistošajiem noteikumiem Nr.31
(protokols Nr.12, 20.punkts)
 </firstHeader>
    <firstFooter>&amp;L&amp;9&amp;D; &amp;T&amp;R&amp;9&amp;P (&amp;N)</first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4" sqref="T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878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836</v>
      </c>
      <c r="D6" s="1972"/>
      <c r="E6" s="1972"/>
      <c r="F6" s="1972"/>
      <c r="G6" s="1972"/>
      <c r="H6" s="1972"/>
      <c r="I6" s="1972"/>
      <c r="J6" s="1972"/>
      <c r="K6" s="1972"/>
      <c r="L6" s="1972"/>
      <c r="M6" s="1972"/>
      <c r="N6" s="1972"/>
      <c r="O6" s="1972"/>
      <c r="P6" s="1973"/>
      <c r="Q6" s="276"/>
    </row>
    <row r="7" spans="1:17" ht="24" customHeight="1" x14ac:dyDescent="0.25">
      <c r="A7" s="7" t="s">
        <v>10</v>
      </c>
      <c r="B7" s="8"/>
      <c r="C7" s="1977" t="s">
        <v>879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139887</v>
      </c>
      <c r="D20" s="32">
        <f>SUM(D21,D24,D25,D41,D43)</f>
        <v>139946</v>
      </c>
      <c r="E20" s="33">
        <f t="shared" ref="E20:F20" si="1">SUM(E21,E24,E25,E41,E43)</f>
        <v>-59</v>
      </c>
      <c r="F20" s="34">
        <f t="shared" si="1"/>
        <v>139887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139887</v>
      </c>
      <c r="D24" s="60">
        <f>140490-544</f>
        <v>139946</v>
      </c>
      <c r="E24" s="741">
        <v>-59</v>
      </c>
      <c r="F24" s="62">
        <f t="shared" si="9"/>
        <v>139887</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139887</v>
      </c>
      <c r="D50" s="158">
        <f>SUM(D51,D286)</f>
        <v>139946</v>
      </c>
      <c r="E50" s="159">
        <f t="shared" ref="E50:F50" si="26">SUM(E51,E286)</f>
        <v>-59</v>
      </c>
      <c r="F50" s="160">
        <f t="shared" si="26"/>
        <v>139887</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139887</v>
      </c>
      <c r="D51" s="164">
        <f>SUM(D52,D194)</f>
        <v>139946</v>
      </c>
      <c r="E51" s="165">
        <f t="shared" ref="E51:F51" si="30">SUM(E52,E194)</f>
        <v>-59</v>
      </c>
      <c r="F51" s="166">
        <f t="shared" si="30"/>
        <v>139887</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114629</v>
      </c>
      <c r="D52" s="172">
        <f>SUM(D53,D75,D173,D187)</f>
        <v>114688</v>
      </c>
      <c r="E52" s="173">
        <f t="shared" ref="E52:F52" si="34">SUM(E53,E75,E173,E187)</f>
        <v>-59</v>
      </c>
      <c r="F52" s="174">
        <f t="shared" si="34"/>
        <v>114629</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10762</v>
      </c>
      <c r="D53" s="178">
        <f>SUM(D54,D67)</f>
        <v>12081</v>
      </c>
      <c r="E53" s="179">
        <f t="shared" ref="E53:F53" si="38">SUM(E54,E67)</f>
        <v>-1319</v>
      </c>
      <c r="F53" s="180">
        <f t="shared" si="38"/>
        <v>10762</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9126</v>
      </c>
      <c r="D54" s="183">
        <f>SUM(D55,D58,D66)</f>
        <v>10245</v>
      </c>
      <c r="E54" s="184">
        <f t="shared" ref="E54:F54" si="42">SUM(E55,E58,E66)</f>
        <v>-1119</v>
      </c>
      <c r="F54" s="72">
        <f t="shared" si="42"/>
        <v>9126</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9126</v>
      </c>
      <c r="D66" s="143">
        <f>10262-17</f>
        <v>10245</v>
      </c>
      <c r="E66" s="742">
        <f>-300-319-500</f>
        <v>-1119</v>
      </c>
      <c r="F66" s="140">
        <f t="shared" si="58"/>
        <v>9126</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1636</v>
      </c>
      <c r="D67" s="183">
        <f>SUM(D68:D69)</f>
        <v>1836</v>
      </c>
      <c r="E67" s="184">
        <f t="shared" ref="E67:F67" si="62">SUM(E68:E69)</f>
        <v>-200</v>
      </c>
      <c r="F67" s="72">
        <f t="shared" si="62"/>
        <v>1636</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293">
        <v>1210</v>
      </c>
      <c r="B68" s="81" t="s">
        <v>87</v>
      </c>
      <c r="C68" s="82">
        <f t="shared" si="0"/>
        <v>1636</v>
      </c>
      <c r="D68" s="46">
        <f>1819+17</f>
        <v>1836</v>
      </c>
      <c r="E68" s="743">
        <v>-200</v>
      </c>
      <c r="F68" s="133">
        <f>D68+E68</f>
        <v>1636</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103867</v>
      </c>
      <c r="D75" s="178">
        <f>SUM(D76,D83,D130,D164,D165,D172)</f>
        <v>102607</v>
      </c>
      <c r="E75" s="179">
        <f t="shared" ref="E75:F75" si="74">SUM(E76,E83,E130,E164,E165,E172)</f>
        <v>1260</v>
      </c>
      <c r="F75" s="180">
        <f t="shared" si="74"/>
        <v>103867</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x14ac:dyDescent="0.25">
      <c r="A76" s="68">
        <v>2100</v>
      </c>
      <c r="B76" s="182" t="s">
        <v>95</v>
      </c>
      <c r="C76" s="69">
        <f t="shared" si="0"/>
        <v>1341</v>
      </c>
      <c r="D76" s="183">
        <f>SUM(D77,D80)</f>
        <v>0</v>
      </c>
      <c r="E76" s="184">
        <f t="shared" ref="E76:F76" si="78">SUM(E77,E80)</f>
        <v>1341</v>
      </c>
      <c r="F76" s="72">
        <f t="shared" si="78"/>
        <v>1341</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9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x14ac:dyDescent="0.25">
      <c r="A80" s="188">
        <v>2120</v>
      </c>
      <c r="B80" s="88" t="s">
        <v>99</v>
      </c>
      <c r="C80" s="89">
        <f t="shared" si="0"/>
        <v>1341</v>
      </c>
      <c r="D80" s="189">
        <f>SUM(D81:D82)</f>
        <v>0</v>
      </c>
      <c r="E80" s="190">
        <f t="shared" ref="E80:F80" si="90">SUM(E81:E82)</f>
        <v>1341</v>
      </c>
      <c r="F80" s="55">
        <f t="shared" si="90"/>
        <v>1341</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customHeight="1" x14ac:dyDescent="0.25">
      <c r="A81" s="51">
        <v>2121</v>
      </c>
      <c r="B81" s="88" t="s">
        <v>97</v>
      </c>
      <c r="C81" s="89">
        <f t="shared" si="0"/>
        <v>1323</v>
      </c>
      <c r="D81" s="194">
        <v>0</v>
      </c>
      <c r="E81" s="198">
        <v>1323</v>
      </c>
      <c r="F81" s="55">
        <f t="shared" ref="F81:F82" si="94">D81+E81</f>
        <v>1323</v>
      </c>
      <c r="G81" s="53"/>
      <c r="H81" s="54"/>
      <c r="I81" s="55">
        <f t="shared" ref="I81:I82" si="95">G81+H81</f>
        <v>0</v>
      </c>
      <c r="J81" s="53"/>
      <c r="K81" s="54"/>
      <c r="L81" s="55">
        <f t="shared" ref="L81:L82" si="96">K81+J81</f>
        <v>0</v>
      </c>
      <c r="M81" s="53"/>
      <c r="N81" s="54"/>
      <c r="O81" s="55">
        <f t="shared" ref="O81:O82" si="97">N81+M81</f>
        <v>0</v>
      </c>
      <c r="P81" s="57" t="s">
        <v>881</v>
      </c>
    </row>
    <row r="82" spans="1:16" ht="24" customHeight="1" x14ac:dyDescent="0.25">
      <c r="A82" s="51">
        <v>2122</v>
      </c>
      <c r="B82" s="88" t="s">
        <v>98</v>
      </c>
      <c r="C82" s="89">
        <f t="shared" si="0"/>
        <v>18</v>
      </c>
      <c r="D82" s="194">
        <v>0</v>
      </c>
      <c r="E82" s="198">
        <v>18</v>
      </c>
      <c r="F82" s="55">
        <f t="shared" si="94"/>
        <v>18</v>
      </c>
      <c r="G82" s="53"/>
      <c r="H82" s="54"/>
      <c r="I82" s="55">
        <f t="shared" si="95"/>
        <v>0</v>
      </c>
      <c r="J82" s="53"/>
      <c r="K82" s="54"/>
      <c r="L82" s="55">
        <f t="shared" si="96"/>
        <v>0</v>
      </c>
      <c r="M82" s="53"/>
      <c r="N82" s="54"/>
      <c r="O82" s="55">
        <f t="shared" si="97"/>
        <v>0</v>
      </c>
      <c r="P82" s="57" t="s">
        <v>881</v>
      </c>
    </row>
    <row r="83" spans="1:16" x14ac:dyDescent="0.25">
      <c r="A83" s="68">
        <v>2200</v>
      </c>
      <c r="B83" s="182" t="s">
        <v>100</v>
      </c>
      <c r="C83" s="69">
        <f t="shared" si="0"/>
        <v>93630</v>
      </c>
      <c r="D83" s="183">
        <f>SUM(D84,D89,D95,D103,D112,D116,D122,D128)</f>
        <v>93111</v>
      </c>
      <c r="E83" s="184">
        <f t="shared" ref="E83:F83" si="98">SUM(E84,E89,E95,E103,E112,E116,E122,E128)</f>
        <v>519</v>
      </c>
      <c r="F83" s="72">
        <f t="shared" si="98"/>
        <v>93630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9724</v>
      </c>
      <c r="D95" s="189">
        <f>SUM(D96:D102)</f>
        <v>8124</v>
      </c>
      <c r="E95" s="190">
        <f t="shared" ref="E95:F95" si="119">SUM(E96:E102)</f>
        <v>1600</v>
      </c>
      <c r="F95" s="55">
        <f t="shared" si="119"/>
        <v>9724</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6124</v>
      </c>
      <c r="D96" s="194">
        <v>4524</v>
      </c>
      <c r="E96" s="198">
        <v>1600</v>
      </c>
      <c r="F96" s="55">
        <f t="shared" ref="F96:F102" si="123">D96+E96</f>
        <v>6124</v>
      </c>
      <c r="G96" s="53"/>
      <c r="H96" s="54"/>
      <c r="I96" s="55">
        <f t="shared" ref="I96:I102" si="124">G96+H96</f>
        <v>0</v>
      </c>
      <c r="J96" s="53"/>
      <c r="K96" s="54"/>
      <c r="L96" s="55">
        <f t="shared" ref="L96:L102" si="125">K96+J96</f>
        <v>0</v>
      </c>
      <c r="M96" s="53"/>
      <c r="N96" s="54"/>
      <c r="O96" s="55">
        <f t="shared" ref="O96:O102" si="126">N96+M96</f>
        <v>0</v>
      </c>
      <c r="P96" s="57" t="s">
        <v>882</v>
      </c>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13.5"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3600</v>
      </c>
      <c r="D100" s="194">
        <v>3600</v>
      </c>
      <c r="E100" s="195"/>
      <c r="F100" s="55">
        <f t="shared" si="123"/>
        <v>3600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3820</v>
      </c>
      <c r="D116" s="189">
        <f>SUM(D117:D121)</f>
        <v>3020</v>
      </c>
      <c r="E116" s="190">
        <f t="shared" ref="E116:F116" si="143">SUM(E117:E121)</f>
        <v>800</v>
      </c>
      <c r="F116" s="55">
        <f t="shared" si="143"/>
        <v>3820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4.25" customHeight="1" x14ac:dyDescent="0.25">
      <c r="A118" s="51">
        <v>2262</v>
      </c>
      <c r="B118" s="88" t="s">
        <v>135</v>
      </c>
      <c r="C118" s="89">
        <f t="shared" si="102"/>
        <v>3820</v>
      </c>
      <c r="D118" s="194">
        <v>3020</v>
      </c>
      <c r="E118" s="198">
        <f>800-362+362</f>
        <v>800</v>
      </c>
      <c r="F118" s="55">
        <f t="shared" si="147"/>
        <v>3820</v>
      </c>
      <c r="G118" s="53"/>
      <c r="H118" s="54"/>
      <c r="I118" s="55">
        <f t="shared" si="148"/>
        <v>0</v>
      </c>
      <c r="J118" s="53"/>
      <c r="K118" s="54"/>
      <c r="L118" s="55">
        <f t="shared" si="149"/>
        <v>0</v>
      </c>
      <c r="M118" s="53"/>
      <c r="N118" s="54"/>
      <c r="O118" s="55">
        <f t="shared" si="150"/>
        <v>0</v>
      </c>
      <c r="P118" s="57" t="s">
        <v>883</v>
      </c>
    </row>
    <row r="119" spans="1:16" ht="12" hidden="1" customHeight="1" x14ac:dyDescent="0.25">
      <c r="A119" s="51">
        <v>2263</v>
      </c>
      <c r="B119" s="88" t="s">
        <v>136</v>
      </c>
      <c r="C119" s="89">
        <f t="shared" si="102"/>
        <v>0</v>
      </c>
      <c r="D119" s="194">
        <f>600-600</f>
        <v>0</v>
      </c>
      <c r="E119" s="195"/>
      <c r="F119" s="55">
        <f t="shared" si="147"/>
        <v>0</v>
      </c>
      <c r="G119" s="53"/>
      <c r="H119" s="54"/>
      <c r="I119" s="55">
        <f t="shared" si="148"/>
        <v>0</v>
      </c>
      <c r="J119" s="53"/>
      <c r="K119" s="54"/>
      <c r="L119" s="55">
        <f t="shared" si="149"/>
        <v>0</v>
      </c>
      <c r="M119" s="53"/>
      <c r="N119" s="54"/>
      <c r="O119" s="55">
        <f t="shared" si="150"/>
        <v>0</v>
      </c>
      <c r="P119" s="57"/>
    </row>
    <row r="120" spans="1:16" ht="14.25"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23.25"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80086</v>
      </c>
      <c r="D122" s="189">
        <f>SUM(D123:D127)</f>
        <v>81967</v>
      </c>
      <c r="E122" s="190">
        <f t="shared" ref="E122:F122" si="151">SUM(E123:E127)</f>
        <v>-1881</v>
      </c>
      <c r="F122" s="55">
        <f t="shared" si="151"/>
        <v>80086</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80086</v>
      </c>
      <c r="D127" s="194">
        <f>82511-544</f>
        <v>81967</v>
      </c>
      <c r="E127" s="198">
        <f>-2500+619</f>
        <v>-1881</v>
      </c>
      <c r="F127" s="55">
        <f t="shared" si="155"/>
        <v>80086</v>
      </c>
      <c r="G127" s="53"/>
      <c r="H127" s="54"/>
      <c r="I127" s="55">
        <f t="shared" si="156"/>
        <v>0</v>
      </c>
      <c r="J127" s="53"/>
      <c r="K127" s="54"/>
      <c r="L127" s="55">
        <f t="shared" si="157"/>
        <v>0</v>
      </c>
      <c r="M127" s="53"/>
      <c r="N127" s="54"/>
      <c r="O127" s="55">
        <f t="shared" si="158"/>
        <v>0</v>
      </c>
      <c r="P127" s="57"/>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8896</v>
      </c>
      <c r="D130" s="183">
        <f>SUM(D131,D136,D140,D141,D144,D151,D159,D160,D163)</f>
        <v>9496</v>
      </c>
      <c r="E130" s="184">
        <f t="shared" ref="E130:F130" si="160">SUM(E131,E136,E140,E141,E144,E151,E159,E160,E163)</f>
        <v>-600</v>
      </c>
      <c r="F130" s="72">
        <f t="shared" si="160"/>
        <v>8896</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7346</v>
      </c>
      <c r="D131" s="192">
        <f t="shared" ref="D131:O131" si="164">SUM(D132:D135)</f>
        <v>7946</v>
      </c>
      <c r="E131" s="193">
        <f t="shared" si="164"/>
        <v>-600</v>
      </c>
      <c r="F131" s="133">
        <f t="shared" si="164"/>
        <v>7346</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7346</v>
      </c>
      <c r="D135" s="194">
        <f>8771-825</f>
        <v>7946</v>
      </c>
      <c r="E135" s="198">
        <v>-600</v>
      </c>
      <c r="F135" s="55">
        <f t="shared" si="165"/>
        <v>7346</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1550</v>
      </c>
      <c r="D151" s="189">
        <f>SUM(D152:D158)</f>
        <v>1550</v>
      </c>
      <c r="E151" s="190">
        <f t="shared" ref="E151:F151" si="194">SUM(E152:E158)</f>
        <v>0</v>
      </c>
      <c r="F151" s="55">
        <f t="shared" si="194"/>
        <v>1550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8" t="s">
        <v>171</v>
      </c>
      <c r="C154" s="89">
        <f t="shared" si="193"/>
        <v>1550</v>
      </c>
      <c r="D154" s="194">
        <f>950+600</f>
        <v>1550</v>
      </c>
      <c r="E154" s="195"/>
      <c r="F154" s="55">
        <f t="shared" si="198"/>
        <v>1550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9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25258</v>
      </c>
      <c r="D194" s="172">
        <f>SUM(D195,D230,D269,D283)</f>
        <v>25258</v>
      </c>
      <c r="E194" s="173">
        <f t="shared" ref="E194:O194" si="259">SUM(E195,E230,E269,E283)</f>
        <v>0</v>
      </c>
      <c r="F194" s="174">
        <f t="shared" si="259"/>
        <v>25258</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25258</v>
      </c>
      <c r="D230" s="178">
        <f>D231+D251+D259</f>
        <v>25258</v>
      </c>
      <c r="E230" s="179">
        <f t="shared" ref="E230:F230" si="305">E231+E251+E259</f>
        <v>0</v>
      </c>
      <c r="F230" s="180">
        <f t="shared" si="305"/>
        <v>25258</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25258</v>
      </c>
      <c r="D259" s="183">
        <f>SUM(D260,D264)</f>
        <v>25258</v>
      </c>
      <c r="E259" s="184">
        <f t="shared" ref="E259:O259" si="341">SUM(E260,E264)</f>
        <v>0</v>
      </c>
      <c r="F259" s="72">
        <f t="shared" si="341"/>
        <v>25258</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25258</v>
      </c>
      <c r="D264" s="189">
        <f>SUM(D265:D268)</f>
        <v>25258</v>
      </c>
      <c r="E264" s="190">
        <f t="shared" ref="E264:F264" si="347">SUM(E265:E268)</f>
        <v>0</v>
      </c>
      <c r="F264" s="55">
        <f t="shared" si="347"/>
        <v>25258</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customHeight="1" x14ac:dyDescent="0.25">
      <c r="A266" s="51">
        <v>6422</v>
      </c>
      <c r="B266" s="88" t="s">
        <v>283</v>
      </c>
      <c r="C266" s="89">
        <f t="shared" si="288"/>
        <v>25258</v>
      </c>
      <c r="D266" s="194">
        <f>24433+825</f>
        <v>25258</v>
      </c>
      <c r="E266" s="195"/>
      <c r="F266" s="55">
        <f t="shared" si="351"/>
        <v>25258</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139887</v>
      </c>
      <c r="D289" s="251">
        <f t="shared" ref="D289:O289" si="389">SUM(D286,D269,D230,D195,D187,D173,D75,D53,D283)</f>
        <v>139946</v>
      </c>
      <c r="E289" s="252">
        <f t="shared" si="389"/>
        <v>-59</v>
      </c>
      <c r="F289" s="253">
        <f t="shared" si="389"/>
        <v>139887</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9RngF6lMD5LCXn50Ya0FzKLGr4VaFjlVQ8PZYoDXf2hHilp4ijfF7SBJ0X4CtNmekE+vH5LIPqbvvdvxlBEP/w==" saltValue="Dn5VeQ92lMnTrmd3rW+73g==" spinCount="100000" sheet="1" objects="1" scenarios="1" formatCells="0" formatColumns="0" formatRows="0" deleteColumns="0"/>
  <autoFilter ref="A18:P301">
    <filterColumn colId="2">
      <filters>
        <filter val="1 323"/>
        <filter val="1 341"/>
        <filter val="1 550"/>
        <filter val="1 636"/>
        <filter val="10 762"/>
        <filter val="103 867"/>
        <filter val="114 629"/>
        <filter val="139 887"/>
        <filter val="18"/>
        <filter val="25 258"/>
        <filter val="3 600"/>
        <filter val="3 820"/>
        <filter val="6 124"/>
        <filter val="7 346"/>
        <filter val="8 896"/>
        <filter val="80 086"/>
        <filter val="9 126"/>
        <filter val="9 724"/>
        <filter val="93 63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39.pielikums Jūrmalas pilsētas domes
2019.gada 29.augusta saistošajiem noteikumiem Nr.31
(protokols Nr.12, 20.punkts)</firstHeader>
    <firstFooter>&amp;L&amp;9&amp;D; &amp;T&amp;R&amp;9&amp;P (&amp;N)</first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7" sqref="U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1372</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952</v>
      </c>
      <c r="D6" s="1972"/>
      <c r="E6" s="1972"/>
      <c r="F6" s="1972"/>
      <c r="G6" s="1972"/>
      <c r="H6" s="1972"/>
      <c r="I6" s="1972"/>
      <c r="J6" s="1972"/>
      <c r="K6" s="1972"/>
      <c r="L6" s="1972"/>
      <c r="M6" s="1972"/>
      <c r="N6" s="1972"/>
      <c r="O6" s="1972"/>
      <c r="P6" s="1973"/>
      <c r="Q6" s="276"/>
    </row>
    <row r="7" spans="1:17" ht="24.75" customHeight="1" x14ac:dyDescent="0.25">
      <c r="A7" s="7" t="s">
        <v>10</v>
      </c>
      <c r="B7" s="8"/>
      <c r="C7" s="1977" t="s">
        <v>1373</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379903</v>
      </c>
      <c r="D20" s="32">
        <f>SUM(D21,D24,D25,D41,D43)</f>
        <v>375077</v>
      </c>
      <c r="E20" s="33">
        <f t="shared" ref="E20:F20" si="1">SUM(E21,E24,E25,E41,E43)</f>
        <v>4826</v>
      </c>
      <c r="F20" s="34">
        <f t="shared" si="1"/>
        <v>379903</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379903</v>
      </c>
      <c r="D24" s="60">
        <f>D51</f>
        <v>375077</v>
      </c>
      <c r="E24" s="741">
        <f>1813+430+2583</f>
        <v>4826</v>
      </c>
      <c r="F24" s="62">
        <f t="shared" si="9"/>
        <v>379903</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379903</v>
      </c>
      <c r="D50" s="158">
        <f>SUM(D51,D286)</f>
        <v>375077</v>
      </c>
      <c r="E50" s="159">
        <f t="shared" ref="E50:F50" si="26">SUM(E51,E286)</f>
        <v>4826</v>
      </c>
      <c r="F50" s="160">
        <f t="shared" si="26"/>
        <v>379903</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379903</v>
      </c>
      <c r="D51" s="164">
        <f>SUM(D52,D194)</f>
        <v>375077</v>
      </c>
      <c r="E51" s="165">
        <f t="shared" ref="E51:F51" si="30">SUM(E52,E194)</f>
        <v>4826</v>
      </c>
      <c r="F51" s="166">
        <f t="shared" si="30"/>
        <v>379903</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27454</v>
      </c>
      <c r="D52" s="172">
        <f>SUM(D53,D75,D173,D187)</f>
        <v>25641</v>
      </c>
      <c r="E52" s="173">
        <f t="shared" ref="E52:F52" si="34">SUM(E53,E75,E173,E187)</f>
        <v>1813</v>
      </c>
      <c r="F52" s="174">
        <f t="shared" si="34"/>
        <v>27454</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729">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27454</v>
      </c>
      <c r="D75" s="178">
        <f>SUM(D76,D83,D130,D164,D165,D172)</f>
        <v>25641</v>
      </c>
      <c r="E75" s="179">
        <f t="shared" ref="E75:F75" si="74">SUM(E76,E83,E130,E164,E165,E172)</f>
        <v>1813</v>
      </c>
      <c r="F75" s="180">
        <f t="shared" si="74"/>
        <v>27454</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729">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27454</v>
      </c>
      <c r="D83" s="183">
        <f>SUM(D84,D89,D95,D103,D112,D116,D122,D128)</f>
        <v>25641</v>
      </c>
      <c r="E83" s="184">
        <f t="shared" ref="E83:F83" si="98">SUM(E84,E89,E95,E103,E112,E116,E122,E128)</f>
        <v>1813</v>
      </c>
      <c r="F83" s="72">
        <f t="shared" si="98"/>
        <v>27454</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27454</v>
      </c>
      <c r="D103" s="189">
        <f>SUM(D104:D111)</f>
        <v>25641</v>
      </c>
      <c r="E103" s="190">
        <f t="shared" ref="E103:F103" si="127">SUM(E104:E111)</f>
        <v>1813</v>
      </c>
      <c r="F103" s="55">
        <f t="shared" si="127"/>
        <v>27454</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customHeight="1" x14ac:dyDescent="0.25">
      <c r="A104" s="51">
        <v>2241</v>
      </c>
      <c r="B104" s="88" t="s">
        <v>121</v>
      </c>
      <c r="C104" s="89">
        <f t="shared" si="102"/>
        <v>27454</v>
      </c>
      <c r="D104" s="194">
        <v>25641</v>
      </c>
      <c r="E104" s="198">
        <f>1813</f>
        <v>1813</v>
      </c>
      <c r="F104" s="55">
        <f t="shared" ref="F104:F111" si="131">D104+E104</f>
        <v>27454</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729">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729">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729">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729">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729">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729">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729">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352449</v>
      </c>
      <c r="D194" s="172">
        <f>SUM(D195,D230,D269,D283)</f>
        <v>349436</v>
      </c>
      <c r="E194" s="173">
        <f t="shared" ref="E194:O194" si="259">SUM(E195,E230,E269,E283)</f>
        <v>3013</v>
      </c>
      <c r="F194" s="174">
        <f t="shared" si="259"/>
        <v>352449</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352449</v>
      </c>
      <c r="D195" s="178">
        <f>D196+D204</f>
        <v>349436</v>
      </c>
      <c r="E195" s="179">
        <f t="shared" ref="E195:F195" si="260">E196+E204</f>
        <v>3013</v>
      </c>
      <c r="F195" s="180">
        <f t="shared" si="260"/>
        <v>352449</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729">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352449</v>
      </c>
      <c r="D204" s="183">
        <f>D205+D215+D216+D225+D226+D227+D229</f>
        <v>349436</v>
      </c>
      <c r="E204" s="184">
        <f t="shared" ref="E204:F204" si="276">E205+E215+E216+E225+E226+E227+E229</f>
        <v>3013</v>
      </c>
      <c r="F204" s="72">
        <f t="shared" si="276"/>
        <v>352449</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customHeight="1" x14ac:dyDescent="0.25">
      <c r="A226" s="188">
        <v>5250</v>
      </c>
      <c r="B226" s="88" t="s">
        <v>243</v>
      </c>
      <c r="C226" s="89">
        <f t="shared" si="288"/>
        <v>352449</v>
      </c>
      <c r="D226" s="194">
        <v>349436</v>
      </c>
      <c r="E226" s="198">
        <f>430+2583</f>
        <v>3013</v>
      </c>
      <c r="F226" s="55">
        <f t="shared" si="293"/>
        <v>352449</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729">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729">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729">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729">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729">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729">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379903</v>
      </c>
      <c r="D289" s="251">
        <f t="shared" ref="D289:O289" si="389">SUM(D286,D269,D230,D195,D187,D173,D75,D53,D283)</f>
        <v>375077</v>
      </c>
      <c r="E289" s="252">
        <f t="shared" si="389"/>
        <v>4826</v>
      </c>
      <c r="F289" s="253">
        <f t="shared" si="389"/>
        <v>379903</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g6+RIWhDWJHbnt0/Z9AELnaQ3jckFOo7bVY/7uIQFRZAXFlCakd6MZUNV8FjutNc0LO9Q8R1iPUs3Nr6O2Z82w==" saltValue="3Gkf3YHw+pTX63MJLaUUug==" spinCount="100000" sheet="1" objects="1" scenarios="1" formatCells="0" formatColumns="0" formatRows="0" deleteColumns="0"/>
  <autoFilter ref="A18:P301">
    <filterColumn colId="2">
      <filters>
        <filter val="27 454"/>
        <filter val="352 449"/>
        <filter val="379 903"/>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40.pielikums Jūrmalas pilsētas domes
2019.gada 29.augusta saistošajiem noteikumiem Nr.31
(protokols Nr.12, 20.punkts)
 </firstHeader>
    <firstFooter>&amp;L&amp;9&amp;D; &amp;T&amp;R&amp;9&amp;P (&amp;N)</first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T7" sqref="T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7.285156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1768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853</v>
      </c>
      <c r="D6" s="1972"/>
      <c r="E6" s="1972"/>
      <c r="F6" s="1972"/>
      <c r="G6" s="1972"/>
      <c r="H6" s="1972"/>
      <c r="I6" s="1972"/>
      <c r="J6" s="1972"/>
      <c r="K6" s="1972"/>
      <c r="L6" s="1972"/>
      <c r="M6" s="1972"/>
      <c r="N6" s="1972"/>
      <c r="O6" s="1972"/>
      <c r="P6" s="1973"/>
      <c r="Q6" s="276"/>
    </row>
    <row r="7" spans="1:17" ht="24" customHeight="1" x14ac:dyDescent="0.25">
      <c r="A7" s="7" t="s">
        <v>10</v>
      </c>
      <c r="B7" s="8"/>
      <c r="C7" s="1977" t="s">
        <v>1769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705045</v>
      </c>
      <c r="D20" s="32">
        <f>SUM(D21,D24,D25,D41,D43)</f>
        <v>706322</v>
      </c>
      <c r="E20" s="33">
        <f t="shared" ref="E20:F20" si="1">SUM(E21,E24,E25,E41,E43)</f>
        <v>-1277</v>
      </c>
      <c r="F20" s="34">
        <f t="shared" si="1"/>
        <v>705045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4.5" customHeight="1" thickTop="1" thickBot="1" x14ac:dyDescent="0.3">
      <c r="A24" s="58">
        <v>19300</v>
      </c>
      <c r="B24" s="58" t="s">
        <v>43</v>
      </c>
      <c r="C24" s="59">
        <f>F24+I24</f>
        <v>705045</v>
      </c>
      <c r="D24" s="60">
        <f>D51</f>
        <v>706322</v>
      </c>
      <c r="E24" s="741">
        <f>-431-846</f>
        <v>-1277</v>
      </c>
      <c r="F24" s="62">
        <f t="shared" si="9"/>
        <v>705045</v>
      </c>
      <c r="G24" s="60">
        <f>G51</f>
        <v>0</v>
      </c>
      <c r="H24" s="61"/>
      <c r="I24" s="62">
        <f t="shared" si="10"/>
        <v>0</v>
      </c>
      <c r="J24" s="63" t="s">
        <v>44</v>
      </c>
      <c r="K24" s="64" t="s">
        <v>44</v>
      </c>
      <c r="L24" s="65" t="s">
        <v>44</v>
      </c>
      <c r="M24" s="63" t="s">
        <v>44</v>
      </c>
      <c r="N24" s="64" t="s">
        <v>44</v>
      </c>
      <c r="O24" s="65" t="s">
        <v>44</v>
      </c>
      <c r="P24" s="66" t="s">
        <v>1770</v>
      </c>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705045</v>
      </c>
      <c r="D50" s="158">
        <f>SUM(D51,D286)</f>
        <v>706322</v>
      </c>
      <c r="E50" s="159">
        <f t="shared" ref="E50:F50" si="26">SUM(E51,E286)</f>
        <v>-1277</v>
      </c>
      <c r="F50" s="160">
        <f t="shared" si="26"/>
        <v>705045</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705045</v>
      </c>
      <c r="D51" s="164">
        <f>SUM(D52,D194)</f>
        <v>706322</v>
      </c>
      <c r="E51" s="165">
        <f t="shared" ref="E51:F51" si="30">SUM(E52,E194)</f>
        <v>-1277</v>
      </c>
      <c r="F51" s="166">
        <f t="shared" si="30"/>
        <v>705045</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80000</v>
      </c>
      <c r="D52" s="172">
        <f>SUM(D53,D75,D173,D187)</f>
        <v>80000</v>
      </c>
      <c r="E52" s="173">
        <f t="shared" ref="E52:F52" si="34">SUM(E53,E75,E173,E187)</f>
        <v>0</v>
      </c>
      <c r="F52" s="174">
        <f t="shared" si="34"/>
        <v>80000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213">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80000</v>
      </c>
      <c r="D75" s="178">
        <f>SUM(D76,D83,D130,D164,D165,D172)</f>
        <v>80000</v>
      </c>
      <c r="E75" s="179">
        <f t="shared" ref="E75:F75" si="74">SUM(E76,E83,E130,E164,E165,E172)</f>
        <v>0</v>
      </c>
      <c r="F75" s="180">
        <f t="shared" si="74"/>
        <v>80000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21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80000</v>
      </c>
      <c r="D83" s="183">
        <f>SUM(D84,D89,D95,D103,D112,D116,D122,D128)</f>
        <v>80000</v>
      </c>
      <c r="E83" s="184">
        <f t="shared" ref="E83:F83" si="98">SUM(E84,E89,E95,E103,E112,E116,E122,E128)</f>
        <v>0</v>
      </c>
      <c r="F83" s="72">
        <f t="shared" si="98"/>
        <v>80000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80000</v>
      </c>
      <c r="D103" s="189">
        <f>SUM(D104:D111)</f>
        <v>80000</v>
      </c>
      <c r="E103" s="190">
        <f t="shared" ref="E103:F103" si="127">SUM(E104:E111)</f>
        <v>0</v>
      </c>
      <c r="F103" s="55">
        <f t="shared" si="127"/>
        <v>80000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customHeight="1" x14ac:dyDescent="0.25">
      <c r="A104" s="51">
        <v>2241</v>
      </c>
      <c r="B104" s="88" t="s">
        <v>121</v>
      </c>
      <c r="C104" s="89">
        <f t="shared" si="102"/>
        <v>80000</v>
      </c>
      <c r="D104" s="194">
        <v>80000</v>
      </c>
      <c r="E104" s="195"/>
      <c r="F104" s="55">
        <f t="shared" ref="F104:F111" si="131">D104+E104</f>
        <v>80000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1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213">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21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21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1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21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21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625045</v>
      </c>
      <c r="D194" s="172">
        <f>SUM(D195,D230,D269,D283)</f>
        <v>626322</v>
      </c>
      <c r="E194" s="173">
        <f t="shared" ref="E194:O194" si="259">SUM(E195,E230,E269,E283)</f>
        <v>-1277</v>
      </c>
      <c r="F194" s="174">
        <f t="shared" si="259"/>
        <v>625045</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625045</v>
      </c>
      <c r="D195" s="178">
        <f>D196+D204</f>
        <v>626322</v>
      </c>
      <c r="E195" s="179">
        <f t="shared" ref="E195:F195" si="260">E196+E204</f>
        <v>-1277</v>
      </c>
      <c r="F195" s="180">
        <f t="shared" si="260"/>
        <v>625045</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213">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625045</v>
      </c>
      <c r="D204" s="183">
        <f>D205+D215+D216+D225+D226+D227+D229</f>
        <v>626322</v>
      </c>
      <c r="E204" s="184">
        <f t="shared" ref="E204:F204" si="276">E205+E215+E216+E225+E226+E227+E229</f>
        <v>-1277</v>
      </c>
      <c r="F204" s="72">
        <f t="shared" si="276"/>
        <v>625045</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8.5" customHeight="1" x14ac:dyDescent="0.25">
      <c r="A225" s="188">
        <v>5240</v>
      </c>
      <c r="B225" s="88" t="s">
        <v>242</v>
      </c>
      <c r="C225" s="89">
        <f t="shared" si="288"/>
        <v>134534</v>
      </c>
      <c r="D225" s="194">
        <v>134965</v>
      </c>
      <c r="E225" s="198">
        <v>-431</v>
      </c>
      <c r="F225" s="55">
        <f t="shared" si="293"/>
        <v>134534</v>
      </c>
      <c r="G225" s="53"/>
      <c r="H225" s="54"/>
      <c r="I225" s="55">
        <f t="shared" si="294"/>
        <v>0</v>
      </c>
      <c r="J225" s="53"/>
      <c r="K225" s="54"/>
      <c r="L225" s="55">
        <f t="shared" si="295"/>
        <v>0</v>
      </c>
      <c r="M225" s="53"/>
      <c r="N225" s="54"/>
      <c r="O225" s="55">
        <f t="shared" si="296"/>
        <v>0</v>
      </c>
      <c r="P225" s="57" t="s">
        <v>1771</v>
      </c>
    </row>
    <row r="226" spans="1:16" ht="29.25" customHeight="1" x14ac:dyDescent="0.25">
      <c r="A226" s="188">
        <v>5250</v>
      </c>
      <c r="B226" s="88" t="s">
        <v>243</v>
      </c>
      <c r="C226" s="89">
        <f t="shared" si="288"/>
        <v>490511</v>
      </c>
      <c r="D226" s="194">
        <v>491357</v>
      </c>
      <c r="E226" s="198">
        <v>-846</v>
      </c>
      <c r="F226" s="55">
        <f t="shared" si="293"/>
        <v>490511</v>
      </c>
      <c r="G226" s="53"/>
      <c r="H226" s="54"/>
      <c r="I226" s="55">
        <f t="shared" si="294"/>
        <v>0</v>
      </c>
      <c r="J226" s="53"/>
      <c r="K226" s="54"/>
      <c r="L226" s="55">
        <f t="shared" si="295"/>
        <v>0</v>
      </c>
      <c r="M226" s="53"/>
      <c r="N226" s="54"/>
      <c r="O226" s="55">
        <f t="shared" si="296"/>
        <v>0</v>
      </c>
      <c r="P226" s="57" t="s">
        <v>1772</v>
      </c>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21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1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21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21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21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1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705045</v>
      </c>
      <c r="D289" s="251">
        <f t="shared" ref="D289:O289" si="389">SUM(D286,D269,D230,D195,D187,D173,D75,D53,D283)</f>
        <v>706322</v>
      </c>
      <c r="E289" s="252">
        <f t="shared" si="389"/>
        <v>-1277</v>
      </c>
      <c r="F289" s="253">
        <f t="shared" si="389"/>
        <v>705045</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2Ck7Gh09AdH8P47CPBWXBtpBesU4QqPime/Yh+Mu015eTaZeKpfGM20E/EgMEx1JoQ6kT+E4SQEVkRRc4yWE4A==" saltValue="vgwm6bIh38zp7hQrrGsIIA==" spinCount="100000" sheet="1" objects="1" scenarios="1" formatCells="0" formatColumns="0" formatRows="0" deleteColumns="0"/>
  <autoFilter ref="A18:P301">
    <filterColumn colId="2">
      <filters>
        <filter val="134 534"/>
        <filter val="490 511"/>
        <filter val="625 045"/>
        <filter val="705 045"/>
        <filter val="80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41.pielikums Jūrmalas pilsētas domes
2019.gada 29.augusta saistošajiem noteikumiem Nr.31
(protokols Nr.12, 20.punkts)
 </firstHeader>
    <firstFooter>&amp;L&amp;9&amp;D; &amp;T&amp;R&amp;9&amp;P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3" sqref="U3"/>
    </sheetView>
  </sheetViews>
  <sheetFormatPr defaultRowHeight="12" outlineLevelCol="1" x14ac:dyDescent="0.25"/>
  <cols>
    <col min="1" max="1" width="10.140625" style="275" customWidth="1"/>
    <col min="2" max="2" width="28" style="275" customWidth="1"/>
    <col min="3" max="3" width="7.7109375" style="275" customWidth="1"/>
    <col min="4" max="5" width="7.7109375" style="275" hidden="1" customWidth="1" outlineLevel="1"/>
    <col min="6" max="6" width="7.7109375" style="275" customWidth="1" collapsed="1"/>
    <col min="7" max="7" width="9.7109375" style="275" hidden="1" customWidth="1" outlineLevel="1"/>
    <col min="8" max="8" width="9.42578125" style="275" hidden="1" customWidth="1" outlineLevel="1"/>
    <col min="9" max="9" width="7.7109375" style="275" customWidth="1" collapsed="1"/>
    <col min="10" max="11" width="7.7109375" style="275" hidden="1" customWidth="1" outlineLevel="1"/>
    <col min="12" max="12" width="7.7109375" style="275" customWidth="1" collapsed="1"/>
    <col min="13" max="13" width="7.7109375" style="275" hidden="1" customWidth="1" outlineLevel="1"/>
    <col min="14" max="14" width="7.7109375" style="4" hidden="1" customWidth="1" outlineLevel="1"/>
    <col min="15" max="15" width="7.7109375" style="4" customWidth="1" collapsed="1"/>
    <col min="16" max="16" width="25.855468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1721</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1722</v>
      </c>
      <c r="D3" s="1977"/>
      <c r="E3" s="1977"/>
      <c r="F3" s="1977"/>
      <c r="G3" s="1977"/>
      <c r="H3" s="1977"/>
      <c r="I3" s="1977"/>
      <c r="J3" s="1977"/>
      <c r="K3" s="1977"/>
      <c r="L3" s="1977"/>
      <c r="M3" s="1977"/>
      <c r="N3" s="1977"/>
      <c r="O3" s="1977"/>
      <c r="P3" s="1978"/>
      <c r="Q3" s="276"/>
    </row>
    <row r="4" spans="1:17" ht="12.75" customHeight="1" x14ac:dyDescent="0.25">
      <c r="A4" s="5" t="s">
        <v>4</v>
      </c>
      <c r="B4" s="6"/>
      <c r="C4" s="1977" t="s">
        <v>1723</v>
      </c>
      <c r="D4" s="1977"/>
      <c r="E4" s="1977"/>
      <c r="F4" s="1977"/>
      <c r="G4" s="1977"/>
      <c r="H4" s="1977"/>
      <c r="I4" s="1977"/>
      <c r="J4" s="1977"/>
      <c r="K4" s="1977"/>
      <c r="L4" s="1977"/>
      <c r="M4" s="1977"/>
      <c r="N4" s="1977"/>
      <c r="O4" s="1977"/>
      <c r="P4" s="1978"/>
      <c r="Q4" s="276"/>
    </row>
    <row r="5" spans="1:17" ht="12.75" customHeight="1" x14ac:dyDescent="0.25">
      <c r="A5" s="7" t="s">
        <v>6</v>
      </c>
      <c r="B5" s="8"/>
      <c r="C5" s="1972" t="s">
        <v>1724</v>
      </c>
      <c r="D5" s="1972"/>
      <c r="E5" s="1972"/>
      <c r="F5" s="1972"/>
      <c r="G5" s="1972"/>
      <c r="H5" s="1972"/>
      <c r="I5" s="1972"/>
      <c r="J5" s="1972"/>
      <c r="K5" s="1972"/>
      <c r="L5" s="1972"/>
      <c r="M5" s="1972"/>
      <c r="N5" s="1972"/>
      <c r="O5" s="1972"/>
      <c r="P5" s="1973"/>
      <c r="Q5" s="276"/>
    </row>
    <row r="6" spans="1:17" ht="12.75" customHeight="1" x14ac:dyDescent="0.25">
      <c r="A6" s="7" t="s">
        <v>8</v>
      </c>
      <c r="B6" s="8"/>
      <c r="C6" s="1972" t="s">
        <v>1259</v>
      </c>
      <c r="D6" s="1972"/>
      <c r="E6" s="1972"/>
      <c r="F6" s="1972"/>
      <c r="G6" s="1972"/>
      <c r="H6" s="1972"/>
      <c r="I6" s="1972"/>
      <c r="J6" s="1972"/>
      <c r="K6" s="1972"/>
      <c r="L6" s="1972"/>
      <c r="M6" s="1972"/>
      <c r="N6" s="1972"/>
      <c r="O6" s="1972"/>
      <c r="P6" s="1973"/>
      <c r="Q6" s="276"/>
    </row>
    <row r="7" spans="1:17" ht="15" customHeight="1" x14ac:dyDescent="0.25">
      <c r="A7" s="7" t="s">
        <v>10</v>
      </c>
      <c r="B7" s="8"/>
      <c r="C7" s="1977" t="s">
        <v>11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c r="D9" s="1972"/>
      <c r="E9" s="1972"/>
      <c r="F9" s="1972"/>
      <c r="G9" s="1972"/>
      <c r="H9" s="1972"/>
      <c r="I9" s="1972"/>
      <c r="J9" s="1972"/>
      <c r="K9" s="1972"/>
      <c r="L9" s="1972"/>
      <c r="M9" s="1972"/>
      <c r="N9" s="1972"/>
      <c r="O9" s="1972"/>
      <c r="P9" s="1973"/>
      <c r="Q9" s="276"/>
    </row>
    <row r="10" spans="1:17" ht="12.75" customHeight="1" x14ac:dyDescent="0.25">
      <c r="A10" s="7"/>
      <c r="B10" s="8" t="s">
        <v>15</v>
      </c>
      <c r="C10" s="1972" t="s">
        <v>1725</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1726</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81" t="s">
        <v>23</v>
      </c>
      <c r="D16" s="1964" t="s">
        <v>24</v>
      </c>
      <c r="E16" s="1966" t="s">
        <v>25</v>
      </c>
      <c r="F16" s="1968" t="s">
        <v>26</v>
      </c>
      <c r="G16" s="1950" t="s">
        <v>27</v>
      </c>
      <c r="H16" s="1951" t="s">
        <v>28</v>
      </c>
      <c r="I16" s="1949" t="s">
        <v>29</v>
      </c>
      <c r="J16" s="1991" t="s">
        <v>30</v>
      </c>
      <c r="K16" s="1991" t="s">
        <v>31</v>
      </c>
      <c r="L16" s="1986" t="s">
        <v>32</v>
      </c>
      <c r="M16" s="1988" t="s">
        <v>33</v>
      </c>
      <c r="N16" s="1990" t="s">
        <v>34</v>
      </c>
      <c r="O16" s="1983" t="s">
        <v>35</v>
      </c>
      <c r="P16" s="1985" t="s">
        <v>36</v>
      </c>
    </row>
    <row r="17" spans="1:16" s="13" customFormat="1" ht="71.25" customHeight="1" thickBot="1" x14ac:dyDescent="0.3">
      <c r="A17" s="1956"/>
      <c r="B17" s="1958"/>
      <c r="C17" s="1982"/>
      <c r="D17" s="1965"/>
      <c r="E17" s="1967"/>
      <c r="F17" s="1969"/>
      <c r="G17" s="1950"/>
      <c r="H17" s="1951"/>
      <c r="I17" s="1949"/>
      <c r="J17" s="1992"/>
      <c r="K17" s="1992"/>
      <c r="L17" s="1987"/>
      <c r="M17" s="1989"/>
      <c r="N17" s="1967"/>
      <c r="O17" s="1984"/>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18">
        <v>12</v>
      </c>
      <c r="M18" s="15">
        <v>13</v>
      </c>
      <c r="N18" s="17">
        <v>14</v>
      </c>
      <c r="O18" s="20">
        <v>15</v>
      </c>
      <c r="P18" s="20">
        <v>16</v>
      </c>
    </row>
    <row r="19" spans="1:16" s="28" customFormat="1" hidden="1" x14ac:dyDescent="0.25">
      <c r="A19" s="22"/>
      <c r="B19" s="23" t="s">
        <v>38</v>
      </c>
      <c r="C19" s="1225"/>
      <c r="D19" s="25"/>
      <c r="E19" s="26"/>
      <c r="F19" s="1226"/>
      <c r="G19" s="25"/>
      <c r="H19" s="1227"/>
      <c r="I19" s="1228"/>
      <c r="J19" s="1227"/>
      <c r="K19" s="26"/>
      <c r="L19" s="1226"/>
      <c r="M19" s="1229"/>
      <c r="N19" s="26"/>
      <c r="O19" s="1228"/>
      <c r="P19" s="1230"/>
    </row>
    <row r="20" spans="1:16" s="28" customFormat="1" ht="12.75" thickBot="1" x14ac:dyDescent="0.3">
      <c r="A20" s="29"/>
      <c r="B20" s="30" t="s">
        <v>39</v>
      </c>
      <c r="C20" s="1231">
        <f>F20+I20+L20+O20</f>
        <v>43610</v>
      </c>
      <c r="D20" s="32">
        <f>SUM(D21,D24,D25,D41,D43)</f>
        <v>0</v>
      </c>
      <c r="E20" s="33">
        <f t="shared" ref="E20:F20" si="0">SUM(E21,E24,E25,E41,E43)</f>
        <v>0</v>
      </c>
      <c r="F20" s="34">
        <f t="shared" si="0"/>
        <v>0</v>
      </c>
      <c r="G20" s="32">
        <f>SUM(G21,G24,G43)</f>
        <v>43621</v>
      </c>
      <c r="H20" s="1232">
        <f t="shared" ref="H20:I20" si="1">SUM(H21,H24,H43)</f>
        <v>-11</v>
      </c>
      <c r="I20" s="1233">
        <f t="shared" si="1"/>
        <v>43610</v>
      </c>
      <c r="J20" s="1232">
        <f>SUM(J21,J26,J43)</f>
        <v>0</v>
      </c>
      <c r="K20" s="33">
        <f t="shared" ref="K20:L20" si="2">SUM(K21,K26,K43)</f>
        <v>0</v>
      </c>
      <c r="L20" s="34">
        <f t="shared" si="2"/>
        <v>0</v>
      </c>
      <c r="M20" s="1231">
        <f>SUM(M21,M45)</f>
        <v>0</v>
      </c>
      <c r="N20" s="33">
        <f t="shared" ref="N20:O20" si="3">SUM(N21,N45)</f>
        <v>0</v>
      </c>
      <c r="O20" s="1233">
        <f t="shared" si="3"/>
        <v>0</v>
      </c>
      <c r="P20" s="1234"/>
    </row>
    <row r="21" spans="1:16" ht="12.75" hidden="1" thickTop="1" x14ac:dyDescent="0.25">
      <c r="A21" s="36"/>
      <c r="B21" s="37" t="s">
        <v>40</v>
      </c>
      <c r="C21" s="1235">
        <f t="shared" ref="C21:C84" si="4">F21+I21+L21+O21</f>
        <v>0</v>
      </c>
      <c r="D21" s="39">
        <f>SUM(D22:D23)</f>
        <v>0</v>
      </c>
      <c r="E21" s="40">
        <f t="shared" ref="E21" si="5">SUM(E22:E23)</f>
        <v>0</v>
      </c>
      <c r="F21" s="41">
        <f>SUM(F22:F23)</f>
        <v>0</v>
      </c>
      <c r="G21" s="39">
        <f>SUM(G22:G23)</f>
        <v>0</v>
      </c>
      <c r="H21" s="1236">
        <f t="shared" ref="H21:I21" si="6">SUM(H22:H23)</f>
        <v>0</v>
      </c>
      <c r="I21" s="1237">
        <f t="shared" si="6"/>
        <v>0</v>
      </c>
      <c r="J21" s="1236">
        <f>SUM(J22:J23)</f>
        <v>0</v>
      </c>
      <c r="K21" s="40">
        <f t="shared" ref="K21:L21" si="7">SUM(K22:K23)</f>
        <v>0</v>
      </c>
      <c r="L21" s="41">
        <f t="shared" si="7"/>
        <v>0</v>
      </c>
      <c r="M21" s="1235">
        <f>SUM(M22:M23)</f>
        <v>0</v>
      </c>
      <c r="N21" s="40">
        <f t="shared" ref="N21:O21" si="8">SUM(N22:N23)</f>
        <v>0</v>
      </c>
      <c r="O21" s="1237">
        <f t="shared" si="8"/>
        <v>0</v>
      </c>
      <c r="P21" s="1238"/>
    </row>
    <row r="22" spans="1:16" ht="12.75" hidden="1" thickTop="1" x14ac:dyDescent="0.25">
      <c r="A22" s="43"/>
      <c r="B22" s="44" t="s">
        <v>41</v>
      </c>
      <c r="C22" s="1239">
        <f t="shared" si="4"/>
        <v>0</v>
      </c>
      <c r="D22" s="46"/>
      <c r="E22" s="47"/>
      <c r="F22" s="48">
        <f>D22+E22</f>
        <v>0</v>
      </c>
      <c r="G22" s="46"/>
      <c r="H22" s="1240"/>
      <c r="I22" s="1241">
        <f>G22+H22</f>
        <v>0</v>
      </c>
      <c r="J22" s="1240"/>
      <c r="K22" s="47"/>
      <c r="L22" s="48">
        <f>J22+K22</f>
        <v>0</v>
      </c>
      <c r="M22" s="1242"/>
      <c r="N22" s="47"/>
      <c r="O22" s="1241">
        <f>M22+N22</f>
        <v>0</v>
      </c>
      <c r="P22" s="1243"/>
    </row>
    <row r="23" spans="1:16" ht="12.75" hidden="1" thickTop="1" x14ac:dyDescent="0.25">
      <c r="A23" s="50"/>
      <c r="B23" s="51" t="s">
        <v>42</v>
      </c>
      <c r="C23" s="1244">
        <f t="shared" si="4"/>
        <v>0</v>
      </c>
      <c r="D23" s="53"/>
      <c r="E23" s="54"/>
      <c r="F23" s="55">
        <f>D23+E23</f>
        <v>0</v>
      </c>
      <c r="G23" s="53"/>
      <c r="H23" s="1245"/>
      <c r="I23" s="1246">
        <f>G23+H23</f>
        <v>0</v>
      </c>
      <c r="J23" s="1245"/>
      <c r="K23" s="54"/>
      <c r="L23" s="56">
        <f>J23+K23</f>
        <v>0</v>
      </c>
      <c r="M23" s="1247"/>
      <c r="N23" s="54"/>
      <c r="O23" s="1246">
        <f>M23+N23</f>
        <v>0</v>
      </c>
      <c r="P23" s="1248"/>
    </row>
    <row r="24" spans="1:16" s="28" customFormat="1" ht="25.5" thickTop="1" thickBot="1" x14ac:dyDescent="0.3">
      <c r="A24" s="1249">
        <v>19300</v>
      </c>
      <c r="B24" s="1249" t="s">
        <v>43</v>
      </c>
      <c r="C24" s="1250">
        <f>F24+I24</f>
        <v>43610</v>
      </c>
      <c r="D24" s="1251"/>
      <c r="E24" s="1252"/>
      <c r="F24" s="634">
        <f>D24+E24</f>
        <v>0</v>
      </c>
      <c r="G24" s="1251">
        <v>43621</v>
      </c>
      <c r="H24" s="1253">
        <v>-11</v>
      </c>
      <c r="I24" s="1254">
        <f>G24+H24</f>
        <v>43610</v>
      </c>
      <c r="J24" s="1255" t="s">
        <v>44</v>
      </c>
      <c r="K24" s="635" t="s">
        <v>44</v>
      </c>
      <c r="L24" s="636" t="s">
        <v>44</v>
      </c>
      <c r="M24" s="1256" t="s">
        <v>44</v>
      </c>
      <c r="N24" s="635" t="s">
        <v>44</v>
      </c>
      <c r="O24" s="1257" t="s">
        <v>44</v>
      </c>
      <c r="P24" s="288" t="s">
        <v>1746</v>
      </c>
    </row>
    <row r="25" spans="1:16" s="28" customFormat="1" ht="24.75" hidden="1" thickTop="1" x14ac:dyDescent="0.25">
      <c r="A25" s="67"/>
      <c r="B25" s="68" t="s">
        <v>45</v>
      </c>
      <c r="C25" s="1258">
        <f>F25</f>
        <v>0</v>
      </c>
      <c r="D25" s="70"/>
      <c r="E25" s="71"/>
      <c r="F25" s="72">
        <f>D25+E25</f>
        <v>0</v>
      </c>
      <c r="G25" s="73" t="s">
        <v>44</v>
      </c>
      <c r="H25" s="1259" t="s">
        <v>44</v>
      </c>
      <c r="I25" s="1260" t="s">
        <v>44</v>
      </c>
      <c r="J25" s="1259" t="s">
        <v>44</v>
      </c>
      <c r="K25" s="74" t="s">
        <v>44</v>
      </c>
      <c r="L25" s="75" t="s">
        <v>44</v>
      </c>
      <c r="M25" s="1261" t="s">
        <v>44</v>
      </c>
      <c r="N25" s="74" t="s">
        <v>44</v>
      </c>
      <c r="O25" s="1260" t="s">
        <v>44</v>
      </c>
      <c r="P25" s="1262"/>
    </row>
    <row r="26" spans="1:16" s="28" customFormat="1" ht="36.75" hidden="1" thickTop="1" x14ac:dyDescent="0.25">
      <c r="A26" s="68">
        <v>21300</v>
      </c>
      <c r="B26" s="68" t="s">
        <v>46</v>
      </c>
      <c r="C26" s="1258">
        <f>L26</f>
        <v>0</v>
      </c>
      <c r="D26" s="73" t="s">
        <v>44</v>
      </c>
      <c r="E26" s="74" t="s">
        <v>44</v>
      </c>
      <c r="F26" s="75" t="s">
        <v>44</v>
      </c>
      <c r="G26" s="73" t="s">
        <v>44</v>
      </c>
      <c r="H26" s="1259" t="s">
        <v>44</v>
      </c>
      <c r="I26" s="1260" t="s">
        <v>44</v>
      </c>
      <c r="J26" s="1263">
        <f>SUM(J27,J31,J33,J36)</f>
        <v>0</v>
      </c>
      <c r="K26" s="184">
        <f t="shared" ref="K26:L26" si="9">SUM(K27,K31,K33,K36)</f>
        <v>0</v>
      </c>
      <c r="L26" s="72">
        <f t="shared" si="9"/>
        <v>0</v>
      </c>
      <c r="M26" s="1261" t="s">
        <v>44</v>
      </c>
      <c r="N26" s="74" t="s">
        <v>44</v>
      </c>
      <c r="O26" s="1260" t="s">
        <v>44</v>
      </c>
      <c r="P26" s="1262"/>
    </row>
    <row r="27" spans="1:16" s="28" customFormat="1" ht="24.75" hidden="1" thickTop="1" x14ac:dyDescent="0.25">
      <c r="A27" s="80">
        <v>21350</v>
      </c>
      <c r="B27" s="68" t="s">
        <v>47</v>
      </c>
      <c r="C27" s="1258">
        <f t="shared" ref="C27:C40" si="10">L27</f>
        <v>0</v>
      </c>
      <c r="D27" s="73" t="s">
        <v>44</v>
      </c>
      <c r="E27" s="74" t="s">
        <v>44</v>
      </c>
      <c r="F27" s="75" t="s">
        <v>44</v>
      </c>
      <c r="G27" s="73" t="s">
        <v>44</v>
      </c>
      <c r="H27" s="1259" t="s">
        <v>44</v>
      </c>
      <c r="I27" s="1260" t="s">
        <v>44</v>
      </c>
      <c r="J27" s="1263">
        <f>SUM(J28:J30)</f>
        <v>0</v>
      </c>
      <c r="K27" s="184">
        <f t="shared" ref="K27:L27" si="11">SUM(K28:K30)</f>
        <v>0</v>
      </c>
      <c r="L27" s="72">
        <f t="shared" si="11"/>
        <v>0</v>
      </c>
      <c r="M27" s="1261" t="s">
        <v>44</v>
      </c>
      <c r="N27" s="74" t="s">
        <v>44</v>
      </c>
      <c r="O27" s="1260" t="s">
        <v>44</v>
      </c>
      <c r="P27" s="1262"/>
    </row>
    <row r="28" spans="1:16" ht="12.75" hidden="1" thickTop="1" x14ac:dyDescent="0.25">
      <c r="A28" s="43">
        <v>21351</v>
      </c>
      <c r="B28" s="81" t="s">
        <v>48</v>
      </c>
      <c r="C28" s="1264">
        <f t="shared" si="10"/>
        <v>0</v>
      </c>
      <c r="D28" s="83" t="s">
        <v>44</v>
      </c>
      <c r="E28" s="84" t="s">
        <v>44</v>
      </c>
      <c r="F28" s="85" t="s">
        <v>44</v>
      </c>
      <c r="G28" s="83" t="s">
        <v>44</v>
      </c>
      <c r="H28" s="1265" t="s">
        <v>44</v>
      </c>
      <c r="I28" s="1266" t="s">
        <v>44</v>
      </c>
      <c r="J28" s="1267"/>
      <c r="K28" s="197"/>
      <c r="L28" s="48">
        <f>J28+K28</f>
        <v>0</v>
      </c>
      <c r="M28" s="1268" t="s">
        <v>44</v>
      </c>
      <c r="N28" s="84" t="s">
        <v>44</v>
      </c>
      <c r="O28" s="1266" t="s">
        <v>44</v>
      </c>
      <c r="P28" s="1269"/>
    </row>
    <row r="29" spans="1:16" ht="12.75" hidden="1" thickTop="1" x14ac:dyDescent="0.25">
      <c r="A29" s="50">
        <v>21352</v>
      </c>
      <c r="B29" s="88" t="s">
        <v>49</v>
      </c>
      <c r="C29" s="1270">
        <f t="shared" si="10"/>
        <v>0</v>
      </c>
      <c r="D29" s="90" t="s">
        <v>44</v>
      </c>
      <c r="E29" s="91" t="s">
        <v>44</v>
      </c>
      <c r="F29" s="92" t="s">
        <v>44</v>
      </c>
      <c r="G29" s="90" t="s">
        <v>44</v>
      </c>
      <c r="H29" s="1271" t="s">
        <v>44</v>
      </c>
      <c r="I29" s="1272" t="s">
        <v>44</v>
      </c>
      <c r="J29" s="1273"/>
      <c r="K29" s="195"/>
      <c r="L29" s="56">
        <f>J29+K29</f>
        <v>0</v>
      </c>
      <c r="M29" s="1274" t="s">
        <v>44</v>
      </c>
      <c r="N29" s="91" t="s">
        <v>44</v>
      </c>
      <c r="O29" s="1272" t="s">
        <v>44</v>
      </c>
      <c r="P29" s="1275"/>
    </row>
    <row r="30" spans="1:16" ht="24.75" hidden="1" thickTop="1" x14ac:dyDescent="0.25">
      <c r="A30" s="50">
        <v>21359</v>
      </c>
      <c r="B30" s="88" t="s">
        <v>50</v>
      </c>
      <c r="C30" s="1270">
        <f t="shared" si="10"/>
        <v>0</v>
      </c>
      <c r="D30" s="90" t="s">
        <v>44</v>
      </c>
      <c r="E30" s="91" t="s">
        <v>44</v>
      </c>
      <c r="F30" s="92" t="s">
        <v>44</v>
      </c>
      <c r="G30" s="90" t="s">
        <v>44</v>
      </c>
      <c r="H30" s="1271" t="s">
        <v>44</v>
      </c>
      <c r="I30" s="1272" t="s">
        <v>44</v>
      </c>
      <c r="J30" s="1273"/>
      <c r="K30" s="195"/>
      <c r="L30" s="56">
        <f>J30+K30</f>
        <v>0</v>
      </c>
      <c r="M30" s="1274" t="s">
        <v>44</v>
      </c>
      <c r="N30" s="91" t="s">
        <v>44</v>
      </c>
      <c r="O30" s="1272" t="s">
        <v>44</v>
      </c>
      <c r="P30" s="1275"/>
    </row>
    <row r="31" spans="1:16" s="28" customFormat="1" ht="36.75" hidden="1" thickTop="1" x14ac:dyDescent="0.25">
      <c r="A31" s="80">
        <v>21370</v>
      </c>
      <c r="B31" s="68" t="s">
        <v>51</v>
      </c>
      <c r="C31" s="1258">
        <f t="shared" si="10"/>
        <v>0</v>
      </c>
      <c r="D31" s="73" t="s">
        <v>44</v>
      </c>
      <c r="E31" s="74" t="s">
        <v>44</v>
      </c>
      <c r="F31" s="75" t="s">
        <v>44</v>
      </c>
      <c r="G31" s="73" t="s">
        <v>44</v>
      </c>
      <c r="H31" s="1259" t="s">
        <v>44</v>
      </c>
      <c r="I31" s="1260" t="s">
        <v>44</v>
      </c>
      <c r="J31" s="1263">
        <f>SUM(J32)</f>
        <v>0</v>
      </c>
      <c r="K31" s="184">
        <f t="shared" ref="K31:L31" si="12">SUM(K32)</f>
        <v>0</v>
      </c>
      <c r="L31" s="72">
        <f t="shared" si="12"/>
        <v>0</v>
      </c>
      <c r="M31" s="1261" t="s">
        <v>44</v>
      </c>
      <c r="N31" s="74" t="s">
        <v>44</v>
      </c>
      <c r="O31" s="1260" t="s">
        <v>44</v>
      </c>
      <c r="P31" s="1262"/>
    </row>
    <row r="32" spans="1:16" ht="36.75" hidden="1" thickTop="1" x14ac:dyDescent="0.25">
      <c r="A32" s="95">
        <v>21379</v>
      </c>
      <c r="B32" s="96" t="s">
        <v>52</v>
      </c>
      <c r="C32" s="1276">
        <f t="shared" si="10"/>
        <v>0</v>
      </c>
      <c r="D32" s="98" t="s">
        <v>44</v>
      </c>
      <c r="E32" s="99" t="s">
        <v>44</v>
      </c>
      <c r="F32" s="100" t="s">
        <v>44</v>
      </c>
      <c r="G32" s="98" t="s">
        <v>44</v>
      </c>
      <c r="H32" s="1277" t="s">
        <v>44</v>
      </c>
      <c r="I32" s="1278" t="s">
        <v>44</v>
      </c>
      <c r="J32" s="1279"/>
      <c r="K32" s="237"/>
      <c r="L32" s="103">
        <f>J32+K32</f>
        <v>0</v>
      </c>
      <c r="M32" s="1280" t="s">
        <v>44</v>
      </c>
      <c r="N32" s="99" t="s">
        <v>44</v>
      </c>
      <c r="O32" s="1278" t="s">
        <v>44</v>
      </c>
      <c r="P32" s="1281"/>
    </row>
    <row r="33" spans="1:16" s="28" customFormat="1" ht="12.75" hidden="1" thickTop="1" x14ac:dyDescent="0.25">
      <c r="A33" s="80">
        <v>21380</v>
      </c>
      <c r="B33" s="68" t="s">
        <v>53</v>
      </c>
      <c r="C33" s="1258">
        <f t="shared" si="10"/>
        <v>0</v>
      </c>
      <c r="D33" s="73" t="s">
        <v>44</v>
      </c>
      <c r="E33" s="74" t="s">
        <v>44</v>
      </c>
      <c r="F33" s="75" t="s">
        <v>44</v>
      </c>
      <c r="G33" s="73" t="s">
        <v>44</v>
      </c>
      <c r="H33" s="1259" t="s">
        <v>44</v>
      </c>
      <c r="I33" s="1260" t="s">
        <v>44</v>
      </c>
      <c r="J33" s="1263">
        <f>SUM(J34:J35)</f>
        <v>0</v>
      </c>
      <c r="K33" s="184">
        <f t="shared" ref="K33:L33" si="13">SUM(K34:K35)</f>
        <v>0</v>
      </c>
      <c r="L33" s="72">
        <f t="shared" si="13"/>
        <v>0</v>
      </c>
      <c r="M33" s="1261" t="s">
        <v>44</v>
      </c>
      <c r="N33" s="74" t="s">
        <v>44</v>
      </c>
      <c r="O33" s="1260" t="s">
        <v>44</v>
      </c>
      <c r="P33" s="1262"/>
    </row>
    <row r="34" spans="1:16" ht="12.75" hidden="1" thickTop="1" x14ac:dyDescent="0.25">
      <c r="A34" s="44">
        <v>21381</v>
      </c>
      <c r="B34" s="81" t="s">
        <v>54</v>
      </c>
      <c r="C34" s="1264">
        <f t="shared" si="10"/>
        <v>0</v>
      </c>
      <c r="D34" s="83" t="s">
        <v>44</v>
      </c>
      <c r="E34" s="84" t="s">
        <v>44</v>
      </c>
      <c r="F34" s="85" t="s">
        <v>44</v>
      </c>
      <c r="G34" s="83" t="s">
        <v>44</v>
      </c>
      <c r="H34" s="1265" t="s">
        <v>44</v>
      </c>
      <c r="I34" s="1266" t="s">
        <v>44</v>
      </c>
      <c r="J34" s="1267"/>
      <c r="K34" s="197"/>
      <c r="L34" s="48">
        <f>J34+K34</f>
        <v>0</v>
      </c>
      <c r="M34" s="1268" t="s">
        <v>44</v>
      </c>
      <c r="N34" s="84" t="s">
        <v>44</v>
      </c>
      <c r="O34" s="1266" t="s">
        <v>44</v>
      </c>
      <c r="P34" s="1269"/>
    </row>
    <row r="35" spans="1:16" ht="24.75" hidden="1" thickTop="1" x14ac:dyDescent="0.25">
      <c r="A35" s="51">
        <v>21383</v>
      </c>
      <c r="B35" s="88" t="s">
        <v>55</v>
      </c>
      <c r="C35" s="1270">
        <f t="shared" si="10"/>
        <v>0</v>
      </c>
      <c r="D35" s="90" t="s">
        <v>44</v>
      </c>
      <c r="E35" s="91" t="s">
        <v>44</v>
      </c>
      <c r="F35" s="92" t="s">
        <v>44</v>
      </c>
      <c r="G35" s="90" t="s">
        <v>44</v>
      </c>
      <c r="H35" s="1271" t="s">
        <v>44</v>
      </c>
      <c r="I35" s="1272" t="s">
        <v>44</v>
      </c>
      <c r="J35" s="1273"/>
      <c r="K35" s="195"/>
      <c r="L35" s="56">
        <f>J35+K35</f>
        <v>0</v>
      </c>
      <c r="M35" s="1274" t="s">
        <v>44</v>
      </c>
      <c r="N35" s="91" t="s">
        <v>44</v>
      </c>
      <c r="O35" s="1272" t="s">
        <v>44</v>
      </c>
      <c r="P35" s="1275"/>
    </row>
    <row r="36" spans="1:16" s="28" customFormat="1" ht="25.5" hidden="1" customHeight="1" x14ac:dyDescent="0.25">
      <c r="A36" s="80">
        <v>21390</v>
      </c>
      <c r="B36" s="68" t="s">
        <v>56</v>
      </c>
      <c r="C36" s="1258">
        <f t="shared" si="10"/>
        <v>0</v>
      </c>
      <c r="D36" s="73" t="s">
        <v>44</v>
      </c>
      <c r="E36" s="74" t="s">
        <v>44</v>
      </c>
      <c r="F36" s="75" t="s">
        <v>44</v>
      </c>
      <c r="G36" s="73" t="s">
        <v>44</v>
      </c>
      <c r="H36" s="1259" t="s">
        <v>44</v>
      </c>
      <c r="I36" s="1260" t="s">
        <v>44</v>
      </c>
      <c r="J36" s="1263">
        <f>SUM(J37:J40)</f>
        <v>0</v>
      </c>
      <c r="K36" s="184">
        <f t="shared" ref="K36:L36" si="14">SUM(K37:K40)</f>
        <v>0</v>
      </c>
      <c r="L36" s="72">
        <f t="shared" si="14"/>
        <v>0</v>
      </c>
      <c r="M36" s="1261" t="s">
        <v>44</v>
      </c>
      <c r="N36" s="74" t="s">
        <v>44</v>
      </c>
      <c r="O36" s="1260" t="s">
        <v>44</v>
      </c>
      <c r="P36" s="1262"/>
    </row>
    <row r="37" spans="1:16" ht="24.75" hidden="1" thickTop="1" x14ac:dyDescent="0.25">
      <c r="A37" s="44">
        <v>21391</v>
      </c>
      <c r="B37" s="81" t="s">
        <v>57</v>
      </c>
      <c r="C37" s="1264">
        <f t="shared" si="10"/>
        <v>0</v>
      </c>
      <c r="D37" s="83" t="s">
        <v>44</v>
      </c>
      <c r="E37" s="84" t="s">
        <v>44</v>
      </c>
      <c r="F37" s="85" t="s">
        <v>44</v>
      </c>
      <c r="G37" s="83" t="s">
        <v>44</v>
      </c>
      <c r="H37" s="1265" t="s">
        <v>44</v>
      </c>
      <c r="I37" s="1266" t="s">
        <v>44</v>
      </c>
      <c r="J37" s="1267"/>
      <c r="K37" s="197"/>
      <c r="L37" s="48">
        <f>J37+K37</f>
        <v>0</v>
      </c>
      <c r="M37" s="1268" t="s">
        <v>44</v>
      </c>
      <c r="N37" s="84" t="s">
        <v>44</v>
      </c>
      <c r="O37" s="1266" t="s">
        <v>44</v>
      </c>
      <c r="P37" s="1269"/>
    </row>
    <row r="38" spans="1:16" ht="12.75" hidden="1" thickTop="1" x14ac:dyDescent="0.25">
      <c r="A38" s="51">
        <v>21393</v>
      </c>
      <c r="B38" s="88" t="s">
        <v>58</v>
      </c>
      <c r="C38" s="1270">
        <f t="shared" si="10"/>
        <v>0</v>
      </c>
      <c r="D38" s="90" t="s">
        <v>44</v>
      </c>
      <c r="E38" s="91" t="s">
        <v>44</v>
      </c>
      <c r="F38" s="92" t="s">
        <v>44</v>
      </c>
      <c r="G38" s="90" t="s">
        <v>44</v>
      </c>
      <c r="H38" s="1271" t="s">
        <v>44</v>
      </c>
      <c r="I38" s="1272" t="s">
        <v>44</v>
      </c>
      <c r="J38" s="1273"/>
      <c r="K38" s="195"/>
      <c r="L38" s="56">
        <f>J38+K38</f>
        <v>0</v>
      </c>
      <c r="M38" s="1274" t="s">
        <v>44</v>
      </c>
      <c r="N38" s="91" t="s">
        <v>44</v>
      </c>
      <c r="O38" s="1272" t="s">
        <v>44</v>
      </c>
      <c r="P38" s="1275"/>
    </row>
    <row r="39" spans="1:16" ht="12.75" hidden="1" thickTop="1" x14ac:dyDescent="0.25">
      <c r="A39" s="51">
        <v>21395</v>
      </c>
      <c r="B39" s="88" t="s">
        <v>59</v>
      </c>
      <c r="C39" s="1270">
        <f t="shared" si="10"/>
        <v>0</v>
      </c>
      <c r="D39" s="90" t="s">
        <v>44</v>
      </c>
      <c r="E39" s="91" t="s">
        <v>44</v>
      </c>
      <c r="F39" s="92" t="s">
        <v>44</v>
      </c>
      <c r="G39" s="90" t="s">
        <v>44</v>
      </c>
      <c r="H39" s="1271" t="s">
        <v>44</v>
      </c>
      <c r="I39" s="1272" t="s">
        <v>44</v>
      </c>
      <c r="J39" s="1273"/>
      <c r="K39" s="195"/>
      <c r="L39" s="56">
        <f>J39+K39</f>
        <v>0</v>
      </c>
      <c r="M39" s="1274" t="s">
        <v>44</v>
      </c>
      <c r="N39" s="91" t="s">
        <v>44</v>
      </c>
      <c r="O39" s="1272" t="s">
        <v>44</v>
      </c>
      <c r="P39" s="1275"/>
    </row>
    <row r="40" spans="1:16" ht="24.75" hidden="1" thickTop="1" x14ac:dyDescent="0.25">
      <c r="A40" s="107">
        <v>21399</v>
      </c>
      <c r="B40" s="108" t="s">
        <v>60</v>
      </c>
      <c r="C40" s="1282">
        <f t="shared" si="10"/>
        <v>0</v>
      </c>
      <c r="D40" s="110" t="s">
        <v>44</v>
      </c>
      <c r="E40" s="111" t="s">
        <v>44</v>
      </c>
      <c r="F40" s="112" t="s">
        <v>44</v>
      </c>
      <c r="G40" s="110" t="s">
        <v>44</v>
      </c>
      <c r="H40" s="1283" t="s">
        <v>44</v>
      </c>
      <c r="I40" s="1284" t="s">
        <v>44</v>
      </c>
      <c r="J40" s="1285"/>
      <c r="K40" s="1286"/>
      <c r="L40" s="115">
        <f>J40+K40</f>
        <v>0</v>
      </c>
      <c r="M40" s="1287" t="s">
        <v>44</v>
      </c>
      <c r="N40" s="111" t="s">
        <v>44</v>
      </c>
      <c r="O40" s="1284" t="s">
        <v>44</v>
      </c>
      <c r="P40" s="1288"/>
    </row>
    <row r="41" spans="1:16" s="28" customFormat="1" ht="26.25" hidden="1" customHeight="1" x14ac:dyDescent="0.25">
      <c r="A41" s="119">
        <v>21420</v>
      </c>
      <c r="B41" s="120" t="s">
        <v>61</v>
      </c>
      <c r="C41" s="1289">
        <f>F41</f>
        <v>0</v>
      </c>
      <c r="D41" s="122">
        <f>SUM(D42)</f>
        <v>0</v>
      </c>
      <c r="E41" s="123">
        <f t="shared" ref="E41:F41" si="15">SUM(E42)</f>
        <v>0</v>
      </c>
      <c r="F41" s="124">
        <f t="shared" si="15"/>
        <v>0</v>
      </c>
      <c r="G41" s="125" t="s">
        <v>44</v>
      </c>
      <c r="H41" s="1290" t="s">
        <v>44</v>
      </c>
      <c r="I41" s="1291" t="s">
        <v>44</v>
      </c>
      <c r="J41" s="1290" t="s">
        <v>44</v>
      </c>
      <c r="K41" s="126" t="s">
        <v>44</v>
      </c>
      <c r="L41" s="127" t="s">
        <v>44</v>
      </c>
      <c r="M41" s="1292" t="s">
        <v>44</v>
      </c>
      <c r="N41" s="126" t="s">
        <v>44</v>
      </c>
      <c r="O41" s="1291" t="s">
        <v>44</v>
      </c>
      <c r="P41" s="1293"/>
    </row>
    <row r="42" spans="1:16" s="28" customFormat="1" ht="26.25" hidden="1" customHeight="1" x14ac:dyDescent="0.25">
      <c r="A42" s="107">
        <v>21429</v>
      </c>
      <c r="B42" s="108" t="s">
        <v>62</v>
      </c>
      <c r="C42" s="1282">
        <f>F42</f>
        <v>0</v>
      </c>
      <c r="D42" s="113"/>
      <c r="E42" s="114"/>
      <c r="F42" s="130">
        <f>D42+E42</f>
        <v>0</v>
      </c>
      <c r="G42" s="110" t="s">
        <v>44</v>
      </c>
      <c r="H42" s="1283" t="s">
        <v>44</v>
      </c>
      <c r="I42" s="1284" t="s">
        <v>44</v>
      </c>
      <c r="J42" s="1283" t="s">
        <v>44</v>
      </c>
      <c r="K42" s="111" t="s">
        <v>44</v>
      </c>
      <c r="L42" s="112" t="s">
        <v>44</v>
      </c>
      <c r="M42" s="1287" t="s">
        <v>44</v>
      </c>
      <c r="N42" s="111" t="s">
        <v>44</v>
      </c>
      <c r="O42" s="1284" t="s">
        <v>44</v>
      </c>
      <c r="P42" s="1288"/>
    </row>
    <row r="43" spans="1:16" s="28" customFormat="1" ht="24.75" hidden="1" thickTop="1" x14ac:dyDescent="0.25">
      <c r="A43" s="80">
        <v>21490</v>
      </c>
      <c r="B43" s="68" t="s">
        <v>63</v>
      </c>
      <c r="C43" s="1294">
        <f>F43+I43+L43</f>
        <v>0</v>
      </c>
      <c r="D43" s="77">
        <f>D44</f>
        <v>0</v>
      </c>
      <c r="E43" s="78">
        <f t="shared" ref="E43:L43" si="16">E44</f>
        <v>0</v>
      </c>
      <c r="F43" s="79">
        <f t="shared" si="16"/>
        <v>0</v>
      </c>
      <c r="G43" s="77">
        <f t="shared" si="16"/>
        <v>0</v>
      </c>
      <c r="H43" s="1295">
        <f t="shared" si="16"/>
        <v>0</v>
      </c>
      <c r="I43" s="1296">
        <f t="shared" si="16"/>
        <v>0</v>
      </c>
      <c r="J43" s="1295">
        <f t="shared" si="16"/>
        <v>0</v>
      </c>
      <c r="K43" s="78">
        <f t="shared" si="16"/>
        <v>0</v>
      </c>
      <c r="L43" s="79">
        <f t="shared" si="16"/>
        <v>0</v>
      </c>
      <c r="M43" s="1261" t="s">
        <v>44</v>
      </c>
      <c r="N43" s="74" t="s">
        <v>44</v>
      </c>
      <c r="O43" s="1260" t="s">
        <v>44</v>
      </c>
      <c r="P43" s="1262"/>
    </row>
    <row r="44" spans="1:16" s="28" customFormat="1" ht="24.75" hidden="1" thickTop="1" x14ac:dyDescent="0.25">
      <c r="A44" s="51">
        <v>21499</v>
      </c>
      <c r="B44" s="88" t="s">
        <v>64</v>
      </c>
      <c r="C44" s="1297">
        <f>F44+I44+L44</f>
        <v>0</v>
      </c>
      <c r="D44" s="101"/>
      <c r="E44" s="102"/>
      <c r="F44" s="238">
        <f>D44+E44</f>
        <v>0</v>
      </c>
      <c r="G44" s="101"/>
      <c r="H44" s="1298"/>
      <c r="I44" s="1299">
        <f>G44+H44</f>
        <v>0</v>
      </c>
      <c r="J44" s="1298"/>
      <c r="K44" s="102"/>
      <c r="L44" s="103">
        <f>J44+K44</f>
        <v>0</v>
      </c>
      <c r="M44" s="1280" t="s">
        <v>44</v>
      </c>
      <c r="N44" s="99" t="s">
        <v>44</v>
      </c>
      <c r="O44" s="1278" t="s">
        <v>44</v>
      </c>
      <c r="P44" s="1281"/>
    </row>
    <row r="45" spans="1:16" ht="12.75" hidden="1" customHeight="1" x14ac:dyDescent="0.25">
      <c r="A45" s="134">
        <v>23000</v>
      </c>
      <c r="B45" s="135" t="s">
        <v>65</v>
      </c>
      <c r="C45" s="1294">
        <f>O45</f>
        <v>0</v>
      </c>
      <c r="D45" s="73" t="s">
        <v>44</v>
      </c>
      <c r="E45" s="74" t="s">
        <v>44</v>
      </c>
      <c r="F45" s="75" t="s">
        <v>44</v>
      </c>
      <c r="G45" s="73" t="s">
        <v>44</v>
      </c>
      <c r="H45" s="1259" t="s">
        <v>44</v>
      </c>
      <c r="I45" s="1260" t="s">
        <v>44</v>
      </c>
      <c r="J45" s="1259" t="s">
        <v>44</v>
      </c>
      <c r="K45" s="74" t="s">
        <v>44</v>
      </c>
      <c r="L45" s="75" t="s">
        <v>44</v>
      </c>
      <c r="M45" s="1294">
        <f>SUM(M46:M47)</f>
        <v>0</v>
      </c>
      <c r="N45" s="78">
        <f t="shared" ref="N45:O45" si="17">SUM(N46:N47)</f>
        <v>0</v>
      </c>
      <c r="O45" s="1296">
        <f t="shared" si="17"/>
        <v>0</v>
      </c>
      <c r="P45" s="1300"/>
    </row>
    <row r="46" spans="1:16" ht="24.75" hidden="1" thickTop="1" x14ac:dyDescent="0.25">
      <c r="A46" s="136">
        <v>23410</v>
      </c>
      <c r="B46" s="137" t="s">
        <v>66</v>
      </c>
      <c r="C46" s="1289">
        <f t="shared" ref="C46:C47" si="18">O46</f>
        <v>0</v>
      </c>
      <c r="D46" s="125" t="s">
        <v>44</v>
      </c>
      <c r="E46" s="126" t="s">
        <v>44</v>
      </c>
      <c r="F46" s="127" t="s">
        <v>44</v>
      </c>
      <c r="G46" s="125" t="s">
        <v>44</v>
      </c>
      <c r="H46" s="1290" t="s">
        <v>44</v>
      </c>
      <c r="I46" s="1291" t="s">
        <v>44</v>
      </c>
      <c r="J46" s="1290" t="s">
        <v>44</v>
      </c>
      <c r="K46" s="126" t="s">
        <v>44</v>
      </c>
      <c r="L46" s="127" t="s">
        <v>44</v>
      </c>
      <c r="M46" s="1301"/>
      <c r="N46" s="144"/>
      <c r="O46" s="1302">
        <f>M46+N46</f>
        <v>0</v>
      </c>
      <c r="P46" s="1303"/>
    </row>
    <row r="47" spans="1:16" ht="24.75" hidden="1" thickTop="1" x14ac:dyDescent="0.25">
      <c r="A47" s="136">
        <v>23510</v>
      </c>
      <c r="B47" s="137" t="s">
        <v>67</v>
      </c>
      <c r="C47" s="1289">
        <f t="shared" si="18"/>
        <v>0</v>
      </c>
      <c r="D47" s="125" t="s">
        <v>44</v>
      </c>
      <c r="E47" s="126" t="s">
        <v>44</v>
      </c>
      <c r="F47" s="127" t="s">
        <v>44</v>
      </c>
      <c r="G47" s="125" t="s">
        <v>44</v>
      </c>
      <c r="H47" s="1290" t="s">
        <v>44</v>
      </c>
      <c r="I47" s="1291" t="s">
        <v>44</v>
      </c>
      <c r="J47" s="1290" t="s">
        <v>44</v>
      </c>
      <c r="K47" s="126" t="s">
        <v>44</v>
      </c>
      <c r="L47" s="127" t="s">
        <v>44</v>
      </c>
      <c r="M47" s="1301"/>
      <c r="N47" s="144"/>
      <c r="O47" s="1302">
        <f>M47+N47</f>
        <v>0</v>
      </c>
      <c r="P47" s="1303"/>
    </row>
    <row r="48" spans="1:16" ht="12.75" hidden="1" thickTop="1" x14ac:dyDescent="0.25">
      <c r="A48" s="141"/>
      <c r="B48" s="137"/>
      <c r="C48" s="1304"/>
      <c r="D48" s="138"/>
      <c r="E48" s="139"/>
      <c r="F48" s="127"/>
      <c r="G48" s="138"/>
      <c r="H48" s="1305"/>
      <c r="I48" s="1246"/>
      <c r="J48" s="1306"/>
      <c r="K48" s="144"/>
      <c r="L48" s="124"/>
      <c r="M48" s="1301"/>
      <c r="N48" s="144"/>
      <c r="O48" s="1302"/>
      <c r="P48" s="1303"/>
    </row>
    <row r="49" spans="1:16" s="28" customFormat="1" ht="12.75" hidden="1" thickTop="1" x14ac:dyDescent="0.25">
      <c r="A49" s="145"/>
      <c r="B49" s="146" t="s">
        <v>68</v>
      </c>
      <c r="C49" s="1307"/>
      <c r="D49" s="1308"/>
      <c r="E49" s="1309"/>
      <c r="F49" s="150"/>
      <c r="G49" s="1308"/>
      <c r="H49" s="1310"/>
      <c r="I49" s="1311"/>
      <c r="J49" s="1310"/>
      <c r="K49" s="1309"/>
      <c r="L49" s="150"/>
      <c r="M49" s="1312"/>
      <c r="N49" s="1309"/>
      <c r="O49" s="1311"/>
      <c r="P49" s="1313"/>
    </row>
    <row r="50" spans="1:16" s="28" customFormat="1" ht="13.5" thickTop="1" thickBot="1" x14ac:dyDescent="0.3">
      <c r="A50" s="156"/>
      <c r="B50" s="29" t="s">
        <v>69</v>
      </c>
      <c r="C50" s="1314">
        <f t="shared" si="4"/>
        <v>43610</v>
      </c>
      <c r="D50" s="158">
        <f>SUM(D51,D286)</f>
        <v>0</v>
      </c>
      <c r="E50" s="159">
        <f t="shared" ref="E50:F50" si="19">SUM(E51,E286)</f>
        <v>0</v>
      </c>
      <c r="F50" s="160">
        <f t="shared" si="19"/>
        <v>0</v>
      </c>
      <c r="G50" s="158">
        <f>SUM(G51,G286)</f>
        <v>43621</v>
      </c>
      <c r="H50" s="1315">
        <f t="shared" ref="H50:I50" si="20">SUM(H51,H286)</f>
        <v>-11</v>
      </c>
      <c r="I50" s="1316">
        <f t="shared" si="20"/>
        <v>43610</v>
      </c>
      <c r="J50" s="1315">
        <f>SUM(J51,J286)</f>
        <v>0</v>
      </c>
      <c r="K50" s="159">
        <f t="shared" ref="K50:L50" si="21">SUM(K51,K286)</f>
        <v>0</v>
      </c>
      <c r="L50" s="160">
        <f t="shared" si="21"/>
        <v>0</v>
      </c>
      <c r="M50" s="1314">
        <f>SUM(M51,M286)</f>
        <v>0</v>
      </c>
      <c r="N50" s="159">
        <f t="shared" ref="N50:O50" si="22">SUM(N51,N286)</f>
        <v>0</v>
      </c>
      <c r="O50" s="1316">
        <f t="shared" si="22"/>
        <v>0</v>
      </c>
      <c r="P50" s="1317"/>
    </row>
    <row r="51" spans="1:16" s="28" customFormat="1" ht="36.75" thickTop="1" x14ac:dyDescent="0.25">
      <c r="A51" s="161"/>
      <c r="B51" s="162" t="s">
        <v>70</v>
      </c>
      <c r="C51" s="1318">
        <f t="shared" si="4"/>
        <v>43610</v>
      </c>
      <c r="D51" s="164">
        <f>SUM(D52,D194)</f>
        <v>0</v>
      </c>
      <c r="E51" s="165">
        <f t="shared" ref="E51:F51" si="23">SUM(E52,E194)</f>
        <v>0</v>
      </c>
      <c r="F51" s="166">
        <f t="shared" si="23"/>
        <v>0</v>
      </c>
      <c r="G51" s="164">
        <f>SUM(G52,G194)</f>
        <v>43621</v>
      </c>
      <c r="H51" s="1319">
        <f t="shared" ref="H51:I51" si="24">SUM(H52,H194)</f>
        <v>-11</v>
      </c>
      <c r="I51" s="1320">
        <f t="shared" si="24"/>
        <v>43610</v>
      </c>
      <c r="J51" s="1319">
        <f>SUM(J52,J194)</f>
        <v>0</v>
      </c>
      <c r="K51" s="165">
        <f t="shared" ref="K51:L51" si="25">SUM(K52,K194)</f>
        <v>0</v>
      </c>
      <c r="L51" s="166">
        <f t="shared" si="25"/>
        <v>0</v>
      </c>
      <c r="M51" s="1318">
        <f>SUM(M52,M194)</f>
        <v>0</v>
      </c>
      <c r="N51" s="165">
        <f t="shared" ref="N51:O51" si="26">SUM(N52,N194)</f>
        <v>0</v>
      </c>
      <c r="O51" s="1320">
        <f t="shared" si="26"/>
        <v>0</v>
      </c>
      <c r="P51" s="1321"/>
    </row>
    <row r="52" spans="1:16" s="28" customFormat="1" ht="24" x14ac:dyDescent="0.25">
      <c r="A52" s="24"/>
      <c r="B52" s="22" t="s">
        <v>71</v>
      </c>
      <c r="C52" s="1322">
        <f t="shared" si="4"/>
        <v>43610</v>
      </c>
      <c r="D52" s="172">
        <f>SUM(D53,D75,D173,D187)</f>
        <v>0</v>
      </c>
      <c r="E52" s="173">
        <f t="shared" ref="E52:F52" si="27">SUM(E53,E75,E173,E187)</f>
        <v>0</v>
      </c>
      <c r="F52" s="174">
        <f t="shared" si="27"/>
        <v>0</v>
      </c>
      <c r="G52" s="172">
        <f>SUM(G53,G75,G173,G187)</f>
        <v>43621</v>
      </c>
      <c r="H52" s="1323">
        <f t="shared" ref="H52:I52" si="28">SUM(H53,H75,H173,H187)</f>
        <v>-11</v>
      </c>
      <c r="I52" s="1324">
        <f t="shared" si="28"/>
        <v>43610</v>
      </c>
      <c r="J52" s="1323">
        <f>SUM(J53,J75,J173,J187)</f>
        <v>0</v>
      </c>
      <c r="K52" s="173">
        <f t="shared" ref="K52:L52" si="29">SUM(K53,K75,K173,K187)</f>
        <v>0</v>
      </c>
      <c r="L52" s="174">
        <f t="shared" si="29"/>
        <v>0</v>
      </c>
      <c r="M52" s="1322">
        <f>SUM(M53,M75,M173,M187)</f>
        <v>0</v>
      </c>
      <c r="N52" s="173">
        <f t="shared" ref="N52:O52" si="30">SUM(N53,N75,N173,N187)</f>
        <v>0</v>
      </c>
      <c r="O52" s="1324">
        <f t="shared" si="30"/>
        <v>0</v>
      </c>
      <c r="P52" s="1325"/>
    </row>
    <row r="53" spans="1:16" s="28" customFormat="1" x14ac:dyDescent="0.25">
      <c r="A53" s="176">
        <v>1000</v>
      </c>
      <c r="B53" s="176" t="s">
        <v>72</v>
      </c>
      <c r="C53" s="1326">
        <f t="shared" si="4"/>
        <v>38502</v>
      </c>
      <c r="D53" s="178">
        <f>SUM(D54,D67)</f>
        <v>0</v>
      </c>
      <c r="E53" s="179">
        <f t="shared" ref="E53:F53" si="31">SUM(E54,E67)</f>
        <v>0</v>
      </c>
      <c r="F53" s="180">
        <f t="shared" si="31"/>
        <v>0</v>
      </c>
      <c r="G53" s="178">
        <f>SUM(G54,G67)</f>
        <v>38513</v>
      </c>
      <c r="H53" s="1327">
        <f t="shared" ref="H53:I53" si="32">SUM(H54,H67)</f>
        <v>-11</v>
      </c>
      <c r="I53" s="1328">
        <f t="shared" si="32"/>
        <v>38502</v>
      </c>
      <c r="J53" s="1327">
        <f>SUM(J54,J67)</f>
        <v>0</v>
      </c>
      <c r="K53" s="179">
        <f t="shared" ref="K53:L53" si="33">SUM(K54,K67)</f>
        <v>0</v>
      </c>
      <c r="L53" s="180">
        <f t="shared" si="33"/>
        <v>0</v>
      </c>
      <c r="M53" s="1326">
        <f>SUM(M54,M67)</f>
        <v>0</v>
      </c>
      <c r="N53" s="179">
        <f t="shared" ref="N53:O53" si="34">SUM(N54,N67)</f>
        <v>0</v>
      </c>
      <c r="O53" s="1328">
        <f t="shared" si="34"/>
        <v>0</v>
      </c>
      <c r="P53" s="1329"/>
    </row>
    <row r="54" spans="1:16" x14ac:dyDescent="0.25">
      <c r="A54" s="68">
        <v>1100</v>
      </c>
      <c r="B54" s="182" t="s">
        <v>73</v>
      </c>
      <c r="C54" s="1258">
        <f t="shared" si="4"/>
        <v>31012</v>
      </c>
      <c r="D54" s="183">
        <f>SUM(D55,D58,D66)</f>
        <v>0</v>
      </c>
      <c r="E54" s="184">
        <f t="shared" ref="E54:F54" si="35">SUM(E55,E58,E66)</f>
        <v>0</v>
      </c>
      <c r="F54" s="72">
        <f t="shared" si="35"/>
        <v>0</v>
      </c>
      <c r="G54" s="183">
        <f>SUM(G55,G58,G66)</f>
        <v>31012</v>
      </c>
      <c r="H54" s="1263">
        <f t="shared" ref="H54:I54" si="36">SUM(H55,H58,H66)</f>
        <v>0</v>
      </c>
      <c r="I54" s="1330">
        <f t="shared" si="36"/>
        <v>31012</v>
      </c>
      <c r="J54" s="1263">
        <f>SUM(J55,J58,J66)</f>
        <v>0</v>
      </c>
      <c r="K54" s="184">
        <f t="shared" ref="K54:L54" si="37">SUM(K55,K58,K66)</f>
        <v>0</v>
      </c>
      <c r="L54" s="72">
        <f t="shared" si="37"/>
        <v>0</v>
      </c>
      <c r="M54" s="1331">
        <f>SUM(M55,M58,M66)</f>
        <v>0</v>
      </c>
      <c r="N54" s="219">
        <f t="shared" ref="N54:O54" si="38">SUM(N55,N58,N66)</f>
        <v>0</v>
      </c>
      <c r="O54" s="1332">
        <f t="shared" si="38"/>
        <v>0</v>
      </c>
      <c r="P54" s="1333"/>
    </row>
    <row r="55" spans="1:16" x14ac:dyDescent="0.25">
      <c r="A55" s="185">
        <v>1110</v>
      </c>
      <c r="B55" s="137" t="s">
        <v>74</v>
      </c>
      <c r="C55" s="1304">
        <f t="shared" si="4"/>
        <v>25802</v>
      </c>
      <c r="D55" s="186">
        <f>SUM(D56:D57)</f>
        <v>0</v>
      </c>
      <c r="E55" s="187">
        <f t="shared" ref="E55:F55" si="39">SUM(E56:E57)</f>
        <v>0</v>
      </c>
      <c r="F55" s="140">
        <f t="shared" si="39"/>
        <v>0</v>
      </c>
      <c r="G55" s="186">
        <f>SUM(G56:G57)</f>
        <v>25802</v>
      </c>
      <c r="H55" s="1334">
        <f t="shared" ref="H55:I55" si="40">SUM(H56:H57)</f>
        <v>0</v>
      </c>
      <c r="I55" s="1335">
        <f t="shared" si="40"/>
        <v>25802</v>
      </c>
      <c r="J55" s="1334">
        <f>SUM(J56:J57)</f>
        <v>0</v>
      </c>
      <c r="K55" s="187">
        <f t="shared" ref="K55:L55" si="41">SUM(K56:K57)</f>
        <v>0</v>
      </c>
      <c r="L55" s="140">
        <f t="shared" si="41"/>
        <v>0</v>
      </c>
      <c r="M55" s="1304">
        <f>SUM(M56:M57)</f>
        <v>0</v>
      </c>
      <c r="N55" s="187">
        <f t="shared" ref="N55:O55" si="42">SUM(N56:N57)</f>
        <v>0</v>
      </c>
      <c r="O55" s="1335">
        <f t="shared" si="42"/>
        <v>0</v>
      </c>
      <c r="P55" s="1336"/>
    </row>
    <row r="56" spans="1:16" hidden="1" x14ac:dyDescent="0.25">
      <c r="A56" s="44">
        <v>1111</v>
      </c>
      <c r="B56" s="81" t="s">
        <v>75</v>
      </c>
      <c r="C56" s="1264">
        <f t="shared" si="4"/>
        <v>0</v>
      </c>
      <c r="D56" s="196"/>
      <c r="E56" s="197"/>
      <c r="F56" s="133">
        <f t="shared" ref="F56:F57" si="43">D56+E56</f>
        <v>0</v>
      </c>
      <c r="G56" s="196"/>
      <c r="H56" s="1267"/>
      <c r="I56" s="1337">
        <f t="shared" ref="I56:I57" si="44">G56+H56</f>
        <v>0</v>
      </c>
      <c r="J56" s="1267"/>
      <c r="K56" s="197"/>
      <c r="L56" s="133">
        <f t="shared" ref="L56:L57" si="45">J56+K56</f>
        <v>0</v>
      </c>
      <c r="M56" s="1338"/>
      <c r="N56" s="197"/>
      <c r="O56" s="1337">
        <f>M56+N56</f>
        <v>0</v>
      </c>
      <c r="P56" s="1339"/>
    </row>
    <row r="57" spans="1:16" ht="24" customHeight="1" x14ac:dyDescent="0.25">
      <c r="A57" s="51">
        <v>1119</v>
      </c>
      <c r="B57" s="88" t="s">
        <v>76</v>
      </c>
      <c r="C57" s="1270">
        <f t="shared" si="4"/>
        <v>25802</v>
      </c>
      <c r="D57" s="194"/>
      <c r="E57" s="195"/>
      <c r="F57" s="55">
        <f t="shared" si="43"/>
        <v>0</v>
      </c>
      <c r="G57" s="194">
        <v>25802</v>
      </c>
      <c r="H57" s="1273"/>
      <c r="I57" s="1340">
        <f t="shared" si="44"/>
        <v>25802</v>
      </c>
      <c r="J57" s="1273"/>
      <c r="K57" s="195"/>
      <c r="L57" s="55">
        <f t="shared" si="45"/>
        <v>0</v>
      </c>
      <c r="M57" s="1341"/>
      <c r="N57" s="195"/>
      <c r="O57" s="1340">
        <f>M57+N57</f>
        <v>0</v>
      </c>
      <c r="P57" s="288"/>
    </row>
    <row r="58" spans="1:16" x14ac:dyDescent="0.25">
      <c r="A58" s="188">
        <v>1140</v>
      </c>
      <c r="B58" s="88" t="s">
        <v>77</v>
      </c>
      <c r="C58" s="1270">
        <f t="shared" si="4"/>
        <v>723</v>
      </c>
      <c r="D58" s="189">
        <f>SUM(D59:D65)</f>
        <v>0</v>
      </c>
      <c r="E58" s="190">
        <f t="shared" ref="E58:F58" si="46">SUM(E59:E65)</f>
        <v>0</v>
      </c>
      <c r="F58" s="55">
        <f t="shared" si="46"/>
        <v>0</v>
      </c>
      <c r="G58" s="189">
        <f>SUM(G59:G65)</f>
        <v>723</v>
      </c>
      <c r="H58" s="1342">
        <f t="shared" ref="H58:I58" si="47">SUM(H59:H65)</f>
        <v>0</v>
      </c>
      <c r="I58" s="1340">
        <f t="shared" si="47"/>
        <v>723</v>
      </c>
      <c r="J58" s="1342">
        <f>SUM(J59:J65)</f>
        <v>0</v>
      </c>
      <c r="K58" s="190">
        <f t="shared" ref="K58:L58" si="48">SUM(K59:K65)</f>
        <v>0</v>
      </c>
      <c r="L58" s="55">
        <f t="shared" si="48"/>
        <v>0</v>
      </c>
      <c r="M58" s="1270">
        <f>SUM(M59:M65)</f>
        <v>0</v>
      </c>
      <c r="N58" s="190">
        <f t="shared" ref="N58:O58" si="49">SUM(N59:N65)</f>
        <v>0</v>
      </c>
      <c r="O58" s="1340">
        <f t="shared" si="49"/>
        <v>0</v>
      </c>
      <c r="P58" s="1343"/>
    </row>
    <row r="59" spans="1:16" x14ac:dyDescent="0.25">
      <c r="A59" s="851">
        <v>1141</v>
      </c>
      <c r="B59" s="852" t="s">
        <v>78</v>
      </c>
      <c r="C59" s="1344">
        <f t="shared" si="4"/>
        <v>723</v>
      </c>
      <c r="D59" s="544"/>
      <c r="E59" s="545"/>
      <c r="F59" s="543">
        <f t="shared" ref="F59:F66" si="50">D59+E59</f>
        <v>0</v>
      </c>
      <c r="G59" s="544">
        <v>723</v>
      </c>
      <c r="H59" s="1345"/>
      <c r="I59" s="1346">
        <f t="shared" ref="I59:I66" si="51">G59+H59</f>
        <v>723</v>
      </c>
      <c r="J59" s="1345"/>
      <c r="K59" s="545"/>
      <c r="L59" s="543">
        <f t="shared" ref="L59:L66" si="52">J59+K59</f>
        <v>0</v>
      </c>
      <c r="M59" s="1347"/>
      <c r="N59" s="545"/>
      <c r="O59" s="1346">
        <f t="shared" ref="O59:O66" si="53">M59+N59</f>
        <v>0</v>
      </c>
      <c r="P59" s="1348"/>
    </row>
    <row r="60" spans="1:16" ht="24.75" hidden="1" customHeight="1" x14ac:dyDescent="0.25">
      <c r="A60" s="51">
        <v>1142</v>
      </c>
      <c r="B60" s="88" t="s">
        <v>79</v>
      </c>
      <c r="C60" s="1270">
        <f t="shared" si="4"/>
        <v>0</v>
      </c>
      <c r="D60" s="194"/>
      <c r="E60" s="195"/>
      <c r="F60" s="55">
        <f t="shared" si="50"/>
        <v>0</v>
      </c>
      <c r="G60" s="194"/>
      <c r="H60" s="1273"/>
      <c r="I60" s="1340">
        <f t="shared" si="51"/>
        <v>0</v>
      </c>
      <c r="J60" s="1273"/>
      <c r="K60" s="195"/>
      <c r="L60" s="55">
        <f>J60+K60</f>
        <v>0</v>
      </c>
      <c r="M60" s="1341"/>
      <c r="N60" s="195"/>
      <c r="O60" s="1340">
        <f t="shared" si="53"/>
        <v>0</v>
      </c>
      <c r="P60" s="1343"/>
    </row>
    <row r="61" spans="1:16" ht="24" hidden="1" x14ac:dyDescent="0.25">
      <c r="A61" s="51">
        <v>1145</v>
      </c>
      <c r="B61" s="88" t="s">
        <v>80</v>
      </c>
      <c r="C61" s="1270">
        <f t="shared" si="4"/>
        <v>0</v>
      </c>
      <c r="D61" s="194"/>
      <c r="E61" s="195"/>
      <c r="F61" s="55">
        <f t="shared" si="50"/>
        <v>0</v>
      </c>
      <c r="G61" s="194"/>
      <c r="H61" s="1273"/>
      <c r="I61" s="1340">
        <f t="shared" si="51"/>
        <v>0</v>
      </c>
      <c r="J61" s="1273"/>
      <c r="K61" s="195"/>
      <c r="L61" s="55">
        <f t="shared" si="52"/>
        <v>0</v>
      </c>
      <c r="M61" s="1341"/>
      <c r="N61" s="195"/>
      <c r="O61" s="1340">
        <f>M61+N61</f>
        <v>0</v>
      </c>
      <c r="P61" s="1343"/>
    </row>
    <row r="62" spans="1:16" ht="27.75" hidden="1" customHeight="1" x14ac:dyDescent="0.25">
      <c r="A62" s="51">
        <v>1146</v>
      </c>
      <c r="B62" s="88" t="s">
        <v>81</v>
      </c>
      <c r="C62" s="1270">
        <f t="shared" si="4"/>
        <v>0</v>
      </c>
      <c r="D62" s="194"/>
      <c r="E62" s="195"/>
      <c r="F62" s="55">
        <f t="shared" si="50"/>
        <v>0</v>
      </c>
      <c r="G62" s="194"/>
      <c r="H62" s="1273"/>
      <c r="I62" s="1340">
        <f t="shared" si="51"/>
        <v>0</v>
      </c>
      <c r="J62" s="1273"/>
      <c r="K62" s="195"/>
      <c r="L62" s="55">
        <f t="shared" si="52"/>
        <v>0</v>
      </c>
      <c r="M62" s="1341"/>
      <c r="N62" s="195"/>
      <c r="O62" s="1340">
        <f t="shared" si="53"/>
        <v>0</v>
      </c>
      <c r="P62" s="1343"/>
    </row>
    <row r="63" spans="1:16" hidden="1" x14ac:dyDescent="0.25">
      <c r="A63" s="51">
        <v>1147</v>
      </c>
      <c r="B63" s="88" t="s">
        <v>82</v>
      </c>
      <c r="C63" s="1270">
        <f t="shared" si="4"/>
        <v>0</v>
      </c>
      <c r="D63" s="194"/>
      <c r="E63" s="195"/>
      <c r="F63" s="55">
        <f t="shared" si="50"/>
        <v>0</v>
      </c>
      <c r="G63" s="194"/>
      <c r="H63" s="1273"/>
      <c r="I63" s="1340">
        <f t="shared" si="51"/>
        <v>0</v>
      </c>
      <c r="J63" s="1273"/>
      <c r="K63" s="195"/>
      <c r="L63" s="55">
        <f t="shared" si="52"/>
        <v>0</v>
      </c>
      <c r="M63" s="1341"/>
      <c r="N63" s="195"/>
      <c r="O63" s="1340">
        <f t="shared" si="53"/>
        <v>0</v>
      </c>
      <c r="P63" s="1343"/>
    </row>
    <row r="64" spans="1:16" hidden="1" x14ac:dyDescent="0.25">
      <c r="A64" s="51">
        <v>1148</v>
      </c>
      <c r="B64" s="88" t="s">
        <v>83</v>
      </c>
      <c r="C64" s="1270">
        <f t="shared" si="4"/>
        <v>0</v>
      </c>
      <c r="D64" s="194"/>
      <c r="E64" s="195"/>
      <c r="F64" s="55">
        <f t="shared" si="50"/>
        <v>0</v>
      </c>
      <c r="G64" s="194"/>
      <c r="H64" s="1273"/>
      <c r="I64" s="1340">
        <f t="shared" si="51"/>
        <v>0</v>
      </c>
      <c r="J64" s="1273"/>
      <c r="K64" s="195"/>
      <c r="L64" s="55">
        <f t="shared" si="52"/>
        <v>0</v>
      </c>
      <c r="M64" s="1341"/>
      <c r="N64" s="195"/>
      <c r="O64" s="1340">
        <f t="shared" si="53"/>
        <v>0</v>
      </c>
      <c r="P64" s="1343"/>
    </row>
    <row r="65" spans="1:16" ht="24" hidden="1" customHeight="1" x14ac:dyDescent="0.25">
      <c r="A65" s="51">
        <v>1149</v>
      </c>
      <c r="B65" s="88" t="s">
        <v>84</v>
      </c>
      <c r="C65" s="1270">
        <f>F65+I65+L65+O65</f>
        <v>0</v>
      </c>
      <c r="D65" s="194"/>
      <c r="E65" s="195"/>
      <c r="F65" s="55">
        <f t="shared" si="50"/>
        <v>0</v>
      </c>
      <c r="G65" s="194"/>
      <c r="H65" s="1273"/>
      <c r="I65" s="1340">
        <f t="shared" si="51"/>
        <v>0</v>
      </c>
      <c r="J65" s="1273"/>
      <c r="K65" s="195"/>
      <c r="L65" s="55">
        <f t="shared" si="52"/>
        <v>0</v>
      </c>
      <c r="M65" s="1341"/>
      <c r="N65" s="195"/>
      <c r="O65" s="1340">
        <f t="shared" si="53"/>
        <v>0</v>
      </c>
      <c r="P65" s="1343"/>
    </row>
    <row r="66" spans="1:16" ht="36" x14ac:dyDescent="0.25">
      <c r="A66" s="1349">
        <v>1150</v>
      </c>
      <c r="B66" s="1350" t="s">
        <v>85</v>
      </c>
      <c r="C66" s="1351">
        <f>F66+I66+L66+O66</f>
        <v>4487</v>
      </c>
      <c r="D66" s="691"/>
      <c r="E66" s="692"/>
      <c r="F66" s="667">
        <f t="shared" si="50"/>
        <v>0</v>
      </c>
      <c r="G66" s="691">
        <v>4487</v>
      </c>
      <c r="H66" s="1352"/>
      <c r="I66" s="1353">
        <f t="shared" si="51"/>
        <v>4487</v>
      </c>
      <c r="J66" s="1352"/>
      <c r="K66" s="692"/>
      <c r="L66" s="667">
        <f t="shared" si="52"/>
        <v>0</v>
      </c>
      <c r="M66" s="1354"/>
      <c r="N66" s="692"/>
      <c r="O66" s="1353">
        <f t="shared" si="53"/>
        <v>0</v>
      </c>
      <c r="P66" s="1355"/>
    </row>
    <row r="67" spans="1:16" ht="24" x14ac:dyDescent="0.25">
      <c r="A67" s="68">
        <v>1200</v>
      </c>
      <c r="B67" s="182" t="s">
        <v>86</v>
      </c>
      <c r="C67" s="1258">
        <f t="shared" si="4"/>
        <v>7490</v>
      </c>
      <c r="D67" s="183">
        <f>SUM(D68:D69)</f>
        <v>0</v>
      </c>
      <c r="E67" s="184">
        <f t="shared" ref="E67:F67" si="54">SUM(E68:E69)</f>
        <v>0</v>
      </c>
      <c r="F67" s="72">
        <f t="shared" si="54"/>
        <v>0</v>
      </c>
      <c r="G67" s="183">
        <f>SUM(G68:G69)</f>
        <v>7501</v>
      </c>
      <c r="H67" s="1263">
        <f t="shared" ref="H67:I67" si="55">SUM(H68:H69)</f>
        <v>-11</v>
      </c>
      <c r="I67" s="1330">
        <f t="shared" si="55"/>
        <v>7490</v>
      </c>
      <c r="J67" s="1263">
        <f>SUM(J68:J69)</f>
        <v>0</v>
      </c>
      <c r="K67" s="184">
        <f t="shared" ref="K67:L67" si="56">SUM(K68:K69)</f>
        <v>0</v>
      </c>
      <c r="L67" s="72">
        <f t="shared" si="56"/>
        <v>0</v>
      </c>
      <c r="M67" s="1258">
        <f>SUM(M68:M69)</f>
        <v>0</v>
      </c>
      <c r="N67" s="184">
        <f t="shared" ref="N67:O67" si="57">SUM(N68:N69)</f>
        <v>0</v>
      </c>
      <c r="O67" s="1330">
        <f t="shared" si="57"/>
        <v>0</v>
      </c>
      <c r="P67" s="1356"/>
    </row>
    <row r="68" spans="1:16" ht="31.5" customHeight="1" x14ac:dyDescent="0.25">
      <c r="A68" s="1212">
        <v>1210</v>
      </c>
      <c r="B68" s="81" t="s">
        <v>87</v>
      </c>
      <c r="C68" s="1264">
        <f t="shared" si="4"/>
        <v>7327</v>
      </c>
      <c r="D68" s="196"/>
      <c r="E68" s="197"/>
      <c r="F68" s="133">
        <f>D68+E68</f>
        <v>0</v>
      </c>
      <c r="G68" s="196">
        <v>7337</v>
      </c>
      <c r="H68" s="1267">
        <v>-10</v>
      </c>
      <c r="I68" s="1337">
        <f>G68+H68</f>
        <v>7327</v>
      </c>
      <c r="J68" s="1267"/>
      <c r="K68" s="197"/>
      <c r="L68" s="133">
        <f>J68+K68</f>
        <v>0</v>
      </c>
      <c r="M68" s="1338"/>
      <c r="N68" s="197"/>
      <c r="O68" s="1337">
        <f>M68+N68</f>
        <v>0</v>
      </c>
      <c r="P68" s="288" t="s">
        <v>1746</v>
      </c>
    </row>
    <row r="69" spans="1:16" ht="24" x14ac:dyDescent="0.25">
      <c r="A69" s="188">
        <v>1220</v>
      </c>
      <c r="B69" s="88" t="s">
        <v>88</v>
      </c>
      <c r="C69" s="1270">
        <f t="shared" si="4"/>
        <v>163</v>
      </c>
      <c r="D69" s="189">
        <f>SUM(D70:D74)</f>
        <v>0</v>
      </c>
      <c r="E69" s="190">
        <f t="shared" ref="E69:F69" si="58">SUM(E70:E74)</f>
        <v>0</v>
      </c>
      <c r="F69" s="55">
        <f t="shared" si="58"/>
        <v>0</v>
      </c>
      <c r="G69" s="189">
        <f>SUM(G70:G74)</f>
        <v>164</v>
      </c>
      <c r="H69" s="1342">
        <f t="shared" ref="H69:I69" si="59">SUM(H70:H74)</f>
        <v>-1</v>
      </c>
      <c r="I69" s="1340">
        <f t="shared" si="59"/>
        <v>163</v>
      </c>
      <c r="J69" s="1342">
        <f>SUM(J70:J74)</f>
        <v>0</v>
      </c>
      <c r="K69" s="190">
        <f t="shared" ref="K69:L69" si="60">SUM(K70:K74)</f>
        <v>0</v>
      </c>
      <c r="L69" s="55">
        <f t="shared" si="60"/>
        <v>0</v>
      </c>
      <c r="M69" s="1270">
        <f>SUM(M70:M74)</f>
        <v>0</v>
      </c>
      <c r="N69" s="190">
        <f t="shared" ref="N69:O69" si="61">SUM(N70:N74)</f>
        <v>0</v>
      </c>
      <c r="O69" s="1340">
        <f t="shared" si="61"/>
        <v>0</v>
      </c>
      <c r="P69" s="1343"/>
    </row>
    <row r="70" spans="1:16" ht="48" hidden="1" x14ac:dyDescent="0.25">
      <c r="A70" s="51">
        <v>1221</v>
      </c>
      <c r="B70" s="88" t="s">
        <v>89</v>
      </c>
      <c r="C70" s="1270">
        <f t="shared" si="4"/>
        <v>0</v>
      </c>
      <c r="D70" s="194"/>
      <c r="E70" s="195"/>
      <c r="F70" s="55">
        <f t="shared" ref="F70:F74" si="62">D70+E70</f>
        <v>0</v>
      </c>
      <c r="G70" s="194"/>
      <c r="H70" s="1273"/>
      <c r="I70" s="1340">
        <f t="shared" ref="I70:I74" si="63">G70+H70</f>
        <v>0</v>
      </c>
      <c r="J70" s="1273"/>
      <c r="K70" s="195"/>
      <c r="L70" s="55">
        <f t="shared" ref="L70:L74" si="64">J70+K70</f>
        <v>0</v>
      </c>
      <c r="M70" s="1341"/>
      <c r="N70" s="195"/>
      <c r="O70" s="1340">
        <f t="shared" ref="O70:O74" si="65">M70+N70</f>
        <v>0</v>
      </c>
      <c r="P70" s="1343"/>
    </row>
    <row r="71" spans="1:16" hidden="1" x14ac:dyDescent="0.25">
      <c r="A71" s="51">
        <v>1223</v>
      </c>
      <c r="B71" s="88" t="s">
        <v>90</v>
      </c>
      <c r="C71" s="1270">
        <f t="shared" si="4"/>
        <v>0</v>
      </c>
      <c r="D71" s="194"/>
      <c r="E71" s="195"/>
      <c r="F71" s="55">
        <f t="shared" si="62"/>
        <v>0</v>
      </c>
      <c r="G71" s="194"/>
      <c r="H71" s="1273"/>
      <c r="I71" s="1340">
        <f t="shared" si="63"/>
        <v>0</v>
      </c>
      <c r="J71" s="1273"/>
      <c r="K71" s="195"/>
      <c r="L71" s="55">
        <f t="shared" si="64"/>
        <v>0</v>
      </c>
      <c r="M71" s="1341"/>
      <c r="N71" s="195"/>
      <c r="O71" s="1340">
        <f t="shared" si="65"/>
        <v>0</v>
      </c>
      <c r="P71" s="1343"/>
    </row>
    <row r="72" spans="1:16" hidden="1" x14ac:dyDescent="0.25">
      <c r="A72" s="51">
        <v>1225</v>
      </c>
      <c r="B72" s="88" t="s">
        <v>173</v>
      </c>
      <c r="C72" s="1270">
        <f t="shared" si="4"/>
        <v>0</v>
      </c>
      <c r="D72" s="194"/>
      <c r="E72" s="195"/>
      <c r="F72" s="55">
        <f t="shared" si="62"/>
        <v>0</v>
      </c>
      <c r="G72" s="194"/>
      <c r="H72" s="1273"/>
      <c r="I72" s="1340">
        <f t="shared" si="63"/>
        <v>0</v>
      </c>
      <c r="J72" s="1273"/>
      <c r="K72" s="195"/>
      <c r="L72" s="55">
        <f t="shared" si="64"/>
        <v>0</v>
      </c>
      <c r="M72" s="1341"/>
      <c r="N72" s="195"/>
      <c r="O72" s="1340">
        <f t="shared" si="65"/>
        <v>0</v>
      </c>
      <c r="P72" s="1343"/>
    </row>
    <row r="73" spans="1:16" ht="36" hidden="1" x14ac:dyDescent="0.25">
      <c r="A73" s="51">
        <v>1227</v>
      </c>
      <c r="B73" s="88" t="s">
        <v>92</v>
      </c>
      <c r="C73" s="1270">
        <f t="shared" si="4"/>
        <v>0</v>
      </c>
      <c r="D73" s="194"/>
      <c r="E73" s="195"/>
      <c r="F73" s="55">
        <f t="shared" si="62"/>
        <v>0</v>
      </c>
      <c r="G73" s="194"/>
      <c r="H73" s="1273"/>
      <c r="I73" s="1340">
        <f t="shared" si="63"/>
        <v>0</v>
      </c>
      <c r="J73" s="1273"/>
      <c r="K73" s="195"/>
      <c r="L73" s="55">
        <f t="shared" si="64"/>
        <v>0</v>
      </c>
      <c r="M73" s="1341"/>
      <c r="N73" s="195"/>
      <c r="O73" s="1340">
        <f t="shared" si="65"/>
        <v>0</v>
      </c>
      <c r="P73" s="1343"/>
    </row>
    <row r="74" spans="1:16" ht="51.75" customHeight="1" x14ac:dyDescent="0.25">
      <c r="A74" s="51">
        <v>1228</v>
      </c>
      <c r="B74" s="88" t="s">
        <v>93</v>
      </c>
      <c r="C74" s="1270">
        <f t="shared" si="4"/>
        <v>163</v>
      </c>
      <c r="D74" s="194"/>
      <c r="E74" s="195"/>
      <c r="F74" s="55">
        <f t="shared" si="62"/>
        <v>0</v>
      </c>
      <c r="G74" s="194">
        <v>164</v>
      </c>
      <c r="H74" s="1273">
        <v>-1</v>
      </c>
      <c r="I74" s="1340">
        <f t="shared" si="63"/>
        <v>163</v>
      </c>
      <c r="J74" s="1273"/>
      <c r="K74" s="195"/>
      <c r="L74" s="55">
        <f t="shared" si="64"/>
        <v>0</v>
      </c>
      <c r="M74" s="1341"/>
      <c r="N74" s="195"/>
      <c r="O74" s="1340">
        <f t="shared" si="65"/>
        <v>0</v>
      </c>
      <c r="P74" s="288" t="s">
        <v>1746</v>
      </c>
    </row>
    <row r="75" spans="1:16" x14ac:dyDescent="0.25">
      <c r="A75" s="176">
        <v>2000</v>
      </c>
      <c r="B75" s="176" t="s">
        <v>94</v>
      </c>
      <c r="C75" s="1326">
        <f t="shared" si="4"/>
        <v>5108</v>
      </c>
      <c r="D75" s="178">
        <f>SUM(D76,D83,D130,D164,D165,D172)</f>
        <v>0</v>
      </c>
      <c r="E75" s="179">
        <f t="shared" ref="E75:F75" si="66">SUM(E76,E83,E130,E164,E165,E172)</f>
        <v>0</v>
      </c>
      <c r="F75" s="180">
        <f t="shared" si="66"/>
        <v>0</v>
      </c>
      <c r="G75" s="178">
        <f>SUM(G76,G83,G130,G164,G165,G172)</f>
        <v>5108</v>
      </c>
      <c r="H75" s="1327">
        <f t="shared" ref="H75:I75" si="67">SUM(H76,H83,H130,H164,H165,H172)</f>
        <v>0</v>
      </c>
      <c r="I75" s="1328">
        <f t="shared" si="67"/>
        <v>5108</v>
      </c>
      <c r="J75" s="1327">
        <f>SUM(J76,J83,J130,J164,J165,J172)</f>
        <v>0</v>
      </c>
      <c r="K75" s="179">
        <f t="shared" ref="K75:L75" si="68">SUM(K76,K83,K130,K164,K165,K172)</f>
        <v>0</v>
      </c>
      <c r="L75" s="180">
        <f t="shared" si="68"/>
        <v>0</v>
      </c>
      <c r="M75" s="1326">
        <f>SUM(M76,M83,M130,M164,M165,M172)</f>
        <v>0</v>
      </c>
      <c r="N75" s="179">
        <f t="shared" ref="N75:O75" si="69">SUM(N76,N83,N130,N164,N165,N172)</f>
        <v>0</v>
      </c>
      <c r="O75" s="1328">
        <f t="shared" si="69"/>
        <v>0</v>
      </c>
      <c r="P75" s="1329"/>
    </row>
    <row r="76" spans="1:16" ht="24" hidden="1" x14ac:dyDescent="0.25">
      <c r="A76" s="68">
        <v>2100</v>
      </c>
      <c r="B76" s="182" t="s">
        <v>95</v>
      </c>
      <c r="C76" s="1258">
        <f t="shared" si="4"/>
        <v>0</v>
      </c>
      <c r="D76" s="183">
        <f>SUM(D77,D80)</f>
        <v>0</v>
      </c>
      <c r="E76" s="184">
        <f t="shared" ref="E76:F76" si="70">SUM(E77,E80)</f>
        <v>0</v>
      </c>
      <c r="F76" s="72">
        <f t="shared" si="70"/>
        <v>0</v>
      </c>
      <c r="G76" s="183">
        <f>SUM(G77,G80)</f>
        <v>0</v>
      </c>
      <c r="H76" s="1263">
        <f t="shared" ref="H76:I76" si="71">SUM(H77,H80)</f>
        <v>0</v>
      </c>
      <c r="I76" s="1330">
        <f t="shared" si="71"/>
        <v>0</v>
      </c>
      <c r="J76" s="1263">
        <f>SUM(J77,J80)</f>
        <v>0</v>
      </c>
      <c r="K76" s="184">
        <f t="shared" ref="K76:L76" si="72">SUM(K77,K80)</f>
        <v>0</v>
      </c>
      <c r="L76" s="72">
        <f t="shared" si="72"/>
        <v>0</v>
      </c>
      <c r="M76" s="1258">
        <f>SUM(M77,M80)</f>
        <v>0</v>
      </c>
      <c r="N76" s="184">
        <f t="shared" ref="N76:O76" si="73">SUM(N77,N80)</f>
        <v>0</v>
      </c>
      <c r="O76" s="1330">
        <f t="shared" si="73"/>
        <v>0</v>
      </c>
      <c r="P76" s="1356"/>
    </row>
    <row r="77" spans="1:16" ht="24" hidden="1" x14ac:dyDescent="0.25">
      <c r="A77" s="1212">
        <v>2110</v>
      </c>
      <c r="B77" s="81" t="s">
        <v>96</v>
      </c>
      <c r="C77" s="1264">
        <f t="shared" si="4"/>
        <v>0</v>
      </c>
      <c r="D77" s="192">
        <f>SUM(D78:D79)</f>
        <v>0</v>
      </c>
      <c r="E77" s="193">
        <f t="shared" ref="E77:F77" si="74">SUM(E78:E79)</f>
        <v>0</v>
      </c>
      <c r="F77" s="133">
        <f t="shared" si="74"/>
        <v>0</v>
      </c>
      <c r="G77" s="192">
        <f>SUM(G78:G79)</f>
        <v>0</v>
      </c>
      <c r="H77" s="1357">
        <f t="shared" ref="H77:I77" si="75">SUM(H78:H79)</f>
        <v>0</v>
      </c>
      <c r="I77" s="1337">
        <f t="shared" si="75"/>
        <v>0</v>
      </c>
      <c r="J77" s="1357">
        <f>SUM(J78:J79)</f>
        <v>0</v>
      </c>
      <c r="K77" s="193">
        <f t="shared" ref="K77:L77" si="76">SUM(K78:K79)</f>
        <v>0</v>
      </c>
      <c r="L77" s="133">
        <f t="shared" si="76"/>
        <v>0</v>
      </c>
      <c r="M77" s="1264">
        <f>SUM(M78:M79)</f>
        <v>0</v>
      </c>
      <c r="N77" s="193">
        <f t="shared" ref="N77:O77" si="77">SUM(N78:N79)</f>
        <v>0</v>
      </c>
      <c r="O77" s="1337">
        <f t="shared" si="77"/>
        <v>0</v>
      </c>
      <c r="P77" s="1339"/>
    </row>
    <row r="78" spans="1:16" hidden="1" x14ac:dyDescent="0.25">
      <c r="A78" s="51">
        <v>2111</v>
      </c>
      <c r="B78" s="88" t="s">
        <v>97</v>
      </c>
      <c r="C78" s="1270">
        <f t="shared" si="4"/>
        <v>0</v>
      </c>
      <c r="D78" s="194"/>
      <c r="E78" s="195"/>
      <c r="F78" s="55">
        <f t="shared" ref="F78:F79" si="78">D78+E78</f>
        <v>0</v>
      </c>
      <c r="G78" s="194"/>
      <c r="H78" s="1273"/>
      <c r="I78" s="1340">
        <f t="shared" ref="I78:I79" si="79">G78+H78</f>
        <v>0</v>
      </c>
      <c r="J78" s="1273"/>
      <c r="K78" s="195"/>
      <c r="L78" s="55">
        <f t="shared" ref="L78:L79" si="80">J78+K78</f>
        <v>0</v>
      </c>
      <c r="M78" s="1341"/>
      <c r="N78" s="195"/>
      <c r="O78" s="1340">
        <f t="shared" ref="O78:O79" si="81">M78+N78</f>
        <v>0</v>
      </c>
      <c r="P78" s="1343"/>
    </row>
    <row r="79" spans="1:16" ht="24" hidden="1" x14ac:dyDescent="0.25">
      <c r="A79" s="51">
        <v>2112</v>
      </c>
      <c r="B79" s="88" t="s">
        <v>98</v>
      </c>
      <c r="C79" s="1270">
        <f t="shared" si="4"/>
        <v>0</v>
      </c>
      <c r="D79" s="194"/>
      <c r="E79" s="195"/>
      <c r="F79" s="55">
        <f t="shared" si="78"/>
        <v>0</v>
      </c>
      <c r="G79" s="194"/>
      <c r="H79" s="1273"/>
      <c r="I79" s="1340">
        <f t="shared" si="79"/>
        <v>0</v>
      </c>
      <c r="J79" s="1273"/>
      <c r="K79" s="195"/>
      <c r="L79" s="55">
        <f t="shared" si="80"/>
        <v>0</v>
      </c>
      <c r="M79" s="1341"/>
      <c r="N79" s="195"/>
      <c r="O79" s="1340">
        <f t="shared" si="81"/>
        <v>0</v>
      </c>
      <c r="P79" s="1343"/>
    </row>
    <row r="80" spans="1:16" ht="24" hidden="1" x14ac:dyDescent="0.25">
      <c r="A80" s="188">
        <v>2120</v>
      </c>
      <c r="B80" s="88" t="s">
        <v>99</v>
      </c>
      <c r="C80" s="1270">
        <f t="shared" si="4"/>
        <v>0</v>
      </c>
      <c r="D80" s="189">
        <f>SUM(D81:D82)</f>
        <v>0</v>
      </c>
      <c r="E80" s="190">
        <f t="shared" ref="E80:F80" si="82">SUM(E81:E82)</f>
        <v>0</v>
      </c>
      <c r="F80" s="55">
        <f t="shared" si="82"/>
        <v>0</v>
      </c>
      <c r="G80" s="189">
        <f>SUM(G81:G82)</f>
        <v>0</v>
      </c>
      <c r="H80" s="1342">
        <f t="shared" ref="H80:I80" si="83">SUM(H81:H82)</f>
        <v>0</v>
      </c>
      <c r="I80" s="1340">
        <f t="shared" si="83"/>
        <v>0</v>
      </c>
      <c r="J80" s="1342">
        <f>SUM(J81:J82)</f>
        <v>0</v>
      </c>
      <c r="K80" s="190">
        <f t="shared" ref="K80:L80" si="84">SUM(K81:K82)</f>
        <v>0</v>
      </c>
      <c r="L80" s="55">
        <f t="shared" si="84"/>
        <v>0</v>
      </c>
      <c r="M80" s="1270">
        <f>SUM(M81:M82)</f>
        <v>0</v>
      </c>
      <c r="N80" s="190">
        <f t="shared" ref="N80:O80" si="85">SUM(N81:N82)</f>
        <v>0</v>
      </c>
      <c r="O80" s="1340">
        <f t="shared" si="85"/>
        <v>0</v>
      </c>
      <c r="P80" s="1343"/>
    </row>
    <row r="81" spans="1:16" hidden="1" x14ac:dyDescent="0.25">
      <c r="A81" s="51">
        <v>2121</v>
      </c>
      <c r="B81" s="88" t="s">
        <v>97</v>
      </c>
      <c r="C81" s="1270">
        <f t="shared" si="4"/>
        <v>0</v>
      </c>
      <c r="D81" s="194"/>
      <c r="E81" s="195"/>
      <c r="F81" s="55">
        <f t="shared" ref="F81:F82" si="86">D81+E81</f>
        <v>0</v>
      </c>
      <c r="G81" s="194"/>
      <c r="H81" s="1273"/>
      <c r="I81" s="1340">
        <f t="shared" ref="I81:I82" si="87">G81+H81</f>
        <v>0</v>
      </c>
      <c r="J81" s="1273"/>
      <c r="K81" s="195"/>
      <c r="L81" s="55">
        <f t="shared" ref="L81:L82" si="88">J81+K81</f>
        <v>0</v>
      </c>
      <c r="M81" s="1341"/>
      <c r="N81" s="195"/>
      <c r="O81" s="1340">
        <f t="shared" ref="O81:O82" si="89">M81+N81</f>
        <v>0</v>
      </c>
      <c r="P81" s="1343"/>
    </row>
    <row r="82" spans="1:16" ht="24" hidden="1" x14ac:dyDescent="0.25">
      <c r="A82" s="51">
        <v>2122</v>
      </c>
      <c r="B82" s="88" t="s">
        <v>98</v>
      </c>
      <c r="C82" s="1270">
        <f t="shared" si="4"/>
        <v>0</v>
      </c>
      <c r="D82" s="194"/>
      <c r="E82" s="195"/>
      <c r="F82" s="55">
        <f t="shared" si="86"/>
        <v>0</v>
      </c>
      <c r="G82" s="194"/>
      <c r="H82" s="1273"/>
      <c r="I82" s="1340">
        <f t="shared" si="87"/>
        <v>0</v>
      </c>
      <c r="J82" s="1273"/>
      <c r="K82" s="195"/>
      <c r="L82" s="55">
        <f t="shared" si="88"/>
        <v>0</v>
      </c>
      <c r="M82" s="1341"/>
      <c r="N82" s="195"/>
      <c r="O82" s="1340">
        <f t="shared" si="89"/>
        <v>0</v>
      </c>
      <c r="P82" s="1343"/>
    </row>
    <row r="83" spans="1:16" x14ac:dyDescent="0.25">
      <c r="A83" s="68">
        <v>2200</v>
      </c>
      <c r="B83" s="182" t="s">
        <v>100</v>
      </c>
      <c r="C83" s="1258">
        <f t="shared" si="4"/>
        <v>932</v>
      </c>
      <c r="D83" s="183">
        <f>SUM(D84,D89,D95,D103,D112,D116,D122,D128)</f>
        <v>0</v>
      </c>
      <c r="E83" s="184">
        <f t="shared" ref="E83:F83" si="90">SUM(E84,E89,E95,E103,E112,E116,E122,E128)</f>
        <v>0</v>
      </c>
      <c r="F83" s="72">
        <f t="shared" si="90"/>
        <v>0</v>
      </c>
      <c r="G83" s="183">
        <f>SUM(G84,G89,G95,G103,G112,G116,G122,G128)</f>
        <v>932</v>
      </c>
      <c r="H83" s="1263">
        <f t="shared" ref="H83:I83" si="91">SUM(H84,H89,H95,H103,H112,H116,H122,H128)</f>
        <v>0</v>
      </c>
      <c r="I83" s="1330">
        <f t="shared" si="91"/>
        <v>932</v>
      </c>
      <c r="J83" s="1263">
        <f>SUM(J84,J89,J95,J103,J112,J116,J122,J128)</f>
        <v>0</v>
      </c>
      <c r="K83" s="184">
        <f t="shared" ref="K83:L83" si="92">SUM(K84,K89,K95,K103,K112,K116,K122,K128)</f>
        <v>0</v>
      </c>
      <c r="L83" s="72">
        <f t="shared" si="92"/>
        <v>0</v>
      </c>
      <c r="M83" s="1282">
        <f>SUM(M84,M89,M95,M103,M112,M116,M122,M128)</f>
        <v>0</v>
      </c>
      <c r="N83" s="235">
        <f t="shared" ref="N83:O83" si="93">SUM(N84,N89,N95,N103,N112,N116,N122,N128)</f>
        <v>0</v>
      </c>
      <c r="O83" s="1358">
        <f t="shared" si="93"/>
        <v>0</v>
      </c>
      <c r="P83" s="1359"/>
    </row>
    <row r="84" spans="1:16" ht="24" hidden="1" x14ac:dyDescent="0.25">
      <c r="A84" s="185">
        <v>2210</v>
      </c>
      <c r="B84" s="137" t="s">
        <v>1727</v>
      </c>
      <c r="C84" s="1304">
        <f t="shared" si="4"/>
        <v>0</v>
      </c>
      <c r="D84" s="186">
        <f>SUM(D85:D88)</f>
        <v>0</v>
      </c>
      <c r="E84" s="187">
        <f t="shared" ref="E84:F84" si="94">SUM(E85:E88)</f>
        <v>0</v>
      </c>
      <c r="F84" s="140">
        <f t="shared" si="94"/>
        <v>0</v>
      </c>
      <c r="G84" s="186">
        <f>SUM(G85:G88)</f>
        <v>0</v>
      </c>
      <c r="H84" s="1334">
        <f t="shared" ref="H84:I84" si="95">SUM(H85:H88)</f>
        <v>0</v>
      </c>
      <c r="I84" s="1335">
        <f t="shared" si="95"/>
        <v>0</v>
      </c>
      <c r="J84" s="1334">
        <f>SUM(J85:J88)</f>
        <v>0</v>
      </c>
      <c r="K84" s="187">
        <f t="shared" ref="K84:L84" si="96">SUM(K85:K88)</f>
        <v>0</v>
      </c>
      <c r="L84" s="140">
        <f t="shared" si="96"/>
        <v>0</v>
      </c>
      <c r="M84" s="1304">
        <f>SUM(M85:M88)</f>
        <v>0</v>
      </c>
      <c r="N84" s="187">
        <f t="shared" ref="N84:O84" si="97">SUM(N85:N88)</f>
        <v>0</v>
      </c>
      <c r="O84" s="1335">
        <f t="shared" si="97"/>
        <v>0</v>
      </c>
      <c r="P84" s="1336"/>
    </row>
    <row r="85" spans="1:16" ht="24" hidden="1" x14ac:dyDescent="0.25">
      <c r="A85" s="44">
        <v>2211</v>
      </c>
      <c r="B85" s="81" t="s">
        <v>102</v>
      </c>
      <c r="C85" s="1264">
        <f t="shared" ref="C85:C148" si="98">F85+I85+L85+O85</f>
        <v>0</v>
      </c>
      <c r="D85" s="196"/>
      <c r="E85" s="197"/>
      <c r="F85" s="133">
        <f t="shared" ref="F85:F88" si="99">D85+E85</f>
        <v>0</v>
      </c>
      <c r="G85" s="196"/>
      <c r="H85" s="1267"/>
      <c r="I85" s="1337">
        <f t="shared" ref="I85:I88" si="100">G85+H85</f>
        <v>0</v>
      </c>
      <c r="J85" s="1267"/>
      <c r="K85" s="197"/>
      <c r="L85" s="133">
        <f t="shared" ref="L85:L88" si="101">J85+K85</f>
        <v>0</v>
      </c>
      <c r="M85" s="1338"/>
      <c r="N85" s="197"/>
      <c r="O85" s="1337">
        <f t="shared" ref="O85:O88" si="102">M85+N85</f>
        <v>0</v>
      </c>
      <c r="P85" s="1339"/>
    </row>
    <row r="86" spans="1:16" ht="36" hidden="1" x14ac:dyDescent="0.25">
      <c r="A86" s="851">
        <v>2212</v>
      </c>
      <c r="B86" s="852" t="s">
        <v>103</v>
      </c>
      <c r="C86" s="1344">
        <f t="shared" si="98"/>
        <v>0</v>
      </c>
      <c r="D86" s="544"/>
      <c r="E86" s="545"/>
      <c r="F86" s="543">
        <f t="shared" si="99"/>
        <v>0</v>
      </c>
      <c r="G86" s="544"/>
      <c r="H86" s="1345"/>
      <c r="I86" s="1346">
        <f t="shared" si="100"/>
        <v>0</v>
      </c>
      <c r="J86" s="1345"/>
      <c r="K86" s="545"/>
      <c r="L86" s="543">
        <f t="shared" si="101"/>
        <v>0</v>
      </c>
      <c r="M86" s="1347"/>
      <c r="N86" s="545"/>
      <c r="O86" s="1346">
        <f t="shared" si="102"/>
        <v>0</v>
      </c>
      <c r="P86" s="1348"/>
    </row>
    <row r="87" spans="1:16" ht="24" hidden="1" x14ac:dyDescent="0.25">
      <c r="A87" s="851">
        <v>2214</v>
      </c>
      <c r="B87" s="852" t="s">
        <v>104</v>
      </c>
      <c r="C87" s="1344">
        <f t="shared" si="98"/>
        <v>0</v>
      </c>
      <c r="D87" s="544"/>
      <c r="E87" s="545"/>
      <c r="F87" s="543">
        <f t="shared" si="99"/>
        <v>0</v>
      </c>
      <c r="G87" s="544"/>
      <c r="H87" s="1345"/>
      <c r="I87" s="1346">
        <f t="shared" si="100"/>
        <v>0</v>
      </c>
      <c r="J87" s="1345"/>
      <c r="K87" s="545"/>
      <c r="L87" s="543">
        <f t="shared" si="101"/>
        <v>0</v>
      </c>
      <c r="M87" s="1347"/>
      <c r="N87" s="545"/>
      <c r="O87" s="1346">
        <f t="shared" si="102"/>
        <v>0</v>
      </c>
      <c r="P87" s="1348"/>
    </row>
    <row r="88" spans="1:16" hidden="1" x14ac:dyDescent="0.25">
      <c r="A88" s="51">
        <v>2219</v>
      </c>
      <c r="B88" s="88" t="s">
        <v>105</v>
      </c>
      <c r="C88" s="1270">
        <f t="shared" si="98"/>
        <v>0</v>
      </c>
      <c r="D88" s="194"/>
      <c r="E88" s="195"/>
      <c r="F88" s="55">
        <f t="shared" si="99"/>
        <v>0</v>
      </c>
      <c r="G88" s="194"/>
      <c r="H88" s="1273"/>
      <c r="I88" s="1340">
        <f t="shared" si="100"/>
        <v>0</v>
      </c>
      <c r="J88" s="1273"/>
      <c r="K88" s="195"/>
      <c r="L88" s="55">
        <f t="shared" si="101"/>
        <v>0</v>
      </c>
      <c r="M88" s="1341"/>
      <c r="N88" s="195"/>
      <c r="O88" s="1340">
        <f t="shared" si="102"/>
        <v>0</v>
      </c>
      <c r="P88" s="1343"/>
    </row>
    <row r="89" spans="1:16" ht="24" hidden="1" x14ac:dyDescent="0.25">
      <c r="A89" s="188">
        <v>2220</v>
      </c>
      <c r="B89" s="88" t="s">
        <v>106</v>
      </c>
      <c r="C89" s="1270">
        <f t="shared" si="98"/>
        <v>0</v>
      </c>
      <c r="D89" s="189">
        <f>SUM(D90:D94)</f>
        <v>0</v>
      </c>
      <c r="E89" s="190">
        <f t="shared" ref="E89:F89" si="103">SUM(E90:E94)</f>
        <v>0</v>
      </c>
      <c r="F89" s="55">
        <f t="shared" si="103"/>
        <v>0</v>
      </c>
      <c r="G89" s="189">
        <f>SUM(G90:G94)</f>
        <v>0</v>
      </c>
      <c r="H89" s="1342">
        <f t="shared" ref="H89:I89" si="104">SUM(H90:H94)</f>
        <v>0</v>
      </c>
      <c r="I89" s="1340">
        <f t="shared" si="104"/>
        <v>0</v>
      </c>
      <c r="J89" s="1342">
        <f>SUM(J90:J94)</f>
        <v>0</v>
      </c>
      <c r="K89" s="190">
        <f t="shared" ref="K89:L89" si="105">SUM(K90:K94)</f>
        <v>0</v>
      </c>
      <c r="L89" s="55">
        <f t="shared" si="105"/>
        <v>0</v>
      </c>
      <c r="M89" s="1270">
        <f>SUM(M90:M94)</f>
        <v>0</v>
      </c>
      <c r="N89" s="190">
        <f t="shared" ref="N89:O89" si="106">SUM(N90:N94)</f>
        <v>0</v>
      </c>
      <c r="O89" s="1340">
        <f t="shared" si="106"/>
        <v>0</v>
      </c>
      <c r="P89" s="1343"/>
    </row>
    <row r="90" spans="1:16" ht="24" hidden="1" x14ac:dyDescent="0.25">
      <c r="A90" s="51">
        <v>2221</v>
      </c>
      <c r="B90" s="88" t="s">
        <v>107</v>
      </c>
      <c r="C90" s="1270">
        <f t="shared" si="98"/>
        <v>0</v>
      </c>
      <c r="D90" s="194"/>
      <c r="E90" s="195"/>
      <c r="F90" s="55">
        <f t="shared" ref="F90:F94" si="107">D90+E90</f>
        <v>0</v>
      </c>
      <c r="G90" s="194"/>
      <c r="H90" s="1273"/>
      <c r="I90" s="1340">
        <f t="shared" ref="I90:I94" si="108">G90+H90</f>
        <v>0</v>
      </c>
      <c r="J90" s="1273"/>
      <c r="K90" s="195"/>
      <c r="L90" s="55">
        <f t="shared" ref="L90:L94" si="109">J90+K90</f>
        <v>0</v>
      </c>
      <c r="M90" s="1341"/>
      <c r="N90" s="195"/>
      <c r="O90" s="1340">
        <f t="shared" ref="O90:O94" si="110">M90+N90</f>
        <v>0</v>
      </c>
      <c r="P90" s="1343"/>
    </row>
    <row r="91" spans="1:16" hidden="1" x14ac:dyDescent="0.25">
      <c r="A91" s="51">
        <v>2222</v>
      </c>
      <c r="B91" s="88" t="s">
        <v>108</v>
      </c>
      <c r="C91" s="1270">
        <f t="shared" si="98"/>
        <v>0</v>
      </c>
      <c r="D91" s="194"/>
      <c r="E91" s="195"/>
      <c r="F91" s="55">
        <f t="shared" si="107"/>
        <v>0</v>
      </c>
      <c r="G91" s="194"/>
      <c r="H91" s="1273"/>
      <c r="I91" s="1340">
        <f t="shared" si="108"/>
        <v>0</v>
      </c>
      <c r="J91" s="1273"/>
      <c r="K91" s="195"/>
      <c r="L91" s="55">
        <f t="shared" si="109"/>
        <v>0</v>
      </c>
      <c r="M91" s="1341"/>
      <c r="N91" s="195"/>
      <c r="O91" s="1340">
        <f t="shared" si="110"/>
        <v>0</v>
      </c>
      <c r="P91" s="1343"/>
    </row>
    <row r="92" spans="1:16" hidden="1" x14ac:dyDescent="0.25">
      <c r="A92" s="51">
        <v>2223</v>
      </c>
      <c r="B92" s="88" t="s">
        <v>109</v>
      </c>
      <c r="C92" s="1270">
        <f t="shared" si="98"/>
        <v>0</v>
      </c>
      <c r="D92" s="194"/>
      <c r="E92" s="195"/>
      <c r="F92" s="55">
        <f t="shared" si="107"/>
        <v>0</v>
      </c>
      <c r="G92" s="194"/>
      <c r="H92" s="1273"/>
      <c r="I92" s="1340">
        <f t="shared" si="108"/>
        <v>0</v>
      </c>
      <c r="J92" s="1273"/>
      <c r="K92" s="195"/>
      <c r="L92" s="55">
        <f t="shared" si="109"/>
        <v>0</v>
      </c>
      <c r="M92" s="1341"/>
      <c r="N92" s="195"/>
      <c r="O92" s="1340">
        <f t="shared" si="110"/>
        <v>0</v>
      </c>
      <c r="P92" s="1343"/>
    </row>
    <row r="93" spans="1:16" ht="48" hidden="1" x14ac:dyDescent="0.25">
      <c r="A93" s="51">
        <v>2224</v>
      </c>
      <c r="B93" s="88" t="s">
        <v>110</v>
      </c>
      <c r="C93" s="1270">
        <f t="shared" si="98"/>
        <v>0</v>
      </c>
      <c r="D93" s="194"/>
      <c r="E93" s="195"/>
      <c r="F93" s="55">
        <f t="shared" si="107"/>
        <v>0</v>
      </c>
      <c r="G93" s="194"/>
      <c r="H93" s="1273"/>
      <c r="I93" s="1340">
        <f t="shared" si="108"/>
        <v>0</v>
      </c>
      <c r="J93" s="1273"/>
      <c r="K93" s="195"/>
      <c r="L93" s="55">
        <f t="shared" si="109"/>
        <v>0</v>
      </c>
      <c r="M93" s="1341"/>
      <c r="N93" s="195"/>
      <c r="O93" s="1340">
        <f t="shared" si="110"/>
        <v>0</v>
      </c>
      <c r="P93" s="1343"/>
    </row>
    <row r="94" spans="1:16" ht="24" hidden="1" x14ac:dyDescent="0.25">
      <c r="A94" s="51">
        <v>2229</v>
      </c>
      <c r="B94" s="88" t="s">
        <v>111</v>
      </c>
      <c r="C94" s="1270">
        <f t="shared" si="98"/>
        <v>0</v>
      </c>
      <c r="D94" s="194"/>
      <c r="E94" s="195"/>
      <c r="F94" s="55">
        <f t="shared" si="107"/>
        <v>0</v>
      </c>
      <c r="G94" s="194"/>
      <c r="H94" s="1273"/>
      <c r="I94" s="1340">
        <f t="shared" si="108"/>
        <v>0</v>
      </c>
      <c r="J94" s="1273"/>
      <c r="K94" s="195"/>
      <c r="L94" s="55">
        <f t="shared" si="109"/>
        <v>0</v>
      </c>
      <c r="M94" s="1341"/>
      <c r="N94" s="195"/>
      <c r="O94" s="1340">
        <f t="shared" si="110"/>
        <v>0</v>
      </c>
      <c r="P94" s="1343"/>
    </row>
    <row r="95" spans="1:16" ht="36" x14ac:dyDescent="0.25">
      <c r="A95" s="188">
        <v>2230</v>
      </c>
      <c r="B95" s="88" t="s">
        <v>112</v>
      </c>
      <c r="C95" s="1270">
        <f t="shared" si="98"/>
        <v>400</v>
      </c>
      <c r="D95" s="189">
        <f>SUM(D96:D102)</f>
        <v>0</v>
      </c>
      <c r="E95" s="190">
        <f t="shared" ref="E95:F95" si="111">SUM(E96:E102)</f>
        <v>0</v>
      </c>
      <c r="F95" s="55">
        <f t="shared" si="111"/>
        <v>0</v>
      </c>
      <c r="G95" s="189">
        <f>SUM(G96:G102)</f>
        <v>400</v>
      </c>
      <c r="H95" s="1342">
        <f t="shared" ref="H95:I95" si="112">SUM(H96:H102)</f>
        <v>0</v>
      </c>
      <c r="I95" s="1340">
        <f t="shared" si="112"/>
        <v>400</v>
      </c>
      <c r="J95" s="1342">
        <f>SUM(J96:J102)</f>
        <v>0</v>
      </c>
      <c r="K95" s="190">
        <f t="shared" ref="K95:L95" si="113">SUM(K96:K102)</f>
        <v>0</v>
      </c>
      <c r="L95" s="55">
        <f t="shared" si="113"/>
        <v>0</v>
      </c>
      <c r="M95" s="1270">
        <f>SUM(M96:M102)</f>
        <v>0</v>
      </c>
      <c r="N95" s="190">
        <f t="shared" ref="N95:O95" si="114">SUM(N96:N102)</f>
        <v>0</v>
      </c>
      <c r="O95" s="1340">
        <f t="shared" si="114"/>
        <v>0</v>
      </c>
      <c r="P95" s="1343"/>
    </row>
    <row r="96" spans="1:16" ht="24" hidden="1" x14ac:dyDescent="0.25">
      <c r="A96" s="851">
        <v>2231</v>
      </c>
      <c r="B96" s="852" t="s">
        <v>113</v>
      </c>
      <c r="C96" s="1344">
        <f t="shared" si="98"/>
        <v>0</v>
      </c>
      <c r="D96" s="544"/>
      <c r="E96" s="545"/>
      <c r="F96" s="543">
        <f t="shared" ref="F96:F102" si="115">D96+E96</f>
        <v>0</v>
      </c>
      <c r="G96" s="544">
        <v>0</v>
      </c>
      <c r="H96" s="1345"/>
      <c r="I96" s="1346">
        <f t="shared" ref="I96:I102" si="116">G96+H96</f>
        <v>0</v>
      </c>
      <c r="J96" s="1345"/>
      <c r="K96" s="545"/>
      <c r="L96" s="543">
        <f t="shared" ref="L96:L102" si="117">J96+K96</f>
        <v>0</v>
      </c>
      <c r="M96" s="1347"/>
      <c r="N96" s="545"/>
      <c r="O96" s="1346">
        <f t="shared" ref="O96:O102" si="118">M96+N96</f>
        <v>0</v>
      </c>
      <c r="P96" s="1348"/>
    </row>
    <row r="97" spans="1:16" ht="24.75" hidden="1" customHeight="1" x14ac:dyDescent="0.25">
      <c r="A97" s="51">
        <v>2232</v>
      </c>
      <c r="B97" s="88" t="s">
        <v>114</v>
      </c>
      <c r="C97" s="1270">
        <f t="shared" si="98"/>
        <v>0</v>
      </c>
      <c r="D97" s="194"/>
      <c r="E97" s="195"/>
      <c r="F97" s="55">
        <f t="shared" si="115"/>
        <v>0</v>
      </c>
      <c r="G97" s="194"/>
      <c r="H97" s="1273"/>
      <c r="I97" s="1340">
        <f t="shared" si="116"/>
        <v>0</v>
      </c>
      <c r="J97" s="1273"/>
      <c r="K97" s="195"/>
      <c r="L97" s="55">
        <f t="shared" si="117"/>
        <v>0</v>
      </c>
      <c r="M97" s="1341"/>
      <c r="N97" s="195"/>
      <c r="O97" s="1340">
        <f t="shared" si="118"/>
        <v>0</v>
      </c>
      <c r="P97" s="1343"/>
    </row>
    <row r="98" spans="1:16" ht="24" hidden="1" x14ac:dyDescent="0.25">
      <c r="A98" s="44">
        <v>2233</v>
      </c>
      <c r="B98" s="81" t="s">
        <v>115</v>
      </c>
      <c r="C98" s="1264">
        <f t="shared" si="98"/>
        <v>0</v>
      </c>
      <c r="D98" s="196"/>
      <c r="E98" s="197"/>
      <c r="F98" s="133">
        <f t="shared" si="115"/>
        <v>0</v>
      </c>
      <c r="G98" s="196"/>
      <c r="H98" s="1267"/>
      <c r="I98" s="1337">
        <f t="shared" si="116"/>
        <v>0</v>
      </c>
      <c r="J98" s="1267"/>
      <c r="K98" s="197"/>
      <c r="L98" s="133">
        <f t="shared" si="117"/>
        <v>0</v>
      </c>
      <c r="M98" s="1338"/>
      <c r="N98" s="197"/>
      <c r="O98" s="1337">
        <f t="shared" si="118"/>
        <v>0</v>
      </c>
      <c r="P98" s="1339"/>
    </row>
    <row r="99" spans="1:16" ht="36" hidden="1" x14ac:dyDescent="0.25">
      <c r="A99" s="51">
        <v>2234</v>
      </c>
      <c r="B99" s="88" t="s">
        <v>116</v>
      </c>
      <c r="C99" s="1270">
        <f t="shared" si="98"/>
        <v>0</v>
      </c>
      <c r="D99" s="194"/>
      <c r="E99" s="195"/>
      <c r="F99" s="55">
        <f t="shared" si="115"/>
        <v>0</v>
      </c>
      <c r="G99" s="194"/>
      <c r="H99" s="1273"/>
      <c r="I99" s="1340">
        <f t="shared" si="116"/>
        <v>0</v>
      </c>
      <c r="J99" s="1273"/>
      <c r="K99" s="195"/>
      <c r="L99" s="55">
        <f t="shared" si="117"/>
        <v>0</v>
      </c>
      <c r="M99" s="1341"/>
      <c r="N99" s="195"/>
      <c r="O99" s="1340">
        <f t="shared" si="118"/>
        <v>0</v>
      </c>
      <c r="P99" s="1343"/>
    </row>
    <row r="100" spans="1:16" ht="24" hidden="1" x14ac:dyDescent="0.25">
      <c r="A100" s="51">
        <v>2235</v>
      </c>
      <c r="B100" s="88" t="s">
        <v>1728</v>
      </c>
      <c r="C100" s="1270">
        <f t="shared" si="98"/>
        <v>0</v>
      </c>
      <c r="D100" s="194"/>
      <c r="E100" s="195"/>
      <c r="F100" s="55">
        <f t="shared" si="115"/>
        <v>0</v>
      </c>
      <c r="G100" s="194"/>
      <c r="H100" s="1273"/>
      <c r="I100" s="1340">
        <f t="shared" si="116"/>
        <v>0</v>
      </c>
      <c r="J100" s="1273"/>
      <c r="K100" s="195"/>
      <c r="L100" s="55">
        <f t="shared" si="117"/>
        <v>0</v>
      </c>
      <c r="M100" s="1341"/>
      <c r="N100" s="195"/>
      <c r="O100" s="1340">
        <f t="shared" si="118"/>
        <v>0</v>
      </c>
      <c r="P100" s="1343"/>
    </row>
    <row r="101" spans="1:16" hidden="1" x14ac:dyDescent="0.25">
      <c r="A101" s="51">
        <v>2236</v>
      </c>
      <c r="B101" s="88" t="s">
        <v>1729</v>
      </c>
      <c r="C101" s="1270">
        <f t="shared" si="98"/>
        <v>0</v>
      </c>
      <c r="D101" s="194"/>
      <c r="E101" s="195"/>
      <c r="F101" s="55">
        <f t="shared" si="115"/>
        <v>0</v>
      </c>
      <c r="G101" s="194"/>
      <c r="H101" s="1273"/>
      <c r="I101" s="1340">
        <f t="shared" si="116"/>
        <v>0</v>
      </c>
      <c r="J101" s="1273"/>
      <c r="K101" s="195"/>
      <c r="L101" s="55">
        <f t="shared" si="117"/>
        <v>0</v>
      </c>
      <c r="M101" s="1341"/>
      <c r="N101" s="195"/>
      <c r="O101" s="1340">
        <f t="shared" si="118"/>
        <v>0</v>
      </c>
      <c r="P101" s="1343"/>
    </row>
    <row r="102" spans="1:16" ht="24" x14ac:dyDescent="0.25">
      <c r="A102" s="51">
        <v>2239</v>
      </c>
      <c r="B102" s="88" t="s">
        <v>119</v>
      </c>
      <c r="C102" s="1270">
        <f t="shared" si="98"/>
        <v>400</v>
      </c>
      <c r="D102" s="194"/>
      <c r="E102" s="195"/>
      <c r="F102" s="55">
        <f t="shared" si="115"/>
        <v>0</v>
      </c>
      <c r="G102" s="194">
        <v>400</v>
      </c>
      <c r="H102" s="1273"/>
      <c r="I102" s="1340">
        <f t="shared" si="116"/>
        <v>400</v>
      </c>
      <c r="J102" s="1273"/>
      <c r="K102" s="195"/>
      <c r="L102" s="55">
        <f t="shared" si="117"/>
        <v>0</v>
      </c>
      <c r="M102" s="1341"/>
      <c r="N102" s="195"/>
      <c r="O102" s="1340">
        <f t="shared" si="118"/>
        <v>0</v>
      </c>
      <c r="P102" s="288"/>
    </row>
    <row r="103" spans="1:16" ht="36" hidden="1" x14ac:dyDescent="0.25">
      <c r="A103" s="188">
        <v>2240</v>
      </c>
      <c r="B103" s="88" t="s">
        <v>120</v>
      </c>
      <c r="C103" s="1270">
        <f t="shared" si="98"/>
        <v>0</v>
      </c>
      <c r="D103" s="189">
        <f>SUM(D104:D111)</f>
        <v>0</v>
      </c>
      <c r="E103" s="190">
        <f t="shared" ref="E103:F103" si="119">SUM(E104:E111)</f>
        <v>0</v>
      </c>
      <c r="F103" s="55">
        <f t="shared" si="119"/>
        <v>0</v>
      </c>
      <c r="G103" s="189">
        <f>SUM(G104:G111)</f>
        <v>0</v>
      </c>
      <c r="H103" s="1342">
        <f t="shared" ref="H103:I103" si="120">SUM(H104:H111)</f>
        <v>0</v>
      </c>
      <c r="I103" s="1340">
        <f t="shared" si="120"/>
        <v>0</v>
      </c>
      <c r="J103" s="1342">
        <f>SUM(J104:J111)</f>
        <v>0</v>
      </c>
      <c r="K103" s="190">
        <f t="shared" ref="K103:L103" si="121">SUM(K104:K111)</f>
        <v>0</v>
      </c>
      <c r="L103" s="55">
        <f t="shared" si="121"/>
        <v>0</v>
      </c>
      <c r="M103" s="1270">
        <f>SUM(M104:M111)</f>
        <v>0</v>
      </c>
      <c r="N103" s="190">
        <f t="shared" ref="N103:O103" si="122">SUM(N104:N111)</f>
        <v>0</v>
      </c>
      <c r="O103" s="1340">
        <f t="shared" si="122"/>
        <v>0</v>
      </c>
      <c r="P103" s="1343"/>
    </row>
    <row r="104" spans="1:16" hidden="1" x14ac:dyDescent="0.25">
      <c r="A104" s="51">
        <v>2241</v>
      </c>
      <c r="B104" s="88" t="s">
        <v>121</v>
      </c>
      <c r="C104" s="1270">
        <f t="shared" si="98"/>
        <v>0</v>
      </c>
      <c r="D104" s="194"/>
      <c r="E104" s="195"/>
      <c r="F104" s="55">
        <f t="shared" ref="F104:F111" si="123">D104+E104</f>
        <v>0</v>
      </c>
      <c r="G104" s="194"/>
      <c r="H104" s="1273"/>
      <c r="I104" s="1340">
        <f t="shared" ref="I104:I111" si="124">G104+H104</f>
        <v>0</v>
      </c>
      <c r="J104" s="1273"/>
      <c r="K104" s="195"/>
      <c r="L104" s="55">
        <f t="shared" ref="L104:L111" si="125">J104+K104</f>
        <v>0</v>
      </c>
      <c r="M104" s="1341"/>
      <c r="N104" s="195"/>
      <c r="O104" s="1340">
        <f t="shared" ref="O104:O111" si="126">M104+N104</f>
        <v>0</v>
      </c>
      <c r="P104" s="1343"/>
    </row>
    <row r="105" spans="1:16" ht="24" hidden="1" x14ac:dyDescent="0.25">
      <c r="A105" s="51">
        <v>2242</v>
      </c>
      <c r="B105" s="88" t="s">
        <v>122</v>
      </c>
      <c r="C105" s="1270">
        <f t="shared" si="98"/>
        <v>0</v>
      </c>
      <c r="D105" s="194"/>
      <c r="E105" s="195"/>
      <c r="F105" s="55">
        <f t="shared" si="123"/>
        <v>0</v>
      </c>
      <c r="G105" s="194"/>
      <c r="H105" s="1273"/>
      <c r="I105" s="1340">
        <f t="shared" si="124"/>
        <v>0</v>
      </c>
      <c r="J105" s="1273"/>
      <c r="K105" s="195"/>
      <c r="L105" s="55">
        <f t="shared" si="125"/>
        <v>0</v>
      </c>
      <c r="M105" s="1341"/>
      <c r="N105" s="195"/>
      <c r="O105" s="1340">
        <f t="shared" si="126"/>
        <v>0</v>
      </c>
      <c r="P105" s="1343"/>
    </row>
    <row r="106" spans="1:16" ht="24" hidden="1" x14ac:dyDescent="0.25">
      <c r="A106" s="851">
        <v>2243</v>
      </c>
      <c r="B106" s="852" t="s">
        <v>123</v>
      </c>
      <c r="C106" s="1344">
        <f t="shared" si="98"/>
        <v>0</v>
      </c>
      <c r="D106" s="544"/>
      <c r="E106" s="545"/>
      <c r="F106" s="543">
        <f t="shared" si="123"/>
        <v>0</v>
      </c>
      <c r="G106" s="544"/>
      <c r="H106" s="1345"/>
      <c r="I106" s="1346">
        <f t="shared" si="124"/>
        <v>0</v>
      </c>
      <c r="J106" s="1345"/>
      <c r="K106" s="545"/>
      <c r="L106" s="543">
        <f t="shared" si="125"/>
        <v>0</v>
      </c>
      <c r="M106" s="1347"/>
      <c r="N106" s="545"/>
      <c r="O106" s="1346">
        <f t="shared" si="126"/>
        <v>0</v>
      </c>
      <c r="P106" s="1360"/>
    </row>
    <row r="107" spans="1:16" hidden="1" x14ac:dyDescent="0.25">
      <c r="A107" s="851">
        <v>2244</v>
      </c>
      <c r="B107" s="852" t="s">
        <v>124</v>
      </c>
      <c r="C107" s="1344">
        <f t="shared" si="98"/>
        <v>0</v>
      </c>
      <c r="D107" s="544"/>
      <c r="E107" s="545"/>
      <c r="F107" s="543">
        <f t="shared" si="123"/>
        <v>0</v>
      </c>
      <c r="G107" s="544"/>
      <c r="H107" s="1345"/>
      <c r="I107" s="1346">
        <f t="shared" si="124"/>
        <v>0</v>
      </c>
      <c r="J107" s="1345"/>
      <c r="K107" s="545"/>
      <c r="L107" s="543">
        <f t="shared" si="125"/>
        <v>0</v>
      </c>
      <c r="M107" s="1347"/>
      <c r="N107" s="545"/>
      <c r="O107" s="1346">
        <f t="shared" si="126"/>
        <v>0</v>
      </c>
      <c r="P107" s="1348"/>
    </row>
    <row r="108" spans="1:16" ht="24" hidden="1" x14ac:dyDescent="0.25">
      <c r="A108" s="51">
        <v>2246</v>
      </c>
      <c r="B108" s="88" t="s">
        <v>125</v>
      </c>
      <c r="C108" s="1270">
        <f t="shared" si="98"/>
        <v>0</v>
      </c>
      <c r="D108" s="194"/>
      <c r="E108" s="195"/>
      <c r="F108" s="55">
        <f t="shared" si="123"/>
        <v>0</v>
      </c>
      <c r="G108" s="194"/>
      <c r="H108" s="1273"/>
      <c r="I108" s="1340">
        <f t="shared" si="124"/>
        <v>0</v>
      </c>
      <c r="J108" s="1273"/>
      <c r="K108" s="195"/>
      <c r="L108" s="55">
        <f t="shared" si="125"/>
        <v>0</v>
      </c>
      <c r="M108" s="1341"/>
      <c r="N108" s="195"/>
      <c r="O108" s="1340">
        <f t="shared" si="126"/>
        <v>0</v>
      </c>
      <c r="P108" s="1343"/>
    </row>
    <row r="109" spans="1:16" hidden="1" x14ac:dyDescent="0.25">
      <c r="A109" s="51">
        <v>2247</v>
      </c>
      <c r="B109" s="88" t="s">
        <v>126</v>
      </c>
      <c r="C109" s="1270">
        <f t="shared" si="98"/>
        <v>0</v>
      </c>
      <c r="D109" s="194"/>
      <c r="E109" s="195"/>
      <c r="F109" s="55">
        <f t="shared" si="123"/>
        <v>0</v>
      </c>
      <c r="G109" s="194"/>
      <c r="H109" s="1273"/>
      <c r="I109" s="1340">
        <f t="shared" si="124"/>
        <v>0</v>
      </c>
      <c r="J109" s="1273"/>
      <c r="K109" s="195"/>
      <c r="L109" s="55">
        <f t="shared" si="125"/>
        <v>0</v>
      </c>
      <c r="M109" s="1341"/>
      <c r="N109" s="195"/>
      <c r="O109" s="1340">
        <f t="shared" si="126"/>
        <v>0</v>
      </c>
      <c r="P109" s="1343"/>
    </row>
    <row r="110" spans="1:16" ht="24" hidden="1" x14ac:dyDescent="0.25">
      <c r="A110" s="51">
        <v>2248</v>
      </c>
      <c r="B110" s="88" t="s">
        <v>127</v>
      </c>
      <c r="C110" s="1270">
        <f t="shared" si="98"/>
        <v>0</v>
      </c>
      <c r="D110" s="194"/>
      <c r="E110" s="195"/>
      <c r="F110" s="55">
        <f t="shared" si="123"/>
        <v>0</v>
      </c>
      <c r="G110" s="194"/>
      <c r="H110" s="1273"/>
      <c r="I110" s="1340">
        <f t="shared" si="124"/>
        <v>0</v>
      </c>
      <c r="J110" s="1273"/>
      <c r="K110" s="195"/>
      <c r="L110" s="55">
        <f t="shared" si="125"/>
        <v>0</v>
      </c>
      <c r="M110" s="1341"/>
      <c r="N110" s="195"/>
      <c r="O110" s="1340">
        <f t="shared" si="126"/>
        <v>0</v>
      </c>
      <c r="P110" s="1343"/>
    </row>
    <row r="111" spans="1:16" ht="24" hidden="1" x14ac:dyDescent="0.25">
      <c r="A111" s="51">
        <v>2249</v>
      </c>
      <c r="B111" s="88" t="s">
        <v>128</v>
      </c>
      <c r="C111" s="1270">
        <f t="shared" si="98"/>
        <v>0</v>
      </c>
      <c r="D111" s="194"/>
      <c r="E111" s="195"/>
      <c r="F111" s="55">
        <f t="shared" si="123"/>
        <v>0</v>
      </c>
      <c r="G111" s="194"/>
      <c r="H111" s="1273"/>
      <c r="I111" s="1340">
        <f t="shared" si="124"/>
        <v>0</v>
      </c>
      <c r="J111" s="1273"/>
      <c r="K111" s="195"/>
      <c r="L111" s="55">
        <f t="shared" si="125"/>
        <v>0</v>
      </c>
      <c r="M111" s="1341"/>
      <c r="N111" s="195"/>
      <c r="O111" s="1340">
        <f t="shared" si="126"/>
        <v>0</v>
      </c>
      <c r="P111" s="1343"/>
    </row>
    <row r="112" spans="1:16" hidden="1" x14ac:dyDescent="0.25">
      <c r="A112" s="188">
        <v>2250</v>
      </c>
      <c r="B112" s="88" t="s">
        <v>129</v>
      </c>
      <c r="C112" s="1270">
        <f t="shared" si="98"/>
        <v>0</v>
      </c>
      <c r="D112" s="189">
        <f>SUM(D113:D115)</f>
        <v>0</v>
      </c>
      <c r="E112" s="190">
        <f t="shared" ref="E112:F112" si="127">SUM(E113:E115)</f>
        <v>0</v>
      </c>
      <c r="F112" s="55">
        <f t="shared" si="127"/>
        <v>0</v>
      </c>
      <c r="G112" s="189">
        <f>SUM(G113:G115)</f>
        <v>0</v>
      </c>
      <c r="H112" s="1342">
        <f t="shared" ref="H112:I112" si="128">SUM(H113:H115)</f>
        <v>0</v>
      </c>
      <c r="I112" s="1340">
        <f t="shared" si="128"/>
        <v>0</v>
      </c>
      <c r="J112" s="1342">
        <f>SUM(J113:J115)</f>
        <v>0</v>
      </c>
      <c r="K112" s="190">
        <f t="shared" ref="K112:L112" si="129">SUM(K113:K115)</f>
        <v>0</v>
      </c>
      <c r="L112" s="55">
        <f t="shared" si="129"/>
        <v>0</v>
      </c>
      <c r="M112" s="1270">
        <f>SUM(M113:M115)</f>
        <v>0</v>
      </c>
      <c r="N112" s="190">
        <f t="shared" ref="N112:O112" si="130">SUM(N113:N115)</f>
        <v>0</v>
      </c>
      <c r="O112" s="1340">
        <f t="shared" si="130"/>
        <v>0</v>
      </c>
      <c r="P112" s="1343"/>
    </row>
    <row r="113" spans="1:16" hidden="1" x14ac:dyDescent="0.25">
      <c r="A113" s="51">
        <v>2251</v>
      </c>
      <c r="B113" s="88" t="s">
        <v>130</v>
      </c>
      <c r="C113" s="1270">
        <f t="shared" si="98"/>
        <v>0</v>
      </c>
      <c r="D113" s="194"/>
      <c r="E113" s="195"/>
      <c r="F113" s="55">
        <f t="shared" ref="F113:F115" si="131">D113+E113</f>
        <v>0</v>
      </c>
      <c r="G113" s="194"/>
      <c r="H113" s="1273"/>
      <c r="I113" s="1340">
        <f t="shared" ref="I113:I115" si="132">G113+H113</f>
        <v>0</v>
      </c>
      <c r="J113" s="1273"/>
      <c r="K113" s="195"/>
      <c r="L113" s="55">
        <f t="shared" ref="L113:L115" si="133">J113+K113</f>
        <v>0</v>
      </c>
      <c r="M113" s="1341"/>
      <c r="N113" s="195"/>
      <c r="O113" s="1340">
        <f t="shared" ref="O113:O115" si="134">M113+N113</f>
        <v>0</v>
      </c>
      <c r="P113" s="1343"/>
    </row>
    <row r="114" spans="1:16" ht="24" hidden="1" x14ac:dyDescent="0.25">
      <c r="A114" s="51">
        <v>2252</v>
      </c>
      <c r="B114" s="88" t="s">
        <v>131</v>
      </c>
      <c r="C114" s="1270">
        <f t="shared" si="98"/>
        <v>0</v>
      </c>
      <c r="D114" s="194"/>
      <c r="E114" s="195"/>
      <c r="F114" s="55">
        <f t="shared" si="131"/>
        <v>0</v>
      </c>
      <c r="G114" s="194"/>
      <c r="H114" s="1273"/>
      <c r="I114" s="1340">
        <f t="shared" si="132"/>
        <v>0</v>
      </c>
      <c r="J114" s="1273"/>
      <c r="K114" s="195"/>
      <c r="L114" s="55">
        <f t="shared" si="133"/>
        <v>0</v>
      </c>
      <c r="M114" s="1341"/>
      <c r="N114" s="195"/>
      <c r="O114" s="1340">
        <f t="shared" si="134"/>
        <v>0</v>
      </c>
      <c r="P114" s="1343"/>
    </row>
    <row r="115" spans="1:16" ht="24" hidden="1" x14ac:dyDescent="0.25">
      <c r="A115" s="51">
        <v>2259</v>
      </c>
      <c r="B115" s="88" t="s">
        <v>132</v>
      </c>
      <c r="C115" s="1270">
        <f t="shared" si="98"/>
        <v>0</v>
      </c>
      <c r="D115" s="194"/>
      <c r="E115" s="195"/>
      <c r="F115" s="55">
        <f t="shared" si="131"/>
        <v>0</v>
      </c>
      <c r="G115" s="194"/>
      <c r="H115" s="1273"/>
      <c r="I115" s="1340">
        <f t="shared" si="132"/>
        <v>0</v>
      </c>
      <c r="J115" s="1273"/>
      <c r="K115" s="195"/>
      <c r="L115" s="55">
        <f t="shared" si="133"/>
        <v>0</v>
      </c>
      <c r="M115" s="1341"/>
      <c r="N115" s="195"/>
      <c r="O115" s="1340">
        <f t="shared" si="134"/>
        <v>0</v>
      </c>
      <c r="P115" s="1343"/>
    </row>
    <row r="116" spans="1:16" x14ac:dyDescent="0.25">
      <c r="A116" s="188">
        <v>2260</v>
      </c>
      <c r="B116" s="88" t="s">
        <v>133</v>
      </c>
      <c r="C116" s="1270">
        <f t="shared" si="98"/>
        <v>532</v>
      </c>
      <c r="D116" s="189">
        <f>SUM(D117:D121)</f>
        <v>0</v>
      </c>
      <c r="E116" s="190">
        <f t="shared" ref="E116:F116" si="135">SUM(E117:E121)</f>
        <v>0</v>
      </c>
      <c r="F116" s="55">
        <f t="shared" si="135"/>
        <v>0</v>
      </c>
      <c r="G116" s="189">
        <f>SUM(G117:G121)</f>
        <v>532</v>
      </c>
      <c r="H116" s="1342">
        <f t="shared" ref="H116:I116" si="136">SUM(H117:H121)</f>
        <v>0</v>
      </c>
      <c r="I116" s="1340">
        <f t="shared" si="136"/>
        <v>532</v>
      </c>
      <c r="J116" s="1342">
        <f>SUM(J117:J121)</f>
        <v>0</v>
      </c>
      <c r="K116" s="190">
        <f t="shared" ref="K116:L116" si="137">SUM(K117:K121)</f>
        <v>0</v>
      </c>
      <c r="L116" s="55">
        <f t="shared" si="137"/>
        <v>0</v>
      </c>
      <c r="M116" s="1270">
        <f>SUM(M117:M121)</f>
        <v>0</v>
      </c>
      <c r="N116" s="190">
        <f t="shared" ref="N116:O116" si="138">SUM(N117:N121)</f>
        <v>0</v>
      </c>
      <c r="O116" s="1340">
        <f t="shared" si="138"/>
        <v>0</v>
      </c>
      <c r="P116" s="1343"/>
    </row>
    <row r="117" spans="1:16" hidden="1" x14ac:dyDescent="0.25">
      <c r="A117" s="51">
        <v>2261</v>
      </c>
      <c r="B117" s="88" t="s">
        <v>134</v>
      </c>
      <c r="C117" s="1270">
        <f t="shared" si="98"/>
        <v>0</v>
      </c>
      <c r="D117" s="194"/>
      <c r="E117" s="195"/>
      <c r="F117" s="55">
        <f t="shared" ref="F117:F121" si="139">D117+E117</f>
        <v>0</v>
      </c>
      <c r="G117" s="194"/>
      <c r="H117" s="1273"/>
      <c r="I117" s="1340">
        <f t="shared" ref="I117:I121" si="140">G117+H117</f>
        <v>0</v>
      </c>
      <c r="J117" s="1273"/>
      <c r="K117" s="195"/>
      <c r="L117" s="55">
        <f t="shared" ref="L117:L121" si="141">J117+K117</f>
        <v>0</v>
      </c>
      <c r="M117" s="1341"/>
      <c r="N117" s="195"/>
      <c r="O117" s="1340">
        <f t="shared" ref="O117:O121" si="142">M117+N117</f>
        <v>0</v>
      </c>
      <c r="P117" s="1343"/>
    </row>
    <row r="118" spans="1:16" x14ac:dyDescent="0.25">
      <c r="A118" s="51">
        <v>2262</v>
      </c>
      <c r="B118" s="88" t="s">
        <v>135</v>
      </c>
      <c r="C118" s="1270">
        <f t="shared" si="98"/>
        <v>532</v>
      </c>
      <c r="D118" s="194"/>
      <c r="E118" s="195"/>
      <c r="F118" s="55">
        <f t="shared" si="139"/>
        <v>0</v>
      </c>
      <c r="G118" s="194">
        <v>532</v>
      </c>
      <c r="H118" s="1273"/>
      <c r="I118" s="1340">
        <f t="shared" si="140"/>
        <v>532</v>
      </c>
      <c r="J118" s="1273"/>
      <c r="K118" s="195"/>
      <c r="L118" s="55">
        <f t="shared" si="141"/>
        <v>0</v>
      </c>
      <c r="M118" s="1341"/>
      <c r="N118" s="195"/>
      <c r="O118" s="1340">
        <f t="shared" si="142"/>
        <v>0</v>
      </c>
      <c r="P118" s="288"/>
    </row>
    <row r="119" spans="1:16" hidden="1" x14ac:dyDescent="0.25">
      <c r="A119" s="51">
        <v>2263</v>
      </c>
      <c r="B119" s="88" t="s">
        <v>136</v>
      </c>
      <c r="C119" s="1270">
        <f t="shared" si="98"/>
        <v>0</v>
      </c>
      <c r="D119" s="194"/>
      <c r="E119" s="195"/>
      <c r="F119" s="55">
        <f t="shared" si="139"/>
        <v>0</v>
      </c>
      <c r="G119" s="194"/>
      <c r="H119" s="1273"/>
      <c r="I119" s="1340">
        <f t="shared" si="140"/>
        <v>0</v>
      </c>
      <c r="J119" s="1273"/>
      <c r="K119" s="195"/>
      <c r="L119" s="55">
        <f t="shared" si="141"/>
        <v>0</v>
      </c>
      <c r="M119" s="1341"/>
      <c r="N119" s="195"/>
      <c r="O119" s="1340">
        <f t="shared" si="142"/>
        <v>0</v>
      </c>
      <c r="P119" s="1343"/>
    </row>
    <row r="120" spans="1:16" ht="24" hidden="1" x14ac:dyDescent="0.25">
      <c r="A120" s="51">
        <v>2264</v>
      </c>
      <c r="B120" s="88" t="s">
        <v>137</v>
      </c>
      <c r="C120" s="1270">
        <f t="shared" si="98"/>
        <v>0</v>
      </c>
      <c r="D120" s="194"/>
      <c r="E120" s="195"/>
      <c r="F120" s="55">
        <f t="shared" si="139"/>
        <v>0</v>
      </c>
      <c r="G120" s="194"/>
      <c r="H120" s="1273"/>
      <c r="I120" s="1340">
        <f t="shared" si="140"/>
        <v>0</v>
      </c>
      <c r="J120" s="1273"/>
      <c r="K120" s="195"/>
      <c r="L120" s="55">
        <f t="shared" si="141"/>
        <v>0</v>
      </c>
      <c r="M120" s="1341"/>
      <c r="N120" s="195"/>
      <c r="O120" s="1340">
        <f t="shared" si="142"/>
        <v>0</v>
      </c>
      <c r="P120" s="1343"/>
    </row>
    <row r="121" spans="1:16" hidden="1" x14ac:dyDescent="0.25">
      <c r="A121" s="51">
        <v>2269</v>
      </c>
      <c r="B121" s="88" t="s">
        <v>138</v>
      </c>
      <c r="C121" s="1270">
        <f t="shared" si="98"/>
        <v>0</v>
      </c>
      <c r="D121" s="194"/>
      <c r="E121" s="195"/>
      <c r="F121" s="55">
        <f t="shared" si="139"/>
        <v>0</v>
      </c>
      <c r="G121" s="194"/>
      <c r="H121" s="1273"/>
      <c r="I121" s="1340">
        <f t="shared" si="140"/>
        <v>0</v>
      </c>
      <c r="J121" s="1273"/>
      <c r="K121" s="195"/>
      <c r="L121" s="55">
        <f t="shared" si="141"/>
        <v>0</v>
      </c>
      <c r="M121" s="1341"/>
      <c r="N121" s="195"/>
      <c r="O121" s="1340">
        <f t="shared" si="142"/>
        <v>0</v>
      </c>
      <c r="P121" s="1343"/>
    </row>
    <row r="122" spans="1:16" hidden="1" x14ac:dyDescent="0.25">
      <c r="A122" s="188">
        <v>2270</v>
      </c>
      <c r="B122" s="88" t="s">
        <v>139</v>
      </c>
      <c r="C122" s="1270">
        <f t="shared" si="98"/>
        <v>0</v>
      </c>
      <c r="D122" s="189">
        <f>SUM(D123:D127)</f>
        <v>0</v>
      </c>
      <c r="E122" s="190">
        <f t="shared" ref="E122:F122" si="143">SUM(E123:E127)</f>
        <v>0</v>
      </c>
      <c r="F122" s="55">
        <f t="shared" si="143"/>
        <v>0</v>
      </c>
      <c r="G122" s="189">
        <f>SUM(G123:G127)</f>
        <v>0</v>
      </c>
      <c r="H122" s="1342">
        <f t="shared" ref="H122:I122" si="144">SUM(H123:H127)</f>
        <v>0</v>
      </c>
      <c r="I122" s="1340">
        <f t="shared" si="144"/>
        <v>0</v>
      </c>
      <c r="J122" s="1342">
        <f>SUM(J123:J127)</f>
        <v>0</v>
      </c>
      <c r="K122" s="190">
        <f t="shared" ref="K122:L122" si="145">SUM(K123:K127)</f>
        <v>0</v>
      </c>
      <c r="L122" s="55">
        <f t="shared" si="145"/>
        <v>0</v>
      </c>
      <c r="M122" s="1270">
        <f>SUM(M123:M127)</f>
        <v>0</v>
      </c>
      <c r="N122" s="190">
        <f t="shared" ref="N122:O122" si="146">SUM(N123:N127)</f>
        <v>0</v>
      </c>
      <c r="O122" s="1340">
        <f t="shared" si="146"/>
        <v>0</v>
      </c>
      <c r="P122" s="1343"/>
    </row>
    <row r="123" spans="1:16" hidden="1" x14ac:dyDescent="0.25">
      <c r="A123" s="51">
        <v>2272</v>
      </c>
      <c r="B123" s="199" t="s">
        <v>140</v>
      </c>
      <c r="C123" s="1270">
        <f t="shared" si="98"/>
        <v>0</v>
      </c>
      <c r="D123" s="194"/>
      <c r="E123" s="195"/>
      <c r="F123" s="55">
        <f t="shared" ref="F123:F127" si="147">D123+E123</f>
        <v>0</v>
      </c>
      <c r="G123" s="194"/>
      <c r="H123" s="1273"/>
      <c r="I123" s="1340">
        <f t="shared" ref="I123:I127" si="148">G123+H123</f>
        <v>0</v>
      </c>
      <c r="J123" s="1273"/>
      <c r="K123" s="195"/>
      <c r="L123" s="55">
        <f t="shared" ref="L123:L127" si="149">J123+K123</f>
        <v>0</v>
      </c>
      <c r="M123" s="1341"/>
      <c r="N123" s="195"/>
      <c r="O123" s="1340">
        <f t="shared" ref="O123:O127" si="150">M123+N123</f>
        <v>0</v>
      </c>
      <c r="P123" s="1343"/>
    </row>
    <row r="124" spans="1:16" ht="24" hidden="1" x14ac:dyDescent="0.25">
      <c r="A124" s="51">
        <v>2274</v>
      </c>
      <c r="B124" s="200" t="s">
        <v>141</v>
      </c>
      <c r="C124" s="1270">
        <f t="shared" si="98"/>
        <v>0</v>
      </c>
      <c r="D124" s="194"/>
      <c r="E124" s="195"/>
      <c r="F124" s="55">
        <f t="shared" si="147"/>
        <v>0</v>
      </c>
      <c r="G124" s="194"/>
      <c r="H124" s="1273"/>
      <c r="I124" s="1340">
        <f t="shared" si="148"/>
        <v>0</v>
      </c>
      <c r="J124" s="1273"/>
      <c r="K124" s="195"/>
      <c r="L124" s="55">
        <f t="shared" si="149"/>
        <v>0</v>
      </c>
      <c r="M124" s="1341"/>
      <c r="N124" s="195"/>
      <c r="O124" s="1340">
        <f t="shared" si="150"/>
        <v>0</v>
      </c>
      <c r="P124" s="1343"/>
    </row>
    <row r="125" spans="1:16" ht="24" hidden="1" x14ac:dyDescent="0.25">
      <c r="A125" s="51">
        <v>2275</v>
      </c>
      <c r="B125" s="88" t="s">
        <v>142</v>
      </c>
      <c r="C125" s="1270">
        <f t="shared" si="98"/>
        <v>0</v>
      </c>
      <c r="D125" s="194"/>
      <c r="E125" s="195"/>
      <c r="F125" s="55">
        <f t="shared" si="147"/>
        <v>0</v>
      </c>
      <c r="G125" s="194"/>
      <c r="H125" s="1273"/>
      <c r="I125" s="1340">
        <f t="shared" si="148"/>
        <v>0</v>
      </c>
      <c r="J125" s="1273"/>
      <c r="K125" s="195"/>
      <c r="L125" s="55">
        <f t="shared" si="149"/>
        <v>0</v>
      </c>
      <c r="M125" s="1341"/>
      <c r="N125" s="195"/>
      <c r="O125" s="1340">
        <f t="shared" si="150"/>
        <v>0</v>
      </c>
      <c r="P125" s="1343"/>
    </row>
    <row r="126" spans="1:16" ht="36" hidden="1" x14ac:dyDescent="0.25">
      <c r="A126" s="51">
        <v>2276</v>
      </c>
      <c r="B126" s="88" t="s">
        <v>143</v>
      </c>
      <c r="C126" s="1270">
        <f t="shared" si="98"/>
        <v>0</v>
      </c>
      <c r="D126" s="194"/>
      <c r="E126" s="195"/>
      <c r="F126" s="55">
        <f t="shared" si="147"/>
        <v>0</v>
      </c>
      <c r="G126" s="194"/>
      <c r="H126" s="1273"/>
      <c r="I126" s="1340">
        <f t="shared" si="148"/>
        <v>0</v>
      </c>
      <c r="J126" s="1273"/>
      <c r="K126" s="195"/>
      <c r="L126" s="55">
        <f t="shared" si="149"/>
        <v>0</v>
      </c>
      <c r="M126" s="1341"/>
      <c r="N126" s="195"/>
      <c r="O126" s="1340">
        <f t="shared" si="150"/>
        <v>0</v>
      </c>
      <c r="P126" s="1343"/>
    </row>
    <row r="127" spans="1:16" ht="24" hidden="1" x14ac:dyDescent="0.25">
      <c r="A127" s="851">
        <v>2279</v>
      </c>
      <c r="B127" s="852" t="s">
        <v>144</v>
      </c>
      <c r="C127" s="1344">
        <f t="shared" si="98"/>
        <v>0</v>
      </c>
      <c r="D127" s="544"/>
      <c r="E127" s="545"/>
      <c r="F127" s="543">
        <f t="shared" si="147"/>
        <v>0</v>
      </c>
      <c r="G127" s="544"/>
      <c r="H127" s="1345"/>
      <c r="I127" s="1346">
        <f t="shared" si="148"/>
        <v>0</v>
      </c>
      <c r="J127" s="1345"/>
      <c r="K127" s="545"/>
      <c r="L127" s="543">
        <f t="shared" si="149"/>
        <v>0</v>
      </c>
      <c r="M127" s="1347"/>
      <c r="N127" s="545"/>
      <c r="O127" s="1346">
        <f t="shared" si="150"/>
        <v>0</v>
      </c>
      <c r="P127" s="1348"/>
    </row>
    <row r="128" spans="1:16" ht="24" hidden="1" x14ac:dyDescent="0.25">
      <c r="A128" s="1212">
        <v>2280</v>
      </c>
      <c r="B128" s="81" t="s">
        <v>1730</v>
      </c>
      <c r="C128" s="1264">
        <f t="shared" si="98"/>
        <v>0</v>
      </c>
      <c r="D128" s="192">
        <f t="shared" ref="D128:O128" si="151">SUM(D129)</f>
        <v>0</v>
      </c>
      <c r="E128" s="193">
        <f t="shared" si="151"/>
        <v>0</v>
      </c>
      <c r="F128" s="133">
        <f t="shared" si="151"/>
        <v>0</v>
      </c>
      <c r="G128" s="192">
        <f t="shared" si="151"/>
        <v>0</v>
      </c>
      <c r="H128" s="1357">
        <f t="shared" si="151"/>
        <v>0</v>
      </c>
      <c r="I128" s="1337">
        <f t="shared" si="151"/>
        <v>0</v>
      </c>
      <c r="J128" s="1357">
        <f t="shared" si="151"/>
        <v>0</v>
      </c>
      <c r="K128" s="193">
        <f t="shared" si="151"/>
        <v>0</v>
      </c>
      <c r="L128" s="133">
        <f t="shared" si="151"/>
        <v>0</v>
      </c>
      <c r="M128" s="1270">
        <f t="shared" si="151"/>
        <v>0</v>
      </c>
      <c r="N128" s="190">
        <f t="shared" si="151"/>
        <v>0</v>
      </c>
      <c r="O128" s="1340">
        <f t="shared" si="151"/>
        <v>0</v>
      </c>
      <c r="P128" s="1343"/>
    </row>
    <row r="129" spans="1:16" ht="24" hidden="1" x14ac:dyDescent="0.25">
      <c r="A129" s="51">
        <v>2283</v>
      </c>
      <c r="B129" s="88" t="s">
        <v>146</v>
      </c>
      <c r="C129" s="1270">
        <f t="shared" si="98"/>
        <v>0</v>
      </c>
      <c r="D129" s="194"/>
      <c r="E129" s="195"/>
      <c r="F129" s="55">
        <f>D129+E129</f>
        <v>0</v>
      </c>
      <c r="G129" s="194"/>
      <c r="H129" s="1273"/>
      <c r="I129" s="1340">
        <f>G129+H129</f>
        <v>0</v>
      </c>
      <c r="J129" s="1273"/>
      <c r="K129" s="195"/>
      <c r="L129" s="55">
        <f>J129+K129</f>
        <v>0</v>
      </c>
      <c r="M129" s="1341"/>
      <c r="N129" s="195"/>
      <c r="O129" s="1340">
        <f>M129+N129</f>
        <v>0</v>
      </c>
      <c r="P129" s="1343"/>
    </row>
    <row r="130" spans="1:16" ht="38.25" customHeight="1" x14ac:dyDescent="0.25">
      <c r="A130" s="68">
        <v>2300</v>
      </c>
      <c r="B130" s="182" t="s">
        <v>147</v>
      </c>
      <c r="C130" s="1258">
        <f t="shared" si="98"/>
        <v>4176</v>
      </c>
      <c r="D130" s="183">
        <f>SUM(D131,D136,D140,D141,D144,D151,D159,D160,D163)</f>
        <v>0</v>
      </c>
      <c r="E130" s="184">
        <f t="shared" ref="E130:F130" si="152">SUM(E131,E136,E140,E141,E144,E151,E159,E160,E163)</f>
        <v>0</v>
      </c>
      <c r="F130" s="72">
        <f t="shared" si="152"/>
        <v>0</v>
      </c>
      <c r="G130" s="183">
        <f>SUM(G131,G136,G140,G141,G144,G151,G159,G160,G163)</f>
        <v>4176</v>
      </c>
      <c r="H130" s="1263">
        <f t="shared" ref="H130:I130" si="153">SUM(H131,H136,H140,H141,H144,H151,H159,H160,H163)</f>
        <v>0</v>
      </c>
      <c r="I130" s="1330">
        <f t="shared" si="153"/>
        <v>4176</v>
      </c>
      <c r="J130" s="1263">
        <f>SUM(J131,J136,J140,J141,J144,J151,J159,J160,J163)</f>
        <v>0</v>
      </c>
      <c r="K130" s="184">
        <f t="shared" ref="K130:L130" si="154">SUM(K131,K136,K140,K141,K144,K151,K159,K160,K163)</f>
        <v>0</v>
      </c>
      <c r="L130" s="72">
        <f t="shared" si="154"/>
        <v>0</v>
      </c>
      <c r="M130" s="1258">
        <f>SUM(M131,M136,M140,M141,M144,M151,M159,M160,M163)</f>
        <v>0</v>
      </c>
      <c r="N130" s="184">
        <f t="shared" ref="N130:O130" si="155">SUM(N131,N136,N140,N141,N144,N151,N159,N160,N163)</f>
        <v>0</v>
      </c>
      <c r="O130" s="1330">
        <f t="shared" si="155"/>
        <v>0</v>
      </c>
      <c r="P130" s="1356"/>
    </row>
    <row r="131" spans="1:16" ht="24" x14ac:dyDescent="0.25">
      <c r="A131" s="1212">
        <v>2310</v>
      </c>
      <c r="B131" s="81" t="s">
        <v>148</v>
      </c>
      <c r="C131" s="1264">
        <f t="shared" si="98"/>
        <v>1965</v>
      </c>
      <c r="D131" s="192">
        <f t="shared" ref="D131:O131" si="156">SUM(D132:D135)</f>
        <v>0</v>
      </c>
      <c r="E131" s="193">
        <f t="shared" si="156"/>
        <v>0</v>
      </c>
      <c r="F131" s="133">
        <f t="shared" si="156"/>
        <v>0</v>
      </c>
      <c r="G131" s="192">
        <f t="shared" si="156"/>
        <v>1965</v>
      </c>
      <c r="H131" s="1357">
        <f t="shared" si="156"/>
        <v>0</v>
      </c>
      <c r="I131" s="1337">
        <f t="shared" si="156"/>
        <v>1965</v>
      </c>
      <c r="J131" s="1357">
        <f t="shared" si="156"/>
        <v>0</v>
      </c>
      <c r="K131" s="193">
        <f t="shared" si="156"/>
        <v>0</v>
      </c>
      <c r="L131" s="133">
        <f t="shared" si="156"/>
        <v>0</v>
      </c>
      <c r="M131" s="1264">
        <f t="shared" si="156"/>
        <v>0</v>
      </c>
      <c r="N131" s="193">
        <f t="shared" si="156"/>
        <v>0</v>
      </c>
      <c r="O131" s="1337">
        <f t="shared" si="156"/>
        <v>0</v>
      </c>
      <c r="P131" s="1339"/>
    </row>
    <row r="132" spans="1:16" x14ac:dyDescent="0.25">
      <c r="A132" s="51">
        <v>2311</v>
      </c>
      <c r="B132" s="88" t="s">
        <v>149</v>
      </c>
      <c r="C132" s="1270">
        <f t="shared" si="98"/>
        <v>528</v>
      </c>
      <c r="D132" s="194"/>
      <c r="E132" s="195"/>
      <c r="F132" s="55">
        <f t="shared" ref="F132:F135" si="157">D132+E132</f>
        <v>0</v>
      </c>
      <c r="G132" s="194">
        <v>528</v>
      </c>
      <c r="H132" s="1273"/>
      <c r="I132" s="1340">
        <f t="shared" ref="I132:I135" si="158">G132+H132</f>
        <v>528</v>
      </c>
      <c r="J132" s="1273"/>
      <c r="K132" s="195"/>
      <c r="L132" s="55">
        <f t="shared" ref="L132:L135" si="159">J132+K132</f>
        <v>0</v>
      </c>
      <c r="M132" s="1341"/>
      <c r="N132" s="195"/>
      <c r="O132" s="1340">
        <f t="shared" ref="O132:O135" si="160">M132+N132</f>
        <v>0</v>
      </c>
      <c r="P132" s="288"/>
    </row>
    <row r="133" spans="1:16" x14ac:dyDescent="0.25">
      <c r="A133" s="51">
        <v>2312</v>
      </c>
      <c r="B133" s="88" t="s">
        <v>150</v>
      </c>
      <c r="C133" s="1270">
        <f t="shared" si="98"/>
        <v>1437</v>
      </c>
      <c r="D133" s="194"/>
      <c r="E133" s="195"/>
      <c r="F133" s="55">
        <f t="shared" si="157"/>
        <v>0</v>
      </c>
      <c r="G133" s="194">
        <v>1437</v>
      </c>
      <c r="H133" s="1273"/>
      <c r="I133" s="1340">
        <f t="shared" si="158"/>
        <v>1437</v>
      </c>
      <c r="J133" s="1273"/>
      <c r="K133" s="195"/>
      <c r="L133" s="55">
        <f t="shared" si="159"/>
        <v>0</v>
      </c>
      <c r="M133" s="1341"/>
      <c r="N133" s="195"/>
      <c r="O133" s="1340">
        <f t="shared" si="160"/>
        <v>0</v>
      </c>
      <c r="P133" s="288"/>
    </row>
    <row r="134" spans="1:16" hidden="1" x14ac:dyDescent="0.25">
      <c r="A134" s="851">
        <v>2313</v>
      </c>
      <c r="B134" s="852" t="s">
        <v>151</v>
      </c>
      <c r="C134" s="1344">
        <f t="shared" si="98"/>
        <v>0</v>
      </c>
      <c r="D134" s="544"/>
      <c r="E134" s="545"/>
      <c r="F134" s="543">
        <f t="shared" si="157"/>
        <v>0</v>
      </c>
      <c r="G134" s="544"/>
      <c r="H134" s="1345"/>
      <c r="I134" s="1346">
        <f t="shared" si="158"/>
        <v>0</v>
      </c>
      <c r="J134" s="1345"/>
      <c r="K134" s="545"/>
      <c r="L134" s="543">
        <f t="shared" si="159"/>
        <v>0</v>
      </c>
      <c r="M134" s="1347"/>
      <c r="N134" s="545"/>
      <c r="O134" s="1346">
        <f t="shared" si="160"/>
        <v>0</v>
      </c>
      <c r="P134" s="1360"/>
    </row>
    <row r="135" spans="1:16" ht="48" hidden="1" x14ac:dyDescent="0.25">
      <c r="A135" s="851">
        <v>2314</v>
      </c>
      <c r="B135" s="852" t="s">
        <v>152</v>
      </c>
      <c r="C135" s="1344">
        <f t="shared" si="98"/>
        <v>0</v>
      </c>
      <c r="D135" s="544"/>
      <c r="E135" s="545"/>
      <c r="F135" s="543">
        <f t="shared" si="157"/>
        <v>0</v>
      </c>
      <c r="G135" s="544"/>
      <c r="H135" s="1345"/>
      <c r="I135" s="1346">
        <f t="shared" si="158"/>
        <v>0</v>
      </c>
      <c r="J135" s="1345"/>
      <c r="K135" s="545"/>
      <c r="L135" s="543">
        <f t="shared" si="159"/>
        <v>0</v>
      </c>
      <c r="M135" s="1347"/>
      <c r="N135" s="545"/>
      <c r="O135" s="1346">
        <f t="shared" si="160"/>
        <v>0</v>
      </c>
      <c r="P135" s="1348"/>
    </row>
    <row r="136" spans="1:16" x14ac:dyDescent="0.25">
      <c r="A136" s="188">
        <v>2320</v>
      </c>
      <c r="B136" s="88" t="s">
        <v>153</v>
      </c>
      <c r="C136" s="1270">
        <f t="shared" si="98"/>
        <v>871</v>
      </c>
      <c r="D136" s="189">
        <f>SUM(D137:D139)</f>
        <v>0</v>
      </c>
      <c r="E136" s="190">
        <f t="shared" ref="E136:F136" si="161">SUM(E137:E139)</f>
        <v>0</v>
      </c>
      <c r="F136" s="55">
        <f t="shared" si="161"/>
        <v>0</v>
      </c>
      <c r="G136" s="189">
        <f>SUM(G137:G139)</f>
        <v>871</v>
      </c>
      <c r="H136" s="1342">
        <f t="shared" ref="H136:I136" si="162">SUM(H137:H139)</f>
        <v>0</v>
      </c>
      <c r="I136" s="1340">
        <f t="shared" si="162"/>
        <v>871</v>
      </c>
      <c r="J136" s="1342">
        <f>SUM(J137:J139)</f>
        <v>0</v>
      </c>
      <c r="K136" s="190">
        <f t="shared" ref="K136:L136" si="163">SUM(K137:K139)</f>
        <v>0</v>
      </c>
      <c r="L136" s="55">
        <f t="shared" si="163"/>
        <v>0</v>
      </c>
      <c r="M136" s="1270">
        <f>SUM(M137:M139)</f>
        <v>0</v>
      </c>
      <c r="N136" s="190">
        <f t="shared" ref="N136:O136" si="164">SUM(N137:N139)</f>
        <v>0</v>
      </c>
      <c r="O136" s="1340">
        <f t="shared" si="164"/>
        <v>0</v>
      </c>
      <c r="P136" s="1343"/>
    </row>
    <row r="137" spans="1:16" hidden="1" x14ac:dyDescent="0.25">
      <c r="A137" s="851">
        <v>2321</v>
      </c>
      <c r="B137" s="852" t="s">
        <v>154</v>
      </c>
      <c r="C137" s="1344">
        <f t="shared" si="98"/>
        <v>0</v>
      </c>
      <c r="D137" s="544"/>
      <c r="E137" s="545"/>
      <c r="F137" s="543">
        <f t="shared" ref="F137:F140" si="165">D137+E137</f>
        <v>0</v>
      </c>
      <c r="G137" s="544"/>
      <c r="H137" s="1345"/>
      <c r="I137" s="1346">
        <f t="shared" ref="I137:I140" si="166">G137+H137</f>
        <v>0</v>
      </c>
      <c r="J137" s="1345"/>
      <c r="K137" s="545"/>
      <c r="L137" s="543">
        <f t="shared" ref="L137:L140" si="167">J137+K137</f>
        <v>0</v>
      </c>
      <c r="M137" s="1347"/>
      <c r="N137" s="545"/>
      <c r="O137" s="1346">
        <f t="shared" ref="O137:O140" si="168">M137+N137</f>
        <v>0</v>
      </c>
      <c r="P137" s="1360"/>
    </row>
    <row r="138" spans="1:16" x14ac:dyDescent="0.25">
      <c r="A138" s="51">
        <v>2322</v>
      </c>
      <c r="B138" s="88" t="s">
        <v>155</v>
      </c>
      <c r="C138" s="1270">
        <f t="shared" si="98"/>
        <v>871</v>
      </c>
      <c r="D138" s="194"/>
      <c r="E138" s="195"/>
      <c r="F138" s="55">
        <f t="shared" si="165"/>
        <v>0</v>
      </c>
      <c r="G138" s="194">
        <v>871</v>
      </c>
      <c r="H138" s="1273"/>
      <c r="I138" s="1340">
        <f t="shared" si="166"/>
        <v>871</v>
      </c>
      <c r="J138" s="1273"/>
      <c r="K138" s="195"/>
      <c r="L138" s="55">
        <f t="shared" si="167"/>
        <v>0</v>
      </c>
      <c r="M138" s="1341"/>
      <c r="N138" s="195"/>
      <c r="O138" s="1340">
        <f t="shared" si="168"/>
        <v>0</v>
      </c>
      <c r="P138" s="288"/>
    </row>
    <row r="139" spans="1:16" ht="10.5" hidden="1" customHeight="1" x14ac:dyDescent="0.25">
      <c r="A139" s="51">
        <v>2329</v>
      </c>
      <c r="B139" s="88" t="s">
        <v>156</v>
      </c>
      <c r="C139" s="1270">
        <f t="shared" si="98"/>
        <v>0</v>
      </c>
      <c r="D139" s="194"/>
      <c r="E139" s="195"/>
      <c r="F139" s="55">
        <f t="shared" si="165"/>
        <v>0</v>
      </c>
      <c r="G139" s="194"/>
      <c r="H139" s="1273"/>
      <c r="I139" s="1340">
        <f t="shared" si="166"/>
        <v>0</v>
      </c>
      <c r="J139" s="1273"/>
      <c r="K139" s="195"/>
      <c r="L139" s="55">
        <f t="shared" si="167"/>
        <v>0</v>
      </c>
      <c r="M139" s="1341"/>
      <c r="N139" s="195"/>
      <c r="O139" s="1340">
        <f t="shared" si="168"/>
        <v>0</v>
      </c>
      <c r="P139" s="1343"/>
    </row>
    <row r="140" spans="1:16" hidden="1" x14ac:dyDescent="0.25">
      <c r="A140" s="188">
        <v>2330</v>
      </c>
      <c r="B140" s="88" t="s">
        <v>157</v>
      </c>
      <c r="C140" s="1270">
        <f t="shared" si="98"/>
        <v>0</v>
      </c>
      <c r="D140" s="194"/>
      <c r="E140" s="195"/>
      <c r="F140" s="55">
        <f t="shared" si="165"/>
        <v>0</v>
      </c>
      <c r="G140" s="194"/>
      <c r="H140" s="1273"/>
      <c r="I140" s="1340">
        <f t="shared" si="166"/>
        <v>0</v>
      </c>
      <c r="J140" s="1273"/>
      <c r="K140" s="195"/>
      <c r="L140" s="55">
        <f t="shared" si="167"/>
        <v>0</v>
      </c>
      <c r="M140" s="1341"/>
      <c r="N140" s="195"/>
      <c r="O140" s="1340">
        <f t="shared" si="168"/>
        <v>0</v>
      </c>
      <c r="P140" s="1343"/>
    </row>
    <row r="141" spans="1:16" ht="48" hidden="1" x14ac:dyDescent="0.25">
      <c r="A141" s="188">
        <v>2340</v>
      </c>
      <c r="B141" s="88" t="s">
        <v>158</v>
      </c>
      <c r="C141" s="1270">
        <f t="shared" si="98"/>
        <v>0</v>
      </c>
      <c r="D141" s="189">
        <f>SUM(D142:D143)</f>
        <v>0</v>
      </c>
      <c r="E141" s="190">
        <f t="shared" ref="E141:F141" si="169">SUM(E142:E143)</f>
        <v>0</v>
      </c>
      <c r="F141" s="55">
        <f t="shared" si="169"/>
        <v>0</v>
      </c>
      <c r="G141" s="189">
        <f>SUM(G142:G143)</f>
        <v>0</v>
      </c>
      <c r="H141" s="1342">
        <f t="shared" ref="H141:I141" si="170">SUM(H142:H143)</f>
        <v>0</v>
      </c>
      <c r="I141" s="1340">
        <f t="shared" si="170"/>
        <v>0</v>
      </c>
      <c r="J141" s="1342">
        <f>SUM(J142:J143)</f>
        <v>0</v>
      </c>
      <c r="K141" s="190">
        <f t="shared" ref="K141:L141" si="171">SUM(K142:K143)</f>
        <v>0</v>
      </c>
      <c r="L141" s="55">
        <f t="shared" si="171"/>
        <v>0</v>
      </c>
      <c r="M141" s="1270">
        <f>SUM(M142:M143)</f>
        <v>0</v>
      </c>
      <c r="N141" s="190">
        <f t="shared" ref="N141:O141" si="172">SUM(N142:N143)</f>
        <v>0</v>
      </c>
      <c r="O141" s="1340">
        <f t="shared" si="172"/>
        <v>0</v>
      </c>
      <c r="P141" s="1343"/>
    </row>
    <row r="142" spans="1:16" hidden="1" x14ac:dyDescent="0.25">
      <c r="A142" s="51">
        <v>2341</v>
      </c>
      <c r="B142" s="88" t="s">
        <v>159</v>
      </c>
      <c r="C142" s="1270">
        <f t="shared" si="98"/>
        <v>0</v>
      </c>
      <c r="D142" s="194"/>
      <c r="E142" s="195"/>
      <c r="F142" s="55">
        <f t="shared" ref="F142:F143" si="173">D142+E142</f>
        <v>0</v>
      </c>
      <c r="G142" s="194"/>
      <c r="H142" s="1273"/>
      <c r="I142" s="1340">
        <f t="shared" ref="I142:I143" si="174">G142+H142</f>
        <v>0</v>
      </c>
      <c r="J142" s="1273"/>
      <c r="K142" s="195"/>
      <c r="L142" s="55">
        <f t="shared" ref="L142:L143" si="175">J142+K142</f>
        <v>0</v>
      </c>
      <c r="M142" s="1341"/>
      <c r="N142" s="195"/>
      <c r="O142" s="1340">
        <f t="shared" ref="O142:O143" si="176">M142+N142</f>
        <v>0</v>
      </c>
      <c r="P142" s="1343"/>
    </row>
    <row r="143" spans="1:16" ht="24" hidden="1" x14ac:dyDescent="0.25">
      <c r="A143" s="51">
        <v>2344</v>
      </c>
      <c r="B143" s="88" t="s">
        <v>160</v>
      </c>
      <c r="C143" s="1270">
        <f t="shared" si="98"/>
        <v>0</v>
      </c>
      <c r="D143" s="194"/>
      <c r="E143" s="195"/>
      <c r="F143" s="55">
        <f t="shared" si="173"/>
        <v>0</v>
      </c>
      <c r="G143" s="194"/>
      <c r="H143" s="1273"/>
      <c r="I143" s="1340">
        <f t="shared" si="174"/>
        <v>0</v>
      </c>
      <c r="J143" s="1273"/>
      <c r="K143" s="195"/>
      <c r="L143" s="55">
        <f t="shared" si="175"/>
        <v>0</v>
      </c>
      <c r="M143" s="1341"/>
      <c r="N143" s="195"/>
      <c r="O143" s="1340">
        <f t="shared" si="176"/>
        <v>0</v>
      </c>
      <c r="P143" s="1343"/>
    </row>
    <row r="144" spans="1:16" ht="24" x14ac:dyDescent="0.25">
      <c r="A144" s="185">
        <v>2350</v>
      </c>
      <c r="B144" s="137" t="s">
        <v>161</v>
      </c>
      <c r="C144" s="1304">
        <f t="shared" si="98"/>
        <v>100</v>
      </c>
      <c r="D144" s="186">
        <f>SUM(D145:D150)</f>
        <v>0</v>
      </c>
      <c r="E144" s="187">
        <f t="shared" ref="E144:F144" si="177">SUM(E145:E150)</f>
        <v>0</v>
      </c>
      <c r="F144" s="140">
        <f t="shared" si="177"/>
        <v>0</v>
      </c>
      <c r="G144" s="186">
        <f>SUM(G145:G150)</f>
        <v>100</v>
      </c>
      <c r="H144" s="1334">
        <f t="shared" ref="H144:I144" si="178">SUM(H145:H150)</f>
        <v>0</v>
      </c>
      <c r="I144" s="1335">
        <f t="shared" si="178"/>
        <v>100</v>
      </c>
      <c r="J144" s="1334">
        <f>SUM(J145:J150)</f>
        <v>0</v>
      </c>
      <c r="K144" s="187">
        <f t="shared" ref="K144:L144" si="179">SUM(K145:K150)</f>
        <v>0</v>
      </c>
      <c r="L144" s="140">
        <f t="shared" si="179"/>
        <v>0</v>
      </c>
      <c r="M144" s="1304">
        <f>SUM(M145:M150)</f>
        <v>0</v>
      </c>
      <c r="N144" s="187">
        <f t="shared" ref="N144:O144" si="180">SUM(N145:N150)</f>
        <v>0</v>
      </c>
      <c r="O144" s="1335">
        <f t="shared" si="180"/>
        <v>0</v>
      </c>
      <c r="P144" s="1336"/>
    </row>
    <row r="145" spans="1:16" hidden="1" x14ac:dyDescent="0.25">
      <c r="A145" s="1361">
        <v>2351</v>
      </c>
      <c r="B145" s="1362" t="s">
        <v>162</v>
      </c>
      <c r="C145" s="1363">
        <f t="shared" si="98"/>
        <v>0</v>
      </c>
      <c r="D145" s="689"/>
      <c r="E145" s="690"/>
      <c r="F145" s="664">
        <f t="shared" ref="F145:F150" si="181">D145+E145</f>
        <v>0</v>
      </c>
      <c r="G145" s="689"/>
      <c r="H145" s="1364"/>
      <c r="I145" s="1365">
        <f t="shared" ref="I145:I150" si="182">G145+H145</f>
        <v>0</v>
      </c>
      <c r="J145" s="1364"/>
      <c r="K145" s="690"/>
      <c r="L145" s="664">
        <f t="shared" ref="L145:L150" si="183">J145+K145</f>
        <v>0</v>
      </c>
      <c r="M145" s="1366"/>
      <c r="N145" s="690"/>
      <c r="O145" s="1365">
        <f t="shared" ref="O145:O150" si="184">M145+N145</f>
        <v>0</v>
      </c>
      <c r="P145" s="1367"/>
    </row>
    <row r="146" spans="1:16" x14ac:dyDescent="0.25">
      <c r="A146" s="51">
        <v>2352</v>
      </c>
      <c r="B146" s="88" t="s">
        <v>163</v>
      </c>
      <c r="C146" s="1270">
        <f t="shared" si="98"/>
        <v>100</v>
      </c>
      <c r="D146" s="194"/>
      <c r="E146" s="195"/>
      <c r="F146" s="55">
        <f t="shared" si="181"/>
        <v>0</v>
      </c>
      <c r="G146" s="194">
        <v>100</v>
      </c>
      <c r="H146" s="1273"/>
      <c r="I146" s="1340">
        <f t="shared" si="182"/>
        <v>100</v>
      </c>
      <c r="J146" s="1273"/>
      <c r="K146" s="195"/>
      <c r="L146" s="55">
        <f t="shared" si="183"/>
        <v>0</v>
      </c>
      <c r="M146" s="1341"/>
      <c r="N146" s="195"/>
      <c r="O146" s="1340">
        <f t="shared" si="184"/>
        <v>0</v>
      </c>
      <c r="P146" s="288"/>
    </row>
    <row r="147" spans="1:16" ht="24" hidden="1" x14ac:dyDescent="0.25">
      <c r="A147" s="51">
        <v>2353</v>
      </c>
      <c r="B147" s="88" t="s">
        <v>164</v>
      </c>
      <c r="C147" s="1270">
        <f t="shared" si="98"/>
        <v>0</v>
      </c>
      <c r="D147" s="194"/>
      <c r="E147" s="195"/>
      <c r="F147" s="55">
        <f t="shared" si="181"/>
        <v>0</v>
      </c>
      <c r="G147" s="194"/>
      <c r="H147" s="1273"/>
      <c r="I147" s="1340">
        <f t="shared" si="182"/>
        <v>0</v>
      </c>
      <c r="J147" s="1273"/>
      <c r="K147" s="195"/>
      <c r="L147" s="55">
        <f t="shared" si="183"/>
        <v>0</v>
      </c>
      <c r="M147" s="1341"/>
      <c r="N147" s="195"/>
      <c r="O147" s="1340">
        <f t="shared" si="184"/>
        <v>0</v>
      </c>
      <c r="P147" s="1343"/>
    </row>
    <row r="148" spans="1:16" ht="24" hidden="1" x14ac:dyDescent="0.25">
      <c r="A148" s="51">
        <v>2354</v>
      </c>
      <c r="B148" s="88" t="s">
        <v>165</v>
      </c>
      <c r="C148" s="1270">
        <f t="shared" si="98"/>
        <v>0</v>
      </c>
      <c r="D148" s="194"/>
      <c r="E148" s="195"/>
      <c r="F148" s="55">
        <f t="shared" si="181"/>
        <v>0</v>
      </c>
      <c r="G148" s="194"/>
      <c r="H148" s="1273"/>
      <c r="I148" s="1340">
        <f t="shared" si="182"/>
        <v>0</v>
      </c>
      <c r="J148" s="1273"/>
      <c r="K148" s="195"/>
      <c r="L148" s="55">
        <f t="shared" si="183"/>
        <v>0</v>
      </c>
      <c r="M148" s="1341"/>
      <c r="N148" s="195"/>
      <c r="O148" s="1340">
        <f t="shared" si="184"/>
        <v>0</v>
      </c>
      <c r="P148" s="1343"/>
    </row>
    <row r="149" spans="1:16" ht="24" hidden="1" x14ac:dyDescent="0.25">
      <c r="A149" s="51">
        <v>2355</v>
      </c>
      <c r="B149" s="88" t="s">
        <v>166</v>
      </c>
      <c r="C149" s="1270">
        <f t="shared" ref="C149:C212" si="185">F149+I149+L149+O149</f>
        <v>0</v>
      </c>
      <c r="D149" s="194"/>
      <c r="E149" s="195"/>
      <c r="F149" s="55">
        <f t="shared" si="181"/>
        <v>0</v>
      </c>
      <c r="G149" s="194"/>
      <c r="H149" s="1273"/>
      <c r="I149" s="1340">
        <f t="shared" si="182"/>
        <v>0</v>
      </c>
      <c r="J149" s="1273"/>
      <c r="K149" s="195"/>
      <c r="L149" s="55">
        <f t="shared" si="183"/>
        <v>0</v>
      </c>
      <c r="M149" s="1341"/>
      <c r="N149" s="195"/>
      <c r="O149" s="1340">
        <f t="shared" si="184"/>
        <v>0</v>
      </c>
      <c r="P149" s="1343"/>
    </row>
    <row r="150" spans="1:16" ht="24" hidden="1" x14ac:dyDescent="0.25">
      <c r="A150" s="51">
        <v>2359</v>
      </c>
      <c r="B150" s="88" t="s">
        <v>167</v>
      </c>
      <c r="C150" s="1270">
        <f t="shared" si="185"/>
        <v>0</v>
      </c>
      <c r="D150" s="194"/>
      <c r="E150" s="195"/>
      <c r="F150" s="55">
        <f t="shared" si="181"/>
        <v>0</v>
      </c>
      <c r="G150" s="194"/>
      <c r="H150" s="1273"/>
      <c r="I150" s="1340">
        <f t="shared" si="182"/>
        <v>0</v>
      </c>
      <c r="J150" s="1273"/>
      <c r="K150" s="195"/>
      <c r="L150" s="55">
        <f t="shared" si="183"/>
        <v>0</v>
      </c>
      <c r="M150" s="1341"/>
      <c r="N150" s="195"/>
      <c r="O150" s="1340">
        <f t="shared" si="184"/>
        <v>0</v>
      </c>
      <c r="P150" s="1343"/>
    </row>
    <row r="151" spans="1:16" ht="24.75" customHeight="1" x14ac:dyDescent="0.25">
      <c r="A151" s="188">
        <v>2360</v>
      </c>
      <c r="B151" s="88" t="s">
        <v>168</v>
      </c>
      <c r="C151" s="1270">
        <f t="shared" si="185"/>
        <v>1240</v>
      </c>
      <c r="D151" s="189">
        <f>SUM(D152:D158)</f>
        <v>0</v>
      </c>
      <c r="E151" s="190">
        <f t="shared" ref="E151:F151" si="186">SUM(E152:E158)</f>
        <v>0</v>
      </c>
      <c r="F151" s="55">
        <f t="shared" si="186"/>
        <v>0</v>
      </c>
      <c r="G151" s="189">
        <f>SUM(G152:G158)</f>
        <v>1240</v>
      </c>
      <c r="H151" s="1342">
        <f t="shared" ref="H151:I151" si="187">SUM(H152:H158)</f>
        <v>0</v>
      </c>
      <c r="I151" s="1340">
        <f t="shared" si="187"/>
        <v>1240</v>
      </c>
      <c r="J151" s="1342">
        <f>SUM(J152:J158)</f>
        <v>0</v>
      </c>
      <c r="K151" s="190">
        <f t="shared" ref="K151:L151" si="188">SUM(K152:K158)</f>
        <v>0</v>
      </c>
      <c r="L151" s="55">
        <f t="shared" si="188"/>
        <v>0</v>
      </c>
      <c r="M151" s="1270">
        <f>SUM(M152:M158)</f>
        <v>0</v>
      </c>
      <c r="N151" s="190">
        <f t="shared" ref="N151:O151" si="189">SUM(N152:N158)</f>
        <v>0</v>
      </c>
      <c r="O151" s="1340">
        <f t="shared" si="189"/>
        <v>0</v>
      </c>
      <c r="P151" s="1343"/>
    </row>
    <row r="152" spans="1:16" hidden="1" x14ac:dyDescent="0.25">
      <c r="A152" s="50">
        <v>2361</v>
      </c>
      <c r="B152" s="88" t="s">
        <v>169</v>
      </c>
      <c r="C152" s="1270">
        <f t="shared" si="185"/>
        <v>0</v>
      </c>
      <c r="D152" s="194"/>
      <c r="E152" s="195"/>
      <c r="F152" s="55">
        <f t="shared" ref="F152:F159" si="190">D152+E152</f>
        <v>0</v>
      </c>
      <c r="G152" s="194"/>
      <c r="H152" s="1273"/>
      <c r="I152" s="1340">
        <f t="shared" ref="I152:I159" si="191">G152+H152</f>
        <v>0</v>
      </c>
      <c r="J152" s="1273"/>
      <c r="K152" s="195"/>
      <c r="L152" s="55">
        <f t="shared" ref="L152:L159" si="192">J152+K152</f>
        <v>0</v>
      </c>
      <c r="M152" s="1341"/>
      <c r="N152" s="195"/>
      <c r="O152" s="1340">
        <f t="shared" ref="O152:O159" si="193">M152+N152</f>
        <v>0</v>
      </c>
      <c r="P152" s="1343"/>
    </row>
    <row r="153" spans="1:16" ht="24" hidden="1" x14ac:dyDescent="0.25">
      <c r="A153" s="50">
        <v>2362</v>
      </c>
      <c r="B153" s="88" t="s">
        <v>170</v>
      </c>
      <c r="C153" s="1270">
        <f t="shared" si="185"/>
        <v>0</v>
      </c>
      <c r="D153" s="194"/>
      <c r="E153" s="195"/>
      <c r="F153" s="55">
        <f t="shared" si="190"/>
        <v>0</v>
      </c>
      <c r="G153" s="194"/>
      <c r="H153" s="1273"/>
      <c r="I153" s="1340">
        <f t="shared" si="191"/>
        <v>0</v>
      </c>
      <c r="J153" s="1273"/>
      <c r="K153" s="195"/>
      <c r="L153" s="55">
        <f t="shared" si="192"/>
        <v>0</v>
      </c>
      <c r="M153" s="1341"/>
      <c r="N153" s="195"/>
      <c r="O153" s="1340">
        <f t="shared" si="193"/>
        <v>0</v>
      </c>
      <c r="P153" s="1343"/>
    </row>
    <row r="154" spans="1:16" x14ac:dyDescent="0.25">
      <c r="A154" s="50">
        <v>2363</v>
      </c>
      <c r="B154" s="88" t="s">
        <v>171</v>
      </c>
      <c r="C154" s="1270">
        <f t="shared" si="185"/>
        <v>1240</v>
      </c>
      <c r="D154" s="194"/>
      <c r="E154" s="195"/>
      <c r="F154" s="55">
        <f t="shared" si="190"/>
        <v>0</v>
      </c>
      <c r="G154" s="194">
        <v>1240</v>
      </c>
      <c r="H154" s="1273"/>
      <c r="I154" s="1340">
        <f t="shared" si="191"/>
        <v>1240</v>
      </c>
      <c r="J154" s="1273"/>
      <c r="K154" s="195"/>
      <c r="L154" s="55">
        <f t="shared" si="192"/>
        <v>0</v>
      </c>
      <c r="M154" s="1341"/>
      <c r="N154" s="195"/>
      <c r="O154" s="1340">
        <f t="shared" si="193"/>
        <v>0</v>
      </c>
      <c r="P154" s="288"/>
    </row>
    <row r="155" spans="1:16" hidden="1" x14ac:dyDescent="0.25">
      <c r="A155" s="1368">
        <v>2364</v>
      </c>
      <c r="B155" s="852" t="s">
        <v>172</v>
      </c>
      <c r="C155" s="1344">
        <f t="shared" si="185"/>
        <v>0</v>
      </c>
      <c r="D155" s="544"/>
      <c r="E155" s="545"/>
      <c r="F155" s="543">
        <f t="shared" si="190"/>
        <v>0</v>
      </c>
      <c r="G155" s="544"/>
      <c r="H155" s="1345"/>
      <c r="I155" s="1346">
        <f t="shared" si="191"/>
        <v>0</v>
      </c>
      <c r="J155" s="1345"/>
      <c r="K155" s="545"/>
      <c r="L155" s="543">
        <f t="shared" si="192"/>
        <v>0</v>
      </c>
      <c r="M155" s="1347"/>
      <c r="N155" s="545"/>
      <c r="O155" s="1346">
        <f t="shared" si="193"/>
        <v>0</v>
      </c>
      <c r="P155" s="1360"/>
    </row>
    <row r="156" spans="1:16" ht="12.75" hidden="1" customHeight="1" x14ac:dyDescent="0.25">
      <c r="A156" s="50">
        <v>2365</v>
      </c>
      <c r="B156" s="88" t="s">
        <v>1731</v>
      </c>
      <c r="C156" s="1270">
        <f t="shared" si="185"/>
        <v>0</v>
      </c>
      <c r="D156" s="194"/>
      <c r="E156" s="195"/>
      <c r="F156" s="55">
        <f t="shared" si="190"/>
        <v>0</v>
      </c>
      <c r="G156" s="194"/>
      <c r="H156" s="1273"/>
      <c r="I156" s="1340">
        <f t="shared" si="191"/>
        <v>0</v>
      </c>
      <c r="J156" s="1273"/>
      <c r="K156" s="195"/>
      <c r="L156" s="55">
        <f t="shared" si="192"/>
        <v>0</v>
      </c>
      <c r="M156" s="1341"/>
      <c r="N156" s="195"/>
      <c r="O156" s="1340">
        <f t="shared" si="193"/>
        <v>0</v>
      </c>
      <c r="P156" s="1343"/>
    </row>
    <row r="157" spans="1:16" ht="36" hidden="1" x14ac:dyDescent="0.25">
      <c r="A157" s="50">
        <v>2366</v>
      </c>
      <c r="B157" s="88" t="s">
        <v>174</v>
      </c>
      <c r="C157" s="1270">
        <f t="shared" si="185"/>
        <v>0</v>
      </c>
      <c r="D157" s="194"/>
      <c r="E157" s="195"/>
      <c r="F157" s="55">
        <f t="shared" si="190"/>
        <v>0</v>
      </c>
      <c r="G157" s="194"/>
      <c r="H157" s="1273"/>
      <c r="I157" s="1340">
        <f t="shared" si="191"/>
        <v>0</v>
      </c>
      <c r="J157" s="1273"/>
      <c r="K157" s="195"/>
      <c r="L157" s="55">
        <f t="shared" si="192"/>
        <v>0</v>
      </c>
      <c r="M157" s="1341"/>
      <c r="N157" s="195"/>
      <c r="O157" s="1340">
        <f t="shared" si="193"/>
        <v>0</v>
      </c>
      <c r="P157" s="1343"/>
    </row>
    <row r="158" spans="1:16" ht="48" hidden="1" x14ac:dyDescent="0.25">
      <c r="A158" s="50">
        <v>2369</v>
      </c>
      <c r="B158" s="88" t="s">
        <v>175</v>
      </c>
      <c r="C158" s="1270">
        <f t="shared" si="185"/>
        <v>0</v>
      </c>
      <c r="D158" s="194"/>
      <c r="E158" s="195"/>
      <c r="F158" s="55">
        <f t="shared" si="190"/>
        <v>0</v>
      </c>
      <c r="G158" s="194"/>
      <c r="H158" s="1273"/>
      <c r="I158" s="1340">
        <f t="shared" si="191"/>
        <v>0</v>
      </c>
      <c r="J158" s="1273"/>
      <c r="K158" s="195"/>
      <c r="L158" s="55">
        <f t="shared" si="192"/>
        <v>0</v>
      </c>
      <c r="M158" s="1341"/>
      <c r="N158" s="195"/>
      <c r="O158" s="1340">
        <f t="shared" si="193"/>
        <v>0</v>
      </c>
      <c r="P158" s="1343"/>
    </row>
    <row r="159" spans="1:16" hidden="1" x14ac:dyDescent="0.25">
      <c r="A159" s="185">
        <v>2370</v>
      </c>
      <c r="B159" s="137" t="s">
        <v>176</v>
      </c>
      <c r="C159" s="1304">
        <f t="shared" si="185"/>
        <v>0</v>
      </c>
      <c r="D159" s="202"/>
      <c r="E159" s="203"/>
      <c r="F159" s="140">
        <f t="shared" si="190"/>
        <v>0</v>
      </c>
      <c r="G159" s="202"/>
      <c r="H159" s="1369"/>
      <c r="I159" s="1335">
        <f t="shared" si="191"/>
        <v>0</v>
      </c>
      <c r="J159" s="1369"/>
      <c r="K159" s="203"/>
      <c r="L159" s="140">
        <f t="shared" si="192"/>
        <v>0</v>
      </c>
      <c r="M159" s="1370"/>
      <c r="N159" s="203"/>
      <c r="O159" s="1335">
        <f t="shared" si="193"/>
        <v>0</v>
      </c>
      <c r="P159" s="1336"/>
    </row>
    <row r="160" spans="1:16" hidden="1" x14ac:dyDescent="0.25">
      <c r="A160" s="185">
        <v>2380</v>
      </c>
      <c r="B160" s="137" t="s">
        <v>177</v>
      </c>
      <c r="C160" s="1304">
        <f t="shared" si="185"/>
        <v>0</v>
      </c>
      <c r="D160" s="186">
        <f>SUM(D161:D162)</f>
        <v>0</v>
      </c>
      <c r="E160" s="187">
        <f t="shared" ref="E160:F160" si="194">SUM(E161:E162)</f>
        <v>0</v>
      </c>
      <c r="F160" s="140">
        <f t="shared" si="194"/>
        <v>0</v>
      </c>
      <c r="G160" s="186">
        <f>SUM(G161:G162)</f>
        <v>0</v>
      </c>
      <c r="H160" s="1334">
        <f t="shared" ref="H160:I160" si="195">SUM(H161:H162)</f>
        <v>0</v>
      </c>
      <c r="I160" s="1335">
        <f t="shared" si="195"/>
        <v>0</v>
      </c>
      <c r="J160" s="1334">
        <f>SUM(J161:J162)</f>
        <v>0</v>
      </c>
      <c r="K160" s="187">
        <f t="shared" ref="K160:L160" si="196">SUM(K161:K162)</f>
        <v>0</v>
      </c>
      <c r="L160" s="140">
        <f t="shared" si="196"/>
        <v>0</v>
      </c>
      <c r="M160" s="1304">
        <f>SUM(M161:M162)</f>
        <v>0</v>
      </c>
      <c r="N160" s="187">
        <f t="shared" ref="N160:O160" si="197">SUM(N161:N162)</f>
        <v>0</v>
      </c>
      <c r="O160" s="1335">
        <f t="shared" si="197"/>
        <v>0</v>
      </c>
      <c r="P160" s="1336"/>
    </row>
    <row r="161" spans="1:16" hidden="1" x14ac:dyDescent="0.25">
      <c r="A161" s="43">
        <v>2381</v>
      </c>
      <c r="B161" s="81" t="s">
        <v>1732</v>
      </c>
      <c r="C161" s="1264">
        <f t="shared" si="185"/>
        <v>0</v>
      </c>
      <c r="D161" s="196"/>
      <c r="E161" s="197"/>
      <c r="F161" s="133">
        <f t="shared" ref="F161:F164" si="198">D161+E161</f>
        <v>0</v>
      </c>
      <c r="G161" s="196"/>
      <c r="H161" s="1267"/>
      <c r="I161" s="1337">
        <f t="shared" ref="I161:I164" si="199">G161+H161</f>
        <v>0</v>
      </c>
      <c r="J161" s="1267"/>
      <c r="K161" s="197"/>
      <c r="L161" s="133">
        <f t="shared" ref="L161:L164" si="200">J161+K161</f>
        <v>0</v>
      </c>
      <c r="M161" s="1338"/>
      <c r="N161" s="197"/>
      <c r="O161" s="1337">
        <f t="shared" ref="O161:O164" si="201">M161+N161</f>
        <v>0</v>
      </c>
      <c r="P161" s="1339"/>
    </row>
    <row r="162" spans="1:16" ht="24" hidden="1" x14ac:dyDescent="0.25">
      <c r="A162" s="50">
        <v>2389</v>
      </c>
      <c r="B162" s="88" t="s">
        <v>179</v>
      </c>
      <c r="C162" s="1270">
        <f t="shared" si="185"/>
        <v>0</v>
      </c>
      <c r="D162" s="194"/>
      <c r="E162" s="195"/>
      <c r="F162" s="55">
        <f t="shared" si="198"/>
        <v>0</v>
      </c>
      <c r="G162" s="194"/>
      <c r="H162" s="1273"/>
      <c r="I162" s="1340">
        <f t="shared" si="199"/>
        <v>0</v>
      </c>
      <c r="J162" s="1273"/>
      <c r="K162" s="195"/>
      <c r="L162" s="55">
        <f t="shared" si="200"/>
        <v>0</v>
      </c>
      <c r="M162" s="1341"/>
      <c r="N162" s="195"/>
      <c r="O162" s="1340">
        <f t="shared" si="201"/>
        <v>0</v>
      </c>
      <c r="P162" s="1343"/>
    </row>
    <row r="163" spans="1:16" hidden="1" x14ac:dyDescent="0.25">
      <c r="A163" s="185">
        <v>2390</v>
      </c>
      <c r="B163" s="137" t="s">
        <v>180</v>
      </c>
      <c r="C163" s="1304">
        <f t="shared" si="185"/>
        <v>0</v>
      </c>
      <c r="D163" s="202"/>
      <c r="E163" s="203"/>
      <c r="F163" s="140">
        <f t="shared" si="198"/>
        <v>0</v>
      </c>
      <c r="G163" s="202"/>
      <c r="H163" s="1369"/>
      <c r="I163" s="1335">
        <f t="shared" si="199"/>
        <v>0</v>
      </c>
      <c r="J163" s="1369"/>
      <c r="K163" s="203"/>
      <c r="L163" s="140">
        <f t="shared" si="200"/>
        <v>0</v>
      </c>
      <c r="M163" s="1370"/>
      <c r="N163" s="203"/>
      <c r="O163" s="1335">
        <f t="shared" si="201"/>
        <v>0</v>
      </c>
      <c r="P163" s="1336"/>
    </row>
    <row r="164" spans="1:16" hidden="1" x14ac:dyDescent="0.25">
      <c r="A164" s="68">
        <v>2400</v>
      </c>
      <c r="B164" s="182" t="s">
        <v>181</v>
      </c>
      <c r="C164" s="1258">
        <f t="shared" si="185"/>
        <v>0</v>
      </c>
      <c r="D164" s="204"/>
      <c r="E164" s="205"/>
      <c r="F164" s="72">
        <f t="shared" si="198"/>
        <v>0</v>
      </c>
      <c r="G164" s="204"/>
      <c r="H164" s="1371"/>
      <c r="I164" s="1330">
        <f t="shared" si="199"/>
        <v>0</v>
      </c>
      <c r="J164" s="1371"/>
      <c r="K164" s="205"/>
      <c r="L164" s="72">
        <f t="shared" si="200"/>
        <v>0</v>
      </c>
      <c r="M164" s="1372"/>
      <c r="N164" s="205"/>
      <c r="O164" s="1330">
        <f t="shared" si="201"/>
        <v>0</v>
      </c>
      <c r="P164" s="1356"/>
    </row>
    <row r="165" spans="1:16" ht="24" hidden="1" x14ac:dyDescent="0.25">
      <c r="A165" s="68">
        <v>2500</v>
      </c>
      <c r="B165" s="182" t="s">
        <v>1733</v>
      </c>
      <c r="C165" s="1258">
        <f t="shared" si="185"/>
        <v>0</v>
      </c>
      <c r="D165" s="183">
        <f>SUM(D166,D171)</f>
        <v>0</v>
      </c>
      <c r="E165" s="184">
        <f t="shared" ref="E165:O165" si="202">SUM(E166,E171)</f>
        <v>0</v>
      </c>
      <c r="F165" s="72">
        <f t="shared" si="202"/>
        <v>0</v>
      </c>
      <c r="G165" s="183">
        <f t="shared" si="202"/>
        <v>0</v>
      </c>
      <c r="H165" s="1263">
        <f t="shared" si="202"/>
        <v>0</v>
      </c>
      <c r="I165" s="1330">
        <f t="shared" si="202"/>
        <v>0</v>
      </c>
      <c r="J165" s="1263">
        <f t="shared" si="202"/>
        <v>0</v>
      </c>
      <c r="K165" s="184">
        <f t="shared" si="202"/>
        <v>0</v>
      </c>
      <c r="L165" s="72">
        <f t="shared" si="202"/>
        <v>0</v>
      </c>
      <c r="M165" s="1331">
        <f t="shared" si="202"/>
        <v>0</v>
      </c>
      <c r="N165" s="219">
        <f t="shared" si="202"/>
        <v>0</v>
      </c>
      <c r="O165" s="1332">
        <f t="shared" si="202"/>
        <v>0</v>
      </c>
      <c r="P165" s="1333"/>
    </row>
    <row r="166" spans="1:16" ht="16.5" hidden="1" customHeight="1" x14ac:dyDescent="0.25">
      <c r="A166" s="1212">
        <v>2510</v>
      </c>
      <c r="B166" s="81" t="s">
        <v>1734</v>
      </c>
      <c r="C166" s="1264">
        <f t="shared" si="185"/>
        <v>0</v>
      </c>
      <c r="D166" s="192">
        <f>SUM(D167:D170)</f>
        <v>0</v>
      </c>
      <c r="E166" s="193">
        <f t="shared" ref="E166:O166" si="203">SUM(E167:E170)</f>
        <v>0</v>
      </c>
      <c r="F166" s="133">
        <f t="shared" si="203"/>
        <v>0</v>
      </c>
      <c r="G166" s="192">
        <f t="shared" si="203"/>
        <v>0</v>
      </c>
      <c r="H166" s="1357">
        <f t="shared" si="203"/>
        <v>0</v>
      </c>
      <c r="I166" s="1337">
        <f t="shared" si="203"/>
        <v>0</v>
      </c>
      <c r="J166" s="1357">
        <f t="shared" si="203"/>
        <v>0</v>
      </c>
      <c r="K166" s="193">
        <f t="shared" si="203"/>
        <v>0</v>
      </c>
      <c r="L166" s="133">
        <f t="shared" si="203"/>
        <v>0</v>
      </c>
      <c r="M166" s="1276">
        <f t="shared" si="203"/>
        <v>0</v>
      </c>
      <c r="N166" s="1373">
        <f t="shared" si="203"/>
        <v>0</v>
      </c>
      <c r="O166" s="1374">
        <f t="shared" si="203"/>
        <v>0</v>
      </c>
      <c r="P166" s="1375"/>
    </row>
    <row r="167" spans="1:16" ht="24" hidden="1" x14ac:dyDescent="0.25">
      <c r="A167" s="51">
        <v>2512</v>
      </c>
      <c r="B167" s="88" t="s">
        <v>184</v>
      </c>
      <c r="C167" s="1270">
        <f t="shared" si="185"/>
        <v>0</v>
      </c>
      <c r="D167" s="194"/>
      <c r="E167" s="195"/>
      <c r="F167" s="55">
        <f t="shared" ref="F167:F172" si="204">D167+E167</f>
        <v>0</v>
      </c>
      <c r="G167" s="194"/>
      <c r="H167" s="1273"/>
      <c r="I167" s="1340">
        <f t="shared" ref="I167:I172" si="205">G167+H167</f>
        <v>0</v>
      </c>
      <c r="J167" s="1273"/>
      <c r="K167" s="195"/>
      <c r="L167" s="55">
        <f t="shared" ref="L167:L172" si="206">J167+K167</f>
        <v>0</v>
      </c>
      <c r="M167" s="1341"/>
      <c r="N167" s="195"/>
      <c r="O167" s="1340">
        <f t="shared" ref="O167:O172" si="207">M167+N167</f>
        <v>0</v>
      </c>
      <c r="P167" s="1343"/>
    </row>
    <row r="168" spans="1:16" ht="36" hidden="1" x14ac:dyDescent="0.25">
      <c r="A168" s="51">
        <v>2513</v>
      </c>
      <c r="B168" s="88" t="s">
        <v>185</v>
      </c>
      <c r="C168" s="1270">
        <f t="shared" si="185"/>
        <v>0</v>
      </c>
      <c r="D168" s="194"/>
      <c r="E168" s="195"/>
      <c r="F168" s="55">
        <f t="shared" si="204"/>
        <v>0</v>
      </c>
      <c r="G168" s="194"/>
      <c r="H168" s="1273"/>
      <c r="I168" s="1340">
        <f t="shared" si="205"/>
        <v>0</v>
      </c>
      <c r="J168" s="1273"/>
      <c r="K168" s="195"/>
      <c r="L168" s="55">
        <f t="shared" si="206"/>
        <v>0</v>
      </c>
      <c r="M168" s="1341"/>
      <c r="N168" s="195"/>
      <c r="O168" s="1340">
        <f t="shared" si="207"/>
        <v>0</v>
      </c>
      <c r="P168" s="1343"/>
    </row>
    <row r="169" spans="1:16" ht="24" hidden="1" x14ac:dyDescent="0.25">
      <c r="A169" s="51">
        <v>2515</v>
      </c>
      <c r="B169" s="88" t="s">
        <v>186</v>
      </c>
      <c r="C169" s="1270">
        <f t="shared" si="185"/>
        <v>0</v>
      </c>
      <c r="D169" s="194"/>
      <c r="E169" s="195"/>
      <c r="F169" s="55">
        <f t="shared" si="204"/>
        <v>0</v>
      </c>
      <c r="G169" s="194"/>
      <c r="H169" s="1273"/>
      <c r="I169" s="1340">
        <f t="shared" si="205"/>
        <v>0</v>
      </c>
      <c r="J169" s="1273"/>
      <c r="K169" s="195"/>
      <c r="L169" s="55">
        <f t="shared" si="206"/>
        <v>0</v>
      </c>
      <c r="M169" s="1341"/>
      <c r="N169" s="195"/>
      <c r="O169" s="1340">
        <f t="shared" si="207"/>
        <v>0</v>
      </c>
      <c r="P169" s="1343"/>
    </row>
    <row r="170" spans="1:16" ht="24" hidden="1" x14ac:dyDescent="0.25">
      <c r="A170" s="51">
        <v>2519</v>
      </c>
      <c r="B170" s="88" t="s">
        <v>187</v>
      </c>
      <c r="C170" s="1270">
        <f t="shared" si="185"/>
        <v>0</v>
      </c>
      <c r="D170" s="194"/>
      <c r="E170" s="195"/>
      <c r="F170" s="55">
        <f t="shared" si="204"/>
        <v>0</v>
      </c>
      <c r="G170" s="194"/>
      <c r="H170" s="1273"/>
      <c r="I170" s="1340">
        <f t="shared" si="205"/>
        <v>0</v>
      </c>
      <c r="J170" s="1273"/>
      <c r="K170" s="195"/>
      <c r="L170" s="55">
        <f t="shared" si="206"/>
        <v>0</v>
      </c>
      <c r="M170" s="1341"/>
      <c r="N170" s="195"/>
      <c r="O170" s="1340">
        <f t="shared" si="207"/>
        <v>0</v>
      </c>
      <c r="P170" s="1343"/>
    </row>
    <row r="171" spans="1:16" ht="24" hidden="1" x14ac:dyDescent="0.25">
      <c r="A171" s="188">
        <v>2520</v>
      </c>
      <c r="B171" s="88" t="s">
        <v>1735</v>
      </c>
      <c r="C171" s="1270">
        <f t="shared" si="185"/>
        <v>0</v>
      </c>
      <c r="D171" s="194"/>
      <c r="E171" s="195"/>
      <c r="F171" s="55">
        <f t="shared" si="204"/>
        <v>0</v>
      </c>
      <c r="G171" s="194"/>
      <c r="H171" s="1273"/>
      <c r="I171" s="1340">
        <f t="shared" si="205"/>
        <v>0</v>
      </c>
      <c r="J171" s="1273"/>
      <c r="K171" s="195"/>
      <c r="L171" s="55">
        <f t="shared" si="206"/>
        <v>0</v>
      </c>
      <c r="M171" s="1341"/>
      <c r="N171" s="195"/>
      <c r="O171" s="1340">
        <f t="shared" si="207"/>
        <v>0</v>
      </c>
      <c r="P171" s="1343"/>
    </row>
    <row r="172" spans="1:16" s="206" customFormat="1" ht="36" hidden="1" customHeight="1" x14ac:dyDescent="0.25">
      <c r="A172" s="23">
        <v>2800</v>
      </c>
      <c r="B172" s="81" t="s">
        <v>189</v>
      </c>
      <c r="C172" s="1264">
        <f t="shared" si="185"/>
        <v>0</v>
      </c>
      <c r="D172" s="46"/>
      <c r="E172" s="47"/>
      <c r="F172" s="48">
        <f t="shared" si="204"/>
        <v>0</v>
      </c>
      <c r="G172" s="46"/>
      <c r="H172" s="1240"/>
      <c r="I172" s="1241">
        <f t="shared" si="205"/>
        <v>0</v>
      </c>
      <c r="J172" s="1240"/>
      <c r="K172" s="47"/>
      <c r="L172" s="48">
        <f t="shared" si="206"/>
        <v>0</v>
      </c>
      <c r="M172" s="1242"/>
      <c r="N172" s="47"/>
      <c r="O172" s="1241">
        <f t="shared" si="207"/>
        <v>0</v>
      </c>
      <c r="P172" s="1243"/>
    </row>
    <row r="173" spans="1:16" hidden="1" x14ac:dyDescent="0.25">
      <c r="A173" s="176">
        <v>3000</v>
      </c>
      <c r="B173" s="176" t="s">
        <v>190</v>
      </c>
      <c r="C173" s="1326">
        <f t="shared" si="185"/>
        <v>0</v>
      </c>
      <c r="D173" s="178">
        <f>SUM(D174,D184)</f>
        <v>0</v>
      </c>
      <c r="E173" s="179">
        <f t="shared" ref="E173:F173" si="208">SUM(E174,E184)</f>
        <v>0</v>
      </c>
      <c r="F173" s="180">
        <f t="shared" si="208"/>
        <v>0</v>
      </c>
      <c r="G173" s="178">
        <f>SUM(G174,G184)</f>
        <v>0</v>
      </c>
      <c r="H173" s="1327">
        <f t="shared" ref="H173:I173" si="209">SUM(H174,H184)</f>
        <v>0</v>
      </c>
      <c r="I173" s="1328">
        <f t="shared" si="209"/>
        <v>0</v>
      </c>
      <c r="J173" s="1327">
        <f>SUM(J174,J184)</f>
        <v>0</v>
      </c>
      <c r="K173" s="179">
        <f t="shared" ref="K173:L173" si="210">SUM(K174,K184)</f>
        <v>0</v>
      </c>
      <c r="L173" s="180">
        <f t="shared" si="210"/>
        <v>0</v>
      </c>
      <c r="M173" s="1326">
        <f>SUM(M174,M184)</f>
        <v>0</v>
      </c>
      <c r="N173" s="179">
        <f t="shared" ref="N173:O173" si="211">SUM(N174,N184)</f>
        <v>0</v>
      </c>
      <c r="O173" s="1328">
        <f t="shared" si="211"/>
        <v>0</v>
      </c>
      <c r="P173" s="1329"/>
    </row>
    <row r="174" spans="1:16" ht="24" hidden="1" x14ac:dyDescent="0.25">
      <c r="A174" s="68">
        <v>3200</v>
      </c>
      <c r="B174" s="207" t="s">
        <v>191</v>
      </c>
      <c r="C174" s="1258">
        <f t="shared" si="185"/>
        <v>0</v>
      </c>
      <c r="D174" s="183">
        <f>SUM(D175,D179)</f>
        <v>0</v>
      </c>
      <c r="E174" s="184">
        <f t="shared" ref="E174:O174" si="212">SUM(E175,E179)</f>
        <v>0</v>
      </c>
      <c r="F174" s="72">
        <f t="shared" si="212"/>
        <v>0</v>
      </c>
      <c r="G174" s="183">
        <f t="shared" si="212"/>
        <v>0</v>
      </c>
      <c r="H174" s="1263">
        <f t="shared" si="212"/>
        <v>0</v>
      </c>
      <c r="I174" s="1330">
        <f t="shared" si="212"/>
        <v>0</v>
      </c>
      <c r="J174" s="1263">
        <f t="shared" si="212"/>
        <v>0</v>
      </c>
      <c r="K174" s="184">
        <f t="shared" si="212"/>
        <v>0</v>
      </c>
      <c r="L174" s="72">
        <f t="shared" si="212"/>
        <v>0</v>
      </c>
      <c r="M174" s="1331">
        <f t="shared" si="212"/>
        <v>0</v>
      </c>
      <c r="N174" s="219">
        <f t="shared" si="212"/>
        <v>0</v>
      </c>
      <c r="O174" s="1332">
        <f t="shared" si="212"/>
        <v>0</v>
      </c>
      <c r="P174" s="1333"/>
    </row>
    <row r="175" spans="1:16" ht="36" hidden="1" x14ac:dyDescent="0.25">
      <c r="A175" s="1212">
        <v>3260</v>
      </c>
      <c r="B175" s="81" t="s">
        <v>192</v>
      </c>
      <c r="C175" s="1264">
        <f t="shared" si="185"/>
        <v>0</v>
      </c>
      <c r="D175" s="192">
        <f>SUM(D176:D178)</f>
        <v>0</v>
      </c>
      <c r="E175" s="193">
        <f t="shared" ref="E175:F175" si="213">SUM(E176:E178)</f>
        <v>0</v>
      </c>
      <c r="F175" s="133">
        <f t="shared" si="213"/>
        <v>0</v>
      </c>
      <c r="G175" s="192">
        <f>SUM(G176:G178)</f>
        <v>0</v>
      </c>
      <c r="H175" s="1357">
        <f t="shared" ref="H175:I175" si="214">SUM(H176:H178)</f>
        <v>0</v>
      </c>
      <c r="I175" s="1337">
        <f t="shared" si="214"/>
        <v>0</v>
      </c>
      <c r="J175" s="1357">
        <f>SUM(J176:J178)</f>
        <v>0</v>
      </c>
      <c r="K175" s="193">
        <f t="shared" ref="K175:L175" si="215">SUM(K176:K178)</f>
        <v>0</v>
      </c>
      <c r="L175" s="133">
        <f t="shared" si="215"/>
        <v>0</v>
      </c>
      <c r="M175" s="1264">
        <f>SUM(M176:M178)</f>
        <v>0</v>
      </c>
      <c r="N175" s="193">
        <f t="shared" ref="N175:O175" si="216">SUM(N176:N178)</f>
        <v>0</v>
      </c>
      <c r="O175" s="1337">
        <f t="shared" si="216"/>
        <v>0</v>
      </c>
      <c r="P175" s="1339"/>
    </row>
    <row r="176" spans="1:16" ht="24" hidden="1" x14ac:dyDescent="0.25">
      <c r="A176" s="51">
        <v>3261</v>
      </c>
      <c r="B176" s="88" t="s">
        <v>193</v>
      </c>
      <c r="C176" s="1270">
        <f t="shared" si="185"/>
        <v>0</v>
      </c>
      <c r="D176" s="194"/>
      <c r="E176" s="195"/>
      <c r="F176" s="55">
        <f t="shared" ref="F176:F178" si="217">D176+E176</f>
        <v>0</v>
      </c>
      <c r="G176" s="194"/>
      <c r="H176" s="1273"/>
      <c r="I176" s="1340">
        <f t="shared" ref="I176:I178" si="218">G176+H176</f>
        <v>0</v>
      </c>
      <c r="J176" s="1273"/>
      <c r="K176" s="195"/>
      <c r="L176" s="55">
        <f t="shared" ref="L176:L178" si="219">J176+K176</f>
        <v>0</v>
      </c>
      <c r="M176" s="1341"/>
      <c r="N176" s="195"/>
      <c r="O176" s="1340">
        <f t="shared" ref="O176:O178" si="220">M176+N176</f>
        <v>0</v>
      </c>
      <c r="P176" s="1343"/>
    </row>
    <row r="177" spans="1:16" ht="36" hidden="1" x14ac:dyDescent="0.25">
      <c r="A177" s="51">
        <v>3262</v>
      </c>
      <c r="B177" s="88" t="s">
        <v>194</v>
      </c>
      <c r="C177" s="1270">
        <f t="shared" si="185"/>
        <v>0</v>
      </c>
      <c r="D177" s="194"/>
      <c r="E177" s="195"/>
      <c r="F177" s="55">
        <f t="shared" si="217"/>
        <v>0</v>
      </c>
      <c r="G177" s="194"/>
      <c r="H177" s="1273"/>
      <c r="I177" s="1340">
        <f t="shared" si="218"/>
        <v>0</v>
      </c>
      <c r="J177" s="1273"/>
      <c r="K177" s="195"/>
      <c r="L177" s="55">
        <f t="shared" si="219"/>
        <v>0</v>
      </c>
      <c r="M177" s="1341"/>
      <c r="N177" s="195"/>
      <c r="O177" s="1340">
        <f t="shared" si="220"/>
        <v>0</v>
      </c>
      <c r="P177" s="1343"/>
    </row>
    <row r="178" spans="1:16" ht="24" hidden="1" x14ac:dyDescent="0.25">
      <c r="A178" s="51">
        <v>3263</v>
      </c>
      <c r="B178" s="88" t="s">
        <v>195</v>
      </c>
      <c r="C178" s="1270">
        <f t="shared" si="185"/>
        <v>0</v>
      </c>
      <c r="D178" s="194"/>
      <c r="E178" s="195"/>
      <c r="F178" s="55">
        <f t="shared" si="217"/>
        <v>0</v>
      </c>
      <c r="G178" s="194"/>
      <c r="H178" s="1273"/>
      <c r="I178" s="1340">
        <f t="shared" si="218"/>
        <v>0</v>
      </c>
      <c r="J178" s="1273"/>
      <c r="K178" s="195"/>
      <c r="L178" s="55">
        <f t="shared" si="219"/>
        <v>0</v>
      </c>
      <c r="M178" s="1341"/>
      <c r="N178" s="195"/>
      <c r="O178" s="1340">
        <f t="shared" si="220"/>
        <v>0</v>
      </c>
      <c r="P178" s="1343"/>
    </row>
    <row r="179" spans="1:16" ht="84" hidden="1" x14ac:dyDescent="0.25">
      <c r="A179" s="1212">
        <v>3290</v>
      </c>
      <c r="B179" s="81" t="s">
        <v>196</v>
      </c>
      <c r="C179" s="1376">
        <f t="shared" si="185"/>
        <v>0</v>
      </c>
      <c r="D179" s="192">
        <f>SUM(D180:D183)</f>
        <v>0</v>
      </c>
      <c r="E179" s="193">
        <f t="shared" ref="E179:O179" si="221">SUM(E180:E183)</f>
        <v>0</v>
      </c>
      <c r="F179" s="133">
        <f t="shared" si="221"/>
        <v>0</v>
      </c>
      <c r="G179" s="192">
        <f t="shared" si="221"/>
        <v>0</v>
      </c>
      <c r="H179" s="1357">
        <f t="shared" si="221"/>
        <v>0</v>
      </c>
      <c r="I179" s="1337">
        <f t="shared" si="221"/>
        <v>0</v>
      </c>
      <c r="J179" s="1357">
        <f t="shared" si="221"/>
        <v>0</v>
      </c>
      <c r="K179" s="193">
        <f t="shared" si="221"/>
        <v>0</v>
      </c>
      <c r="L179" s="133">
        <f t="shared" si="221"/>
        <v>0</v>
      </c>
      <c r="M179" s="1376">
        <f t="shared" si="221"/>
        <v>0</v>
      </c>
      <c r="N179" s="1377">
        <f t="shared" si="221"/>
        <v>0</v>
      </c>
      <c r="O179" s="1378">
        <f t="shared" si="221"/>
        <v>0</v>
      </c>
      <c r="P179" s="1379"/>
    </row>
    <row r="180" spans="1:16" ht="72" hidden="1" x14ac:dyDescent="0.25">
      <c r="A180" s="51">
        <v>3291</v>
      </c>
      <c r="B180" s="88" t="s">
        <v>197</v>
      </c>
      <c r="C180" s="1270">
        <f t="shared" si="185"/>
        <v>0</v>
      </c>
      <c r="D180" s="194"/>
      <c r="E180" s="195"/>
      <c r="F180" s="55">
        <f t="shared" ref="F180:F183" si="222">D180+E180</f>
        <v>0</v>
      </c>
      <c r="G180" s="194"/>
      <c r="H180" s="1273"/>
      <c r="I180" s="1340">
        <f t="shared" ref="I180:I183" si="223">G180+H180</f>
        <v>0</v>
      </c>
      <c r="J180" s="1273"/>
      <c r="K180" s="195"/>
      <c r="L180" s="55">
        <f t="shared" ref="L180:L183" si="224">J180+K180</f>
        <v>0</v>
      </c>
      <c r="M180" s="1341"/>
      <c r="N180" s="195"/>
      <c r="O180" s="1340">
        <f t="shared" ref="O180:O183" si="225">M180+N180</f>
        <v>0</v>
      </c>
      <c r="P180" s="1343"/>
    </row>
    <row r="181" spans="1:16" ht="72" hidden="1" x14ac:dyDescent="0.25">
      <c r="A181" s="51">
        <v>3292</v>
      </c>
      <c r="B181" s="88" t="s">
        <v>198</v>
      </c>
      <c r="C181" s="1270">
        <f t="shared" si="185"/>
        <v>0</v>
      </c>
      <c r="D181" s="194"/>
      <c r="E181" s="195"/>
      <c r="F181" s="55">
        <f t="shared" si="222"/>
        <v>0</v>
      </c>
      <c r="G181" s="194"/>
      <c r="H181" s="1273"/>
      <c r="I181" s="1340">
        <f t="shared" si="223"/>
        <v>0</v>
      </c>
      <c r="J181" s="1273"/>
      <c r="K181" s="195"/>
      <c r="L181" s="55">
        <f t="shared" si="224"/>
        <v>0</v>
      </c>
      <c r="M181" s="1341"/>
      <c r="N181" s="195"/>
      <c r="O181" s="1340">
        <f t="shared" si="225"/>
        <v>0</v>
      </c>
      <c r="P181" s="1343"/>
    </row>
    <row r="182" spans="1:16" ht="72" hidden="1" x14ac:dyDescent="0.25">
      <c r="A182" s="51">
        <v>3293</v>
      </c>
      <c r="B182" s="88" t="s">
        <v>199</v>
      </c>
      <c r="C182" s="1270">
        <f t="shared" si="185"/>
        <v>0</v>
      </c>
      <c r="D182" s="194"/>
      <c r="E182" s="195"/>
      <c r="F182" s="55">
        <f t="shared" si="222"/>
        <v>0</v>
      </c>
      <c r="G182" s="194"/>
      <c r="H182" s="1273"/>
      <c r="I182" s="1340">
        <f t="shared" si="223"/>
        <v>0</v>
      </c>
      <c r="J182" s="1273"/>
      <c r="K182" s="195"/>
      <c r="L182" s="55">
        <f t="shared" si="224"/>
        <v>0</v>
      </c>
      <c r="M182" s="1341"/>
      <c r="N182" s="195"/>
      <c r="O182" s="1340">
        <f t="shared" si="225"/>
        <v>0</v>
      </c>
      <c r="P182" s="1343"/>
    </row>
    <row r="183" spans="1:16" ht="60" hidden="1" x14ac:dyDescent="0.25">
      <c r="A183" s="209">
        <v>3294</v>
      </c>
      <c r="B183" s="88" t="s">
        <v>200</v>
      </c>
      <c r="C183" s="1376">
        <f t="shared" si="185"/>
        <v>0</v>
      </c>
      <c r="D183" s="210"/>
      <c r="E183" s="211"/>
      <c r="F183" s="212">
        <f t="shared" si="222"/>
        <v>0</v>
      </c>
      <c r="G183" s="210"/>
      <c r="H183" s="1380"/>
      <c r="I183" s="1378">
        <f t="shared" si="223"/>
        <v>0</v>
      </c>
      <c r="J183" s="1380"/>
      <c r="K183" s="211"/>
      <c r="L183" s="212">
        <f t="shared" si="224"/>
        <v>0</v>
      </c>
      <c r="M183" s="1381"/>
      <c r="N183" s="211"/>
      <c r="O183" s="1378">
        <f t="shared" si="225"/>
        <v>0</v>
      </c>
      <c r="P183" s="1379"/>
    </row>
    <row r="184" spans="1:16" ht="48" hidden="1" x14ac:dyDescent="0.25">
      <c r="A184" s="216">
        <v>3300</v>
      </c>
      <c r="B184" s="207" t="s">
        <v>201</v>
      </c>
      <c r="C184" s="1331">
        <f t="shared" si="185"/>
        <v>0</v>
      </c>
      <c r="D184" s="218">
        <f>SUM(D185:D186)</f>
        <v>0</v>
      </c>
      <c r="E184" s="219">
        <f t="shared" ref="E184:O184" si="226">SUM(E185:E186)</f>
        <v>0</v>
      </c>
      <c r="F184" s="220">
        <f t="shared" si="226"/>
        <v>0</v>
      </c>
      <c r="G184" s="218">
        <f t="shared" si="226"/>
        <v>0</v>
      </c>
      <c r="H184" s="1382">
        <f t="shared" si="226"/>
        <v>0</v>
      </c>
      <c r="I184" s="1332">
        <f t="shared" si="226"/>
        <v>0</v>
      </c>
      <c r="J184" s="1382">
        <f t="shared" si="226"/>
        <v>0</v>
      </c>
      <c r="K184" s="219">
        <f t="shared" si="226"/>
        <v>0</v>
      </c>
      <c r="L184" s="220">
        <f t="shared" si="226"/>
        <v>0</v>
      </c>
      <c r="M184" s="1331">
        <f t="shared" si="226"/>
        <v>0</v>
      </c>
      <c r="N184" s="219">
        <f t="shared" si="226"/>
        <v>0</v>
      </c>
      <c r="O184" s="1332">
        <f t="shared" si="226"/>
        <v>0</v>
      </c>
      <c r="P184" s="1333"/>
    </row>
    <row r="185" spans="1:16" ht="48" hidden="1" x14ac:dyDescent="0.25">
      <c r="A185" s="136">
        <v>3310</v>
      </c>
      <c r="B185" s="137" t="s">
        <v>202</v>
      </c>
      <c r="C185" s="1304">
        <f t="shared" si="185"/>
        <v>0</v>
      </c>
      <c r="D185" s="202"/>
      <c r="E185" s="203"/>
      <c r="F185" s="140">
        <f t="shared" ref="F185:F186" si="227">D185+E185</f>
        <v>0</v>
      </c>
      <c r="G185" s="202"/>
      <c r="H185" s="1369"/>
      <c r="I185" s="1335">
        <f t="shared" ref="I185:I186" si="228">G185+H185</f>
        <v>0</v>
      </c>
      <c r="J185" s="1369"/>
      <c r="K185" s="203"/>
      <c r="L185" s="140">
        <f t="shared" ref="L185:L186" si="229">J185+K185</f>
        <v>0</v>
      </c>
      <c r="M185" s="1370"/>
      <c r="N185" s="203"/>
      <c r="O185" s="1335">
        <f t="shared" ref="O185:O186" si="230">M185+N185</f>
        <v>0</v>
      </c>
      <c r="P185" s="1336"/>
    </row>
    <row r="186" spans="1:16" ht="48.75" hidden="1" customHeight="1" x14ac:dyDescent="0.25">
      <c r="A186" s="44">
        <v>3320</v>
      </c>
      <c r="B186" s="81" t="s">
        <v>203</v>
      </c>
      <c r="C186" s="1264">
        <f t="shared" si="185"/>
        <v>0</v>
      </c>
      <c r="D186" s="196"/>
      <c r="E186" s="197"/>
      <c r="F186" s="133">
        <f t="shared" si="227"/>
        <v>0</v>
      </c>
      <c r="G186" s="196"/>
      <c r="H186" s="1267"/>
      <c r="I186" s="1337">
        <f t="shared" si="228"/>
        <v>0</v>
      </c>
      <c r="J186" s="1267"/>
      <c r="K186" s="197"/>
      <c r="L186" s="133">
        <f t="shared" si="229"/>
        <v>0</v>
      </c>
      <c r="M186" s="1338"/>
      <c r="N186" s="197"/>
      <c r="O186" s="1337">
        <f t="shared" si="230"/>
        <v>0</v>
      </c>
      <c r="P186" s="1339"/>
    </row>
    <row r="187" spans="1:16" hidden="1" x14ac:dyDescent="0.25">
      <c r="A187" s="222">
        <v>4000</v>
      </c>
      <c r="B187" s="176" t="s">
        <v>204</v>
      </c>
      <c r="C187" s="1326">
        <f t="shared" si="185"/>
        <v>0</v>
      </c>
      <c r="D187" s="178">
        <f>SUM(D188,D191)</f>
        <v>0</v>
      </c>
      <c r="E187" s="179">
        <f t="shared" ref="E187:F187" si="231">SUM(E188,E191)</f>
        <v>0</v>
      </c>
      <c r="F187" s="180">
        <f t="shared" si="231"/>
        <v>0</v>
      </c>
      <c r="G187" s="178">
        <f>SUM(G188,G191)</f>
        <v>0</v>
      </c>
      <c r="H187" s="1327">
        <f t="shared" ref="H187:I187" si="232">SUM(H188,H191)</f>
        <v>0</v>
      </c>
      <c r="I187" s="1328">
        <f t="shared" si="232"/>
        <v>0</v>
      </c>
      <c r="J187" s="1327">
        <f>SUM(J188,J191)</f>
        <v>0</v>
      </c>
      <c r="K187" s="179">
        <f t="shared" ref="K187:L187" si="233">SUM(K188,K191)</f>
        <v>0</v>
      </c>
      <c r="L187" s="180">
        <f t="shared" si="233"/>
        <v>0</v>
      </c>
      <c r="M187" s="1326">
        <f>SUM(M188,M191)</f>
        <v>0</v>
      </c>
      <c r="N187" s="179">
        <f t="shared" ref="N187:O187" si="234">SUM(N188,N191)</f>
        <v>0</v>
      </c>
      <c r="O187" s="1328">
        <f t="shared" si="234"/>
        <v>0</v>
      </c>
      <c r="P187" s="1329"/>
    </row>
    <row r="188" spans="1:16" ht="24" hidden="1" x14ac:dyDescent="0.25">
      <c r="A188" s="223">
        <v>4200</v>
      </c>
      <c r="B188" s="182" t="s">
        <v>205</v>
      </c>
      <c r="C188" s="1258">
        <f t="shared" si="185"/>
        <v>0</v>
      </c>
      <c r="D188" s="183">
        <f>SUM(D189,D190)</f>
        <v>0</v>
      </c>
      <c r="E188" s="184">
        <f t="shared" ref="E188:F188" si="235">SUM(E189,E190)</f>
        <v>0</v>
      </c>
      <c r="F188" s="72">
        <f t="shared" si="235"/>
        <v>0</v>
      </c>
      <c r="G188" s="183">
        <f>SUM(G189,G190)</f>
        <v>0</v>
      </c>
      <c r="H188" s="1263">
        <f t="shared" ref="H188:I188" si="236">SUM(H189,H190)</f>
        <v>0</v>
      </c>
      <c r="I188" s="1330">
        <f t="shared" si="236"/>
        <v>0</v>
      </c>
      <c r="J188" s="1263">
        <f>SUM(J189,J190)</f>
        <v>0</v>
      </c>
      <c r="K188" s="184">
        <f t="shared" ref="K188:L188" si="237">SUM(K189,K190)</f>
        <v>0</v>
      </c>
      <c r="L188" s="72">
        <f t="shared" si="237"/>
        <v>0</v>
      </c>
      <c r="M188" s="1258">
        <f>SUM(M189,M190)</f>
        <v>0</v>
      </c>
      <c r="N188" s="184">
        <f t="shared" ref="N188:O188" si="238">SUM(N189,N190)</f>
        <v>0</v>
      </c>
      <c r="O188" s="1330">
        <f t="shared" si="238"/>
        <v>0</v>
      </c>
      <c r="P188" s="1356"/>
    </row>
    <row r="189" spans="1:16" ht="36" hidden="1" x14ac:dyDescent="0.25">
      <c r="A189" s="1212">
        <v>4240</v>
      </c>
      <c r="B189" s="81" t="s">
        <v>206</v>
      </c>
      <c r="C189" s="1264">
        <f t="shared" si="185"/>
        <v>0</v>
      </c>
      <c r="D189" s="196"/>
      <c r="E189" s="197"/>
      <c r="F189" s="133">
        <f t="shared" ref="F189:F190" si="239">D189+E189</f>
        <v>0</v>
      </c>
      <c r="G189" s="196"/>
      <c r="H189" s="1267"/>
      <c r="I189" s="1337">
        <f t="shared" ref="I189:I190" si="240">G189+H189</f>
        <v>0</v>
      </c>
      <c r="J189" s="1267"/>
      <c r="K189" s="197"/>
      <c r="L189" s="133">
        <f t="shared" ref="L189:L190" si="241">J189+K189</f>
        <v>0</v>
      </c>
      <c r="M189" s="1338"/>
      <c r="N189" s="197"/>
      <c r="O189" s="1337">
        <f t="shared" ref="O189:O190" si="242">M189+N189</f>
        <v>0</v>
      </c>
      <c r="P189" s="1339"/>
    </row>
    <row r="190" spans="1:16" ht="24" hidden="1" x14ac:dyDescent="0.25">
      <c r="A190" s="188">
        <v>4250</v>
      </c>
      <c r="B190" s="88" t="s">
        <v>207</v>
      </c>
      <c r="C190" s="1270">
        <f t="shared" si="185"/>
        <v>0</v>
      </c>
      <c r="D190" s="194"/>
      <c r="E190" s="195"/>
      <c r="F190" s="55">
        <f t="shared" si="239"/>
        <v>0</v>
      </c>
      <c r="G190" s="194"/>
      <c r="H190" s="1273"/>
      <c r="I190" s="1340">
        <f t="shared" si="240"/>
        <v>0</v>
      </c>
      <c r="J190" s="1273"/>
      <c r="K190" s="195"/>
      <c r="L190" s="55">
        <f t="shared" si="241"/>
        <v>0</v>
      </c>
      <c r="M190" s="1341"/>
      <c r="N190" s="195"/>
      <c r="O190" s="1340">
        <f t="shared" si="242"/>
        <v>0</v>
      </c>
      <c r="P190" s="1343"/>
    </row>
    <row r="191" spans="1:16" hidden="1" x14ac:dyDescent="0.25">
      <c r="A191" s="68">
        <v>4300</v>
      </c>
      <c r="B191" s="182" t="s">
        <v>208</v>
      </c>
      <c r="C191" s="1258">
        <f t="shared" si="185"/>
        <v>0</v>
      </c>
      <c r="D191" s="183">
        <f>SUM(D192)</f>
        <v>0</v>
      </c>
      <c r="E191" s="184">
        <f t="shared" ref="E191:F191" si="243">SUM(E192)</f>
        <v>0</v>
      </c>
      <c r="F191" s="72">
        <f t="shared" si="243"/>
        <v>0</v>
      </c>
      <c r="G191" s="183">
        <f>SUM(G192)</f>
        <v>0</v>
      </c>
      <c r="H191" s="1263">
        <f t="shared" ref="H191:I191" si="244">SUM(H192)</f>
        <v>0</v>
      </c>
      <c r="I191" s="1330">
        <f t="shared" si="244"/>
        <v>0</v>
      </c>
      <c r="J191" s="1263">
        <f>SUM(J192)</f>
        <v>0</v>
      </c>
      <c r="K191" s="184">
        <f t="shared" ref="K191:L191" si="245">SUM(K192)</f>
        <v>0</v>
      </c>
      <c r="L191" s="72">
        <f t="shared" si="245"/>
        <v>0</v>
      </c>
      <c r="M191" s="1258">
        <f>SUM(M192)</f>
        <v>0</v>
      </c>
      <c r="N191" s="184">
        <f t="shared" ref="N191:O191" si="246">SUM(N192)</f>
        <v>0</v>
      </c>
      <c r="O191" s="1330">
        <f t="shared" si="246"/>
        <v>0</v>
      </c>
      <c r="P191" s="1356"/>
    </row>
    <row r="192" spans="1:16" ht="24" hidden="1" x14ac:dyDescent="0.25">
      <c r="A192" s="1212">
        <v>4310</v>
      </c>
      <c r="B192" s="81" t="s">
        <v>209</v>
      </c>
      <c r="C192" s="1264">
        <f t="shared" si="185"/>
        <v>0</v>
      </c>
      <c r="D192" s="192">
        <f>SUM(D193:D193)</f>
        <v>0</v>
      </c>
      <c r="E192" s="193">
        <f t="shared" ref="E192:F192" si="247">SUM(E193:E193)</f>
        <v>0</v>
      </c>
      <c r="F192" s="133">
        <f t="shared" si="247"/>
        <v>0</v>
      </c>
      <c r="G192" s="192">
        <f>SUM(G193:G193)</f>
        <v>0</v>
      </c>
      <c r="H192" s="1357">
        <f t="shared" ref="H192:I192" si="248">SUM(H193:H193)</f>
        <v>0</v>
      </c>
      <c r="I192" s="1337">
        <f t="shared" si="248"/>
        <v>0</v>
      </c>
      <c r="J192" s="1357">
        <f>SUM(J193:J193)</f>
        <v>0</v>
      </c>
      <c r="K192" s="193">
        <f t="shared" ref="K192:L192" si="249">SUM(K193:K193)</f>
        <v>0</v>
      </c>
      <c r="L192" s="133">
        <f t="shared" si="249"/>
        <v>0</v>
      </c>
      <c r="M192" s="1264">
        <f>SUM(M193:M193)</f>
        <v>0</v>
      </c>
      <c r="N192" s="193">
        <f t="shared" ref="N192:O192" si="250">SUM(N193:N193)</f>
        <v>0</v>
      </c>
      <c r="O192" s="1337">
        <f t="shared" si="250"/>
        <v>0</v>
      </c>
      <c r="P192" s="1339"/>
    </row>
    <row r="193" spans="1:16" ht="36" hidden="1" x14ac:dyDescent="0.25">
      <c r="A193" s="51">
        <v>4311</v>
      </c>
      <c r="B193" s="88" t="s">
        <v>210</v>
      </c>
      <c r="C193" s="1270">
        <f t="shared" si="185"/>
        <v>0</v>
      </c>
      <c r="D193" s="194"/>
      <c r="E193" s="195"/>
      <c r="F193" s="55">
        <f>D193+E193</f>
        <v>0</v>
      </c>
      <c r="G193" s="194"/>
      <c r="H193" s="1273"/>
      <c r="I193" s="1340">
        <f>G193+H193</f>
        <v>0</v>
      </c>
      <c r="J193" s="1273"/>
      <c r="K193" s="195"/>
      <c r="L193" s="55">
        <f>J193+K193</f>
        <v>0</v>
      </c>
      <c r="M193" s="1341"/>
      <c r="N193" s="195"/>
      <c r="O193" s="1340">
        <f>M193+N193</f>
        <v>0</v>
      </c>
      <c r="P193" s="1343"/>
    </row>
    <row r="194" spans="1:16" s="28" customFormat="1" ht="24" hidden="1" x14ac:dyDescent="0.25">
      <c r="A194" s="224"/>
      <c r="B194" s="23" t="s">
        <v>211</v>
      </c>
      <c r="C194" s="1322">
        <f t="shared" si="185"/>
        <v>0</v>
      </c>
      <c r="D194" s="172">
        <f>SUM(D195,D230,D269)</f>
        <v>0</v>
      </c>
      <c r="E194" s="173">
        <f t="shared" ref="E194:F194" si="251">SUM(E195,E230,E269)</f>
        <v>0</v>
      </c>
      <c r="F194" s="174">
        <f t="shared" si="251"/>
        <v>0</v>
      </c>
      <c r="G194" s="172">
        <f>SUM(G195,G230,G269)</f>
        <v>0</v>
      </c>
      <c r="H194" s="1323">
        <f t="shared" ref="H194:I194" si="252">SUM(H195,H230,H269)</f>
        <v>0</v>
      </c>
      <c r="I194" s="1324">
        <f t="shared" si="252"/>
        <v>0</v>
      </c>
      <c r="J194" s="1323">
        <f>SUM(J195,J230,J269)</f>
        <v>0</v>
      </c>
      <c r="K194" s="173">
        <f t="shared" ref="K194:L194" si="253">SUM(K195,K230,K269)</f>
        <v>0</v>
      </c>
      <c r="L194" s="174">
        <f t="shared" si="253"/>
        <v>0</v>
      </c>
      <c r="M194" s="1383">
        <f>SUM(M195,M230,M269)</f>
        <v>0</v>
      </c>
      <c r="N194" s="1384">
        <f t="shared" ref="N194:O194" si="254">SUM(N195,N230,N269)</f>
        <v>0</v>
      </c>
      <c r="O194" s="1385">
        <f t="shared" si="254"/>
        <v>0</v>
      </c>
      <c r="P194" s="1386"/>
    </row>
    <row r="195" spans="1:16" hidden="1" x14ac:dyDescent="0.25">
      <c r="A195" s="176">
        <v>5000</v>
      </c>
      <c r="B195" s="176" t="s">
        <v>212</v>
      </c>
      <c r="C195" s="1326">
        <f t="shared" si="185"/>
        <v>0</v>
      </c>
      <c r="D195" s="178">
        <f>D196+D204</f>
        <v>0</v>
      </c>
      <c r="E195" s="179">
        <f t="shared" ref="E195:F195" si="255">E196+E204</f>
        <v>0</v>
      </c>
      <c r="F195" s="180">
        <f t="shared" si="255"/>
        <v>0</v>
      </c>
      <c r="G195" s="178">
        <f>G196+G204</f>
        <v>0</v>
      </c>
      <c r="H195" s="1327">
        <f t="shared" ref="H195:I195" si="256">H196+H204</f>
        <v>0</v>
      </c>
      <c r="I195" s="1328">
        <f t="shared" si="256"/>
        <v>0</v>
      </c>
      <c r="J195" s="1327">
        <f>J196+J204</f>
        <v>0</v>
      </c>
      <c r="K195" s="179">
        <f t="shared" ref="K195:L195" si="257">K196+K204</f>
        <v>0</v>
      </c>
      <c r="L195" s="180">
        <f t="shared" si="257"/>
        <v>0</v>
      </c>
      <c r="M195" s="1326">
        <f>M196+M204</f>
        <v>0</v>
      </c>
      <c r="N195" s="179">
        <f t="shared" ref="N195:O195" si="258">N196+N204</f>
        <v>0</v>
      </c>
      <c r="O195" s="1328">
        <f t="shared" si="258"/>
        <v>0</v>
      </c>
      <c r="P195" s="1329"/>
    </row>
    <row r="196" spans="1:16" hidden="1" x14ac:dyDescent="0.25">
      <c r="A196" s="68">
        <v>5100</v>
      </c>
      <c r="B196" s="182" t="s">
        <v>213</v>
      </c>
      <c r="C196" s="1258">
        <f t="shared" si="185"/>
        <v>0</v>
      </c>
      <c r="D196" s="183">
        <f>D197+D198+D201+D202+D203</f>
        <v>0</v>
      </c>
      <c r="E196" s="184">
        <f t="shared" ref="E196:F196" si="259">E197+E198+E201+E202+E203</f>
        <v>0</v>
      </c>
      <c r="F196" s="72">
        <f t="shared" si="259"/>
        <v>0</v>
      </c>
      <c r="G196" s="183">
        <f>G197+G198+G201+G202+G203</f>
        <v>0</v>
      </c>
      <c r="H196" s="1263">
        <f t="shared" ref="H196:I196" si="260">H197+H198+H201+H202+H203</f>
        <v>0</v>
      </c>
      <c r="I196" s="1330">
        <f t="shared" si="260"/>
        <v>0</v>
      </c>
      <c r="J196" s="1263">
        <f>J197+J198+J201+J202+J203</f>
        <v>0</v>
      </c>
      <c r="K196" s="184">
        <f t="shared" ref="K196:L196" si="261">K197+K198+K201+K202+K203</f>
        <v>0</v>
      </c>
      <c r="L196" s="72">
        <f t="shared" si="261"/>
        <v>0</v>
      </c>
      <c r="M196" s="1258">
        <f>M197+M198+M201+M202+M203</f>
        <v>0</v>
      </c>
      <c r="N196" s="184">
        <f t="shared" ref="N196:O196" si="262">N197+N198+N201+N202+N203</f>
        <v>0</v>
      </c>
      <c r="O196" s="1330">
        <f t="shared" si="262"/>
        <v>0</v>
      </c>
      <c r="P196" s="1356"/>
    </row>
    <row r="197" spans="1:16" hidden="1" x14ac:dyDescent="0.25">
      <c r="A197" s="1212">
        <v>5110</v>
      </c>
      <c r="B197" s="81" t="s">
        <v>214</v>
      </c>
      <c r="C197" s="1264">
        <f t="shared" si="185"/>
        <v>0</v>
      </c>
      <c r="D197" s="196"/>
      <c r="E197" s="197"/>
      <c r="F197" s="133">
        <f>D197+E197</f>
        <v>0</v>
      </c>
      <c r="G197" s="196"/>
      <c r="H197" s="1267"/>
      <c r="I197" s="1337">
        <f>G197+H197</f>
        <v>0</v>
      </c>
      <c r="J197" s="1267"/>
      <c r="K197" s="197"/>
      <c r="L197" s="133">
        <f>J197+K197</f>
        <v>0</v>
      </c>
      <c r="M197" s="1338"/>
      <c r="N197" s="197"/>
      <c r="O197" s="1337">
        <f>M197+N197</f>
        <v>0</v>
      </c>
      <c r="P197" s="1339"/>
    </row>
    <row r="198" spans="1:16" ht="24" hidden="1" x14ac:dyDescent="0.25">
      <c r="A198" s="188">
        <v>5120</v>
      </c>
      <c r="B198" s="88" t="s">
        <v>215</v>
      </c>
      <c r="C198" s="1270">
        <f t="shared" si="185"/>
        <v>0</v>
      </c>
      <c r="D198" s="189">
        <f>D199+D200</f>
        <v>0</v>
      </c>
      <c r="E198" s="190">
        <f t="shared" ref="E198:F198" si="263">E199+E200</f>
        <v>0</v>
      </c>
      <c r="F198" s="55">
        <f t="shared" si="263"/>
        <v>0</v>
      </c>
      <c r="G198" s="189">
        <f>G199+G200</f>
        <v>0</v>
      </c>
      <c r="H198" s="1342">
        <f t="shared" ref="H198:I198" si="264">H199+H200</f>
        <v>0</v>
      </c>
      <c r="I198" s="1340">
        <f t="shared" si="264"/>
        <v>0</v>
      </c>
      <c r="J198" s="1342">
        <f>J199+J200</f>
        <v>0</v>
      </c>
      <c r="K198" s="190">
        <f t="shared" ref="K198:L198" si="265">K199+K200</f>
        <v>0</v>
      </c>
      <c r="L198" s="55">
        <f t="shared" si="265"/>
        <v>0</v>
      </c>
      <c r="M198" s="1270">
        <f>M199+M200</f>
        <v>0</v>
      </c>
      <c r="N198" s="190">
        <f t="shared" ref="N198:O198" si="266">N199+N200</f>
        <v>0</v>
      </c>
      <c r="O198" s="1340">
        <f t="shared" si="266"/>
        <v>0</v>
      </c>
      <c r="P198" s="1343"/>
    </row>
    <row r="199" spans="1:16" hidden="1" x14ac:dyDescent="0.25">
      <c r="A199" s="51">
        <v>5121</v>
      </c>
      <c r="B199" s="88" t="s">
        <v>216</v>
      </c>
      <c r="C199" s="1270">
        <f t="shared" si="185"/>
        <v>0</v>
      </c>
      <c r="D199" s="194"/>
      <c r="E199" s="195"/>
      <c r="F199" s="55">
        <f t="shared" ref="F199:F203" si="267">D199+E199</f>
        <v>0</v>
      </c>
      <c r="G199" s="194"/>
      <c r="H199" s="1273"/>
      <c r="I199" s="1340">
        <f t="shared" ref="I199:I203" si="268">G199+H199</f>
        <v>0</v>
      </c>
      <c r="J199" s="1273"/>
      <c r="K199" s="195"/>
      <c r="L199" s="55">
        <f t="shared" ref="L199:L203" si="269">J199+K199</f>
        <v>0</v>
      </c>
      <c r="M199" s="1341"/>
      <c r="N199" s="195"/>
      <c r="O199" s="1340">
        <f t="shared" ref="O199:O203" si="270">M199+N199</f>
        <v>0</v>
      </c>
      <c r="P199" s="1343"/>
    </row>
    <row r="200" spans="1:16" ht="24" hidden="1" x14ac:dyDescent="0.25">
      <c r="A200" s="51">
        <v>5129</v>
      </c>
      <c r="B200" s="88" t="s">
        <v>217</v>
      </c>
      <c r="C200" s="1270">
        <f t="shared" si="185"/>
        <v>0</v>
      </c>
      <c r="D200" s="194"/>
      <c r="E200" s="195"/>
      <c r="F200" s="55">
        <f t="shared" si="267"/>
        <v>0</v>
      </c>
      <c r="G200" s="194"/>
      <c r="H200" s="1273"/>
      <c r="I200" s="1340">
        <f t="shared" si="268"/>
        <v>0</v>
      </c>
      <c r="J200" s="1273"/>
      <c r="K200" s="195"/>
      <c r="L200" s="55">
        <f t="shared" si="269"/>
        <v>0</v>
      </c>
      <c r="M200" s="1341"/>
      <c r="N200" s="195"/>
      <c r="O200" s="1340">
        <f t="shared" si="270"/>
        <v>0</v>
      </c>
      <c r="P200" s="1343"/>
    </row>
    <row r="201" spans="1:16" hidden="1" x14ac:dyDescent="0.25">
      <c r="A201" s="188">
        <v>5130</v>
      </c>
      <c r="B201" s="88" t="s">
        <v>218</v>
      </c>
      <c r="C201" s="1270">
        <f t="shared" si="185"/>
        <v>0</v>
      </c>
      <c r="D201" s="194"/>
      <c r="E201" s="195"/>
      <c r="F201" s="55">
        <f t="shared" si="267"/>
        <v>0</v>
      </c>
      <c r="G201" s="194"/>
      <c r="H201" s="1273"/>
      <c r="I201" s="1340">
        <f t="shared" si="268"/>
        <v>0</v>
      </c>
      <c r="J201" s="1273"/>
      <c r="K201" s="195"/>
      <c r="L201" s="55">
        <f t="shared" si="269"/>
        <v>0</v>
      </c>
      <c r="M201" s="1341"/>
      <c r="N201" s="195"/>
      <c r="O201" s="1340">
        <f t="shared" si="270"/>
        <v>0</v>
      </c>
      <c r="P201" s="1343"/>
    </row>
    <row r="202" spans="1:16" hidden="1" x14ac:dyDescent="0.25">
      <c r="A202" s="188">
        <v>5140</v>
      </c>
      <c r="B202" s="88" t="s">
        <v>219</v>
      </c>
      <c r="C202" s="1270">
        <f t="shared" si="185"/>
        <v>0</v>
      </c>
      <c r="D202" s="194"/>
      <c r="E202" s="195"/>
      <c r="F202" s="55">
        <f t="shared" si="267"/>
        <v>0</v>
      </c>
      <c r="G202" s="194"/>
      <c r="H202" s="1273"/>
      <c r="I202" s="1340">
        <f t="shared" si="268"/>
        <v>0</v>
      </c>
      <c r="J202" s="1273"/>
      <c r="K202" s="195"/>
      <c r="L202" s="55">
        <f t="shared" si="269"/>
        <v>0</v>
      </c>
      <c r="M202" s="1341"/>
      <c r="N202" s="195"/>
      <c r="O202" s="1340">
        <f t="shared" si="270"/>
        <v>0</v>
      </c>
      <c r="P202" s="1343"/>
    </row>
    <row r="203" spans="1:16" ht="24" hidden="1" x14ac:dyDescent="0.25">
      <c r="A203" s="188">
        <v>5170</v>
      </c>
      <c r="B203" s="88" t="s">
        <v>220</v>
      </c>
      <c r="C203" s="1270">
        <f t="shared" si="185"/>
        <v>0</v>
      </c>
      <c r="D203" s="194"/>
      <c r="E203" s="195"/>
      <c r="F203" s="55">
        <f t="shared" si="267"/>
        <v>0</v>
      </c>
      <c r="G203" s="194"/>
      <c r="H203" s="1273"/>
      <c r="I203" s="1340">
        <f t="shared" si="268"/>
        <v>0</v>
      </c>
      <c r="J203" s="1273"/>
      <c r="K203" s="195"/>
      <c r="L203" s="55">
        <f t="shared" si="269"/>
        <v>0</v>
      </c>
      <c r="M203" s="1341"/>
      <c r="N203" s="195"/>
      <c r="O203" s="1340">
        <f t="shared" si="270"/>
        <v>0</v>
      </c>
      <c r="P203" s="1343"/>
    </row>
    <row r="204" spans="1:16" hidden="1" x14ac:dyDescent="0.25">
      <c r="A204" s="68">
        <v>5200</v>
      </c>
      <c r="B204" s="182" t="s">
        <v>221</v>
      </c>
      <c r="C204" s="1258">
        <f t="shared" si="185"/>
        <v>0</v>
      </c>
      <c r="D204" s="183">
        <f>D205+D215+D216+D225+D226+D227+D229</f>
        <v>0</v>
      </c>
      <c r="E204" s="184">
        <f t="shared" ref="E204:F204" si="271">E205+E215+E216+E225+E226+E227+E229</f>
        <v>0</v>
      </c>
      <c r="F204" s="72">
        <f t="shared" si="271"/>
        <v>0</v>
      </c>
      <c r="G204" s="183">
        <f>G205+G215+G216+G225+G226+G227+G229</f>
        <v>0</v>
      </c>
      <c r="H204" s="1263">
        <f t="shared" ref="H204:I204" si="272">H205+H215+H216+H225+H226+H227+H229</f>
        <v>0</v>
      </c>
      <c r="I204" s="1330">
        <f t="shared" si="272"/>
        <v>0</v>
      </c>
      <c r="J204" s="1263">
        <f>J205+J215+J216+J225+J226+J227+J229</f>
        <v>0</v>
      </c>
      <c r="K204" s="184">
        <f t="shared" ref="K204:L204" si="273">K205+K215+K216+K225+K226+K227+K229</f>
        <v>0</v>
      </c>
      <c r="L204" s="72">
        <f t="shared" si="273"/>
        <v>0</v>
      </c>
      <c r="M204" s="1258">
        <f>M205+M215+M216+M225+M226+M227+M229</f>
        <v>0</v>
      </c>
      <c r="N204" s="184">
        <f t="shared" ref="N204:O204" si="274">N205+N215+N216+N225+N226+N227+N229</f>
        <v>0</v>
      </c>
      <c r="O204" s="1330">
        <f t="shared" si="274"/>
        <v>0</v>
      </c>
      <c r="P204" s="1356"/>
    </row>
    <row r="205" spans="1:16" hidden="1" x14ac:dyDescent="0.25">
      <c r="A205" s="185">
        <v>5210</v>
      </c>
      <c r="B205" s="137" t="s">
        <v>1736</v>
      </c>
      <c r="C205" s="1304">
        <f t="shared" si="185"/>
        <v>0</v>
      </c>
      <c r="D205" s="186">
        <f>SUM(D206:D214)</f>
        <v>0</v>
      </c>
      <c r="E205" s="187">
        <f t="shared" ref="E205:F205" si="275">SUM(E206:E214)</f>
        <v>0</v>
      </c>
      <c r="F205" s="140">
        <f t="shared" si="275"/>
        <v>0</v>
      </c>
      <c r="G205" s="186">
        <f>SUM(G206:G214)</f>
        <v>0</v>
      </c>
      <c r="H205" s="1334">
        <f t="shared" ref="H205:I205" si="276">SUM(H206:H214)</f>
        <v>0</v>
      </c>
      <c r="I205" s="1335">
        <f t="shared" si="276"/>
        <v>0</v>
      </c>
      <c r="J205" s="1334">
        <f>SUM(J206:J214)</f>
        <v>0</v>
      </c>
      <c r="K205" s="187">
        <f t="shared" ref="K205:L205" si="277">SUM(K206:K214)</f>
        <v>0</v>
      </c>
      <c r="L205" s="140">
        <f t="shared" si="277"/>
        <v>0</v>
      </c>
      <c r="M205" s="1304">
        <f>SUM(M206:M214)</f>
        <v>0</v>
      </c>
      <c r="N205" s="187">
        <f t="shared" ref="N205:O205" si="278">SUM(N206:N214)</f>
        <v>0</v>
      </c>
      <c r="O205" s="1335">
        <f t="shared" si="278"/>
        <v>0</v>
      </c>
      <c r="P205" s="1336"/>
    </row>
    <row r="206" spans="1:16" hidden="1" x14ac:dyDescent="0.25">
      <c r="A206" s="44">
        <v>5211</v>
      </c>
      <c r="B206" s="81" t="s">
        <v>223</v>
      </c>
      <c r="C206" s="1264">
        <f t="shared" si="185"/>
        <v>0</v>
      </c>
      <c r="D206" s="196"/>
      <c r="E206" s="197"/>
      <c r="F206" s="133">
        <f t="shared" ref="F206:F215" si="279">D206+E206</f>
        <v>0</v>
      </c>
      <c r="G206" s="196"/>
      <c r="H206" s="1267"/>
      <c r="I206" s="1337">
        <f t="shared" ref="I206:I215" si="280">G206+H206</f>
        <v>0</v>
      </c>
      <c r="J206" s="1267"/>
      <c r="K206" s="197"/>
      <c r="L206" s="133">
        <f t="shared" ref="L206:L215" si="281">J206+K206</f>
        <v>0</v>
      </c>
      <c r="M206" s="1338"/>
      <c r="N206" s="197"/>
      <c r="O206" s="1337">
        <f t="shared" ref="O206:O215" si="282">M206+N206</f>
        <v>0</v>
      </c>
      <c r="P206" s="1339"/>
    </row>
    <row r="207" spans="1:16" hidden="1" x14ac:dyDescent="0.25">
      <c r="A207" s="51">
        <v>5212</v>
      </c>
      <c r="B207" s="88" t="s">
        <v>224</v>
      </c>
      <c r="C207" s="1270">
        <f t="shared" si="185"/>
        <v>0</v>
      </c>
      <c r="D207" s="194"/>
      <c r="E207" s="195"/>
      <c r="F207" s="55">
        <f t="shared" si="279"/>
        <v>0</v>
      </c>
      <c r="G207" s="194"/>
      <c r="H207" s="1273"/>
      <c r="I207" s="1340">
        <f t="shared" si="280"/>
        <v>0</v>
      </c>
      <c r="J207" s="1273"/>
      <c r="K207" s="195"/>
      <c r="L207" s="55">
        <f t="shared" si="281"/>
        <v>0</v>
      </c>
      <c r="M207" s="1341"/>
      <c r="N207" s="195"/>
      <c r="O207" s="1340">
        <f t="shared" si="282"/>
        <v>0</v>
      </c>
      <c r="P207" s="1343"/>
    </row>
    <row r="208" spans="1:16" hidden="1" x14ac:dyDescent="0.25">
      <c r="A208" s="51">
        <v>5213</v>
      </c>
      <c r="B208" s="88" t="s">
        <v>225</v>
      </c>
      <c r="C208" s="1270">
        <f t="shared" si="185"/>
        <v>0</v>
      </c>
      <c r="D208" s="194"/>
      <c r="E208" s="195"/>
      <c r="F208" s="55">
        <f t="shared" si="279"/>
        <v>0</v>
      </c>
      <c r="G208" s="194"/>
      <c r="H208" s="1273"/>
      <c r="I208" s="1340">
        <f t="shared" si="280"/>
        <v>0</v>
      </c>
      <c r="J208" s="1273"/>
      <c r="K208" s="195"/>
      <c r="L208" s="55">
        <f t="shared" si="281"/>
        <v>0</v>
      </c>
      <c r="M208" s="1341"/>
      <c r="N208" s="195"/>
      <c r="O208" s="1340">
        <f t="shared" si="282"/>
        <v>0</v>
      </c>
      <c r="P208" s="1343"/>
    </row>
    <row r="209" spans="1:16" hidden="1" x14ac:dyDescent="0.25">
      <c r="A209" s="51">
        <v>5214</v>
      </c>
      <c r="B209" s="88" t="s">
        <v>1737</v>
      </c>
      <c r="C209" s="1270">
        <f t="shared" si="185"/>
        <v>0</v>
      </c>
      <c r="D209" s="194"/>
      <c r="E209" s="195"/>
      <c r="F209" s="55">
        <f t="shared" si="279"/>
        <v>0</v>
      </c>
      <c r="G209" s="194"/>
      <c r="H209" s="1273"/>
      <c r="I209" s="1340">
        <f t="shared" si="280"/>
        <v>0</v>
      </c>
      <c r="J209" s="1273"/>
      <c r="K209" s="195"/>
      <c r="L209" s="55">
        <f t="shared" si="281"/>
        <v>0</v>
      </c>
      <c r="M209" s="1341"/>
      <c r="N209" s="195"/>
      <c r="O209" s="1340">
        <f t="shared" si="282"/>
        <v>0</v>
      </c>
      <c r="P209" s="1343"/>
    </row>
    <row r="210" spans="1:16" hidden="1" x14ac:dyDescent="0.25">
      <c r="A210" s="51">
        <v>5215</v>
      </c>
      <c r="B210" s="88" t="s">
        <v>227</v>
      </c>
      <c r="C210" s="1270">
        <f t="shared" si="185"/>
        <v>0</v>
      </c>
      <c r="D210" s="194"/>
      <c r="E210" s="195"/>
      <c r="F210" s="55">
        <f t="shared" si="279"/>
        <v>0</v>
      </c>
      <c r="G210" s="194"/>
      <c r="H210" s="1273"/>
      <c r="I210" s="1340">
        <f t="shared" si="280"/>
        <v>0</v>
      </c>
      <c r="J210" s="1273"/>
      <c r="K210" s="195"/>
      <c r="L210" s="55">
        <f t="shared" si="281"/>
        <v>0</v>
      </c>
      <c r="M210" s="1341"/>
      <c r="N210" s="195"/>
      <c r="O210" s="1340">
        <f t="shared" si="282"/>
        <v>0</v>
      </c>
      <c r="P210" s="1343"/>
    </row>
    <row r="211" spans="1:16" ht="14.25" hidden="1" customHeight="1" x14ac:dyDescent="0.25">
      <c r="A211" s="51">
        <v>5216</v>
      </c>
      <c r="B211" s="88" t="s">
        <v>228</v>
      </c>
      <c r="C211" s="1270">
        <f t="shared" si="185"/>
        <v>0</v>
      </c>
      <c r="D211" s="194"/>
      <c r="E211" s="195"/>
      <c r="F211" s="55">
        <f t="shared" si="279"/>
        <v>0</v>
      </c>
      <c r="G211" s="194"/>
      <c r="H211" s="1273"/>
      <c r="I211" s="1340">
        <f t="shared" si="280"/>
        <v>0</v>
      </c>
      <c r="J211" s="1273"/>
      <c r="K211" s="195"/>
      <c r="L211" s="55">
        <f t="shared" si="281"/>
        <v>0</v>
      </c>
      <c r="M211" s="1341"/>
      <c r="N211" s="195"/>
      <c r="O211" s="1340">
        <f t="shared" si="282"/>
        <v>0</v>
      </c>
      <c r="P211" s="1343"/>
    </row>
    <row r="212" spans="1:16" hidden="1" x14ac:dyDescent="0.25">
      <c r="A212" s="51">
        <v>5217</v>
      </c>
      <c r="B212" s="88" t="s">
        <v>229</v>
      </c>
      <c r="C212" s="1270">
        <f t="shared" si="185"/>
        <v>0</v>
      </c>
      <c r="D212" s="194"/>
      <c r="E212" s="195"/>
      <c r="F212" s="55">
        <f t="shared" si="279"/>
        <v>0</v>
      </c>
      <c r="G212" s="194"/>
      <c r="H212" s="1273"/>
      <c r="I212" s="1340">
        <f t="shared" si="280"/>
        <v>0</v>
      </c>
      <c r="J212" s="1273"/>
      <c r="K212" s="195"/>
      <c r="L212" s="55">
        <f t="shared" si="281"/>
        <v>0</v>
      </c>
      <c r="M212" s="1341"/>
      <c r="N212" s="195"/>
      <c r="O212" s="1340">
        <f t="shared" si="282"/>
        <v>0</v>
      </c>
      <c r="P212" s="1343"/>
    </row>
    <row r="213" spans="1:16" hidden="1" x14ac:dyDescent="0.25">
      <c r="A213" s="51">
        <v>5218</v>
      </c>
      <c r="B213" s="88" t="s">
        <v>1738</v>
      </c>
      <c r="C213" s="1270">
        <f t="shared" ref="C213:C276" si="283">F213+I213+L213+O213</f>
        <v>0</v>
      </c>
      <c r="D213" s="194"/>
      <c r="E213" s="195"/>
      <c r="F213" s="55">
        <f t="shared" si="279"/>
        <v>0</v>
      </c>
      <c r="G213" s="194"/>
      <c r="H213" s="1273"/>
      <c r="I213" s="1340">
        <f t="shared" si="280"/>
        <v>0</v>
      </c>
      <c r="J213" s="1273"/>
      <c r="K213" s="195"/>
      <c r="L213" s="55">
        <f t="shared" si="281"/>
        <v>0</v>
      </c>
      <c r="M213" s="1341"/>
      <c r="N213" s="195"/>
      <c r="O213" s="1340">
        <f t="shared" si="282"/>
        <v>0</v>
      </c>
      <c r="P213" s="1343"/>
    </row>
    <row r="214" spans="1:16" hidden="1" x14ac:dyDescent="0.25">
      <c r="A214" s="51">
        <v>5219</v>
      </c>
      <c r="B214" s="88" t="s">
        <v>231</v>
      </c>
      <c r="C214" s="1270">
        <f t="shared" si="283"/>
        <v>0</v>
      </c>
      <c r="D214" s="194"/>
      <c r="E214" s="195"/>
      <c r="F214" s="55">
        <f t="shared" si="279"/>
        <v>0</v>
      </c>
      <c r="G214" s="194"/>
      <c r="H214" s="1273"/>
      <c r="I214" s="1340">
        <f t="shared" si="280"/>
        <v>0</v>
      </c>
      <c r="J214" s="1273"/>
      <c r="K214" s="195"/>
      <c r="L214" s="55">
        <f t="shared" si="281"/>
        <v>0</v>
      </c>
      <c r="M214" s="1341"/>
      <c r="N214" s="195"/>
      <c r="O214" s="1340">
        <f t="shared" si="282"/>
        <v>0</v>
      </c>
      <c r="P214" s="1343"/>
    </row>
    <row r="215" spans="1:16" ht="13.5" hidden="1" customHeight="1" x14ac:dyDescent="0.25">
      <c r="A215" s="188">
        <v>5220</v>
      </c>
      <c r="B215" s="88" t="s">
        <v>232</v>
      </c>
      <c r="C215" s="1270">
        <f t="shared" si="283"/>
        <v>0</v>
      </c>
      <c r="D215" s="194"/>
      <c r="E215" s="195"/>
      <c r="F215" s="55">
        <f t="shared" si="279"/>
        <v>0</v>
      </c>
      <c r="G215" s="194"/>
      <c r="H215" s="1273"/>
      <c r="I215" s="1340">
        <f t="shared" si="280"/>
        <v>0</v>
      </c>
      <c r="J215" s="1273"/>
      <c r="K215" s="195"/>
      <c r="L215" s="55">
        <f t="shared" si="281"/>
        <v>0</v>
      </c>
      <c r="M215" s="1341"/>
      <c r="N215" s="195"/>
      <c r="O215" s="1340">
        <f t="shared" si="282"/>
        <v>0</v>
      </c>
      <c r="P215" s="1343"/>
    </row>
    <row r="216" spans="1:16" hidden="1" x14ac:dyDescent="0.25">
      <c r="A216" s="188">
        <v>5230</v>
      </c>
      <c r="B216" s="88" t="s">
        <v>233</v>
      </c>
      <c r="C216" s="1270">
        <f t="shared" si="283"/>
        <v>0</v>
      </c>
      <c r="D216" s="189">
        <f>SUM(D217:D224)</f>
        <v>0</v>
      </c>
      <c r="E216" s="190">
        <f t="shared" ref="E216:F216" si="284">SUM(E217:E224)</f>
        <v>0</v>
      </c>
      <c r="F216" s="55">
        <f t="shared" si="284"/>
        <v>0</v>
      </c>
      <c r="G216" s="189">
        <f>SUM(G217:G224)</f>
        <v>0</v>
      </c>
      <c r="H216" s="1342">
        <f t="shared" ref="H216:I216" si="285">SUM(H217:H224)</f>
        <v>0</v>
      </c>
      <c r="I216" s="1340">
        <f t="shared" si="285"/>
        <v>0</v>
      </c>
      <c r="J216" s="1342">
        <f>SUM(J217:J224)</f>
        <v>0</v>
      </c>
      <c r="K216" s="190">
        <f t="shared" ref="K216:L216" si="286">SUM(K217:K224)</f>
        <v>0</v>
      </c>
      <c r="L216" s="55">
        <f t="shared" si="286"/>
        <v>0</v>
      </c>
      <c r="M216" s="1270">
        <f>SUM(M217:M224)</f>
        <v>0</v>
      </c>
      <c r="N216" s="190">
        <f t="shared" ref="N216:O216" si="287">SUM(N217:N224)</f>
        <v>0</v>
      </c>
      <c r="O216" s="1340">
        <f t="shared" si="287"/>
        <v>0</v>
      </c>
      <c r="P216" s="1343"/>
    </row>
    <row r="217" spans="1:16" hidden="1" x14ac:dyDescent="0.25">
      <c r="A217" s="51">
        <v>5231</v>
      </c>
      <c r="B217" s="88" t="s">
        <v>234</v>
      </c>
      <c r="C217" s="1270">
        <f t="shared" si="283"/>
        <v>0</v>
      </c>
      <c r="D217" s="194"/>
      <c r="E217" s="195"/>
      <c r="F217" s="55">
        <f t="shared" ref="F217:F226" si="288">D217+E217</f>
        <v>0</v>
      </c>
      <c r="G217" s="194"/>
      <c r="H217" s="1273"/>
      <c r="I217" s="1340">
        <f t="shared" ref="I217:I226" si="289">G217+H217</f>
        <v>0</v>
      </c>
      <c r="J217" s="1273"/>
      <c r="K217" s="195"/>
      <c r="L217" s="55">
        <f t="shared" ref="L217:L226" si="290">J217+K217</f>
        <v>0</v>
      </c>
      <c r="M217" s="1341"/>
      <c r="N217" s="195"/>
      <c r="O217" s="1340">
        <f t="shared" ref="O217:O226" si="291">M217+N217</f>
        <v>0</v>
      </c>
      <c r="P217" s="1343"/>
    </row>
    <row r="218" spans="1:16" hidden="1" x14ac:dyDescent="0.25">
      <c r="A218" s="51">
        <v>5232</v>
      </c>
      <c r="B218" s="88" t="s">
        <v>235</v>
      </c>
      <c r="C218" s="1270">
        <f t="shared" si="283"/>
        <v>0</v>
      </c>
      <c r="D218" s="194"/>
      <c r="E218" s="195"/>
      <c r="F218" s="55">
        <f t="shared" si="288"/>
        <v>0</v>
      </c>
      <c r="G218" s="194"/>
      <c r="H218" s="1273"/>
      <c r="I218" s="1340">
        <f t="shared" si="289"/>
        <v>0</v>
      </c>
      <c r="J218" s="1273"/>
      <c r="K218" s="195"/>
      <c r="L218" s="55">
        <f t="shared" si="290"/>
        <v>0</v>
      </c>
      <c r="M218" s="1341"/>
      <c r="N218" s="195"/>
      <c r="O218" s="1340">
        <f t="shared" si="291"/>
        <v>0</v>
      </c>
      <c r="P218" s="1343"/>
    </row>
    <row r="219" spans="1:16" hidden="1" x14ac:dyDescent="0.25">
      <c r="A219" s="51">
        <v>5233</v>
      </c>
      <c r="B219" s="88" t="s">
        <v>236</v>
      </c>
      <c r="C219" s="1270">
        <f t="shared" si="283"/>
        <v>0</v>
      </c>
      <c r="D219" s="194"/>
      <c r="E219" s="195"/>
      <c r="F219" s="55">
        <f t="shared" si="288"/>
        <v>0</v>
      </c>
      <c r="G219" s="194"/>
      <c r="H219" s="1273"/>
      <c r="I219" s="1340">
        <f t="shared" si="289"/>
        <v>0</v>
      </c>
      <c r="J219" s="1273"/>
      <c r="K219" s="195"/>
      <c r="L219" s="55">
        <f t="shared" si="290"/>
        <v>0</v>
      </c>
      <c r="M219" s="1341"/>
      <c r="N219" s="195"/>
      <c r="O219" s="1340">
        <f t="shared" si="291"/>
        <v>0</v>
      </c>
      <c r="P219" s="1343"/>
    </row>
    <row r="220" spans="1:16" ht="24" hidden="1" x14ac:dyDescent="0.25">
      <c r="A220" s="51">
        <v>5234</v>
      </c>
      <c r="B220" s="88" t="s">
        <v>237</v>
      </c>
      <c r="C220" s="1270">
        <f t="shared" si="283"/>
        <v>0</v>
      </c>
      <c r="D220" s="194"/>
      <c r="E220" s="195"/>
      <c r="F220" s="55">
        <f t="shared" si="288"/>
        <v>0</v>
      </c>
      <c r="G220" s="194"/>
      <c r="H220" s="1273"/>
      <c r="I220" s="1340">
        <f t="shared" si="289"/>
        <v>0</v>
      </c>
      <c r="J220" s="1273"/>
      <c r="K220" s="195"/>
      <c r="L220" s="55">
        <f t="shared" si="290"/>
        <v>0</v>
      </c>
      <c r="M220" s="1341"/>
      <c r="N220" s="195"/>
      <c r="O220" s="1340">
        <f t="shared" si="291"/>
        <v>0</v>
      </c>
      <c r="P220" s="1343"/>
    </row>
    <row r="221" spans="1:16" ht="14.25" hidden="1" customHeight="1" x14ac:dyDescent="0.25">
      <c r="A221" s="51">
        <v>5236</v>
      </c>
      <c r="B221" s="88" t="s">
        <v>238</v>
      </c>
      <c r="C221" s="1270">
        <f t="shared" si="283"/>
        <v>0</v>
      </c>
      <c r="D221" s="194"/>
      <c r="E221" s="195"/>
      <c r="F221" s="55">
        <f t="shared" si="288"/>
        <v>0</v>
      </c>
      <c r="G221" s="194"/>
      <c r="H221" s="1273"/>
      <c r="I221" s="1340">
        <f t="shared" si="289"/>
        <v>0</v>
      </c>
      <c r="J221" s="1273"/>
      <c r="K221" s="195"/>
      <c r="L221" s="55">
        <f t="shared" si="290"/>
        <v>0</v>
      </c>
      <c r="M221" s="1341"/>
      <c r="N221" s="195"/>
      <c r="O221" s="1340">
        <f t="shared" si="291"/>
        <v>0</v>
      </c>
      <c r="P221" s="1343"/>
    </row>
    <row r="222" spans="1:16" ht="14.25" hidden="1" customHeight="1" x14ac:dyDescent="0.25">
      <c r="A222" s="51">
        <v>5237</v>
      </c>
      <c r="B222" s="88" t="s">
        <v>239</v>
      </c>
      <c r="C222" s="1270">
        <f t="shared" si="283"/>
        <v>0</v>
      </c>
      <c r="D222" s="194"/>
      <c r="E222" s="195"/>
      <c r="F222" s="55">
        <f t="shared" si="288"/>
        <v>0</v>
      </c>
      <c r="G222" s="194"/>
      <c r="H222" s="1273"/>
      <c r="I222" s="1340">
        <f t="shared" si="289"/>
        <v>0</v>
      </c>
      <c r="J222" s="1273"/>
      <c r="K222" s="195"/>
      <c r="L222" s="55">
        <f t="shared" si="290"/>
        <v>0</v>
      </c>
      <c r="M222" s="1341"/>
      <c r="N222" s="195"/>
      <c r="O222" s="1340">
        <f t="shared" si="291"/>
        <v>0</v>
      </c>
      <c r="P222" s="1343"/>
    </row>
    <row r="223" spans="1:16" ht="24" hidden="1" x14ac:dyDescent="0.25">
      <c r="A223" s="51">
        <v>5238</v>
      </c>
      <c r="B223" s="88" t="s">
        <v>240</v>
      </c>
      <c r="C223" s="1270">
        <f t="shared" si="283"/>
        <v>0</v>
      </c>
      <c r="D223" s="194"/>
      <c r="E223" s="195"/>
      <c r="F223" s="55">
        <f t="shared" si="288"/>
        <v>0</v>
      </c>
      <c r="G223" s="194"/>
      <c r="H223" s="1273"/>
      <c r="I223" s="1340">
        <f t="shared" si="289"/>
        <v>0</v>
      </c>
      <c r="J223" s="1273"/>
      <c r="K223" s="195"/>
      <c r="L223" s="55">
        <f t="shared" si="290"/>
        <v>0</v>
      </c>
      <c r="M223" s="1341"/>
      <c r="N223" s="195"/>
      <c r="O223" s="1340">
        <f t="shared" si="291"/>
        <v>0</v>
      </c>
      <c r="P223" s="1343"/>
    </row>
    <row r="224" spans="1:16" ht="24" hidden="1" x14ac:dyDescent="0.25">
      <c r="A224" s="51">
        <v>5239</v>
      </c>
      <c r="B224" s="88" t="s">
        <v>241</v>
      </c>
      <c r="C224" s="1270">
        <f t="shared" si="283"/>
        <v>0</v>
      </c>
      <c r="D224" s="194"/>
      <c r="E224" s="195"/>
      <c r="F224" s="55">
        <f t="shared" si="288"/>
        <v>0</v>
      </c>
      <c r="G224" s="194"/>
      <c r="H224" s="1273"/>
      <c r="I224" s="1340">
        <f t="shared" si="289"/>
        <v>0</v>
      </c>
      <c r="J224" s="1273"/>
      <c r="K224" s="195"/>
      <c r="L224" s="55">
        <f t="shared" si="290"/>
        <v>0</v>
      </c>
      <c r="M224" s="1341"/>
      <c r="N224" s="195"/>
      <c r="O224" s="1340">
        <f t="shared" si="291"/>
        <v>0</v>
      </c>
      <c r="P224" s="1343"/>
    </row>
    <row r="225" spans="1:16" ht="24" hidden="1" x14ac:dyDescent="0.25">
      <c r="A225" s="188">
        <v>5240</v>
      </c>
      <c r="B225" s="88" t="s">
        <v>242</v>
      </c>
      <c r="C225" s="1270">
        <f t="shared" si="283"/>
        <v>0</v>
      </c>
      <c r="D225" s="194"/>
      <c r="E225" s="195"/>
      <c r="F225" s="55">
        <f t="shared" si="288"/>
        <v>0</v>
      </c>
      <c r="G225" s="194"/>
      <c r="H225" s="1273"/>
      <c r="I225" s="1340">
        <f t="shared" si="289"/>
        <v>0</v>
      </c>
      <c r="J225" s="1273"/>
      <c r="K225" s="195"/>
      <c r="L225" s="55">
        <f t="shared" si="290"/>
        <v>0</v>
      </c>
      <c r="M225" s="1341"/>
      <c r="N225" s="195"/>
      <c r="O225" s="1340">
        <f t="shared" si="291"/>
        <v>0</v>
      </c>
      <c r="P225" s="1343"/>
    </row>
    <row r="226" spans="1:16" hidden="1" x14ac:dyDescent="0.25">
      <c r="A226" s="188">
        <v>5250</v>
      </c>
      <c r="B226" s="88" t="s">
        <v>243</v>
      </c>
      <c r="C226" s="1270">
        <f t="shared" si="283"/>
        <v>0</v>
      </c>
      <c r="D226" s="194"/>
      <c r="E226" s="195"/>
      <c r="F226" s="55">
        <f t="shared" si="288"/>
        <v>0</v>
      </c>
      <c r="G226" s="194"/>
      <c r="H226" s="1273"/>
      <c r="I226" s="1340">
        <f t="shared" si="289"/>
        <v>0</v>
      </c>
      <c r="J226" s="1273"/>
      <c r="K226" s="195"/>
      <c r="L226" s="55">
        <f t="shared" si="290"/>
        <v>0</v>
      </c>
      <c r="M226" s="1341"/>
      <c r="N226" s="195"/>
      <c r="O226" s="1340">
        <f t="shared" si="291"/>
        <v>0</v>
      </c>
      <c r="P226" s="1343"/>
    </row>
    <row r="227" spans="1:16" hidden="1" x14ac:dyDescent="0.25">
      <c r="A227" s="188">
        <v>5260</v>
      </c>
      <c r="B227" s="88" t="s">
        <v>244</v>
      </c>
      <c r="C227" s="1270">
        <f t="shared" si="283"/>
        <v>0</v>
      </c>
      <c r="D227" s="189">
        <f>SUM(D228)</f>
        <v>0</v>
      </c>
      <c r="E227" s="190">
        <f t="shared" ref="E227:F227" si="292">SUM(E228)</f>
        <v>0</v>
      </c>
      <c r="F227" s="55">
        <f t="shared" si="292"/>
        <v>0</v>
      </c>
      <c r="G227" s="189">
        <f>SUM(G228)</f>
        <v>0</v>
      </c>
      <c r="H227" s="1342">
        <f t="shared" ref="H227:I227" si="293">SUM(H228)</f>
        <v>0</v>
      </c>
      <c r="I227" s="1340">
        <f t="shared" si="293"/>
        <v>0</v>
      </c>
      <c r="J227" s="1342">
        <f>SUM(J228)</f>
        <v>0</v>
      </c>
      <c r="K227" s="190">
        <f t="shared" ref="K227:L227" si="294">SUM(K228)</f>
        <v>0</v>
      </c>
      <c r="L227" s="55">
        <f t="shared" si="294"/>
        <v>0</v>
      </c>
      <c r="M227" s="1270">
        <f>SUM(M228)</f>
        <v>0</v>
      </c>
      <c r="N227" s="190">
        <f t="shared" ref="N227:O227" si="295">SUM(N228)</f>
        <v>0</v>
      </c>
      <c r="O227" s="1340">
        <f t="shared" si="295"/>
        <v>0</v>
      </c>
      <c r="P227" s="1343"/>
    </row>
    <row r="228" spans="1:16" ht="24" hidden="1" x14ac:dyDescent="0.25">
      <c r="A228" s="51">
        <v>5269</v>
      </c>
      <c r="B228" s="88" t="s">
        <v>245</v>
      </c>
      <c r="C228" s="1270">
        <f t="shared" si="283"/>
        <v>0</v>
      </c>
      <c r="D228" s="194"/>
      <c r="E228" s="195"/>
      <c r="F228" s="55">
        <f t="shared" ref="F228:F229" si="296">D228+E228</f>
        <v>0</v>
      </c>
      <c r="G228" s="194"/>
      <c r="H228" s="1273"/>
      <c r="I228" s="1340">
        <f t="shared" ref="I228:I229" si="297">G228+H228</f>
        <v>0</v>
      </c>
      <c r="J228" s="1273"/>
      <c r="K228" s="195"/>
      <c r="L228" s="55">
        <f t="shared" ref="L228:L229" si="298">J228+K228</f>
        <v>0</v>
      </c>
      <c r="M228" s="1341"/>
      <c r="N228" s="195"/>
      <c r="O228" s="1340">
        <f t="shared" ref="O228:O229" si="299">M228+N228</f>
        <v>0</v>
      </c>
      <c r="P228" s="1343"/>
    </row>
    <row r="229" spans="1:16" ht="24" hidden="1" x14ac:dyDescent="0.25">
      <c r="A229" s="185">
        <v>5270</v>
      </c>
      <c r="B229" s="137" t="s">
        <v>246</v>
      </c>
      <c r="C229" s="1304">
        <f t="shared" si="283"/>
        <v>0</v>
      </c>
      <c r="D229" s="202"/>
      <c r="E229" s="203"/>
      <c r="F229" s="140">
        <f t="shared" si="296"/>
        <v>0</v>
      </c>
      <c r="G229" s="202"/>
      <c r="H229" s="1369"/>
      <c r="I229" s="1335">
        <f t="shared" si="297"/>
        <v>0</v>
      </c>
      <c r="J229" s="1369"/>
      <c r="K229" s="203"/>
      <c r="L229" s="140">
        <f t="shared" si="298"/>
        <v>0</v>
      </c>
      <c r="M229" s="1370"/>
      <c r="N229" s="203"/>
      <c r="O229" s="1335">
        <f t="shared" si="299"/>
        <v>0</v>
      </c>
      <c r="P229" s="1336"/>
    </row>
    <row r="230" spans="1:16" hidden="1" x14ac:dyDescent="0.25">
      <c r="A230" s="176">
        <v>6000</v>
      </c>
      <c r="B230" s="176" t="s">
        <v>247</v>
      </c>
      <c r="C230" s="1326">
        <f t="shared" si="283"/>
        <v>0</v>
      </c>
      <c r="D230" s="178">
        <f>D231+D251+D259</f>
        <v>0</v>
      </c>
      <c r="E230" s="179">
        <f t="shared" ref="E230:F230" si="300">E231+E251+E259</f>
        <v>0</v>
      </c>
      <c r="F230" s="180">
        <f t="shared" si="300"/>
        <v>0</v>
      </c>
      <c r="G230" s="178">
        <f>G231+G251+G259</f>
        <v>0</v>
      </c>
      <c r="H230" s="1327">
        <f t="shared" ref="H230:I230" si="301">H231+H251+H259</f>
        <v>0</v>
      </c>
      <c r="I230" s="1328">
        <f t="shared" si="301"/>
        <v>0</v>
      </c>
      <c r="J230" s="1327">
        <f>J231+J251+J259</f>
        <v>0</v>
      </c>
      <c r="K230" s="179">
        <f t="shared" ref="K230:L230" si="302">K231+K251+K259</f>
        <v>0</v>
      </c>
      <c r="L230" s="180">
        <f t="shared" si="302"/>
        <v>0</v>
      </c>
      <c r="M230" s="1326">
        <f>M231+M251+M259</f>
        <v>0</v>
      </c>
      <c r="N230" s="179">
        <f t="shared" ref="N230:O230" si="303">N231+N251+N259</f>
        <v>0</v>
      </c>
      <c r="O230" s="1328">
        <f t="shared" si="303"/>
        <v>0</v>
      </c>
      <c r="P230" s="1329"/>
    </row>
    <row r="231" spans="1:16" ht="14.25" hidden="1" customHeight="1" x14ac:dyDescent="0.25">
      <c r="A231" s="216">
        <v>6200</v>
      </c>
      <c r="B231" s="207" t="s">
        <v>248</v>
      </c>
      <c r="C231" s="1331">
        <f t="shared" si="283"/>
        <v>0</v>
      </c>
      <c r="D231" s="218">
        <f>SUM(D232,D233,D235,D238,D244,D245,D246)</f>
        <v>0</v>
      </c>
      <c r="E231" s="219">
        <f t="shared" ref="E231:F231" si="304">SUM(E232,E233,E235,E238,E244,E245,E246)</f>
        <v>0</v>
      </c>
      <c r="F231" s="220">
        <f t="shared" si="304"/>
        <v>0</v>
      </c>
      <c r="G231" s="218">
        <f>SUM(G232,G233,G235,G238,G244,G245,G246)</f>
        <v>0</v>
      </c>
      <c r="H231" s="1382">
        <f t="shared" ref="H231:I231" si="305">SUM(H232,H233,H235,H238,H244,H245,H246)</f>
        <v>0</v>
      </c>
      <c r="I231" s="1332">
        <f t="shared" si="305"/>
        <v>0</v>
      </c>
      <c r="J231" s="1382">
        <f>SUM(J232,J233,J235,J238,J244,J245,J246)</f>
        <v>0</v>
      </c>
      <c r="K231" s="219">
        <f t="shared" ref="K231:L231" si="306">SUM(K232,K233,K235,K238,K244,K245,K246)</f>
        <v>0</v>
      </c>
      <c r="L231" s="220">
        <f t="shared" si="306"/>
        <v>0</v>
      </c>
      <c r="M231" s="1331">
        <f>SUM(M232,M233,M235,M238,M244,M245,M246)</f>
        <v>0</v>
      </c>
      <c r="N231" s="219">
        <f t="shared" ref="N231:O231" si="307">SUM(N232,N233,N235,N238,N244,N245,N246)</f>
        <v>0</v>
      </c>
      <c r="O231" s="1332">
        <f t="shared" si="307"/>
        <v>0</v>
      </c>
      <c r="P231" s="1333"/>
    </row>
    <row r="232" spans="1:16" ht="24" hidden="1" x14ac:dyDescent="0.25">
      <c r="A232" s="1212">
        <v>6220</v>
      </c>
      <c r="B232" s="81" t="s">
        <v>249</v>
      </c>
      <c r="C232" s="1264">
        <f t="shared" si="283"/>
        <v>0</v>
      </c>
      <c r="D232" s="196"/>
      <c r="E232" s="197"/>
      <c r="F232" s="133">
        <f>D232+E232</f>
        <v>0</v>
      </c>
      <c r="G232" s="196"/>
      <c r="H232" s="1267"/>
      <c r="I232" s="1337">
        <f>G232+H232</f>
        <v>0</v>
      </c>
      <c r="J232" s="1267"/>
      <c r="K232" s="197"/>
      <c r="L232" s="133">
        <f>J232+K232</f>
        <v>0</v>
      </c>
      <c r="M232" s="1338"/>
      <c r="N232" s="197"/>
      <c r="O232" s="1337">
        <f>M232+N232</f>
        <v>0</v>
      </c>
      <c r="P232" s="1339"/>
    </row>
    <row r="233" spans="1:16" hidden="1" x14ac:dyDescent="0.25">
      <c r="A233" s="188">
        <v>6230</v>
      </c>
      <c r="B233" s="88" t="s">
        <v>250</v>
      </c>
      <c r="C233" s="1270">
        <f t="shared" si="283"/>
        <v>0</v>
      </c>
      <c r="D233" s="189">
        <f t="shared" ref="D233:O233" si="308">SUM(D234)</f>
        <v>0</v>
      </c>
      <c r="E233" s="190">
        <f t="shared" si="308"/>
        <v>0</v>
      </c>
      <c r="F233" s="55">
        <f t="shared" si="308"/>
        <v>0</v>
      </c>
      <c r="G233" s="189">
        <f t="shared" si="308"/>
        <v>0</v>
      </c>
      <c r="H233" s="1342">
        <f t="shared" si="308"/>
        <v>0</v>
      </c>
      <c r="I233" s="1340">
        <f t="shared" si="308"/>
        <v>0</v>
      </c>
      <c r="J233" s="1342">
        <f t="shared" si="308"/>
        <v>0</v>
      </c>
      <c r="K233" s="190">
        <f t="shared" si="308"/>
        <v>0</v>
      </c>
      <c r="L233" s="55">
        <f t="shared" si="308"/>
        <v>0</v>
      </c>
      <c r="M233" s="1270">
        <f t="shared" si="308"/>
        <v>0</v>
      </c>
      <c r="N233" s="190">
        <f t="shared" si="308"/>
        <v>0</v>
      </c>
      <c r="O233" s="1340">
        <f t="shared" si="308"/>
        <v>0</v>
      </c>
      <c r="P233" s="1343"/>
    </row>
    <row r="234" spans="1:16" ht="24" hidden="1" x14ac:dyDescent="0.25">
      <c r="A234" s="51">
        <v>6239</v>
      </c>
      <c r="B234" s="81" t="s">
        <v>251</v>
      </c>
      <c r="C234" s="1270">
        <f t="shared" si="283"/>
        <v>0</v>
      </c>
      <c r="D234" s="196"/>
      <c r="E234" s="197"/>
      <c r="F234" s="133">
        <f>D234+E234</f>
        <v>0</v>
      </c>
      <c r="G234" s="196"/>
      <c r="H234" s="1267"/>
      <c r="I234" s="1337">
        <f>G234+H234</f>
        <v>0</v>
      </c>
      <c r="J234" s="1267"/>
      <c r="K234" s="197"/>
      <c r="L234" s="133">
        <f>J234+K234</f>
        <v>0</v>
      </c>
      <c r="M234" s="1338"/>
      <c r="N234" s="197"/>
      <c r="O234" s="1337">
        <f>M234+N234</f>
        <v>0</v>
      </c>
      <c r="P234" s="1339"/>
    </row>
    <row r="235" spans="1:16" ht="24" hidden="1" x14ac:dyDescent="0.25">
      <c r="A235" s="188">
        <v>6240</v>
      </c>
      <c r="B235" s="88" t="s">
        <v>252</v>
      </c>
      <c r="C235" s="1270">
        <f t="shared" si="283"/>
        <v>0</v>
      </c>
      <c r="D235" s="189">
        <f>SUM(D236:D237)</f>
        <v>0</v>
      </c>
      <c r="E235" s="190">
        <f t="shared" ref="E235:F235" si="309">SUM(E236:E237)</f>
        <v>0</v>
      </c>
      <c r="F235" s="55">
        <f t="shared" si="309"/>
        <v>0</v>
      </c>
      <c r="G235" s="189">
        <f>SUM(G236:G237)</f>
        <v>0</v>
      </c>
      <c r="H235" s="1342">
        <f t="shared" ref="H235:I235" si="310">SUM(H236:H237)</f>
        <v>0</v>
      </c>
      <c r="I235" s="1340">
        <f t="shared" si="310"/>
        <v>0</v>
      </c>
      <c r="J235" s="1342">
        <f>SUM(J236:J237)</f>
        <v>0</v>
      </c>
      <c r="K235" s="190">
        <f t="shared" ref="K235:L235" si="311">SUM(K236:K237)</f>
        <v>0</v>
      </c>
      <c r="L235" s="55">
        <f t="shared" si="311"/>
        <v>0</v>
      </c>
      <c r="M235" s="1270">
        <f>SUM(M236:M237)</f>
        <v>0</v>
      </c>
      <c r="N235" s="190">
        <f t="shared" ref="N235:O235" si="312">SUM(N236:N237)</f>
        <v>0</v>
      </c>
      <c r="O235" s="1340">
        <f t="shared" si="312"/>
        <v>0</v>
      </c>
      <c r="P235" s="1343"/>
    </row>
    <row r="236" spans="1:16" hidden="1" x14ac:dyDescent="0.25">
      <c r="A236" s="51">
        <v>6241</v>
      </c>
      <c r="B236" s="88" t="s">
        <v>253</v>
      </c>
      <c r="C236" s="1270">
        <f t="shared" si="283"/>
        <v>0</v>
      </c>
      <c r="D236" s="194"/>
      <c r="E236" s="195"/>
      <c r="F236" s="55">
        <f t="shared" ref="F236:F237" si="313">D236+E236</f>
        <v>0</v>
      </c>
      <c r="G236" s="194"/>
      <c r="H236" s="1273"/>
      <c r="I236" s="1340">
        <f t="shared" ref="I236:I237" si="314">G236+H236</f>
        <v>0</v>
      </c>
      <c r="J236" s="1273"/>
      <c r="K236" s="195"/>
      <c r="L236" s="55">
        <f t="shared" ref="L236:L237" si="315">J236+K236</f>
        <v>0</v>
      </c>
      <c r="M236" s="1341"/>
      <c r="N236" s="195"/>
      <c r="O236" s="1340">
        <f t="shared" ref="O236:O237" si="316">M236+N236</f>
        <v>0</v>
      </c>
      <c r="P236" s="1343"/>
    </row>
    <row r="237" spans="1:16" hidden="1" x14ac:dyDescent="0.25">
      <c r="A237" s="51">
        <v>6242</v>
      </c>
      <c r="B237" s="88" t="s">
        <v>254</v>
      </c>
      <c r="C237" s="1270">
        <f t="shared" si="283"/>
        <v>0</v>
      </c>
      <c r="D237" s="194"/>
      <c r="E237" s="195"/>
      <c r="F237" s="55">
        <f t="shared" si="313"/>
        <v>0</v>
      </c>
      <c r="G237" s="194"/>
      <c r="H237" s="1273"/>
      <c r="I237" s="1340">
        <f t="shared" si="314"/>
        <v>0</v>
      </c>
      <c r="J237" s="1273"/>
      <c r="K237" s="195"/>
      <c r="L237" s="55">
        <f t="shared" si="315"/>
        <v>0</v>
      </c>
      <c r="M237" s="1341"/>
      <c r="N237" s="195"/>
      <c r="O237" s="1340">
        <f t="shared" si="316"/>
        <v>0</v>
      </c>
      <c r="P237" s="1343"/>
    </row>
    <row r="238" spans="1:16" ht="25.5" hidden="1" customHeight="1" x14ac:dyDescent="0.25">
      <c r="A238" s="188">
        <v>6250</v>
      </c>
      <c r="B238" s="88" t="s">
        <v>255</v>
      </c>
      <c r="C238" s="1270">
        <f t="shared" si="283"/>
        <v>0</v>
      </c>
      <c r="D238" s="189">
        <f>SUM(D239:D243)</f>
        <v>0</v>
      </c>
      <c r="E238" s="190">
        <f t="shared" ref="E238:F238" si="317">SUM(E239:E243)</f>
        <v>0</v>
      </c>
      <c r="F238" s="55">
        <f t="shared" si="317"/>
        <v>0</v>
      </c>
      <c r="G238" s="189">
        <f>SUM(G239:G243)</f>
        <v>0</v>
      </c>
      <c r="H238" s="1342">
        <f t="shared" ref="H238:I238" si="318">SUM(H239:H243)</f>
        <v>0</v>
      </c>
      <c r="I238" s="1340">
        <f t="shared" si="318"/>
        <v>0</v>
      </c>
      <c r="J238" s="1342">
        <f>SUM(J239:J243)</f>
        <v>0</v>
      </c>
      <c r="K238" s="190">
        <f t="shared" ref="K238:L238" si="319">SUM(K239:K243)</f>
        <v>0</v>
      </c>
      <c r="L238" s="55">
        <f t="shared" si="319"/>
        <v>0</v>
      </c>
      <c r="M238" s="1270">
        <f>SUM(M239:M243)</f>
        <v>0</v>
      </c>
      <c r="N238" s="190">
        <f t="shared" ref="N238:O238" si="320">SUM(N239:N243)</f>
        <v>0</v>
      </c>
      <c r="O238" s="1340">
        <f t="shared" si="320"/>
        <v>0</v>
      </c>
      <c r="P238" s="1343"/>
    </row>
    <row r="239" spans="1:16" ht="14.25" hidden="1" customHeight="1" x14ac:dyDescent="0.25">
      <c r="A239" s="51">
        <v>6252</v>
      </c>
      <c r="B239" s="88" t="s">
        <v>256</v>
      </c>
      <c r="C239" s="1270">
        <f t="shared" si="283"/>
        <v>0</v>
      </c>
      <c r="D239" s="194"/>
      <c r="E239" s="195"/>
      <c r="F239" s="55">
        <f t="shared" ref="F239:F245" si="321">D239+E239</f>
        <v>0</v>
      </c>
      <c r="G239" s="194"/>
      <c r="H239" s="1273"/>
      <c r="I239" s="1340">
        <f t="shared" ref="I239:I245" si="322">G239+H239</f>
        <v>0</v>
      </c>
      <c r="J239" s="1273"/>
      <c r="K239" s="195"/>
      <c r="L239" s="55">
        <f t="shared" ref="L239:L245" si="323">J239+K239</f>
        <v>0</v>
      </c>
      <c r="M239" s="1341"/>
      <c r="N239" s="195"/>
      <c r="O239" s="1340">
        <f t="shared" ref="O239:O245" si="324">M239+N239</f>
        <v>0</v>
      </c>
      <c r="P239" s="1343"/>
    </row>
    <row r="240" spans="1:16" ht="14.25" hidden="1" customHeight="1" x14ac:dyDescent="0.25">
      <c r="A240" s="51">
        <v>6253</v>
      </c>
      <c r="B240" s="88" t="s">
        <v>257</v>
      </c>
      <c r="C240" s="1270">
        <f t="shared" si="283"/>
        <v>0</v>
      </c>
      <c r="D240" s="194"/>
      <c r="E240" s="195"/>
      <c r="F240" s="55">
        <f t="shared" si="321"/>
        <v>0</v>
      </c>
      <c r="G240" s="194"/>
      <c r="H240" s="1273"/>
      <c r="I240" s="1340">
        <f t="shared" si="322"/>
        <v>0</v>
      </c>
      <c r="J240" s="1273"/>
      <c r="K240" s="195"/>
      <c r="L240" s="55">
        <f t="shared" si="323"/>
        <v>0</v>
      </c>
      <c r="M240" s="1341"/>
      <c r="N240" s="195"/>
      <c r="O240" s="1340">
        <f t="shared" si="324"/>
        <v>0</v>
      </c>
      <c r="P240" s="1343"/>
    </row>
    <row r="241" spans="1:16" ht="24" hidden="1" x14ac:dyDescent="0.25">
      <c r="A241" s="51">
        <v>6254</v>
      </c>
      <c r="B241" s="88" t="s">
        <v>1739</v>
      </c>
      <c r="C241" s="1270">
        <f t="shared" si="283"/>
        <v>0</v>
      </c>
      <c r="D241" s="194"/>
      <c r="E241" s="195"/>
      <c r="F241" s="55">
        <f t="shared" si="321"/>
        <v>0</v>
      </c>
      <c r="G241" s="194"/>
      <c r="H241" s="1273"/>
      <c r="I241" s="1340">
        <f t="shared" si="322"/>
        <v>0</v>
      </c>
      <c r="J241" s="1273"/>
      <c r="K241" s="195"/>
      <c r="L241" s="55">
        <f t="shared" si="323"/>
        <v>0</v>
      </c>
      <c r="M241" s="1341"/>
      <c r="N241" s="195"/>
      <c r="O241" s="1340">
        <f t="shared" si="324"/>
        <v>0</v>
      </c>
      <c r="P241" s="1343"/>
    </row>
    <row r="242" spans="1:16" ht="24" hidden="1" x14ac:dyDescent="0.25">
      <c r="A242" s="51">
        <v>6255</v>
      </c>
      <c r="B242" s="88" t="s">
        <v>259</v>
      </c>
      <c r="C242" s="1270">
        <f t="shared" si="283"/>
        <v>0</v>
      </c>
      <c r="D242" s="194"/>
      <c r="E242" s="195"/>
      <c r="F242" s="55">
        <f t="shared" si="321"/>
        <v>0</v>
      </c>
      <c r="G242" s="194"/>
      <c r="H242" s="1273"/>
      <c r="I242" s="1340">
        <f t="shared" si="322"/>
        <v>0</v>
      </c>
      <c r="J242" s="1273"/>
      <c r="K242" s="195"/>
      <c r="L242" s="55">
        <f t="shared" si="323"/>
        <v>0</v>
      </c>
      <c r="M242" s="1341"/>
      <c r="N242" s="195"/>
      <c r="O242" s="1340">
        <f t="shared" si="324"/>
        <v>0</v>
      </c>
      <c r="P242" s="1343"/>
    </row>
    <row r="243" spans="1:16" hidden="1" x14ac:dyDescent="0.25">
      <c r="A243" s="51">
        <v>6259</v>
      </c>
      <c r="B243" s="88" t="s">
        <v>260</v>
      </c>
      <c r="C243" s="1270">
        <f t="shared" si="283"/>
        <v>0</v>
      </c>
      <c r="D243" s="194"/>
      <c r="E243" s="195"/>
      <c r="F243" s="55">
        <f t="shared" si="321"/>
        <v>0</v>
      </c>
      <c r="G243" s="194"/>
      <c r="H243" s="1273"/>
      <c r="I243" s="1340">
        <f t="shared" si="322"/>
        <v>0</v>
      </c>
      <c r="J243" s="1273"/>
      <c r="K243" s="195"/>
      <c r="L243" s="55">
        <f t="shared" si="323"/>
        <v>0</v>
      </c>
      <c r="M243" s="1341"/>
      <c r="N243" s="195"/>
      <c r="O243" s="1340">
        <f t="shared" si="324"/>
        <v>0</v>
      </c>
      <c r="P243" s="1343"/>
    </row>
    <row r="244" spans="1:16" ht="24" hidden="1" x14ac:dyDescent="0.25">
      <c r="A244" s="188">
        <v>6260</v>
      </c>
      <c r="B244" s="88" t="s">
        <v>261</v>
      </c>
      <c r="C244" s="1270">
        <f t="shared" si="283"/>
        <v>0</v>
      </c>
      <c r="D244" s="194"/>
      <c r="E244" s="195"/>
      <c r="F244" s="55">
        <f t="shared" si="321"/>
        <v>0</v>
      </c>
      <c r="G244" s="194"/>
      <c r="H244" s="1273"/>
      <c r="I244" s="1340">
        <f t="shared" si="322"/>
        <v>0</v>
      </c>
      <c r="J244" s="1273"/>
      <c r="K244" s="195"/>
      <c r="L244" s="55">
        <f t="shared" si="323"/>
        <v>0</v>
      </c>
      <c r="M244" s="1341"/>
      <c r="N244" s="195"/>
      <c r="O244" s="1340">
        <f t="shared" si="324"/>
        <v>0</v>
      </c>
      <c r="P244" s="1343"/>
    </row>
    <row r="245" spans="1:16" hidden="1" x14ac:dyDescent="0.25">
      <c r="A245" s="188">
        <v>6270</v>
      </c>
      <c r="B245" s="88" t="s">
        <v>262</v>
      </c>
      <c r="C245" s="1270">
        <f t="shared" si="283"/>
        <v>0</v>
      </c>
      <c r="D245" s="194"/>
      <c r="E245" s="195"/>
      <c r="F245" s="55">
        <f t="shared" si="321"/>
        <v>0</v>
      </c>
      <c r="G245" s="194"/>
      <c r="H245" s="1273"/>
      <c r="I245" s="1340">
        <f t="shared" si="322"/>
        <v>0</v>
      </c>
      <c r="J245" s="1273"/>
      <c r="K245" s="195"/>
      <c r="L245" s="55">
        <f t="shared" si="323"/>
        <v>0</v>
      </c>
      <c r="M245" s="1341"/>
      <c r="N245" s="195"/>
      <c r="O245" s="1340">
        <f t="shared" si="324"/>
        <v>0</v>
      </c>
      <c r="P245" s="1343"/>
    </row>
    <row r="246" spans="1:16" ht="24" hidden="1" x14ac:dyDescent="0.25">
      <c r="A246" s="1212">
        <v>6290</v>
      </c>
      <c r="B246" s="81" t="s">
        <v>263</v>
      </c>
      <c r="C246" s="1376">
        <f t="shared" si="283"/>
        <v>0</v>
      </c>
      <c r="D246" s="192">
        <f>SUM(D247:D250)</f>
        <v>0</v>
      </c>
      <c r="E246" s="193">
        <f t="shared" ref="E246:O246" si="325">SUM(E247:E250)</f>
        <v>0</v>
      </c>
      <c r="F246" s="133">
        <f t="shared" si="325"/>
        <v>0</v>
      </c>
      <c r="G246" s="192">
        <f t="shared" si="325"/>
        <v>0</v>
      </c>
      <c r="H246" s="1357">
        <f t="shared" si="325"/>
        <v>0</v>
      </c>
      <c r="I246" s="1337">
        <f t="shared" si="325"/>
        <v>0</v>
      </c>
      <c r="J246" s="1357">
        <f t="shared" si="325"/>
        <v>0</v>
      </c>
      <c r="K246" s="193">
        <f t="shared" si="325"/>
        <v>0</v>
      </c>
      <c r="L246" s="133">
        <f t="shared" si="325"/>
        <v>0</v>
      </c>
      <c r="M246" s="1376">
        <f t="shared" si="325"/>
        <v>0</v>
      </c>
      <c r="N246" s="1377">
        <f t="shared" si="325"/>
        <v>0</v>
      </c>
      <c r="O246" s="1378">
        <f t="shared" si="325"/>
        <v>0</v>
      </c>
      <c r="P246" s="1379"/>
    </row>
    <row r="247" spans="1:16" hidden="1" x14ac:dyDescent="0.25">
      <c r="A247" s="51">
        <v>6291</v>
      </c>
      <c r="B247" s="88" t="s">
        <v>264</v>
      </c>
      <c r="C247" s="1270">
        <f t="shared" si="283"/>
        <v>0</v>
      </c>
      <c r="D247" s="194"/>
      <c r="E247" s="195"/>
      <c r="F247" s="55">
        <f t="shared" ref="F247:F250" si="326">D247+E247</f>
        <v>0</v>
      </c>
      <c r="G247" s="194"/>
      <c r="H247" s="1273"/>
      <c r="I247" s="1340">
        <f t="shared" ref="I247:I250" si="327">G247+H247</f>
        <v>0</v>
      </c>
      <c r="J247" s="1273"/>
      <c r="K247" s="195"/>
      <c r="L247" s="55">
        <f t="shared" ref="L247:L250" si="328">J247+K247</f>
        <v>0</v>
      </c>
      <c r="M247" s="1341"/>
      <c r="N247" s="195"/>
      <c r="O247" s="1340">
        <f t="shared" ref="O247:O250" si="329">M247+N247</f>
        <v>0</v>
      </c>
      <c r="P247" s="1343"/>
    </row>
    <row r="248" spans="1:16" hidden="1" x14ac:dyDescent="0.25">
      <c r="A248" s="51">
        <v>6292</v>
      </c>
      <c r="B248" s="88" t="s">
        <v>265</v>
      </c>
      <c r="C248" s="1270">
        <f t="shared" si="283"/>
        <v>0</v>
      </c>
      <c r="D248" s="194"/>
      <c r="E248" s="195"/>
      <c r="F248" s="55">
        <f t="shared" si="326"/>
        <v>0</v>
      </c>
      <c r="G248" s="194"/>
      <c r="H248" s="1273"/>
      <c r="I248" s="1340">
        <f t="shared" si="327"/>
        <v>0</v>
      </c>
      <c r="J248" s="1273"/>
      <c r="K248" s="195"/>
      <c r="L248" s="55">
        <f t="shared" si="328"/>
        <v>0</v>
      </c>
      <c r="M248" s="1341"/>
      <c r="N248" s="195"/>
      <c r="O248" s="1340">
        <f t="shared" si="329"/>
        <v>0</v>
      </c>
      <c r="P248" s="1343"/>
    </row>
    <row r="249" spans="1:16" ht="72" hidden="1" x14ac:dyDescent="0.25">
      <c r="A249" s="51">
        <v>6296</v>
      </c>
      <c r="B249" s="88" t="s">
        <v>266</v>
      </c>
      <c r="C249" s="1270">
        <f t="shared" si="283"/>
        <v>0</v>
      </c>
      <c r="D249" s="194"/>
      <c r="E249" s="195"/>
      <c r="F249" s="55">
        <f t="shared" si="326"/>
        <v>0</v>
      </c>
      <c r="G249" s="194"/>
      <c r="H249" s="1273"/>
      <c r="I249" s="1340">
        <f t="shared" si="327"/>
        <v>0</v>
      </c>
      <c r="J249" s="1273"/>
      <c r="K249" s="195"/>
      <c r="L249" s="55">
        <f t="shared" si="328"/>
        <v>0</v>
      </c>
      <c r="M249" s="1341"/>
      <c r="N249" s="195"/>
      <c r="O249" s="1340">
        <f t="shared" si="329"/>
        <v>0</v>
      </c>
      <c r="P249" s="1343"/>
    </row>
    <row r="250" spans="1:16" ht="39.75" hidden="1" customHeight="1" x14ac:dyDescent="0.25">
      <c r="A250" s="51">
        <v>6299</v>
      </c>
      <c r="B250" s="88" t="s">
        <v>267</v>
      </c>
      <c r="C250" s="1270">
        <f t="shared" si="283"/>
        <v>0</v>
      </c>
      <c r="D250" s="194"/>
      <c r="E250" s="195"/>
      <c r="F250" s="55">
        <f t="shared" si="326"/>
        <v>0</v>
      </c>
      <c r="G250" s="194"/>
      <c r="H250" s="1273"/>
      <c r="I250" s="1340">
        <f t="shared" si="327"/>
        <v>0</v>
      </c>
      <c r="J250" s="1273"/>
      <c r="K250" s="195"/>
      <c r="L250" s="55">
        <f t="shared" si="328"/>
        <v>0</v>
      </c>
      <c r="M250" s="1341"/>
      <c r="N250" s="195"/>
      <c r="O250" s="1340">
        <f t="shared" si="329"/>
        <v>0</v>
      </c>
      <c r="P250" s="1343"/>
    </row>
    <row r="251" spans="1:16" hidden="1" x14ac:dyDescent="0.25">
      <c r="A251" s="68">
        <v>6300</v>
      </c>
      <c r="B251" s="182" t="s">
        <v>268</v>
      </c>
      <c r="C251" s="1258">
        <f t="shared" si="283"/>
        <v>0</v>
      </c>
      <c r="D251" s="183">
        <f>SUM(D252,D257,D258)</f>
        <v>0</v>
      </c>
      <c r="E251" s="184">
        <f t="shared" ref="E251:O251" si="330">SUM(E252,E257,E258)</f>
        <v>0</v>
      </c>
      <c r="F251" s="72">
        <f t="shared" si="330"/>
        <v>0</v>
      </c>
      <c r="G251" s="183">
        <f t="shared" si="330"/>
        <v>0</v>
      </c>
      <c r="H251" s="1263">
        <f t="shared" si="330"/>
        <v>0</v>
      </c>
      <c r="I251" s="1330">
        <f t="shared" si="330"/>
        <v>0</v>
      </c>
      <c r="J251" s="1263">
        <f t="shared" si="330"/>
        <v>0</v>
      </c>
      <c r="K251" s="184">
        <f t="shared" si="330"/>
        <v>0</v>
      </c>
      <c r="L251" s="72">
        <f t="shared" si="330"/>
        <v>0</v>
      </c>
      <c r="M251" s="1282">
        <f t="shared" si="330"/>
        <v>0</v>
      </c>
      <c r="N251" s="235">
        <f t="shared" si="330"/>
        <v>0</v>
      </c>
      <c r="O251" s="1358">
        <f t="shared" si="330"/>
        <v>0</v>
      </c>
      <c r="P251" s="1359"/>
    </row>
    <row r="252" spans="1:16" ht="24" hidden="1" x14ac:dyDescent="0.25">
      <c r="A252" s="1212">
        <v>6320</v>
      </c>
      <c r="B252" s="81" t="s">
        <v>269</v>
      </c>
      <c r="C252" s="1376">
        <f t="shared" si="283"/>
        <v>0</v>
      </c>
      <c r="D252" s="192">
        <f>SUM(D253:D256)</f>
        <v>0</v>
      </c>
      <c r="E252" s="193">
        <f t="shared" ref="E252:O252" si="331">SUM(E253:E256)</f>
        <v>0</v>
      </c>
      <c r="F252" s="133">
        <f t="shared" si="331"/>
        <v>0</v>
      </c>
      <c r="G252" s="192">
        <f t="shared" si="331"/>
        <v>0</v>
      </c>
      <c r="H252" s="1357">
        <f t="shared" si="331"/>
        <v>0</v>
      </c>
      <c r="I252" s="1337">
        <f t="shared" si="331"/>
        <v>0</v>
      </c>
      <c r="J252" s="1357">
        <f t="shared" si="331"/>
        <v>0</v>
      </c>
      <c r="K252" s="193">
        <f t="shared" si="331"/>
        <v>0</v>
      </c>
      <c r="L252" s="133">
        <f t="shared" si="331"/>
        <v>0</v>
      </c>
      <c r="M252" s="1264">
        <f t="shared" si="331"/>
        <v>0</v>
      </c>
      <c r="N252" s="193">
        <f t="shared" si="331"/>
        <v>0</v>
      </c>
      <c r="O252" s="1337">
        <f t="shared" si="331"/>
        <v>0</v>
      </c>
      <c r="P252" s="1339"/>
    </row>
    <row r="253" spans="1:16" hidden="1" x14ac:dyDescent="0.25">
      <c r="A253" s="51">
        <v>6322</v>
      </c>
      <c r="B253" s="88" t="s">
        <v>270</v>
      </c>
      <c r="C253" s="1270">
        <f t="shared" si="283"/>
        <v>0</v>
      </c>
      <c r="D253" s="194"/>
      <c r="E253" s="195"/>
      <c r="F253" s="55">
        <f t="shared" ref="F253:F258" si="332">D253+E253</f>
        <v>0</v>
      </c>
      <c r="G253" s="194"/>
      <c r="H253" s="1273"/>
      <c r="I253" s="1340">
        <f t="shared" ref="I253:I258" si="333">G253+H253</f>
        <v>0</v>
      </c>
      <c r="J253" s="1273"/>
      <c r="K253" s="195"/>
      <c r="L253" s="55">
        <f t="shared" ref="L253:L258" si="334">J253+K253</f>
        <v>0</v>
      </c>
      <c r="M253" s="1341"/>
      <c r="N253" s="195"/>
      <c r="O253" s="1340">
        <f t="shared" ref="O253:O258" si="335">M253+N253</f>
        <v>0</v>
      </c>
      <c r="P253" s="1343"/>
    </row>
    <row r="254" spans="1:16" ht="24" hidden="1" x14ac:dyDescent="0.25">
      <c r="A254" s="51">
        <v>6323</v>
      </c>
      <c r="B254" s="88" t="s">
        <v>1740</v>
      </c>
      <c r="C254" s="1270">
        <f t="shared" si="283"/>
        <v>0</v>
      </c>
      <c r="D254" s="194"/>
      <c r="E254" s="195"/>
      <c r="F254" s="55">
        <f t="shared" si="332"/>
        <v>0</v>
      </c>
      <c r="G254" s="194"/>
      <c r="H254" s="1273"/>
      <c r="I254" s="1340">
        <f t="shared" si="333"/>
        <v>0</v>
      </c>
      <c r="J254" s="1273"/>
      <c r="K254" s="195"/>
      <c r="L254" s="55">
        <f t="shared" si="334"/>
        <v>0</v>
      </c>
      <c r="M254" s="1341"/>
      <c r="N254" s="195"/>
      <c r="O254" s="1340">
        <f t="shared" si="335"/>
        <v>0</v>
      </c>
      <c r="P254" s="1343"/>
    </row>
    <row r="255" spans="1:16" ht="24" hidden="1" x14ac:dyDescent="0.25">
      <c r="A255" s="51">
        <v>6324</v>
      </c>
      <c r="B255" s="88" t="s">
        <v>272</v>
      </c>
      <c r="C255" s="1270">
        <f t="shared" si="283"/>
        <v>0</v>
      </c>
      <c r="D255" s="194"/>
      <c r="E255" s="195"/>
      <c r="F255" s="55">
        <f t="shared" si="332"/>
        <v>0</v>
      </c>
      <c r="G255" s="194"/>
      <c r="H255" s="1273"/>
      <c r="I255" s="1340">
        <f t="shared" si="333"/>
        <v>0</v>
      </c>
      <c r="J255" s="1273"/>
      <c r="K255" s="195"/>
      <c r="L255" s="55">
        <f t="shared" si="334"/>
        <v>0</v>
      </c>
      <c r="M255" s="1341"/>
      <c r="N255" s="195"/>
      <c r="O255" s="1340">
        <f t="shared" si="335"/>
        <v>0</v>
      </c>
      <c r="P255" s="1343"/>
    </row>
    <row r="256" spans="1:16" hidden="1" x14ac:dyDescent="0.25">
      <c r="A256" s="44">
        <v>6329</v>
      </c>
      <c r="B256" s="81" t="s">
        <v>273</v>
      </c>
      <c r="C256" s="1264">
        <f t="shared" si="283"/>
        <v>0</v>
      </c>
      <c r="D256" s="196"/>
      <c r="E256" s="197"/>
      <c r="F256" s="133">
        <f t="shared" si="332"/>
        <v>0</v>
      </c>
      <c r="G256" s="196"/>
      <c r="H256" s="1267"/>
      <c r="I256" s="1337">
        <f t="shared" si="333"/>
        <v>0</v>
      </c>
      <c r="J256" s="1267"/>
      <c r="K256" s="197"/>
      <c r="L256" s="133">
        <f t="shared" si="334"/>
        <v>0</v>
      </c>
      <c r="M256" s="1338"/>
      <c r="N256" s="197"/>
      <c r="O256" s="1337">
        <f t="shared" si="335"/>
        <v>0</v>
      </c>
      <c r="P256" s="1339"/>
    </row>
    <row r="257" spans="1:16" ht="24" hidden="1" x14ac:dyDescent="0.25">
      <c r="A257" s="225">
        <v>6330</v>
      </c>
      <c r="B257" s="226" t="s">
        <v>274</v>
      </c>
      <c r="C257" s="1376">
        <f t="shared" si="283"/>
        <v>0</v>
      </c>
      <c r="D257" s="210"/>
      <c r="E257" s="211"/>
      <c r="F257" s="212">
        <f t="shared" si="332"/>
        <v>0</v>
      </c>
      <c r="G257" s="210"/>
      <c r="H257" s="1380"/>
      <c r="I257" s="1378">
        <f t="shared" si="333"/>
        <v>0</v>
      </c>
      <c r="J257" s="1380"/>
      <c r="K257" s="211"/>
      <c r="L257" s="212">
        <f t="shared" si="334"/>
        <v>0</v>
      </c>
      <c r="M257" s="1381"/>
      <c r="N257" s="211"/>
      <c r="O257" s="1378">
        <f t="shared" si="335"/>
        <v>0</v>
      </c>
      <c r="P257" s="1379"/>
    </row>
    <row r="258" spans="1:16" hidden="1" x14ac:dyDescent="0.25">
      <c r="A258" s="188">
        <v>6360</v>
      </c>
      <c r="B258" s="88" t="s">
        <v>275</v>
      </c>
      <c r="C258" s="1270">
        <f t="shared" si="283"/>
        <v>0</v>
      </c>
      <c r="D258" s="194"/>
      <c r="E258" s="195"/>
      <c r="F258" s="55">
        <f t="shared" si="332"/>
        <v>0</v>
      </c>
      <c r="G258" s="194"/>
      <c r="H258" s="1273"/>
      <c r="I258" s="1340">
        <f t="shared" si="333"/>
        <v>0</v>
      </c>
      <c r="J258" s="1273"/>
      <c r="K258" s="195"/>
      <c r="L258" s="55">
        <f t="shared" si="334"/>
        <v>0</v>
      </c>
      <c r="M258" s="1341"/>
      <c r="N258" s="195"/>
      <c r="O258" s="1340">
        <f t="shared" si="335"/>
        <v>0</v>
      </c>
      <c r="P258" s="1343"/>
    </row>
    <row r="259" spans="1:16" ht="36" hidden="1" x14ac:dyDescent="0.25">
      <c r="A259" s="68">
        <v>6400</v>
      </c>
      <c r="B259" s="182" t="s">
        <v>276</v>
      </c>
      <c r="C259" s="1258">
        <f t="shared" si="283"/>
        <v>0</v>
      </c>
      <c r="D259" s="183">
        <f>SUM(D260,D264)</f>
        <v>0</v>
      </c>
      <c r="E259" s="184">
        <f t="shared" ref="E259:O259" si="336">SUM(E260,E264)</f>
        <v>0</v>
      </c>
      <c r="F259" s="72">
        <f t="shared" si="336"/>
        <v>0</v>
      </c>
      <c r="G259" s="183">
        <f t="shared" si="336"/>
        <v>0</v>
      </c>
      <c r="H259" s="1263">
        <f t="shared" si="336"/>
        <v>0</v>
      </c>
      <c r="I259" s="1330">
        <f t="shared" si="336"/>
        <v>0</v>
      </c>
      <c r="J259" s="1263">
        <f t="shared" si="336"/>
        <v>0</v>
      </c>
      <c r="K259" s="184">
        <f t="shared" si="336"/>
        <v>0</v>
      </c>
      <c r="L259" s="72">
        <f t="shared" si="336"/>
        <v>0</v>
      </c>
      <c r="M259" s="1282">
        <f t="shared" si="336"/>
        <v>0</v>
      </c>
      <c r="N259" s="235">
        <f t="shared" si="336"/>
        <v>0</v>
      </c>
      <c r="O259" s="1358">
        <f t="shared" si="336"/>
        <v>0</v>
      </c>
      <c r="P259" s="1359"/>
    </row>
    <row r="260" spans="1:16" ht="24" hidden="1" x14ac:dyDescent="0.25">
      <c r="A260" s="1212">
        <v>6410</v>
      </c>
      <c r="B260" s="81" t="s">
        <v>277</v>
      </c>
      <c r="C260" s="1264">
        <f t="shared" si="283"/>
        <v>0</v>
      </c>
      <c r="D260" s="192">
        <f>SUM(D261:D263)</f>
        <v>0</v>
      </c>
      <c r="E260" s="193">
        <f t="shared" ref="E260:O260" si="337">SUM(E261:E263)</f>
        <v>0</v>
      </c>
      <c r="F260" s="133">
        <f t="shared" si="337"/>
        <v>0</v>
      </c>
      <c r="G260" s="192">
        <f t="shared" si="337"/>
        <v>0</v>
      </c>
      <c r="H260" s="1357">
        <f t="shared" si="337"/>
        <v>0</v>
      </c>
      <c r="I260" s="1337">
        <f t="shared" si="337"/>
        <v>0</v>
      </c>
      <c r="J260" s="1357">
        <f t="shared" si="337"/>
        <v>0</v>
      </c>
      <c r="K260" s="193">
        <f t="shared" si="337"/>
        <v>0</v>
      </c>
      <c r="L260" s="133">
        <f t="shared" si="337"/>
        <v>0</v>
      </c>
      <c r="M260" s="1276">
        <f t="shared" si="337"/>
        <v>0</v>
      </c>
      <c r="N260" s="1373">
        <f t="shared" si="337"/>
        <v>0</v>
      </c>
      <c r="O260" s="1374">
        <f t="shared" si="337"/>
        <v>0</v>
      </c>
      <c r="P260" s="1375"/>
    </row>
    <row r="261" spans="1:16" hidden="1" x14ac:dyDescent="0.25">
      <c r="A261" s="51">
        <v>6411</v>
      </c>
      <c r="B261" s="199" t="s">
        <v>278</v>
      </c>
      <c r="C261" s="1270">
        <f t="shared" si="283"/>
        <v>0</v>
      </c>
      <c r="D261" s="194"/>
      <c r="E261" s="195"/>
      <c r="F261" s="55">
        <f t="shared" ref="F261:F263" si="338">D261+E261</f>
        <v>0</v>
      </c>
      <c r="G261" s="194"/>
      <c r="H261" s="1273"/>
      <c r="I261" s="1340">
        <f t="shared" ref="I261:I263" si="339">G261+H261</f>
        <v>0</v>
      </c>
      <c r="J261" s="1273"/>
      <c r="K261" s="195"/>
      <c r="L261" s="55">
        <f t="shared" ref="L261:L263" si="340">J261+K261</f>
        <v>0</v>
      </c>
      <c r="M261" s="1341"/>
      <c r="N261" s="195"/>
      <c r="O261" s="1340">
        <f t="shared" ref="O261:O263" si="341">M261+N261</f>
        <v>0</v>
      </c>
      <c r="P261" s="1343"/>
    </row>
    <row r="262" spans="1:16" ht="36" hidden="1" x14ac:dyDescent="0.25">
      <c r="A262" s="51">
        <v>6412</v>
      </c>
      <c r="B262" s="88" t="s">
        <v>279</v>
      </c>
      <c r="C262" s="1270">
        <f t="shared" si="283"/>
        <v>0</v>
      </c>
      <c r="D262" s="194"/>
      <c r="E262" s="195"/>
      <c r="F262" s="55">
        <f t="shared" si="338"/>
        <v>0</v>
      </c>
      <c r="G262" s="194"/>
      <c r="H262" s="1273"/>
      <c r="I262" s="1340">
        <f t="shared" si="339"/>
        <v>0</v>
      </c>
      <c r="J262" s="1273"/>
      <c r="K262" s="195"/>
      <c r="L262" s="55">
        <f t="shared" si="340"/>
        <v>0</v>
      </c>
      <c r="M262" s="1341"/>
      <c r="N262" s="195"/>
      <c r="O262" s="1340">
        <f t="shared" si="341"/>
        <v>0</v>
      </c>
      <c r="P262" s="1343"/>
    </row>
    <row r="263" spans="1:16" ht="36" hidden="1" x14ac:dyDescent="0.25">
      <c r="A263" s="51">
        <v>6419</v>
      </c>
      <c r="B263" s="88" t="s">
        <v>280</v>
      </c>
      <c r="C263" s="1270">
        <f t="shared" si="283"/>
        <v>0</v>
      </c>
      <c r="D263" s="194"/>
      <c r="E263" s="195"/>
      <c r="F263" s="55">
        <f t="shared" si="338"/>
        <v>0</v>
      </c>
      <c r="G263" s="194"/>
      <c r="H263" s="1273"/>
      <c r="I263" s="1340">
        <f t="shared" si="339"/>
        <v>0</v>
      </c>
      <c r="J263" s="1273"/>
      <c r="K263" s="195"/>
      <c r="L263" s="55">
        <f t="shared" si="340"/>
        <v>0</v>
      </c>
      <c r="M263" s="1341"/>
      <c r="N263" s="195"/>
      <c r="O263" s="1340">
        <f t="shared" si="341"/>
        <v>0</v>
      </c>
      <c r="P263" s="1343"/>
    </row>
    <row r="264" spans="1:16" ht="36" hidden="1" x14ac:dyDescent="0.25">
      <c r="A264" s="188">
        <v>6420</v>
      </c>
      <c r="B264" s="88" t="s">
        <v>1741</v>
      </c>
      <c r="C264" s="1270">
        <f t="shared" si="283"/>
        <v>0</v>
      </c>
      <c r="D264" s="189">
        <f>SUM(D265:D268)</f>
        <v>0</v>
      </c>
      <c r="E264" s="190">
        <f t="shared" ref="E264:F264" si="342">SUM(E265:E268)</f>
        <v>0</v>
      </c>
      <c r="F264" s="55">
        <f t="shared" si="342"/>
        <v>0</v>
      </c>
      <c r="G264" s="189">
        <f>SUM(G265:G268)</f>
        <v>0</v>
      </c>
      <c r="H264" s="1342">
        <f t="shared" ref="H264:I264" si="343">SUM(H265:H268)</f>
        <v>0</v>
      </c>
      <c r="I264" s="1340">
        <f t="shared" si="343"/>
        <v>0</v>
      </c>
      <c r="J264" s="1342">
        <f>SUM(J265:J268)</f>
        <v>0</v>
      </c>
      <c r="K264" s="190">
        <f t="shared" ref="K264:L264" si="344">SUM(K265:K268)</f>
        <v>0</v>
      </c>
      <c r="L264" s="55">
        <f t="shared" si="344"/>
        <v>0</v>
      </c>
      <c r="M264" s="1270">
        <f>SUM(M265:M268)</f>
        <v>0</v>
      </c>
      <c r="N264" s="190">
        <f t="shared" ref="N264:O264" si="345">SUM(N265:N268)</f>
        <v>0</v>
      </c>
      <c r="O264" s="1340">
        <f t="shared" si="345"/>
        <v>0</v>
      </c>
      <c r="P264" s="1343"/>
    </row>
    <row r="265" spans="1:16" hidden="1" x14ac:dyDescent="0.25">
      <c r="A265" s="51">
        <v>6421</v>
      </c>
      <c r="B265" s="88" t="s">
        <v>1742</v>
      </c>
      <c r="C265" s="1270">
        <f t="shared" si="283"/>
        <v>0</v>
      </c>
      <c r="D265" s="194"/>
      <c r="E265" s="195"/>
      <c r="F265" s="55">
        <f t="shared" ref="F265:F268" si="346">D265+E265</f>
        <v>0</v>
      </c>
      <c r="G265" s="194"/>
      <c r="H265" s="1273"/>
      <c r="I265" s="1340">
        <f t="shared" ref="I265:I268" si="347">G265+H265</f>
        <v>0</v>
      </c>
      <c r="J265" s="1273"/>
      <c r="K265" s="195"/>
      <c r="L265" s="55">
        <f t="shared" ref="L265:L268" si="348">J265+K265</f>
        <v>0</v>
      </c>
      <c r="M265" s="1341"/>
      <c r="N265" s="195"/>
      <c r="O265" s="1340">
        <f t="shared" ref="O265:O268" si="349">M265+N265</f>
        <v>0</v>
      </c>
      <c r="P265" s="1343"/>
    </row>
    <row r="266" spans="1:16" hidden="1" x14ac:dyDescent="0.25">
      <c r="A266" s="51">
        <v>6422</v>
      </c>
      <c r="B266" s="88" t="s">
        <v>283</v>
      </c>
      <c r="C266" s="1270">
        <f t="shared" si="283"/>
        <v>0</v>
      </c>
      <c r="D266" s="194"/>
      <c r="E266" s="195"/>
      <c r="F266" s="55">
        <f t="shared" si="346"/>
        <v>0</v>
      </c>
      <c r="G266" s="194"/>
      <c r="H266" s="1273"/>
      <c r="I266" s="1340">
        <f t="shared" si="347"/>
        <v>0</v>
      </c>
      <c r="J266" s="1273"/>
      <c r="K266" s="195"/>
      <c r="L266" s="55">
        <f t="shared" si="348"/>
        <v>0</v>
      </c>
      <c r="M266" s="1341"/>
      <c r="N266" s="195"/>
      <c r="O266" s="1340">
        <f t="shared" si="349"/>
        <v>0</v>
      </c>
      <c r="P266" s="1343"/>
    </row>
    <row r="267" spans="1:16" ht="13.5" hidden="1" customHeight="1" x14ac:dyDescent="0.25">
      <c r="A267" s="51">
        <v>6423</v>
      </c>
      <c r="B267" s="88" t="s">
        <v>284</v>
      </c>
      <c r="C267" s="1270">
        <f t="shared" si="283"/>
        <v>0</v>
      </c>
      <c r="D267" s="194"/>
      <c r="E267" s="195"/>
      <c r="F267" s="55">
        <f t="shared" si="346"/>
        <v>0</v>
      </c>
      <c r="G267" s="194"/>
      <c r="H267" s="1273"/>
      <c r="I267" s="1340">
        <f t="shared" si="347"/>
        <v>0</v>
      </c>
      <c r="J267" s="1273"/>
      <c r="K267" s="195"/>
      <c r="L267" s="55">
        <f t="shared" si="348"/>
        <v>0</v>
      </c>
      <c r="M267" s="1341"/>
      <c r="N267" s="195"/>
      <c r="O267" s="1340">
        <f t="shared" si="349"/>
        <v>0</v>
      </c>
      <c r="P267" s="1343"/>
    </row>
    <row r="268" spans="1:16" ht="36" hidden="1" x14ac:dyDescent="0.25">
      <c r="A268" s="51">
        <v>6424</v>
      </c>
      <c r="B268" s="88" t="s">
        <v>285</v>
      </c>
      <c r="C268" s="1270">
        <f t="shared" si="283"/>
        <v>0</v>
      </c>
      <c r="D268" s="194"/>
      <c r="E268" s="195"/>
      <c r="F268" s="55">
        <f t="shared" si="346"/>
        <v>0</v>
      </c>
      <c r="G268" s="194"/>
      <c r="H268" s="1273"/>
      <c r="I268" s="1340">
        <f t="shared" si="347"/>
        <v>0</v>
      </c>
      <c r="J268" s="1273"/>
      <c r="K268" s="195"/>
      <c r="L268" s="55">
        <f t="shared" si="348"/>
        <v>0</v>
      </c>
      <c r="M268" s="1341"/>
      <c r="N268" s="195"/>
      <c r="O268" s="1340">
        <f t="shared" si="349"/>
        <v>0</v>
      </c>
      <c r="P268" s="1343"/>
    </row>
    <row r="269" spans="1:16" ht="36" hidden="1" x14ac:dyDescent="0.25">
      <c r="A269" s="227">
        <v>7000</v>
      </c>
      <c r="B269" s="227" t="s">
        <v>1743</v>
      </c>
      <c r="C269" s="1387">
        <f t="shared" si="283"/>
        <v>0</v>
      </c>
      <c r="D269" s="229">
        <f>SUM(D270,D281)</f>
        <v>0</v>
      </c>
      <c r="E269" s="230">
        <f t="shared" ref="E269:F269" si="350">SUM(E270,E281)</f>
        <v>0</v>
      </c>
      <c r="F269" s="231">
        <f t="shared" si="350"/>
        <v>0</v>
      </c>
      <c r="G269" s="229">
        <f>SUM(G270,G281)</f>
        <v>0</v>
      </c>
      <c r="H269" s="1388">
        <f t="shared" ref="H269:I269" si="351">SUM(H270,H281)</f>
        <v>0</v>
      </c>
      <c r="I269" s="1389">
        <f t="shared" si="351"/>
        <v>0</v>
      </c>
      <c r="J269" s="1388">
        <f>SUM(J270,J281)</f>
        <v>0</v>
      </c>
      <c r="K269" s="230">
        <f t="shared" ref="K269:L269" si="352">SUM(K270,K281)</f>
        <v>0</v>
      </c>
      <c r="L269" s="231">
        <f t="shared" si="352"/>
        <v>0</v>
      </c>
      <c r="M269" s="1390">
        <f>SUM(M270,M281)</f>
        <v>0</v>
      </c>
      <c r="N269" s="1391">
        <f t="shared" ref="N269:O269" si="353">SUM(N270,N281)</f>
        <v>0</v>
      </c>
      <c r="O269" s="1392">
        <f t="shared" si="353"/>
        <v>0</v>
      </c>
      <c r="P269" s="1393"/>
    </row>
    <row r="270" spans="1:16" ht="24" hidden="1" x14ac:dyDescent="0.25">
      <c r="A270" s="68">
        <v>7200</v>
      </c>
      <c r="B270" s="182" t="s">
        <v>1744</v>
      </c>
      <c r="C270" s="1258">
        <f t="shared" si="283"/>
        <v>0</v>
      </c>
      <c r="D270" s="183">
        <f>SUM(D271,D272,D275,D276,D280)</f>
        <v>0</v>
      </c>
      <c r="E270" s="184">
        <f t="shared" ref="E270:F270" si="354">SUM(E271,E272,E275,E276,E280)</f>
        <v>0</v>
      </c>
      <c r="F270" s="72">
        <f t="shared" si="354"/>
        <v>0</v>
      </c>
      <c r="G270" s="183">
        <f>SUM(G271,G272,G275,G276,G280)</f>
        <v>0</v>
      </c>
      <c r="H270" s="1263">
        <f t="shared" ref="H270:I270" si="355">SUM(H271,H272,H275,H276,H280)</f>
        <v>0</v>
      </c>
      <c r="I270" s="1330">
        <f t="shared" si="355"/>
        <v>0</v>
      </c>
      <c r="J270" s="1263">
        <f>SUM(J271,J272,J275,J276,J280)</f>
        <v>0</v>
      </c>
      <c r="K270" s="184">
        <f t="shared" ref="K270:L270" si="356">SUM(K271,K272,K275,K276,K280)</f>
        <v>0</v>
      </c>
      <c r="L270" s="72">
        <f t="shared" si="356"/>
        <v>0</v>
      </c>
      <c r="M270" s="1331">
        <f>SUM(M271,M272,M275,M276,M280)</f>
        <v>0</v>
      </c>
      <c r="N270" s="219">
        <f t="shared" ref="N270:O270" si="357">SUM(N271,N272,N275,N276,N280)</f>
        <v>0</v>
      </c>
      <c r="O270" s="1332">
        <f t="shared" si="357"/>
        <v>0</v>
      </c>
      <c r="P270" s="1333"/>
    </row>
    <row r="271" spans="1:16" ht="24" hidden="1" x14ac:dyDescent="0.25">
      <c r="A271" s="1212">
        <v>7210</v>
      </c>
      <c r="B271" s="81" t="s">
        <v>288</v>
      </c>
      <c r="C271" s="1264">
        <f t="shared" si="283"/>
        <v>0</v>
      </c>
      <c r="D271" s="196"/>
      <c r="E271" s="197"/>
      <c r="F271" s="133">
        <f>D271+E271</f>
        <v>0</v>
      </c>
      <c r="G271" s="196"/>
      <c r="H271" s="1267"/>
      <c r="I271" s="1337">
        <f>G271+H271</f>
        <v>0</v>
      </c>
      <c r="J271" s="1267"/>
      <c r="K271" s="197"/>
      <c r="L271" s="133">
        <f>J271+K271</f>
        <v>0</v>
      </c>
      <c r="M271" s="1338"/>
      <c r="N271" s="197"/>
      <c r="O271" s="1337">
        <f>M271+N271</f>
        <v>0</v>
      </c>
      <c r="P271" s="1339"/>
    </row>
    <row r="272" spans="1:16" s="233" customFormat="1" ht="36" hidden="1" x14ac:dyDescent="0.25">
      <c r="A272" s="188">
        <v>7220</v>
      </c>
      <c r="B272" s="88" t="s">
        <v>1745</v>
      </c>
      <c r="C272" s="1270">
        <f t="shared" si="283"/>
        <v>0</v>
      </c>
      <c r="D272" s="189">
        <f>SUM(D273:D274)</f>
        <v>0</v>
      </c>
      <c r="E272" s="190">
        <f t="shared" ref="E272:F272" si="358">SUM(E273:E274)</f>
        <v>0</v>
      </c>
      <c r="F272" s="55">
        <f t="shared" si="358"/>
        <v>0</v>
      </c>
      <c r="G272" s="189">
        <f>SUM(G273:G274)</f>
        <v>0</v>
      </c>
      <c r="H272" s="1342">
        <f t="shared" ref="H272:I272" si="359">SUM(H273:H274)</f>
        <v>0</v>
      </c>
      <c r="I272" s="1340">
        <f t="shared" si="359"/>
        <v>0</v>
      </c>
      <c r="J272" s="1342">
        <f>SUM(J273:J274)</f>
        <v>0</v>
      </c>
      <c r="K272" s="190">
        <f t="shared" ref="K272:L272" si="360">SUM(K273:K274)</f>
        <v>0</v>
      </c>
      <c r="L272" s="55">
        <f t="shared" si="360"/>
        <v>0</v>
      </c>
      <c r="M272" s="1270">
        <f>SUM(M273:M274)</f>
        <v>0</v>
      </c>
      <c r="N272" s="190">
        <f t="shared" ref="N272:O272" si="361">SUM(N273:N274)</f>
        <v>0</v>
      </c>
      <c r="O272" s="1340">
        <f t="shared" si="361"/>
        <v>0</v>
      </c>
      <c r="P272" s="1343"/>
    </row>
    <row r="273" spans="1:16" s="233" customFormat="1" ht="36" hidden="1" x14ac:dyDescent="0.25">
      <c r="A273" s="51">
        <v>7221</v>
      </c>
      <c r="B273" s="88" t="s">
        <v>290</v>
      </c>
      <c r="C273" s="1270">
        <f t="shared" si="283"/>
        <v>0</v>
      </c>
      <c r="D273" s="194"/>
      <c r="E273" s="195"/>
      <c r="F273" s="55">
        <f t="shared" ref="F273:F275" si="362">D273+E273</f>
        <v>0</v>
      </c>
      <c r="G273" s="194"/>
      <c r="H273" s="1273"/>
      <c r="I273" s="1340">
        <f t="shared" ref="I273:I275" si="363">G273+H273</f>
        <v>0</v>
      </c>
      <c r="J273" s="1273"/>
      <c r="K273" s="195"/>
      <c r="L273" s="55">
        <f t="shared" ref="L273:L275" si="364">J273+K273</f>
        <v>0</v>
      </c>
      <c r="M273" s="1341"/>
      <c r="N273" s="195"/>
      <c r="O273" s="1340">
        <f t="shared" ref="O273:O275" si="365">M273+N273</f>
        <v>0</v>
      </c>
      <c r="P273" s="1343"/>
    </row>
    <row r="274" spans="1:16" s="233" customFormat="1" ht="36" hidden="1" x14ac:dyDescent="0.25">
      <c r="A274" s="51">
        <v>7222</v>
      </c>
      <c r="B274" s="88" t="s">
        <v>291</v>
      </c>
      <c r="C274" s="1270">
        <f t="shared" si="283"/>
        <v>0</v>
      </c>
      <c r="D274" s="194"/>
      <c r="E274" s="195"/>
      <c r="F274" s="55">
        <f t="shared" si="362"/>
        <v>0</v>
      </c>
      <c r="G274" s="194"/>
      <c r="H274" s="1273"/>
      <c r="I274" s="1340">
        <f t="shared" si="363"/>
        <v>0</v>
      </c>
      <c r="J274" s="1273"/>
      <c r="K274" s="195"/>
      <c r="L274" s="55">
        <f t="shared" si="364"/>
        <v>0</v>
      </c>
      <c r="M274" s="1341"/>
      <c r="N274" s="195"/>
      <c r="O274" s="1340">
        <f t="shared" si="365"/>
        <v>0</v>
      </c>
      <c r="P274" s="1343"/>
    </row>
    <row r="275" spans="1:16" ht="24" hidden="1" x14ac:dyDescent="0.25">
      <c r="A275" s="1394">
        <v>7230</v>
      </c>
      <c r="B275" s="852" t="s">
        <v>292</v>
      </c>
      <c r="C275" s="1344">
        <f t="shared" si="283"/>
        <v>0</v>
      </c>
      <c r="D275" s="544"/>
      <c r="E275" s="545"/>
      <c r="F275" s="543">
        <f t="shared" si="362"/>
        <v>0</v>
      </c>
      <c r="G275" s="544"/>
      <c r="H275" s="1345"/>
      <c r="I275" s="1346">
        <f t="shared" si="363"/>
        <v>0</v>
      </c>
      <c r="J275" s="1345"/>
      <c r="K275" s="545"/>
      <c r="L275" s="543">
        <f t="shared" si="364"/>
        <v>0</v>
      </c>
      <c r="M275" s="1347"/>
      <c r="N275" s="545"/>
      <c r="O275" s="1346">
        <f t="shared" si="365"/>
        <v>0</v>
      </c>
      <c r="P275" s="1360"/>
    </row>
    <row r="276" spans="1:16" ht="24" hidden="1" x14ac:dyDescent="0.25">
      <c r="A276" s="188">
        <v>7240</v>
      </c>
      <c r="B276" s="88" t="s">
        <v>293</v>
      </c>
      <c r="C276" s="1270">
        <f t="shared" si="283"/>
        <v>0</v>
      </c>
      <c r="D276" s="189">
        <f t="shared" ref="D276:O276" si="366">SUM(D277:D279)</f>
        <v>0</v>
      </c>
      <c r="E276" s="190">
        <f t="shared" si="366"/>
        <v>0</v>
      </c>
      <c r="F276" s="55">
        <f t="shared" si="366"/>
        <v>0</v>
      </c>
      <c r="G276" s="189">
        <f t="shared" si="366"/>
        <v>0</v>
      </c>
      <c r="H276" s="1342">
        <f t="shared" si="366"/>
        <v>0</v>
      </c>
      <c r="I276" s="1340">
        <f t="shared" si="366"/>
        <v>0</v>
      </c>
      <c r="J276" s="1342">
        <f>SUM(J277:J279)</f>
        <v>0</v>
      </c>
      <c r="K276" s="190">
        <f t="shared" ref="K276:L276" si="367">SUM(K277:K279)</f>
        <v>0</v>
      </c>
      <c r="L276" s="55">
        <f t="shared" si="367"/>
        <v>0</v>
      </c>
      <c r="M276" s="1270">
        <f t="shared" si="366"/>
        <v>0</v>
      </c>
      <c r="N276" s="190">
        <f t="shared" si="366"/>
        <v>0</v>
      </c>
      <c r="O276" s="1340">
        <f t="shared" si="366"/>
        <v>0</v>
      </c>
      <c r="P276" s="1343"/>
    </row>
    <row r="277" spans="1:16" ht="48" hidden="1" x14ac:dyDescent="0.25">
      <c r="A277" s="51">
        <v>7245</v>
      </c>
      <c r="B277" s="88" t="s">
        <v>294</v>
      </c>
      <c r="C277" s="1270">
        <f t="shared" ref="C277:C301" si="368">F277+I277+L277+O277</f>
        <v>0</v>
      </c>
      <c r="D277" s="194"/>
      <c r="E277" s="195"/>
      <c r="F277" s="55">
        <f t="shared" ref="F277:F280" si="369">D277+E277</f>
        <v>0</v>
      </c>
      <c r="G277" s="194"/>
      <c r="H277" s="1273"/>
      <c r="I277" s="1340">
        <f t="shared" ref="I277:I280" si="370">G277+H277</f>
        <v>0</v>
      </c>
      <c r="J277" s="1273"/>
      <c r="K277" s="195"/>
      <c r="L277" s="55">
        <f t="shared" ref="L277:L280" si="371">J277+K277</f>
        <v>0</v>
      </c>
      <c r="M277" s="1341"/>
      <c r="N277" s="195"/>
      <c r="O277" s="1340">
        <f t="shared" ref="O277:O280" si="372">M277+N277</f>
        <v>0</v>
      </c>
      <c r="P277" s="1343"/>
    </row>
    <row r="278" spans="1:16" ht="84.75" hidden="1" customHeight="1" x14ac:dyDescent="0.25">
      <c r="A278" s="51">
        <v>7246</v>
      </c>
      <c r="B278" s="88" t="s">
        <v>295</v>
      </c>
      <c r="C278" s="1270">
        <f t="shared" si="368"/>
        <v>0</v>
      </c>
      <c r="D278" s="194"/>
      <c r="E278" s="195"/>
      <c r="F278" s="55">
        <f t="shared" si="369"/>
        <v>0</v>
      </c>
      <c r="G278" s="194"/>
      <c r="H278" s="1273"/>
      <c r="I278" s="1340">
        <f t="shared" si="370"/>
        <v>0</v>
      </c>
      <c r="J278" s="1273"/>
      <c r="K278" s="195"/>
      <c r="L278" s="55">
        <f t="shared" si="371"/>
        <v>0</v>
      </c>
      <c r="M278" s="1341"/>
      <c r="N278" s="195"/>
      <c r="O278" s="1340">
        <f t="shared" si="372"/>
        <v>0</v>
      </c>
      <c r="P278" s="1343"/>
    </row>
    <row r="279" spans="1:16" ht="36" hidden="1" x14ac:dyDescent="0.25">
      <c r="A279" s="51">
        <v>7247</v>
      </c>
      <c r="B279" s="88" t="s">
        <v>296</v>
      </c>
      <c r="C279" s="1270">
        <f t="shared" si="368"/>
        <v>0</v>
      </c>
      <c r="D279" s="194"/>
      <c r="E279" s="195"/>
      <c r="F279" s="55">
        <f t="shared" si="369"/>
        <v>0</v>
      </c>
      <c r="G279" s="194"/>
      <c r="H279" s="1273"/>
      <c r="I279" s="1340">
        <f t="shared" si="370"/>
        <v>0</v>
      </c>
      <c r="J279" s="1273"/>
      <c r="K279" s="195"/>
      <c r="L279" s="55">
        <f t="shared" si="371"/>
        <v>0</v>
      </c>
      <c r="M279" s="1341"/>
      <c r="N279" s="195"/>
      <c r="O279" s="1340">
        <f t="shared" si="372"/>
        <v>0</v>
      </c>
      <c r="P279" s="1343"/>
    </row>
    <row r="280" spans="1:16" ht="24" hidden="1" x14ac:dyDescent="0.25">
      <c r="A280" s="1212">
        <v>7260</v>
      </c>
      <c r="B280" s="81" t="s">
        <v>297</v>
      </c>
      <c r="C280" s="1264">
        <f t="shared" si="368"/>
        <v>0</v>
      </c>
      <c r="D280" s="196"/>
      <c r="E280" s="197"/>
      <c r="F280" s="133">
        <f t="shared" si="369"/>
        <v>0</v>
      </c>
      <c r="G280" s="196"/>
      <c r="H280" s="1267"/>
      <c r="I280" s="1337">
        <f t="shared" si="370"/>
        <v>0</v>
      </c>
      <c r="J280" s="1267"/>
      <c r="K280" s="197"/>
      <c r="L280" s="133">
        <f t="shared" si="371"/>
        <v>0</v>
      </c>
      <c r="M280" s="1338"/>
      <c r="N280" s="197"/>
      <c r="O280" s="1337">
        <f t="shared" si="372"/>
        <v>0</v>
      </c>
      <c r="P280" s="1339"/>
    </row>
    <row r="281" spans="1:16" hidden="1" x14ac:dyDescent="0.25">
      <c r="A281" s="135">
        <v>7700</v>
      </c>
      <c r="B281" s="108" t="s">
        <v>298</v>
      </c>
      <c r="C281" s="1282">
        <f t="shared" si="368"/>
        <v>0</v>
      </c>
      <c r="D281" s="234">
        <f t="shared" ref="D281:O281" si="373">D282</f>
        <v>0</v>
      </c>
      <c r="E281" s="235">
        <f t="shared" si="373"/>
        <v>0</v>
      </c>
      <c r="F281" s="130">
        <f t="shared" si="373"/>
        <v>0</v>
      </c>
      <c r="G281" s="234">
        <f t="shared" si="373"/>
        <v>0</v>
      </c>
      <c r="H281" s="1395">
        <f t="shared" si="373"/>
        <v>0</v>
      </c>
      <c r="I281" s="1358">
        <f t="shared" si="373"/>
        <v>0</v>
      </c>
      <c r="J281" s="1395">
        <f t="shared" si="373"/>
        <v>0</v>
      </c>
      <c r="K281" s="235">
        <f t="shared" si="373"/>
        <v>0</v>
      </c>
      <c r="L281" s="130">
        <f t="shared" si="373"/>
        <v>0</v>
      </c>
      <c r="M281" s="1282">
        <f t="shared" si="373"/>
        <v>0</v>
      </c>
      <c r="N281" s="235">
        <f t="shared" si="373"/>
        <v>0</v>
      </c>
      <c r="O281" s="1358">
        <f t="shared" si="373"/>
        <v>0</v>
      </c>
      <c r="P281" s="1359"/>
    </row>
    <row r="282" spans="1:16" hidden="1" x14ac:dyDescent="0.25">
      <c r="A282" s="185">
        <v>7720</v>
      </c>
      <c r="B282" s="81" t="s">
        <v>299</v>
      </c>
      <c r="C282" s="1276">
        <f t="shared" si="368"/>
        <v>0</v>
      </c>
      <c r="D282" s="236"/>
      <c r="E282" s="237"/>
      <c r="F282" s="238">
        <f>D282+E282</f>
        <v>0</v>
      </c>
      <c r="G282" s="236"/>
      <c r="H282" s="1279"/>
      <c r="I282" s="1374">
        <f>G282+H282</f>
        <v>0</v>
      </c>
      <c r="J282" s="1279"/>
      <c r="K282" s="237"/>
      <c r="L282" s="238">
        <f>J282+K282</f>
        <v>0</v>
      </c>
      <c r="M282" s="1396"/>
      <c r="N282" s="237"/>
      <c r="O282" s="1374">
        <f>M282+N282</f>
        <v>0</v>
      </c>
      <c r="P282" s="1375"/>
    </row>
    <row r="283" spans="1:16" hidden="1" x14ac:dyDescent="0.25">
      <c r="A283" s="239">
        <v>9000</v>
      </c>
      <c r="B283" s="240" t="s">
        <v>300</v>
      </c>
      <c r="C283" s="241">
        <f t="shared" si="368"/>
        <v>0</v>
      </c>
      <c r="D283" s="242">
        <f t="shared" ref="D283:O284" si="374">D284</f>
        <v>0</v>
      </c>
      <c r="E283" s="243">
        <f t="shared" si="374"/>
        <v>0</v>
      </c>
      <c r="F283" s="244">
        <f t="shared" si="374"/>
        <v>0</v>
      </c>
      <c r="G283" s="242">
        <f>G284</f>
        <v>0</v>
      </c>
      <c r="H283" s="243">
        <f t="shared" ref="H283:I283" si="375">H284</f>
        <v>0</v>
      </c>
      <c r="I283" s="244">
        <f t="shared" si="375"/>
        <v>0</v>
      </c>
      <c r="J283" s="242">
        <f t="shared" si="374"/>
        <v>0</v>
      </c>
      <c r="K283" s="243">
        <f t="shared" si="374"/>
        <v>0</v>
      </c>
      <c r="L283" s="244">
        <f t="shared" si="374"/>
        <v>0</v>
      </c>
      <c r="M283" s="242">
        <f t="shared" si="374"/>
        <v>0</v>
      </c>
      <c r="N283" s="243">
        <f t="shared" si="374"/>
        <v>0</v>
      </c>
      <c r="O283" s="244">
        <f t="shared" si="374"/>
        <v>0</v>
      </c>
      <c r="P283" s="245"/>
    </row>
    <row r="284" spans="1:16" ht="24" hidden="1" x14ac:dyDescent="0.25">
      <c r="A284" s="246">
        <v>9200</v>
      </c>
      <c r="B284" s="88" t="s">
        <v>301</v>
      </c>
      <c r="C284" s="142">
        <f t="shared" si="368"/>
        <v>0</v>
      </c>
      <c r="D284" s="186">
        <f t="shared" si="374"/>
        <v>0</v>
      </c>
      <c r="E284" s="187">
        <f t="shared" si="374"/>
        <v>0</v>
      </c>
      <c r="F284" s="140">
        <f t="shared" si="374"/>
        <v>0</v>
      </c>
      <c r="G284" s="186">
        <f t="shared" si="374"/>
        <v>0</v>
      </c>
      <c r="H284" s="187">
        <f t="shared" si="374"/>
        <v>0</v>
      </c>
      <c r="I284" s="140">
        <f t="shared" si="374"/>
        <v>0</v>
      </c>
      <c r="J284" s="186">
        <f t="shared" si="374"/>
        <v>0</v>
      </c>
      <c r="K284" s="187">
        <f t="shared" si="374"/>
        <v>0</v>
      </c>
      <c r="L284" s="140">
        <f t="shared" si="374"/>
        <v>0</v>
      </c>
      <c r="M284" s="186">
        <f t="shared" si="374"/>
        <v>0</v>
      </c>
      <c r="N284" s="187">
        <f t="shared" si="374"/>
        <v>0</v>
      </c>
      <c r="O284" s="140">
        <f t="shared" si="374"/>
        <v>0</v>
      </c>
      <c r="P284" s="128"/>
    </row>
    <row r="285" spans="1:16" ht="24" hidden="1" customHeight="1" x14ac:dyDescent="0.25">
      <c r="A285" s="247">
        <v>9230</v>
      </c>
      <c r="B285" s="88" t="s">
        <v>302</v>
      </c>
      <c r="C285" s="142">
        <f t="shared" si="368"/>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1270">
        <f t="shared" si="368"/>
        <v>0</v>
      </c>
      <c r="D286" s="189">
        <f>SUM(D287:D288)</f>
        <v>0</v>
      </c>
      <c r="E286" s="190">
        <f t="shared" ref="E286:F286" si="376">SUM(E287:E288)</f>
        <v>0</v>
      </c>
      <c r="F286" s="55">
        <f t="shared" si="376"/>
        <v>0</v>
      </c>
      <c r="G286" s="189">
        <f>SUM(G287:G288)</f>
        <v>0</v>
      </c>
      <c r="H286" s="1342">
        <f t="shared" ref="H286:I286" si="377">SUM(H287:H288)</f>
        <v>0</v>
      </c>
      <c r="I286" s="1340">
        <f t="shared" si="377"/>
        <v>0</v>
      </c>
      <c r="J286" s="1342">
        <f>SUM(J287:J288)</f>
        <v>0</v>
      </c>
      <c r="K286" s="190">
        <f t="shared" ref="K286:L286" si="378">SUM(K287:K288)</f>
        <v>0</v>
      </c>
      <c r="L286" s="55">
        <f t="shared" si="378"/>
        <v>0</v>
      </c>
      <c r="M286" s="1270">
        <f>SUM(M287:M288)</f>
        <v>0</v>
      </c>
      <c r="N286" s="190">
        <f t="shared" ref="N286:O286" si="379">SUM(N287:N288)</f>
        <v>0</v>
      </c>
      <c r="O286" s="1340">
        <f t="shared" si="379"/>
        <v>0</v>
      </c>
      <c r="P286" s="1343"/>
    </row>
    <row r="287" spans="1:16" hidden="1" x14ac:dyDescent="0.25">
      <c r="A287" s="199" t="s">
        <v>304</v>
      </c>
      <c r="B287" s="51" t="s">
        <v>305</v>
      </c>
      <c r="C287" s="1270">
        <f t="shared" si="368"/>
        <v>0</v>
      </c>
      <c r="D287" s="194"/>
      <c r="E287" s="195"/>
      <c r="F287" s="55">
        <f t="shared" ref="F287:F288" si="380">D287+E287</f>
        <v>0</v>
      </c>
      <c r="G287" s="194"/>
      <c r="H287" s="1273"/>
      <c r="I287" s="1340">
        <f t="shared" ref="I287:I288" si="381">G287+H287</f>
        <v>0</v>
      </c>
      <c r="J287" s="1273"/>
      <c r="K287" s="195"/>
      <c r="L287" s="55">
        <f t="shared" ref="L287:L288" si="382">J287+K287</f>
        <v>0</v>
      </c>
      <c r="M287" s="1341"/>
      <c r="N287" s="195"/>
      <c r="O287" s="1340">
        <f t="shared" ref="O287:O288" si="383">M287+N287</f>
        <v>0</v>
      </c>
      <c r="P287" s="1343"/>
    </row>
    <row r="288" spans="1:16" ht="24" hidden="1" x14ac:dyDescent="0.25">
      <c r="A288" s="199" t="s">
        <v>306</v>
      </c>
      <c r="B288" s="248" t="s">
        <v>307</v>
      </c>
      <c r="C288" s="1264">
        <f t="shared" si="368"/>
        <v>0</v>
      </c>
      <c r="D288" s="196"/>
      <c r="E288" s="197"/>
      <c r="F288" s="133">
        <f t="shared" si="380"/>
        <v>0</v>
      </c>
      <c r="G288" s="196"/>
      <c r="H288" s="1267"/>
      <c r="I288" s="1337">
        <f t="shared" si="381"/>
        <v>0</v>
      </c>
      <c r="J288" s="1267"/>
      <c r="K288" s="197"/>
      <c r="L288" s="133">
        <f t="shared" si="382"/>
        <v>0</v>
      </c>
      <c r="M288" s="1338"/>
      <c r="N288" s="197"/>
      <c r="O288" s="1337">
        <f t="shared" si="383"/>
        <v>0</v>
      </c>
      <c r="P288" s="1339"/>
    </row>
    <row r="289" spans="1:16" ht="12.75" thickBot="1" x14ac:dyDescent="0.3">
      <c r="A289" s="249"/>
      <c r="B289" s="249" t="s">
        <v>308</v>
      </c>
      <c r="C289" s="1397">
        <f t="shared" si="368"/>
        <v>43610</v>
      </c>
      <c r="D289" s="251">
        <f t="shared" ref="D289:O289" si="384">SUM(D286,D269,D230,D195,D187,D173,D75,D53)</f>
        <v>0</v>
      </c>
      <c r="E289" s="252">
        <f t="shared" si="384"/>
        <v>0</v>
      </c>
      <c r="F289" s="253">
        <f t="shared" si="384"/>
        <v>0</v>
      </c>
      <c r="G289" s="251">
        <f t="shared" si="384"/>
        <v>43621</v>
      </c>
      <c r="H289" s="1398">
        <f t="shared" si="384"/>
        <v>-11</v>
      </c>
      <c r="I289" s="1399">
        <f t="shared" si="384"/>
        <v>43610</v>
      </c>
      <c r="J289" s="1398">
        <f t="shared" si="384"/>
        <v>0</v>
      </c>
      <c r="K289" s="252">
        <f t="shared" si="384"/>
        <v>0</v>
      </c>
      <c r="L289" s="253">
        <f t="shared" si="384"/>
        <v>0</v>
      </c>
      <c r="M289" s="1397">
        <f t="shared" si="384"/>
        <v>0</v>
      </c>
      <c r="N289" s="252">
        <f t="shared" si="384"/>
        <v>0</v>
      </c>
      <c r="O289" s="1399">
        <f t="shared" si="384"/>
        <v>0</v>
      </c>
      <c r="P289" s="1400"/>
    </row>
    <row r="290" spans="1:16" s="28" customFormat="1" ht="13.5" hidden="1" thickTop="1" thickBot="1" x14ac:dyDescent="0.3">
      <c r="A290" s="1945" t="s">
        <v>309</v>
      </c>
      <c r="B290" s="1946"/>
      <c r="C290" s="1401">
        <f t="shared" si="368"/>
        <v>0</v>
      </c>
      <c r="D290" s="256">
        <f>SUM(D24,D25,D41)-D51</f>
        <v>0</v>
      </c>
      <c r="E290" s="257">
        <f t="shared" ref="E290:F290" si="385">SUM(E24,E25,E41)-E51</f>
        <v>0</v>
      </c>
      <c r="F290" s="258">
        <f t="shared" si="385"/>
        <v>0</v>
      </c>
      <c r="G290" s="256">
        <f>SUM(G24,G25,G41)-G51</f>
        <v>0</v>
      </c>
      <c r="H290" s="1402">
        <f t="shared" ref="H290:I290" si="386">SUM(H24,H25,H41)-H51</f>
        <v>0</v>
      </c>
      <c r="I290" s="1403">
        <f t="shared" si="386"/>
        <v>0</v>
      </c>
      <c r="J290" s="1402">
        <f>(J26+J43)-J51</f>
        <v>0</v>
      </c>
      <c r="K290" s="257">
        <f t="shared" ref="K290:L290" si="387">(K26+K43)-K51</f>
        <v>0</v>
      </c>
      <c r="L290" s="258">
        <f t="shared" si="387"/>
        <v>0</v>
      </c>
      <c r="M290" s="1401">
        <f>M45-M51</f>
        <v>0</v>
      </c>
      <c r="N290" s="257">
        <f t="shared" ref="N290:O290" si="388">N45-N51</f>
        <v>0</v>
      </c>
      <c r="O290" s="1403">
        <f t="shared" si="388"/>
        <v>0</v>
      </c>
      <c r="P290" s="1404"/>
    </row>
    <row r="291" spans="1:16" s="28" customFormat="1" ht="12.75" hidden="1" thickTop="1" x14ac:dyDescent="0.25">
      <c r="A291" s="1947" t="s">
        <v>310</v>
      </c>
      <c r="B291" s="1948"/>
      <c r="C291" s="1405">
        <f t="shared" si="368"/>
        <v>0</v>
      </c>
      <c r="D291" s="261">
        <f t="shared" ref="D291:O291" si="389">SUM(D292,D293)-D300+D301</f>
        <v>0</v>
      </c>
      <c r="E291" s="262">
        <f t="shared" si="389"/>
        <v>0</v>
      </c>
      <c r="F291" s="263">
        <f t="shared" si="389"/>
        <v>0</v>
      </c>
      <c r="G291" s="261">
        <f t="shared" si="389"/>
        <v>0</v>
      </c>
      <c r="H291" s="1406">
        <f t="shared" si="389"/>
        <v>0</v>
      </c>
      <c r="I291" s="1407">
        <f t="shared" si="389"/>
        <v>0</v>
      </c>
      <c r="J291" s="1406">
        <f t="shared" si="389"/>
        <v>0</v>
      </c>
      <c r="K291" s="262">
        <f t="shared" si="389"/>
        <v>0</v>
      </c>
      <c r="L291" s="263">
        <f t="shared" si="389"/>
        <v>0</v>
      </c>
      <c r="M291" s="1405">
        <f t="shared" si="389"/>
        <v>0</v>
      </c>
      <c r="N291" s="262">
        <f t="shared" si="389"/>
        <v>0</v>
      </c>
      <c r="O291" s="1407">
        <f t="shared" si="389"/>
        <v>0</v>
      </c>
      <c r="P291" s="1408"/>
    </row>
    <row r="292" spans="1:16" s="28" customFormat="1" ht="13.5" hidden="1" thickTop="1" thickBot="1" x14ac:dyDescent="0.3">
      <c r="A292" s="156" t="s">
        <v>311</v>
      </c>
      <c r="B292" s="156" t="s">
        <v>312</v>
      </c>
      <c r="C292" s="1314">
        <f t="shared" si="368"/>
        <v>0</v>
      </c>
      <c r="D292" s="158">
        <f t="shared" ref="D292:O292" si="390">D21-D286</f>
        <v>0</v>
      </c>
      <c r="E292" s="159">
        <f t="shared" si="390"/>
        <v>0</v>
      </c>
      <c r="F292" s="160">
        <f t="shared" si="390"/>
        <v>0</v>
      </c>
      <c r="G292" s="158">
        <f t="shared" si="390"/>
        <v>0</v>
      </c>
      <c r="H292" s="1315">
        <f t="shared" si="390"/>
        <v>0</v>
      </c>
      <c r="I292" s="1316">
        <f t="shared" si="390"/>
        <v>0</v>
      </c>
      <c r="J292" s="1315">
        <f t="shared" si="390"/>
        <v>0</v>
      </c>
      <c r="K292" s="159">
        <f t="shared" si="390"/>
        <v>0</v>
      </c>
      <c r="L292" s="160">
        <f t="shared" si="390"/>
        <v>0</v>
      </c>
      <c r="M292" s="1314">
        <f t="shared" si="390"/>
        <v>0</v>
      </c>
      <c r="N292" s="159">
        <f t="shared" si="390"/>
        <v>0</v>
      </c>
      <c r="O292" s="1316">
        <f t="shared" si="390"/>
        <v>0</v>
      </c>
      <c r="P292" s="1317"/>
    </row>
    <row r="293" spans="1:16" s="28" customFormat="1" ht="12.75" hidden="1" thickTop="1" x14ac:dyDescent="0.25">
      <c r="A293" s="265" t="s">
        <v>313</v>
      </c>
      <c r="B293" s="265" t="s">
        <v>314</v>
      </c>
      <c r="C293" s="1405">
        <f t="shared" si="368"/>
        <v>0</v>
      </c>
      <c r="D293" s="261">
        <f t="shared" ref="D293:O293" si="391">SUM(D294,D296,D298)-SUM(D295,D297,D299)</f>
        <v>0</v>
      </c>
      <c r="E293" s="262">
        <f t="shared" si="391"/>
        <v>0</v>
      </c>
      <c r="F293" s="263">
        <f t="shared" si="391"/>
        <v>0</v>
      </c>
      <c r="G293" s="261">
        <f t="shared" si="391"/>
        <v>0</v>
      </c>
      <c r="H293" s="1406">
        <f t="shared" si="391"/>
        <v>0</v>
      </c>
      <c r="I293" s="1407">
        <f t="shared" si="391"/>
        <v>0</v>
      </c>
      <c r="J293" s="1406">
        <f t="shared" si="391"/>
        <v>0</v>
      </c>
      <c r="K293" s="262">
        <f t="shared" si="391"/>
        <v>0</v>
      </c>
      <c r="L293" s="263">
        <f t="shared" si="391"/>
        <v>0</v>
      </c>
      <c r="M293" s="1405">
        <f t="shared" si="391"/>
        <v>0</v>
      </c>
      <c r="N293" s="262">
        <f t="shared" si="391"/>
        <v>0</v>
      </c>
      <c r="O293" s="1407">
        <f t="shared" si="391"/>
        <v>0</v>
      </c>
      <c r="P293" s="1408"/>
    </row>
    <row r="294" spans="1:16" ht="12.75" hidden="1" thickTop="1" x14ac:dyDescent="0.25">
      <c r="A294" s="266" t="s">
        <v>315</v>
      </c>
      <c r="B294" s="141" t="s">
        <v>316</v>
      </c>
      <c r="C294" s="1276">
        <f t="shared" si="368"/>
        <v>0</v>
      </c>
      <c r="D294" s="236"/>
      <c r="E294" s="237"/>
      <c r="F294" s="238">
        <f t="shared" ref="F294:F301" si="392">D294+E294</f>
        <v>0</v>
      </c>
      <c r="G294" s="236"/>
      <c r="H294" s="1279"/>
      <c r="I294" s="1374">
        <f t="shared" ref="I294:I301" si="393">G294+H294</f>
        <v>0</v>
      </c>
      <c r="J294" s="1279"/>
      <c r="K294" s="237"/>
      <c r="L294" s="238">
        <f t="shared" ref="L294:L301" si="394">J294+K294</f>
        <v>0</v>
      </c>
      <c r="M294" s="1396"/>
      <c r="N294" s="237"/>
      <c r="O294" s="1374">
        <f t="shared" ref="O294:O301" si="395">M294+N294</f>
        <v>0</v>
      </c>
      <c r="P294" s="1375"/>
    </row>
    <row r="295" spans="1:16" ht="24.75" hidden="1" thickTop="1" x14ac:dyDescent="0.25">
      <c r="A295" s="199" t="s">
        <v>317</v>
      </c>
      <c r="B295" s="50" t="s">
        <v>318</v>
      </c>
      <c r="C295" s="1270">
        <f t="shared" si="368"/>
        <v>0</v>
      </c>
      <c r="D295" s="194"/>
      <c r="E295" s="195"/>
      <c r="F295" s="55">
        <f t="shared" si="392"/>
        <v>0</v>
      </c>
      <c r="G295" s="194"/>
      <c r="H295" s="1273"/>
      <c r="I295" s="1340">
        <f t="shared" si="393"/>
        <v>0</v>
      </c>
      <c r="J295" s="1273"/>
      <c r="K295" s="195"/>
      <c r="L295" s="55">
        <f t="shared" si="394"/>
        <v>0</v>
      </c>
      <c r="M295" s="1341"/>
      <c r="N295" s="195"/>
      <c r="O295" s="1340">
        <f t="shared" si="395"/>
        <v>0</v>
      </c>
      <c r="P295" s="1343"/>
    </row>
    <row r="296" spans="1:16" ht="12.75" hidden="1" thickTop="1" x14ac:dyDescent="0.25">
      <c r="A296" s="199" t="s">
        <v>319</v>
      </c>
      <c r="B296" s="50" t="s">
        <v>320</v>
      </c>
      <c r="C296" s="1270">
        <f t="shared" si="368"/>
        <v>0</v>
      </c>
      <c r="D296" s="194"/>
      <c r="E296" s="195"/>
      <c r="F296" s="55">
        <f t="shared" si="392"/>
        <v>0</v>
      </c>
      <c r="G296" s="194"/>
      <c r="H296" s="1273"/>
      <c r="I296" s="1340">
        <f t="shared" si="393"/>
        <v>0</v>
      </c>
      <c r="J296" s="1273"/>
      <c r="K296" s="195"/>
      <c r="L296" s="55">
        <f t="shared" si="394"/>
        <v>0</v>
      </c>
      <c r="M296" s="1341"/>
      <c r="N296" s="195"/>
      <c r="O296" s="1340">
        <f t="shared" si="395"/>
        <v>0</v>
      </c>
      <c r="P296" s="1343"/>
    </row>
    <row r="297" spans="1:16" ht="24.75" hidden="1" thickTop="1" x14ac:dyDescent="0.25">
      <c r="A297" s="199" t="s">
        <v>321</v>
      </c>
      <c r="B297" s="50" t="s">
        <v>322</v>
      </c>
      <c r="C297" s="1270">
        <f>F297+I297+L297+O297</f>
        <v>0</v>
      </c>
      <c r="D297" s="194"/>
      <c r="E297" s="195"/>
      <c r="F297" s="55">
        <f t="shared" si="392"/>
        <v>0</v>
      </c>
      <c r="G297" s="194"/>
      <c r="H297" s="1273"/>
      <c r="I297" s="1340">
        <f t="shared" si="393"/>
        <v>0</v>
      </c>
      <c r="J297" s="1273"/>
      <c r="K297" s="195"/>
      <c r="L297" s="55">
        <f t="shared" si="394"/>
        <v>0</v>
      </c>
      <c r="M297" s="1341"/>
      <c r="N297" s="195"/>
      <c r="O297" s="1340">
        <f t="shared" si="395"/>
        <v>0</v>
      </c>
      <c r="P297" s="1343"/>
    </row>
    <row r="298" spans="1:16" ht="12.75" hidden="1" thickTop="1" x14ac:dyDescent="0.25">
      <c r="A298" s="199" t="s">
        <v>323</v>
      </c>
      <c r="B298" s="50" t="s">
        <v>324</v>
      </c>
      <c r="C298" s="1270">
        <f t="shared" si="368"/>
        <v>0</v>
      </c>
      <c r="D298" s="194"/>
      <c r="E298" s="195"/>
      <c r="F298" s="55">
        <f t="shared" si="392"/>
        <v>0</v>
      </c>
      <c r="G298" s="194"/>
      <c r="H298" s="1273"/>
      <c r="I298" s="1340">
        <f t="shared" si="393"/>
        <v>0</v>
      </c>
      <c r="J298" s="1273"/>
      <c r="K298" s="195"/>
      <c r="L298" s="55">
        <f t="shared" si="394"/>
        <v>0</v>
      </c>
      <c r="M298" s="1341"/>
      <c r="N298" s="195"/>
      <c r="O298" s="1340">
        <f t="shared" si="395"/>
        <v>0</v>
      </c>
      <c r="P298" s="1343"/>
    </row>
    <row r="299" spans="1:16" ht="24.75" hidden="1" thickTop="1" x14ac:dyDescent="0.25">
      <c r="A299" s="267" t="s">
        <v>325</v>
      </c>
      <c r="B299" s="268" t="s">
        <v>326</v>
      </c>
      <c r="C299" s="1376">
        <f t="shared" si="368"/>
        <v>0</v>
      </c>
      <c r="D299" s="210"/>
      <c r="E299" s="211"/>
      <c r="F299" s="212">
        <f t="shared" si="392"/>
        <v>0</v>
      </c>
      <c r="G299" s="210"/>
      <c r="H299" s="1380"/>
      <c r="I299" s="1378">
        <f t="shared" si="393"/>
        <v>0</v>
      </c>
      <c r="J299" s="1380"/>
      <c r="K299" s="211"/>
      <c r="L299" s="212">
        <f t="shared" si="394"/>
        <v>0</v>
      </c>
      <c r="M299" s="1381"/>
      <c r="N299" s="211"/>
      <c r="O299" s="1378">
        <f t="shared" si="395"/>
        <v>0</v>
      </c>
      <c r="P299" s="1379"/>
    </row>
    <row r="300" spans="1:16" s="28" customFormat="1" ht="13.5" hidden="1" thickTop="1" thickBot="1" x14ac:dyDescent="0.3">
      <c r="A300" s="269" t="s">
        <v>327</v>
      </c>
      <c r="B300" s="269" t="s">
        <v>328</v>
      </c>
      <c r="C300" s="1401">
        <f t="shared" si="368"/>
        <v>0</v>
      </c>
      <c r="D300" s="270"/>
      <c r="E300" s="271"/>
      <c r="F300" s="258">
        <f t="shared" si="392"/>
        <v>0</v>
      </c>
      <c r="G300" s="270"/>
      <c r="H300" s="1409"/>
      <c r="I300" s="1403">
        <f t="shared" si="393"/>
        <v>0</v>
      </c>
      <c r="J300" s="1409"/>
      <c r="K300" s="271"/>
      <c r="L300" s="258">
        <f t="shared" si="394"/>
        <v>0</v>
      </c>
      <c r="M300" s="1410"/>
      <c r="N300" s="271"/>
      <c r="O300" s="1403">
        <f t="shared" si="395"/>
        <v>0</v>
      </c>
      <c r="P300" s="1404"/>
    </row>
    <row r="301" spans="1:16" s="28" customFormat="1" ht="48.75" hidden="1" thickTop="1" x14ac:dyDescent="0.25">
      <c r="A301" s="265" t="s">
        <v>329</v>
      </c>
      <c r="B301" s="274" t="s">
        <v>330</v>
      </c>
      <c r="C301" s="1405">
        <f t="shared" si="368"/>
        <v>0</v>
      </c>
      <c r="D301" s="204"/>
      <c r="E301" s="205"/>
      <c r="F301" s="72">
        <f t="shared" si="392"/>
        <v>0</v>
      </c>
      <c r="G301" s="204"/>
      <c r="H301" s="1371"/>
      <c r="I301" s="1330">
        <f t="shared" si="393"/>
        <v>0</v>
      </c>
      <c r="J301" s="1371"/>
      <c r="K301" s="205"/>
      <c r="L301" s="72">
        <f t="shared" si="394"/>
        <v>0</v>
      </c>
      <c r="M301" s="1372"/>
      <c r="N301" s="205"/>
      <c r="O301" s="1330">
        <f t="shared" si="395"/>
        <v>0</v>
      </c>
      <c r="P301" s="135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dkLI8PHsaDjQrPx8hmQNqAbRPW1IBrAtj/g4px6FwrEsPQjMngsUsPCihYYyGTwZwxYhSbvw3Hw85cOpFG6oEg==" saltValue="qZJgKAgFeypMK0di7UZr6g==" spinCount="100000" sheet="1" objects="1" scenarios="1"/>
  <autoFilter ref="A18:P301">
    <filterColumn colId="2">
      <filters>
        <filter val="1 240"/>
        <filter val="1 437"/>
        <filter val="1 965"/>
        <filter val="100"/>
        <filter val="163"/>
        <filter val="25 802"/>
        <filter val="31 012"/>
        <filter val="38 502"/>
        <filter val="4 176"/>
        <filter val="4 487"/>
        <filter val="400"/>
        <filter val="43 610"/>
        <filter val="5 108"/>
        <filter val="528"/>
        <filter val="532"/>
        <filter val="7 327"/>
        <filter val="7 490"/>
        <filter val="723"/>
        <filter val="871"/>
        <filter val="932"/>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6.pielikums Jūrmalas pilsētas domes
2019.gada 29.augusta saistošajiem noteikumiem Nr.31
(protokols Nr.12, 20.punkts)
 </firstHeader>
    <firstFooter>&amp;L&amp;9&amp;D; &amp;T&amp;R&amp;9&amp;P (&amp;N)</first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6"/>
  <sheetViews>
    <sheetView showGridLines="0" view="pageLayout" zoomScaleNormal="100" workbookViewId="0">
      <selection activeCell="U7" sqref="U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2048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2042</v>
      </c>
      <c r="D5" s="1972"/>
      <c r="E5" s="1972"/>
      <c r="F5" s="1972"/>
      <c r="G5" s="1972"/>
      <c r="H5" s="1972"/>
      <c r="I5" s="1972"/>
      <c r="J5" s="1972"/>
      <c r="K5" s="1972"/>
      <c r="L5" s="1972"/>
      <c r="M5" s="1972"/>
      <c r="N5" s="1972"/>
      <c r="O5" s="1972"/>
      <c r="P5" s="1973"/>
      <c r="Q5" s="276"/>
    </row>
    <row r="6" spans="1:17" ht="12.75" customHeight="1" x14ac:dyDescent="0.25">
      <c r="A6" s="7" t="s">
        <v>8</v>
      </c>
      <c r="B6" s="8"/>
      <c r="C6" s="1972" t="s">
        <v>836</v>
      </c>
      <c r="D6" s="1972"/>
      <c r="E6" s="1972"/>
      <c r="F6" s="1972"/>
      <c r="G6" s="1972"/>
      <c r="H6" s="1972"/>
      <c r="I6" s="1972"/>
      <c r="J6" s="1972"/>
      <c r="K6" s="1972"/>
      <c r="L6" s="1972"/>
      <c r="M6" s="1972"/>
      <c r="N6" s="1972"/>
      <c r="O6" s="1972"/>
      <c r="P6" s="1973"/>
      <c r="Q6" s="276"/>
    </row>
    <row r="7" spans="1:17" ht="26.25" customHeight="1" x14ac:dyDescent="0.25">
      <c r="A7" s="7" t="s">
        <v>10</v>
      </c>
      <c r="B7" s="8"/>
      <c r="C7" s="1977" t="s">
        <v>2049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t="s">
        <v>2050</v>
      </c>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45456</v>
      </c>
      <c r="D20" s="32">
        <f>SUM(D21,D24,D25,D41,D43)</f>
        <v>45456</v>
      </c>
      <c r="E20" s="33">
        <f t="shared" ref="E20:F20" si="1">SUM(E21,E24,E25,E41,E43)</f>
        <v>0</v>
      </c>
      <c r="F20" s="34">
        <f t="shared" si="1"/>
        <v>45456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7576</v>
      </c>
      <c r="D24" s="60">
        <v>7576</v>
      </c>
      <c r="E24" s="61"/>
      <c r="F24" s="62">
        <f t="shared" si="9"/>
        <v>7576</v>
      </c>
      <c r="G24" s="60"/>
      <c r="H24" s="61"/>
      <c r="I24" s="62">
        <f t="shared" si="10"/>
        <v>0</v>
      </c>
      <c r="J24" s="63" t="s">
        <v>44</v>
      </c>
      <c r="K24" s="64" t="s">
        <v>44</v>
      </c>
      <c r="L24" s="65" t="s">
        <v>44</v>
      </c>
      <c r="M24" s="63" t="s">
        <v>44</v>
      </c>
      <c r="N24" s="64" t="s">
        <v>44</v>
      </c>
      <c r="O24" s="65" t="s">
        <v>44</v>
      </c>
      <c r="P24" s="66"/>
    </row>
    <row r="25" spans="1:16" s="28" customFormat="1" ht="31.5" customHeight="1" thickTop="1" x14ac:dyDescent="0.25">
      <c r="A25" s="67">
        <v>18630</v>
      </c>
      <c r="B25" s="68" t="s">
        <v>45</v>
      </c>
      <c r="C25" s="69">
        <f>F25</f>
        <v>37880</v>
      </c>
      <c r="D25" s="70">
        <v>37880</v>
      </c>
      <c r="E25" s="71"/>
      <c r="F25" s="72">
        <f t="shared" si="9"/>
        <v>37880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3"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45456</v>
      </c>
      <c r="D50" s="158">
        <f>SUM(D51,D286)</f>
        <v>45456</v>
      </c>
      <c r="E50" s="159">
        <f t="shared" ref="E50:F50" si="26">SUM(E51,E286)</f>
        <v>0</v>
      </c>
      <c r="F50" s="160">
        <f t="shared" si="26"/>
        <v>45456</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37880</v>
      </c>
      <c r="D51" s="164">
        <f>SUM(D52,D194)</f>
        <v>37880</v>
      </c>
      <c r="E51" s="165">
        <f t="shared" ref="E51:F51" si="30">SUM(E52,E194)</f>
        <v>0</v>
      </c>
      <c r="F51" s="166">
        <f t="shared" si="30"/>
        <v>37880</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16068</v>
      </c>
      <c r="D52" s="172">
        <f>SUM(D53,D75,D173,D187)</f>
        <v>16068</v>
      </c>
      <c r="E52" s="173">
        <f t="shared" ref="E52:F52" si="34">SUM(E53,E75,E173,E187)</f>
        <v>0</v>
      </c>
      <c r="F52" s="174">
        <f t="shared" si="34"/>
        <v>16068</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423">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16068</v>
      </c>
      <c r="D75" s="178">
        <f>SUM(D76,D83,D130,D164,D165,D172)</f>
        <v>16068</v>
      </c>
      <c r="E75" s="179">
        <f t="shared" ref="E75:F75" si="74">SUM(E76,E83,E130,E164,E165,E172)</f>
        <v>0</v>
      </c>
      <c r="F75" s="180">
        <f t="shared" si="74"/>
        <v>16068</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x14ac:dyDescent="0.25">
      <c r="A76" s="68">
        <v>2100</v>
      </c>
      <c r="B76" s="182" t="s">
        <v>95</v>
      </c>
      <c r="C76" s="69">
        <f t="shared" si="0"/>
        <v>3974</v>
      </c>
      <c r="D76" s="183">
        <f>SUM(D77,D80)</f>
        <v>4868</v>
      </c>
      <c r="E76" s="184">
        <f t="shared" ref="E76:F76" si="78">SUM(E77,E80)</f>
        <v>-894</v>
      </c>
      <c r="F76" s="72">
        <f t="shared" si="78"/>
        <v>3974</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42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x14ac:dyDescent="0.25">
      <c r="A80" s="188">
        <v>2120</v>
      </c>
      <c r="B80" s="88" t="s">
        <v>99</v>
      </c>
      <c r="C80" s="89">
        <f t="shared" si="0"/>
        <v>3974</v>
      </c>
      <c r="D80" s="189">
        <f>SUM(D81:D82)</f>
        <v>4868</v>
      </c>
      <c r="E80" s="190">
        <f t="shared" ref="E80:F80" si="90">SUM(E81:E82)</f>
        <v>-894</v>
      </c>
      <c r="F80" s="55">
        <f t="shared" si="90"/>
        <v>3974</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21" customHeight="1" x14ac:dyDescent="0.25">
      <c r="A81" s="51">
        <v>2121</v>
      </c>
      <c r="B81" s="88" t="s">
        <v>97</v>
      </c>
      <c r="C81" s="89">
        <f t="shared" si="0"/>
        <v>424</v>
      </c>
      <c r="D81" s="194">
        <v>838</v>
      </c>
      <c r="E81" s="195">
        <v>-414</v>
      </c>
      <c r="F81" s="55">
        <f t="shared" ref="F81:F82" si="94">D81+E81</f>
        <v>424</v>
      </c>
      <c r="G81" s="53"/>
      <c r="H81" s="54"/>
      <c r="I81" s="55">
        <f t="shared" ref="I81:I82" si="95">G81+H81</f>
        <v>0</v>
      </c>
      <c r="J81" s="53"/>
      <c r="K81" s="54"/>
      <c r="L81" s="55">
        <f t="shared" ref="L81:L82" si="96">K81+J81</f>
        <v>0</v>
      </c>
      <c r="M81" s="53"/>
      <c r="N81" s="54"/>
      <c r="O81" s="55">
        <f t="shared" ref="O81:O82" si="97">N81+M81</f>
        <v>0</v>
      </c>
      <c r="P81" s="57" t="s">
        <v>2051</v>
      </c>
    </row>
    <row r="82" spans="1:16" ht="30" customHeight="1" x14ac:dyDescent="0.25">
      <c r="A82" s="51">
        <v>2122</v>
      </c>
      <c r="B82" s="88" t="s">
        <v>98</v>
      </c>
      <c r="C82" s="89">
        <f t="shared" si="0"/>
        <v>3550</v>
      </c>
      <c r="D82" s="194">
        <v>4030</v>
      </c>
      <c r="E82" s="195">
        <v>-480</v>
      </c>
      <c r="F82" s="55">
        <f t="shared" si="94"/>
        <v>3550</v>
      </c>
      <c r="G82" s="53"/>
      <c r="H82" s="54"/>
      <c r="I82" s="55">
        <f t="shared" si="95"/>
        <v>0</v>
      </c>
      <c r="J82" s="53"/>
      <c r="K82" s="54"/>
      <c r="L82" s="55">
        <f t="shared" si="96"/>
        <v>0</v>
      </c>
      <c r="M82" s="53"/>
      <c r="N82" s="54"/>
      <c r="O82" s="55">
        <f t="shared" si="97"/>
        <v>0</v>
      </c>
      <c r="P82" s="57" t="s">
        <v>2052</v>
      </c>
    </row>
    <row r="83" spans="1:16" x14ac:dyDescent="0.25">
      <c r="A83" s="68">
        <v>2200</v>
      </c>
      <c r="B83" s="182" t="s">
        <v>100</v>
      </c>
      <c r="C83" s="69">
        <f t="shared" si="0"/>
        <v>9186</v>
      </c>
      <c r="D83" s="183">
        <f>SUM(D84,D89,D95,D103,D112,D116,D122,D128)</f>
        <v>8280</v>
      </c>
      <c r="E83" s="184">
        <f t="shared" ref="E83:F83" si="98">SUM(E84,E89,E95,E103,E112,E116,E122,E128)</f>
        <v>906</v>
      </c>
      <c r="F83" s="72">
        <f t="shared" si="98"/>
        <v>9186</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3420</v>
      </c>
      <c r="D95" s="189">
        <f>SUM(D96:D102)</f>
        <v>3420</v>
      </c>
      <c r="E95" s="190">
        <f t="shared" ref="E95:F95" si="119">SUM(E96:E102)</f>
        <v>0</v>
      </c>
      <c r="F95" s="55">
        <f t="shared" si="119"/>
        <v>3420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3420</v>
      </c>
      <c r="D96" s="194">
        <v>3420</v>
      </c>
      <c r="E96" s="195"/>
      <c r="F96" s="55">
        <f t="shared" ref="F96:F102" si="123">D96+E96</f>
        <v>3420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197</v>
      </c>
      <c r="D116" s="189">
        <f>SUM(D117:D121)</f>
        <v>300</v>
      </c>
      <c r="E116" s="190">
        <f t="shared" ref="E116:F116" si="143">SUM(E117:E121)</f>
        <v>-103</v>
      </c>
      <c r="F116" s="55">
        <f t="shared" si="143"/>
        <v>197</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9.5" customHeight="1" x14ac:dyDescent="0.25">
      <c r="A118" s="51">
        <v>2262</v>
      </c>
      <c r="B118" s="88" t="s">
        <v>135</v>
      </c>
      <c r="C118" s="89">
        <f t="shared" si="102"/>
        <v>197</v>
      </c>
      <c r="D118" s="194">
        <v>300</v>
      </c>
      <c r="E118" s="195">
        <v>-103</v>
      </c>
      <c r="F118" s="55">
        <f t="shared" si="147"/>
        <v>197</v>
      </c>
      <c r="G118" s="53"/>
      <c r="H118" s="54"/>
      <c r="I118" s="55">
        <f t="shared" si="148"/>
        <v>0</v>
      </c>
      <c r="J118" s="53"/>
      <c r="K118" s="54"/>
      <c r="L118" s="55">
        <f t="shared" si="149"/>
        <v>0</v>
      </c>
      <c r="M118" s="53"/>
      <c r="N118" s="54"/>
      <c r="O118" s="55">
        <f t="shared" si="150"/>
        <v>0</v>
      </c>
      <c r="P118" s="57" t="s">
        <v>2053</v>
      </c>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5569</v>
      </c>
      <c r="D122" s="189">
        <f>SUM(D123:D127)</f>
        <v>4560</v>
      </c>
      <c r="E122" s="190">
        <f t="shared" ref="E122:F122" si="151">SUM(E123:E127)</f>
        <v>1009</v>
      </c>
      <c r="F122" s="55">
        <f t="shared" si="151"/>
        <v>5569</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30.75" customHeight="1" x14ac:dyDescent="0.25">
      <c r="A127" s="51">
        <v>2279</v>
      </c>
      <c r="B127" s="88" t="s">
        <v>144</v>
      </c>
      <c r="C127" s="89">
        <f t="shared" si="102"/>
        <v>5569</v>
      </c>
      <c r="D127" s="194">
        <v>4560</v>
      </c>
      <c r="E127" s="195">
        <v>1009</v>
      </c>
      <c r="F127" s="55">
        <f t="shared" si="155"/>
        <v>5569</v>
      </c>
      <c r="G127" s="53"/>
      <c r="H127" s="54"/>
      <c r="I127" s="55">
        <f t="shared" si="156"/>
        <v>0</v>
      </c>
      <c r="J127" s="53"/>
      <c r="K127" s="54"/>
      <c r="L127" s="55">
        <f t="shared" si="157"/>
        <v>0</v>
      </c>
      <c r="M127" s="53"/>
      <c r="N127" s="54"/>
      <c r="O127" s="55">
        <f t="shared" si="158"/>
        <v>0</v>
      </c>
      <c r="P127" s="57" t="s">
        <v>2054</v>
      </c>
    </row>
    <row r="128" spans="1:16" ht="48" hidden="1" x14ac:dyDescent="0.25">
      <c r="A128" s="142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2908</v>
      </c>
      <c r="D130" s="183">
        <f>SUM(D131,D136,D140,D141,D144,D151,D159,D160,D163)</f>
        <v>2920</v>
      </c>
      <c r="E130" s="184">
        <f t="shared" ref="E130:F130" si="160">SUM(E131,E136,E140,E141,E144,E151,E159,E160,E163)</f>
        <v>-12</v>
      </c>
      <c r="F130" s="72">
        <f t="shared" si="160"/>
        <v>2908</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423">
        <v>2310</v>
      </c>
      <c r="B131" s="81" t="s">
        <v>148</v>
      </c>
      <c r="C131" s="82">
        <f t="shared" si="102"/>
        <v>268</v>
      </c>
      <c r="D131" s="192">
        <f t="shared" ref="D131:O131" si="164">SUM(D132:D135)</f>
        <v>280</v>
      </c>
      <c r="E131" s="193">
        <f t="shared" si="164"/>
        <v>-12</v>
      </c>
      <c r="F131" s="133">
        <f t="shared" si="164"/>
        <v>268</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9.5" customHeight="1" x14ac:dyDescent="0.25">
      <c r="A132" s="51">
        <v>2311</v>
      </c>
      <c r="B132" s="88" t="s">
        <v>149</v>
      </c>
      <c r="C132" s="89">
        <f t="shared" si="102"/>
        <v>88</v>
      </c>
      <c r="D132" s="194">
        <v>100</v>
      </c>
      <c r="E132" s="195">
        <v>-12</v>
      </c>
      <c r="F132" s="55">
        <f t="shared" ref="F132:F135" si="165">D132+E132</f>
        <v>88</v>
      </c>
      <c r="G132" s="53"/>
      <c r="H132" s="54"/>
      <c r="I132" s="55">
        <f t="shared" ref="I132:I135" si="166">G132+H132</f>
        <v>0</v>
      </c>
      <c r="J132" s="53"/>
      <c r="K132" s="54"/>
      <c r="L132" s="55">
        <f t="shared" ref="L132:L135" si="167">K132+J132</f>
        <v>0</v>
      </c>
      <c r="M132" s="53"/>
      <c r="N132" s="54"/>
      <c r="O132" s="55">
        <f t="shared" ref="O132:O135" si="168">N132+M132</f>
        <v>0</v>
      </c>
      <c r="P132" s="57" t="s">
        <v>2055</v>
      </c>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180</v>
      </c>
      <c r="D135" s="194">
        <v>180</v>
      </c>
      <c r="E135" s="195"/>
      <c r="F135" s="55">
        <f t="shared" si="165"/>
        <v>180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2640</v>
      </c>
      <c r="D151" s="189">
        <f>SUM(D152:D158)</f>
        <v>2640</v>
      </c>
      <c r="E151" s="190">
        <f t="shared" ref="E151:F151" si="194">SUM(E152:E158)</f>
        <v>0</v>
      </c>
      <c r="F151" s="55">
        <f t="shared" si="194"/>
        <v>2640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8" t="s">
        <v>171</v>
      </c>
      <c r="C154" s="89">
        <f t="shared" si="193"/>
        <v>2640</v>
      </c>
      <c r="D154" s="194">
        <v>2640</v>
      </c>
      <c r="E154" s="195"/>
      <c r="F154" s="55">
        <f t="shared" si="198"/>
        <v>2640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42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42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2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42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42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21812</v>
      </c>
      <c r="D194" s="172">
        <f t="shared" ref="D194:O194" si="259">SUM(D195,D230,D269,D283)</f>
        <v>21812</v>
      </c>
      <c r="E194" s="173">
        <f t="shared" si="259"/>
        <v>0</v>
      </c>
      <c r="F194" s="174">
        <f t="shared" si="259"/>
        <v>21812</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42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42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2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42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42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21812</v>
      </c>
      <c r="D269" s="229">
        <f>SUM(D270,D281)</f>
        <v>21812</v>
      </c>
      <c r="E269" s="230">
        <f t="shared" ref="E269:F269" si="355">SUM(E270,E281)</f>
        <v>0</v>
      </c>
      <c r="F269" s="231">
        <f t="shared" si="355"/>
        <v>21812</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42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2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x14ac:dyDescent="0.25">
      <c r="A281" s="135">
        <v>7700</v>
      </c>
      <c r="B281" s="108" t="s">
        <v>298</v>
      </c>
      <c r="C281" s="109">
        <f t="shared" si="371"/>
        <v>21812</v>
      </c>
      <c r="D281" s="234">
        <f t="shared" ref="D281:O281" si="378">D282</f>
        <v>21812</v>
      </c>
      <c r="E281" s="235">
        <f t="shared" si="378"/>
        <v>0</v>
      </c>
      <c r="F281" s="130">
        <f t="shared" si="378"/>
        <v>21812</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customHeight="1" x14ac:dyDescent="0.25">
      <c r="A282" s="185">
        <v>7720</v>
      </c>
      <c r="B282" s="81" t="s">
        <v>299</v>
      </c>
      <c r="C282" s="97">
        <f t="shared" si="371"/>
        <v>21812</v>
      </c>
      <c r="D282" s="236">
        <v>21812</v>
      </c>
      <c r="E282" s="237"/>
      <c r="F282" s="238">
        <f>D282+E282</f>
        <v>21812</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7576</v>
      </c>
      <c r="D286" s="189">
        <f>SUM(D287:D288)</f>
        <v>7576</v>
      </c>
      <c r="E286" s="190">
        <f t="shared" ref="E286:F286" si="381">SUM(E287:E288)</f>
        <v>0</v>
      </c>
      <c r="F286" s="55">
        <f t="shared" si="381"/>
        <v>7576</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9" t="s">
        <v>306</v>
      </c>
      <c r="B288" s="248" t="s">
        <v>307</v>
      </c>
      <c r="C288" s="82">
        <f t="shared" si="371"/>
        <v>7576</v>
      </c>
      <c r="D288" s="196">
        <v>7576</v>
      </c>
      <c r="E288" s="197"/>
      <c r="F288" s="133">
        <f t="shared" si="385"/>
        <v>7576</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45456</v>
      </c>
      <c r="D289" s="251">
        <f t="shared" ref="D289:O289" si="389">SUM(D286,D269,D230,D195,D187,D173,D75,D53,D283)</f>
        <v>45456</v>
      </c>
      <c r="E289" s="252">
        <f t="shared" si="389"/>
        <v>0</v>
      </c>
      <c r="F289" s="253">
        <f t="shared" si="389"/>
        <v>45456</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945" t="s">
        <v>309</v>
      </c>
      <c r="B290" s="1946"/>
      <c r="C290" s="255">
        <f t="shared" si="371"/>
        <v>7576</v>
      </c>
      <c r="D290" s="256">
        <f>SUM(D24,D25,D41)-D51</f>
        <v>7576</v>
      </c>
      <c r="E290" s="257">
        <f t="shared" ref="E290:F290" si="390">SUM(E24,E25,E41)-E51</f>
        <v>0</v>
      </c>
      <c r="F290" s="258">
        <f t="shared" si="390"/>
        <v>7576</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947" t="s">
        <v>310</v>
      </c>
      <c r="B291" s="1948"/>
      <c r="C291" s="260">
        <f t="shared" si="371"/>
        <v>-7576</v>
      </c>
      <c r="D291" s="261">
        <f t="shared" ref="D291:O291" si="394">SUM(D292,D293)-D300+D301</f>
        <v>-7576</v>
      </c>
      <c r="E291" s="262">
        <f t="shared" si="394"/>
        <v>0</v>
      </c>
      <c r="F291" s="263">
        <f t="shared" si="394"/>
        <v>-7576</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6" t="s">
        <v>311</v>
      </c>
      <c r="B292" s="156" t="s">
        <v>312</v>
      </c>
      <c r="C292" s="157">
        <f t="shared" si="371"/>
        <v>-7576</v>
      </c>
      <c r="D292" s="158">
        <f t="shared" ref="D292:O292" si="395">D21-D286</f>
        <v>-7576</v>
      </c>
      <c r="E292" s="159">
        <f t="shared" si="395"/>
        <v>0</v>
      </c>
      <c r="F292" s="160">
        <f t="shared" si="395"/>
        <v>-7576</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sheetData>
  <sheetProtection algorithmName="SHA-512" hashValue="BOMdUQnvv18ImmiU+008k+4zHMc8A1fAHNK7JAqYfJ0EWH7bxYwnEmpuD7+DGWguX85+8EtTQW+OpphU27YlTw==" saltValue="MoskGWFiGNSmXhcy5vyPaA==" spinCount="100000" sheet="1" objects="1" scenarios="1" formatCells="0" formatColumns="0" formatRows="0" deleteColumns="0"/>
  <autoFilter ref="A18:P301">
    <filterColumn colId="2">
      <filters>
        <filter val="16 068"/>
        <filter val="180"/>
        <filter val="197"/>
        <filter val="2 640"/>
        <filter val="2 908"/>
        <filter val="21 812"/>
        <filter val="268"/>
        <filter val="3 420"/>
        <filter val="3 550"/>
        <filter val="3 974"/>
        <filter val="37 880"/>
        <filter val="424"/>
        <filter val="45 456"/>
        <filter val="5 569"/>
        <filter val="7 576"/>
        <filter val="-7 576"/>
        <filter val="88"/>
        <filter val="9 186"/>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42.pielikums Jūrmalas pilsētas domes
2019.gada 29.augusta saistošajiem noteikumiem Nr.31
(protokols Nr.12, 20.punkts)
 </firstHeader>
    <firstFooter>&amp;L&amp;9&amp;D; &amp;T&amp;R&amp;9&amp;P (&amp;N)</first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U7" sqref="U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36.57031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1759</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96" t="s">
        <v>1760</v>
      </c>
      <c r="D5" s="1996"/>
      <c r="E5" s="1996"/>
      <c r="F5" s="1996"/>
      <c r="G5" s="1996"/>
      <c r="H5" s="1996"/>
      <c r="I5" s="1996"/>
      <c r="J5" s="1996"/>
      <c r="K5" s="1996"/>
      <c r="L5" s="1996"/>
      <c r="M5" s="1996"/>
      <c r="N5" s="1996"/>
      <c r="O5" s="1996"/>
      <c r="P5" s="1997"/>
      <c r="Q5" s="276"/>
    </row>
    <row r="6" spans="1:17" ht="12.75" customHeight="1" x14ac:dyDescent="0.25">
      <c r="A6" s="7" t="s">
        <v>8</v>
      </c>
      <c r="B6" s="8"/>
      <c r="C6" s="1996" t="s">
        <v>853</v>
      </c>
      <c r="D6" s="1996"/>
      <c r="E6" s="1996"/>
      <c r="F6" s="1996"/>
      <c r="G6" s="1996"/>
      <c r="H6" s="1996"/>
      <c r="I6" s="1996"/>
      <c r="J6" s="1996"/>
      <c r="K6" s="1996"/>
      <c r="L6" s="1996"/>
      <c r="M6" s="1996"/>
      <c r="N6" s="1996"/>
      <c r="O6" s="1996"/>
      <c r="P6" s="1997"/>
      <c r="Q6" s="276"/>
    </row>
    <row r="7" spans="1:17" ht="38.25" customHeight="1" x14ac:dyDescent="0.25">
      <c r="A7" s="7" t="s">
        <v>10</v>
      </c>
      <c r="B7" s="8"/>
      <c r="C7" s="1998" t="s">
        <v>1761</v>
      </c>
      <c r="D7" s="1998"/>
      <c r="E7" s="1998"/>
      <c r="F7" s="1998"/>
      <c r="G7" s="1998"/>
      <c r="H7" s="1998"/>
      <c r="I7" s="1998"/>
      <c r="J7" s="1998"/>
      <c r="K7" s="1998"/>
      <c r="L7" s="1998"/>
      <c r="M7" s="1998"/>
      <c r="N7" s="1998"/>
      <c r="O7" s="1998"/>
      <c r="P7" s="1999"/>
      <c r="Q7" s="276"/>
    </row>
    <row r="8" spans="1:17" ht="12.75" customHeight="1" x14ac:dyDescent="0.25">
      <c r="A8" s="9" t="s">
        <v>12</v>
      </c>
      <c r="B8" s="8"/>
      <c r="C8" s="2000"/>
      <c r="D8" s="2000"/>
      <c r="E8" s="2000"/>
      <c r="F8" s="2000"/>
      <c r="G8" s="2000"/>
      <c r="H8" s="2000"/>
      <c r="I8" s="2000"/>
      <c r="J8" s="2000"/>
      <c r="K8" s="2000"/>
      <c r="L8" s="2000"/>
      <c r="M8" s="2000"/>
      <c r="N8" s="2000"/>
      <c r="O8" s="2000"/>
      <c r="P8" s="2001"/>
      <c r="Q8" s="276"/>
    </row>
    <row r="9" spans="1:17" ht="12.75" customHeight="1" x14ac:dyDescent="0.25">
      <c r="A9" s="7"/>
      <c r="B9" s="8" t="s">
        <v>13</v>
      </c>
      <c r="C9" s="1994"/>
      <c r="D9" s="1994"/>
      <c r="E9" s="1994"/>
      <c r="F9" s="1994"/>
      <c r="G9" s="1994"/>
      <c r="H9" s="1994"/>
      <c r="I9" s="1994"/>
      <c r="J9" s="1994"/>
      <c r="K9" s="1994"/>
      <c r="L9" s="1994"/>
      <c r="M9" s="1994"/>
      <c r="N9" s="1994"/>
      <c r="O9" s="1994"/>
      <c r="P9" s="1995"/>
      <c r="Q9" s="276"/>
    </row>
    <row r="10" spans="1:17" ht="12.75" customHeight="1" x14ac:dyDescent="0.25">
      <c r="A10" s="7"/>
      <c r="B10" s="8" t="s">
        <v>15</v>
      </c>
      <c r="C10" s="1994"/>
      <c r="D10" s="1994"/>
      <c r="E10" s="1994"/>
      <c r="F10" s="1994"/>
      <c r="G10" s="1994"/>
      <c r="H10" s="1994"/>
      <c r="I10" s="1994"/>
      <c r="J10" s="1994"/>
      <c r="K10" s="1994"/>
      <c r="L10" s="1994"/>
      <c r="M10" s="1994"/>
      <c r="N10" s="1994"/>
      <c r="O10" s="1994"/>
      <c r="P10" s="1995"/>
      <c r="Q10" s="276"/>
    </row>
    <row r="11" spans="1:17" ht="12.75" customHeight="1" x14ac:dyDescent="0.25">
      <c r="A11" s="7"/>
      <c r="B11" s="8" t="s">
        <v>16</v>
      </c>
      <c r="C11" s="2002" t="s">
        <v>1762</v>
      </c>
      <c r="D11" s="2002"/>
      <c r="E11" s="2002"/>
      <c r="F11" s="2002"/>
      <c r="G11" s="2002"/>
      <c r="H11" s="2002"/>
      <c r="I11" s="2002"/>
      <c r="J11" s="2002"/>
      <c r="K11" s="2002"/>
      <c r="L11" s="2002"/>
      <c r="M11" s="2002"/>
      <c r="N11" s="2002"/>
      <c r="O11" s="2002"/>
      <c r="P11" s="2003"/>
      <c r="Q11" s="276"/>
    </row>
    <row r="12" spans="1:17" ht="12.75" customHeight="1" x14ac:dyDescent="0.25">
      <c r="A12" s="7"/>
      <c r="B12" s="8" t="s">
        <v>17</v>
      </c>
      <c r="C12" s="1994"/>
      <c r="D12" s="1994"/>
      <c r="E12" s="1994"/>
      <c r="F12" s="1994"/>
      <c r="G12" s="1994"/>
      <c r="H12" s="1994"/>
      <c r="I12" s="1994"/>
      <c r="J12" s="1994"/>
      <c r="K12" s="1994"/>
      <c r="L12" s="1994"/>
      <c r="M12" s="1994"/>
      <c r="N12" s="1994"/>
      <c r="O12" s="1994"/>
      <c r="P12" s="1995"/>
      <c r="Q12" s="276"/>
    </row>
    <row r="13" spans="1:17" ht="12.75" customHeight="1" x14ac:dyDescent="0.25">
      <c r="A13" s="7"/>
      <c r="B13" s="8" t="s">
        <v>19</v>
      </c>
      <c r="C13" s="1994"/>
      <c r="D13" s="1994"/>
      <c r="E13" s="1994"/>
      <c r="F13" s="1994"/>
      <c r="G13" s="1994"/>
      <c r="H13" s="1994"/>
      <c r="I13" s="1994"/>
      <c r="J13" s="1994"/>
      <c r="K13" s="1994"/>
      <c r="L13" s="1994"/>
      <c r="M13" s="1994"/>
      <c r="N13" s="1994"/>
      <c r="O13" s="1994"/>
      <c r="P13" s="1995"/>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634319</v>
      </c>
      <c r="D20" s="32">
        <f>SUM(D21,D24,D25,D41,D43)</f>
        <v>580732</v>
      </c>
      <c r="E20" s="33">
        <f t="shared" ref="E20:F20" si="1">SUM(E21,E24,E25,E41,E43)</f>
        <v>53587</v>
      </c>
      <c r="F20" s="34">
        <f t="shared" si="1"/>
        <v>634319</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s="296" customFormat="1" ht="12.75" hidden="1" thickTop="1" x14ac:dyDescent="0.25">
      <c r="A23" s="1368"/>
      <c r="B23" s="851" t="s">
        <v>42</v>
      </c>
      <c r="C23" s="1414">
        <f t="shared" si="0"/>
        <v>0</v>
      </c>
      <c r="D23" s="303"/>
      <c r="E23" s="542"/>
      <c r="F23" s="543">
        <f t="shared" ref="F23:F25" si="9">D23+E23</f>
        <v>0</v>
      </c>
      <c r="G23" s="303"/>
      <c r="H23" s="542"/>
      <c r="I23" s="543">
        <f t="shared" ref="I23:I24" si="10">G23+H23</f>
        <v>0</v>
      </c>
      <c r="J23" s="303"/>
      <c r="K23" s="542"/>
      <c r="L23" s="631">
        <f>K23+J23</f>
        <v>0</v>
      </c>
      <c r="M23" s="303"/>
      <c r="N23" s="542"/>
      <c r="O23" s="543">
        <f>N23+M23</f>
        <v>0</v>
      </c>
      <c r="P23" s="546"/>
    </row>
    <row r="24" spans="1:16" s="1417" customFormat="1" ht="33" customHeight="1" thickTop="1" thickBot="1" x14ac:dyDescent="0.3">
      <c r="A24" s="1249">
        <v>19300</v>
      </c>
      <c r="B24" s="1249" t="s">
        <v>43</v>
      </c>
      <c r="C24" s="1415">
        <f>F24+I24</f>
        <v>498768</v>
      </c>
      <c r="D24" s="632">
        <v>407685</v>
      </c>
      <c r="E24" s="633">
        <v>91083</v>
      </c>
      <c r="F24" s="634">
        <f t="shared" si="9"/>
        <v>498768</v>
      </c>
      <c r="G24" s="632"/>
      <c r="H24" s="633"/>
      <c r="I24" s="634">
        <f t="shared" si="10"/>
        <v>0</v>
      </c>
      <c r="J24" s="304" t="s">
        <v>44</v>
      </c>
      <c r="K24" s="635" t="s">
        <v>44</v>
      </c>
      <c r="L24" s="636" t="s">
        <v>44</v>
      </c>
      <c r="M24" s="304" t="s">
        <v>44</v>
      </c>
      <c r="N24" s="635" t="s">
        <v>44</v>
      </c>
      <c r="O24" s="636" t="s">
        <v>44</v>
      </c>
      <c r="P24" s="1416" t="s">
        <v>1763</v>
      </c>
    </row>
    <row r="25" spans="1:16" s="1417" customFormat="1" ht="24.75" thickTop="1" x14ac:dyDescent="0.25">
      <c r="A25" s="1418">
        <v>18630</v>
      </c>
      <c r="B25" s="1419" t="s">
        <v>45</v>
      </c>
      <c r="C25" s="1420">
        <f>F25</f>
        <v>135551</v>
      </c>
      <c r="D25" s="320">
        <v>173047</v>
      </c>
      <c r="E25" s="637">
        <v>-37496</v>
      </c>
      <c r="F25" s="638">
        <f t="shared" si="9"/>
        <v>135551</v>
      </c>
      <c r="G25" s="305" t="s">
        <v>44</v>
      </c>
      <c r="H25" s="639" t="s">
        <v>44</v>
      </c>
      <c r="I25" s="640" t="s">
        <v>44</v>
      </c>
      <c r="J25" s="305" t="s">
        <v>44</v>
      </c>
      <c r="K25" s="639" t="s">
        <v>44</v>
      </c>
      <c r="L25" s="640" t="s">
        <v>44</v>
      </c>
      <c r="M25" s="305" t="s">
        <v>44</v>
      </c>
      <c r="N25" s="639" t="s">
        <v>44</v>
      </c>
      <c r="O25" s="640" t="s">
        <v>44</v>
      </c>
      <c r="P25" s="1421" t="s">
        <v>1764</v>
      </c>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634319</v>
      </c>
      <c r="D50" s="158">
        <f>SUM(D51,D286)</f>
        <v>580732</v>
      </c>
      <c r="E50" s="159">
        <f t="shared" ref="E50:F50" si="26">SUM(E51,E286)</f>
        <v>53587</v>
      </c>
      <c r="F50" s="160">
        <f t="shared" si="26"/>
        <v>634319</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634319</v>
      </c>
      <c r="D51" s="164">
        <f>SUM(D52,D194)</f>
        <v>580732</v>
      </c>
      <c r="E51" s="165">
        <f t="shared" ref="E51:F51" si="30">SUM(E52,E194)</f>
        <v>53587</v>
      </c>
      <c r="F51" s="166">
        <f t="shared" si="30"/>
        <v>634319</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hidden="1" x14ac:dyDescent="0.25">
      <c r="A52" s="24"/>
      <c r="B52" s="22" t="s">
        <v>71</v>
      </c>
      <c r="C52" s="171">
        <f t="shared" si="0"/>
        <v>0</v>
      </c>
      <c r="D52" s="172">
        <f>SUM(D53,D75,D173,D187)</f>
        <v>0</v>
      </c>
      <c r="E52" s="173">
        <f t="shared" ref="E52:F52" si="34">SUM(E53,E75,E173,E187)</f>
        <v>0</v>
      </c>
      <c r="F52" s="174">
        <f t="shared" si="34"/>
        <v>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212">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212">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12">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212">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212">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212">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12">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212">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212">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634319</v>
      </c>
      <c r="D194" s="172">
        <f t="shared" ref="D194:O194" si="259">SUM(D195,D230,D269,D283)</f>
        <v>580732</v>
      </c>
      <c r="E194" s="173">
        <f t="shared" si="259"/>
        <v>53587</v>
      </c>
      <c r="F194" s="174">
        <f t="shared" si="259"/>
        <v>634319</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634319</v>
      </c>
      <c r="D195" s="178">
        <f>D196+D204</f>
        <v>580732</v>
      </c>
      <c r="E195" s="179">
        <f t="shared" ref="E195:F195" si="260">E196+E204</f>
        <v>53587</v>
      </c>
      <c r="F195" s="180">
        <f t="shared" si="260"/>
        <v>634319</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212">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634319</v>
      </c>
      <c r="D204" s="183">
        <f>D205+D215+D216+D225+D226+D227+D229</f>
        <v>580732</v>
      </c>
      <c r="E204" s="184">
        <f t="shared" ref="E204:F204" si="276">E205+E215+E216+E225+E226+E227+E229</f>
        <v>53587</v>
      </c>
      <c r="F204" s="72">
        <f t="shared" si="276"/>
        <v>634319</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s="296" customFormat="1" ht="23.25" customHeight="1" x14ac:dyDescent="0.25">
      <c r="A226" s="1394">
        <v>5250</v>
      </c>
      <c r="B226" s="852" t="s">
        <v>243</v>
      </c>
      <c r="C226" s="853">
        <f t="shared" si="288"/>
        <v>634319</v>
      </c>
      <c r="D226" s="544">
        <v>580732</v>
      </c>
      <c r="E226" s="545">
        <v>53587</v>
      </c>
      <c r="F226" s="543">
        <f t="shared" si="293"/>
        <v>634319</v>
      </c>
      <c r="G226" s="303"/>
      <c r="H226" s="542"/>
      <c r="I226" s="543">
        <f t="shared" si="294"/>
        <v>0</v>
      </c>
      <c r="J226" s="303"/>
      <c r="K226" s="542"/>
      <c r="L226" s="543">
        <f t="shared" si="295"/>
        <v>0</v>
      </c>
      <c r="M226" s="303"/>
      <c r="N226" s="542"/>
      <c r="O226" s="543">
        <f t="shared" si="296"/>
        <v>0</v>
      </c>
      <c r="P226" s="1422" t="s">
        <v>1763</v>
      </c>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212">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12">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212">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212">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212">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12">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634319</v>
      </c>
      <c r="D289" s="251">
        <f t="shared" ref="D289:O289" si="389">SUM(D286,D269,D230,D195,D187,D173,D75,D53,D283)</f>
        <v>580732</v>
      </c>
      <c r="E289" s="252">
        <f t="shared" si="389"/>
        <v>53587</v>
      </c>
      <c r="F289" s="253">
        <f t="shared" si="389"/>
        <v>634319</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C9SJGP5vEyzuUCfUo2PO40FH4O7TYYZa+H7MA3SKBCx4mebKY5Hjm087kVTs6oofxwvBMGJ1pzePjXYjU9KqEQ==" saltValue="SRr+P4r4wKVQfAhXkZrjcQ==" spinCount="100000" sheet="1" objects="1" scenarios="1" formatCells="0" formatColumns="0" formatRows="0" deleteColumns="0"/>
  <autoFilter ref="A18:P301">
    <filterColumn colId="2">
      <filters>
        <filter val="135 551"/>
        <filter val="498 768"/>
        <filter val="634 31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43.pielikums Jūrmalas pilsētas domes
2019.gada 29.augusta saistošajiem noteikumiem Nr.31
(protokols Nr.12, 20.punkts)
 </firstHeader>
    <firstFooter>&amp;L&amp;9&amp;D; &amp;T&amp;R&amp;9&amp;P (&amp;N)</first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10" workbookViewId="0">
      <selection activeCell="T10" sqref="T9:T10"/>
    </sheetView>
  </sheetViews>
  <sheetFormatPr defaultColWidth="9.140625"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1040</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824</v>
      </c>
      <c r="D3" s="1977"/>
      <c r="E3" s="1977"/>
      <c r="F3" s="1977"/>
      <c r="G3" s="1977"/>
      <c r="H3" s="1977"/>
      <c r="I3" s="1977"/>
      <c r="J3" s="1977"/>
      <c r="K3" s="1977"/>
      <c r="L3" s="1977"/>
      <c r="M3" s="1977"/>
      <c r="N3" s="1977"/>
      <c r="O3" s="1977"/>
      <c r="P3" s="1978"/>
      <c r="Q3" s="276"/>
    </row>
    <row r="4" spans="1:17" ht="12.75" customHeight="1" x14ac:dyDescent="0.25">
      <c r="A4" s="5" t="s">
        <v>4</v>
      </c>
      <c r="B4" s="6"/>
      <c r="C4" s="1977" t="s">
        <v>825</v>
      </c>
      <c r="D4" s="1977"/>
      <c r="E4" s="1977"/>
      <c r="F4" s="1977"/>
      <c r="G4" s="1977"/>
      <c r="H4" s="1977"/>
      <c r="I4" s="1977"/>
      <c r="J4" s="1977"/>
      <c r="K4" s="1977"/>
      <c r="L4" s="1977"/>
      <c r="M4" s="1977"/>
      <c r="N4" s="1977"/>
      <c r="O4" s="1977"/>
      <c r="P4" s="1978"/>
      <c r="Q4" s="276"/>
    </row>
    <row r="5" spans="1:17" ht="12.75" customHeight="1" x14ac:dyDescent="0.25">
      <c r="A5" s="7" t="s">
        <v>6</v>
      </c>
      <c r="B5" s="8"/>
      <c r="C5" s="1972" t="s">
        <v>826</v>
      </c>
      <c r="D5" s="1972"/>
      <c r="E5" s="1972"/>
      <c r="F5" s="1972"/>
      <c r="G5" s="1972"/>
      <c r="H5" s="1972"/>
      <c r="I5" s="1972"/>
      <c r="J5" s="1972"/>
      <c r="K5" s="1972"/>
      <c r="L5" s="1972"/>
      <c r="M5" s="1972"/>
      <c r="N5" s="1972"/>
      <c r="O5" s="1972"/>
      <c r="P5" s="1973"/>
      <c r="Q5" s="276"/>
    </row>
    <row r="6" spans="1:17" ht="12.75" customHeight="1" x14ac:dyDescent="0.25">
      <c r="A6" s="7" t="s">
        <v>8</v>
      </c>
      <c r="B6" s="8"/>
      <c r="C6" s="1972" t="s">
        <v>827</v>
      </c>
      <c r="D6" s="1972"/>
      <c r="E6" s="1972"/>
      <c r="F6" s="1972"/>
      <c r="G6" s="1972"/>
      <c r="H6" s="1972"/>
      <c r="I6" s="1972"/>
      <c r="J6" s="1972"/>
      <c r="K6" s="1972"/>
      <c r="L6" s="1972"/>
      <c r="M6" s="1972"/>
      <c r="N6" s="1972"/>
      <c r="O6" s="1972"/>
      <c r="P6" s="1973"/>
      <c r="Q6" s="276"/>
    </row>
    <row r="7" spans="1:17" ht="24.75" customHeight="1" x14ac:dyDescent="0.25">
      <c r="A7" s="7" t="s">
        <v>10</v>
      </c>
      <c r="B7" s="8"/>
      <c r="C7" s="2004" t="s">
        <v>1062</v>
      </c>
      <c r="D7" s="2005"/>
      <c r="E7" s="2005"/>
      <c r="F7" s="2005"/>
      <c r="G7" s="2005"/>
      <c r="H7" s="2005"/>
      <c r="I7" s="2005"/>
      <c r="J7" s="2005"/>
      <c r="K7" s="2005"/>
      <c r="L7" s="2005"/>
      <c r="M7" s="2005"/>
      <c r="N7" s="2005"/>
      <c r="O7" s="2005"/>
      <c r="P7" s="2006"/>
      <c r="Q7" s="276"/>
    </row>
    <row r="8" spans="1:17" ht="12.75" customHeight="1" x14ac:dyDescent="0.25">
      <c r="A8" s="9" t="s">
        <v>12</v>
      </c>
      <c r="B8" s="8"/>
      <c r="C8" s="2004"/>
      <c r="D8" s="2005"/>
      <c r="E8" s="2005"/>
      <c r="F8" s="2005"/>
      <c r="G8" s="2005"/>
      <c r="H8" s="2005"/>
      <c r="I8" s="2005"/>
      <c r="J8" s="2005"/>
      <c r="K8" s="2005"/>
      <c r="L8" s="2005"/>
      <c r="M8" s="2005"/>
      <c r="N8" s="2005"/>
      <c r="O8" s="2005"/>
      <c r="P8" s="2006"/>
      <c r="Q8" s="276"/>
    </row>
    <row r="9" spans="1:17" ht="12.75" customHeight="1" x14ac:dyDescent="0.25">
      <c r="A9" s="7"/>
      <c r="B9" s="8" t="s">
        <v>13</v>
      </c>
      <c r="C9" s="1972" t="s">
        <v>1041</v>
      </c>
      <c r="D9" s="1972"/>
      <c r="E9" s="1972"/>
      <c r="F9" s="1972"/>
      <c r="G9" s="1972"/>
      <c r="H9" s="1972"/>
      <c r="I9" s="1972"/>
      <c r="J9" s="1972"/>
      <c r="K9" s="1972"/>
      <c r="L9" s="1972"/>
      <c r="M9" s="1972"/>
      <c r="N9" s="1972"/>
      <c r="O9" s="1972"/>
      <c r="P9" s="1973"/>
      <c r="Q9" s="276"/>
    </row>
    <row r="10" spans="1:17" ht="12.75" customHeight="1" x14ac:dyDescent="0.25">
      <c r="A10" s="7"/>
      <c r="B10" s="8" t="s">
        <v>15</v>
      </c>
      <c r="C10" s="1972" t="s">
        <v>1042</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1043</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371717</v>
      </c>
      <c r="D20" s="32">
        <f>SUM(D21,D24,D25,D41,D43)</f>
        <v>281391</v>
      </c>
      <c r="E20" s="33">
        <f t="shared" ref="E20:F20" si="1">SUM(E21,E24,E25,E41,E43)</f>
        <v>1954</v>
      </c>
      <c r="F20" s="34">
        <f t="shared" si="1"/>
        <v>283345</v>
      </c>
      <c r="G20" s="32">
        <f>SUM(G21,G24,G43)</f>
        <v>76102</v>
      </c>
      <c r="H20" s="33">
        <f t="shared" ref="H20:I20" si="2">SUM(H21,H24,H43)</f>
        <v>0</v>
      </c>
      <c r="I20" s="34">
        <f t="shared" si="2"/>
        <v>76102</v>
      </c>
      <c r="J20" s="32">
        <f>SUM(J21,J26,J43)</f>
        <v>11347</v>
      </c>
      <c r="K20" s="33">
        <f t="shared" ref="K20:L20" si="3">SUM(K21,K26,K43)</f>
        <v>923</v>
      </c>
      <c r="L20" s="34">
        <f t="shared" si="3"/>
        <v>12270</v>
      </c>
      <c r="M20" s="32">
        <f>SUM(M21,M45)</f>
        <v>0</v>
      </c>
      <c r="N20" s="33">
        <f t="shared" ref="N20:O20" si="4">SUM(N21,N45)</f>
        <v>0</v>
      </c>
      <c r="O20" s="34">
        <f t="shared" si="4"/>
        <v>0</v>
      </c>
      <c r="P20" s="35"/>
    </row>
    <row r="21" spans="1:16" ht="12.75" thickTop="1" x14ac:dyDescent="0.25">
      <c r="A21" s="36"/>
      <c r="B21" s="37" t="s">
        <v>40</v>
      </c>
      <c r="C21" s="38">
        <f t="shared" si="0"/>
        <v>737</v>
      </c>
      <c r="D21" s="39">
        <f>SUM(D22:D23)</f>
        <v>0</v>
      </c>
      <c r="E21" s="40">
        <f t="shared" ref="E21:F21" si="5">SUM(E22:E23)</f>
        <v>0</v>
      </c>
      <c r="F21" s="41">
        <f t="shared" si="5"/>
        <v>0</v>
      </c>
      <c r="G21" s="39">
        <f>SUM(G22:G23)</f>
        <v>0</v>
      </c>
      <c r="H21" s="40">
        <f t="shared" ref="H21:I21" si="6">SUM(H22:H23)</f>
        <v>0</v>
      </c>
      <c r="I21" s="41">
        <f t="shared" si="6"/>
        <v>0</v>
      </c>
      <c r="J21" s="39">
        <f>SUM(J22:J23)</f>
        <v>737</v>
      </c>
      <c r="K21" s="40">
        <f t="shared" ref="K21:L21" si="7">SUM(K22:K23)</f>
        <v>0</v>
      </c>
      <c r="L21" s="41">
        <f t="shared" si="7"/>
        <v>737</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737</v>
      </c>
      <c r="D23" s="53"/>
      <c r="E23" s="54"/>
      <c r="F23" s="55">
        <f t="shared" ref="F23:F25" si="9">D23+E23</f>
        <v>0</v>
      </c>
      <c r="G23" s="53"/>
      <c r="H23" s="54"/>
      <c r="I23" s="55">
        <f t="shared" ref="I23:I24" si="10">G23+H23</f>
        <v>0</v>
      </c>
      <c r="J23" s="53">
        <v>737</v>
      </c>
      <c r="K23" s="822"/>
      <c r="L23" s="56">
        <f>K23+J23</f>
        <v>737</v>
      </c>
      <c r="M23" s="53"/>
      <c r="N23" s="823"/>
      <c r="O23" s="55">
        <f>N23+M23</f>
        <v>0</v>
      </c>
      <c r="P23" s="57"/>
    </row>
    <row r="24" spans="1:16" s="28" customFormat="1" ht="30" customHeight="1" thickBot="1" x14ac:dyDescent="0.3">
      <c r="A24" s="58">
        <v>19300</v>
      </c>
      <c r="B24" s="58" t="s">
        <v>43</v>
      </c>
      <c r="C24" s="59">
        <f>F24+I24</f>
        <v>359447</v>
      </c>
      <c r="D24" s="60">
        <v>281391</v>
      </c>
      <c r="E24" s="831">
        <v>1954</v>
      </c>
      <c r="F24" s="62">
        <f t="shared" si="9"/>
        <v>283345</v>
      </c>
      <c r="G24" s="60">
        <v>76102</v>
      </c>
      <c r="H24" s="61"/>
      <c r="I24" s="62">
        <f t="shared" si="10"/>
        <v>76102</v>
      </c>
      <c r="J24" s="63" t="s">
        <v>44</v>
      </c>
      <c r="K24" s="64" t="s">
        <v>44</v>
      </c>
      <c r="L24" s="65" t="s">
        <v>44</v>
      </c>
      <c r="M24" s="63" t="s">
        <v>44</v>
      </c>
      <c r="N24" s="64" t="s">
        <v>44</v>
      </c>
      <c r="O24" s="65" t="s">
        <v>44</v>
      </c>
      <c r="P24" s="66" t="s">
        <v>1044</v>
      </c>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11533</v>
      </c>
      <c r="D26" s="73" t="s">
        <v>44</v>
      </c>
      <c r="E26" s="74" t="s">
        <v>44</v>
      </c>
      <c r="F26" s="75" t="s">
        <v>44</v>
      </c>
      <c r="G26" s="73" t="s">
        <v>44</v>
      </c>
      <c r="H26" s="74" t="s">
        <v>44</v>
      </c>
      <c r="I26" s="75" t="s">
        <v>44</v>
      </c>
      <c r="J26" s="77">
        <f>SUM(J27,J31,J33,J36)</f>
        <v>10610</v>
      </c>
      <c r="K26" s="78">
        <f t="shared" ref="K26:L26" si="11">SUM(K27,K31,K33,K36)</f>
        <v>923</v>
      </c>
      <c r="L26" s="79">
        <f t="shared" si="11"/>
        <v>11533</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customHeight="1" x14ac:dyDescent="0.25">
      <c r="A33" s="80">
        <v>21380</v>
      </c>
      <c r="B33" s="68" t="s">
        <v>53</v>
      </c>
      <c r="C33" s="69">
        <f t="shared" si="16"/>
        <v>1069</v>
      </c>
      <c r="D33" s="73" t="s">
        <v>44</v>
      </c>
      <c r="E33" s="74" t="s">
        <v>44</v>
      </c>
      <c r="F33" s="75" t="s">
        <v>44</v>
      </c>
      <c r="G33" s="73" t="s">
        <v>44</v>
      </c>
      <c r="H33" s="74" t="s">
        <v>44</v>
      </c>
      <c r="I33" s="75" t="s">
        <v>44</v>
      </c>
      <c r="J33" s="77">
        <f>SUM(J34:J35)</f>
        <v>1040</v>
      </c>
      <c r="K33" s="78">
        <f t="shared" ref="K33:L33" si="17">SUM(K34:K35)</f>
        <v>29</v>
      </c>
      <c r="L33" s="79">
        <f t="shared" si="17"/>
        <v>1069</v>
      </c>
      <c r="M33" s="77" t="s">
        <v>44</v>
      </c>
      <c r="N33" s="78" t="s">
        <v>44</v>
      </c>
      <c r="O33" s="79" t="s">
        <v>44</v>
      </c>
      <c r="P33" s="76"/>
    </row>
    <row r="34" spans="1:16" ht="16.5" customHeight="1" x14ac:dyDescent="0.25">
      <c r="A34" s="44">
        <v>21381</v>
      </c>
      <c r="B34" s="96" t="s">
        <v>54</v>
      </c>
      <c r="C34" s="97">
        <f t="shared" si="16"/>
        <v>1069</v>
      </c>
      <c r="D34" s="98" t="s">
        <v>44</v>
      </c>
      <c r="E34" s="99" t="s">
        <v>44</v>
      </c>
      <c r="F34" s="100" t="s">
        <v>44</v>
      </c>
      <c r="G34" s="98" t="s">
        <v>44</v>
      </c>
      <c r="H34" s="99" t="s">
        <v>44</v>
      </c>
      <c r="I34" s="100" t="s">
        <v>44</v>
      </c>
      <c r="J34" s="101">
        <v>1040</v>
      </c>
      <c r="K34" s="1150">
        <v>29</v>
      </c>
      <c r="L34" s="103">
        <f t="shared" ref="L34:L35" si="18">K34+J34</f>
        <v>1069</v>
      </c>
      <c r="M34" s="104" t="s">
        <v>44</v>
      </c>
      <c r="N34" s="105" t="s">
        <v>44</v>
      </c>
      <c r="O34" s="103" t="s">
        <v>44</v>
      </c>
      <c r="P34" s="106" t="s">
        <v>1045</v>
      </c>
    </row>
    <row r="35" spans="1:16" ht="24" hidden="1" customHeight="1" x14ac:dyDescent="0.25">
      <c r="A35" s="209">
        <v>21383</v>
      </c>
      <c r="B35" s="81" t="s">
        <v>55</v>
      </c>
      <c r="C35" s="82">
        <f t="shared" si="16"/>
        <v>0</v>
      </c>
      <c r="D35" s="83" t="s">
        <v>44</v>
      </c>
      <c r="E35" s="84" t="s">
        <v>44</v>
      </c>
      <c r="F35" s="85" t="s">
        <v>44</v>
      </c>
      <c r="G35" s="83" t="s">
        <v>44</v>
      </c>
      <c r="H35" s="84" t="s">
        <v>44</v>
      </c>
      <c r="I35" s="85" t="s">
        <v>44</v>
      </c>
      <c r="J35" s="46"/>
      <c r="K35" s="47"/>
      <c r="L35" s="48">
        <f t="shared" si="18"/>
        <v>0</v>
      </c>
      <c r="M35" s="86" t="s">
        <v>44</v>
      </c>
      <c r="N35" s="87" t="s">
        <v>44</v>
      </c>
      <c r="O35" s="48" t="s">
        <v>44</v>
      </c>
      <c r="P35" s="49"/>
    </row>
    <row r="36" spans="1:16" s="28" customFormat="1" ht="25.5" customHeight="1" x14ac:dyDescent="0.25">
      <c r="A36" s="1151">
        <v>21390</v>
      </c>
      <c r="B36" s="216" t="s">
        <v>56</v>
      </c>
      <c r="C36" s="217">
        <f t="shared" si="16"/>
        <v>10464</v>
      </c>
      <c r="D36" s="1144" t="s">
        <v>44</v>
      </c>
      <c r="E36" s="1145" t="s">
        <v>44</v>
      </c>
      <c r="F36" s="1146" t="s">
        <v>44</v>
      </c>
      <c r="G36" s="1144" t="s">
        <v>44</v>
      </c>
      <c r="H36" s="1145" t="s">
        <v>44</v>
      </c>
      <c r="I36" s="1146" t="s">
        <v>44</v>
      </c>
      <c r="J36" s="1148">
        <f>SUM(J37:J40)</f>
        <v>9570</v>
      </c>
      <c r="K36" s="1149">
        <f t="shared" ref="K36:L36" si="19">SUM(K37:K40)</f>
        <v>894</v>
      </c>
      <c r="L36" s="1147">
        <f t="shared" si="19"/>
        <v>10464</v>
      </c>
      <c r="M36" s="1148" t="s">
        <v>44</v>
      </c>
      <c r="N36" s="1149" t="s">
        <v>44</v>
      </c>
      <c r="O36" s="1147" t="s">
        <v>44</v>
      </c>
      <c r="P36" s="221"/>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75" customHeight="1" x14ac:dyDescent="0.25">
      <c r="A40" s="107">
        <v>21399</v>
      </c>
      <c r="B40" s="108" t="s">
        <v>60</v>
      </c>
      <c r="C40" s="109">
        <f t="shared" si="16"/>
        <v>10464</v>
      </c>
      <c r="D40" s="110" t="s">
        <v>44</v>
      </c>
      <c r="E40" s="111" t="s">
        <v>44</v>
      </c>
      <c r="F40" s="112" t="s">
        <v>44</v>
      </c>
      <c r="G40" s="110" t="s">
        <v>44</v>
      </c>
      <c r="H40" s="111" t="s">
        <v>44</v>
      </c>
      <c r="I40" s="112" t="s">
        <v>44</v>
      </c>
      <c r="J40" s="113">
        <v>9570</v>
      </c>
      <c r="K40" s="833">
        <v>894</v>
      </c>
      <c r="L40" s="115">
        <f t="shared" si="20"/>
        <v>10464</v>
      </c>
      <c r="M40" s="116" t="s">
        <v>44</v>
      </c>
      <c r="N40" s="117" t="s">
        <v>44</v>
      </c>
      <c r="O40" s="115" t="s">
        <v>44</v>
      </c>
      <c r="P40" s="118" t="s">
        <v>1046</v>
      </c>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371717</v>
      </c>
      <c r="D50" s="158">
        <f>SUM(D51,D286)</f>
        <v>281391</v>
      </c>
      <c r="E50" s="159">
        <f t="shared" ref="E50:F50" si="26">SUM(E51,E286)</f>
        <v>1954</v>
      </c>
      <c r="F50" s="160">
        <f t="shared" si="26"/>
        <v>283345</v>
      </c>
      <c r="G50" s="158">
        <f>SUM(G51,G286)</f>
        <v>76102</v>
      </c>
      <c r="H50" s="159">
        <f>SUM(H51,H286)</f>
        <v>0</v>
      </c>
      <c r="I50" s="160">
        <f t="shared" ref="I50" si="27">SUM(I51,I286)</f>
        <v>76102</v>
      </c>
      <c r="J50" s="32">
        <f>SUM(J51,J286)</f>
        <v>11347</v>
      </c>
      <c r="K50" s="33">
        <f t="shared" ref="K50:L50" si="28">SUM(K51,K286)</f>
        <v>923</v>
      </c>
      <c r="L50" s="34">
        <f t="shared" si="28"/>
        <v>12270</v>
      </c>
      <c r="M50" s="32">
        <f>SUM(M51,M286)</f>
        <v>0</v>
      </c>
      <c r="N50" s="33">
        <f t="shared" ref="N50:O50" si="29">SUM(N51,N286)</f>
        <v>0</v>
      </c>
      <c r="O50" s="34">
        <f t="shared" si="29"/>
        <v>0</v>
      </c>
      <c r="P50" s="35"/>
    </row>
    <row r="51" spans="1:16" s="28" customFormat="1" ht="40.5" customHeight="1" thickTop="1" x14ac:dyDescent="0.25">
      <c r="A51" s="161"/>
      <c r="B51" s="162" t="s">
        <v>70</v>
      </c>
      <c r="C51" s="163">
        <f t="shared" si="0"/>
        <v>371717</v>
      </c>
      <c r="D51" s="164">
        <f>SUM(D52,D194)</f>
        <v>281391</v>
      </c>
      <c r="E51" s="165">
        <f t="shared" ref="E51:F51" si="30">SUM(E52,E194)</f>
        <v>1954</v>
      </c>
      <c r="F51" s="166">
        <f t="shared" si="30"/>
        <v>283345</v>
      </c>
      <c r="G51" s="164">
        <f>SUM(G52,G194)</f>
        <v>76102</v>
      </c>
      <c r="H51" s="165">
        <f t="shared" ref="H51:I51" si="31">SUM(H52,H194)</f>
        <v>0</v>
      </c>
      <c r="I51" s="166">
        <f t="shared" si="31"/>
        <v>76102</v>
      </c>
      <c r="J51" s="167">
        <f>SUM(J52,J194)</f>
        <v>11347</v>
      </c>
      <c r="K51" s="168">
        <f t="shared" ref="K51:L51" si="32">SUM(K52,K194)</f>
        <v>923</v>
      </c>
      <c r="L51" s="169">
        <f t="shared" si="32"/>
        <v>12270</v>
      </c>
      <c r="M51" s="167">
        <f>SUM(M52,M194)</f>
        <v>0</v>
      </c>
      <c r="N51" s="168">
        <f t="shared" ref="N51:O51" si="33">SUM(N52,N194)</f>
        <v>0</v>
      </c>
      <c r="O51" s="169">
        <f t="shared" si="33"/>
        <v>0</v>
      </c>
      <c r="P51" s="170"/>
    </row>
    <row r="52" spans="1:16" s="28" customFormat="1" ht="26.25" customHeight="1" x14ac:dyDescent="0.25">
      <c r="A52" s="24"/>
      <c r="B52" s="22" t="s">
        <v>71</v>
      </c>
      <c r="C52" s="171">
        <f t="shared" si="0"/>
        <v>364254</v>
      </c>
      <c r="D52" s="172">
        <f>SUM(D53,D75,D173,D187)</f>
        <v>274211</v>
      </c>
      <c r="E52" s="173">
        <f t="shared" ref="E52:F52" si="34">SUM(E53,E75,E173,E187)</f>
        <v>1954</v>
      </c>
      <c r="F52" s="174">
        <f t="shared" si="34"/>
        <v>276165</v>
      </c>
      <c r="G52" s="172">
        <f>SUM(G53,G75,G173,G187)</f>
        <v>76102</v>
      </c>
      <c r="H52" s="173">
        <f t="shared" ref="H52:I52" si="35">SUM(H53,H75,H173,H187)</f>
        <v>0</v>
      </c>
      <c r="I52" s="174">
        <f t="shared" si="35"/>
        <v>76102</v>
      </c>
      <c r="J52" s="172">
        <f>SUM(J53,J75,J173,J187)</f>
        <v>11020</v>
      </c>
      <c r="K52" s="173">
        <f t="shared" ref="K52:L52" si="36">SUM(K53,K75,K173,K187)</f>
        <v>967</v>
      </c>
      <c r="L52" s="174">
        <f t="shared" si="36"/>
        <v>11987</v>
      </c>
      <c r="M52" s="172">
        <f>SUM(M53,M75,M173,M187)</f>
        <v>0</v>
      </c>
      <c r="N52" s="173">
        <f t="shared" ref="N52:O52" si="37">SUM(N53,N75,N173,N187)</f>
        <v>0</v>
      </c>
      <c r="O52" s="174">
        <f t="shared" si="37"/>
        <v>0</v>
      </c>
      <c r="P52" s="175"/>
    </row>
    <row r="53" spans="1:16" s="28" customFormat="1" x14ac:dyDescent="0.25">
      <c r="A53" s="176">
        <v>1000</v>
      </c>
      <c r="B53" s="176" t="s">
        <v>72</v>
      </c>
      <c r="C53" s="177">
        <f t="shared" si="0"/>
        <v>317675</v>
      </c>
      <c r="D53" s="178">
        <f>SUM(D54,D67)</f>
        <v>235746</v>
      </c>
      <c r="E53" s="179">
        <f t="shared" ref="E53:F53" si="38">SUM(E54,E67)</f>
        <v>292</v>
      </c>
      <c r="F53" s="180">
        <f t="shared" si="38"/>
        <v>236038</v>
      </c>
      <c r="G53" s="178">
        <f>SUM(G54,G67)</f>
        <v>76102</v>
      </c>
      <c r="H53" s="179">
        <f t="shared" ref="H53:I53" si="39">SUM(H54,H67)</f>
        <v>0</v>
      </c>
      <c r="I53" s="180">
        <f t="shared" si="39"/>
        <v>76102</v>
      </c>
      <c r="J53" s="178">
        <f>SUM(J54,J67)</f>
        <v>4973</v>
      </c>
      <c r="K53" s="179">
        <f t="shared" ref="K53:L53" si="40">SUM(K54,K67)</f>
        <v>562</v>
      </c>
      <c r="L53" s="180">
        <f t="shared" si="40"/>
        <v>5535</v>
      </c>
      <c r="M53" s="178">
        <f>SUM(M54,M67)</f>
        <v>0</v>
      </c>
      <c r="N53" s="179">
        <f t="shared" ref="N53:O53" si="41">SUM(N54,N67)</f>
        <v>0</v>
      </c>
      <c r="O53" s="180">
        <f t="shared" si="41"/>
        <v>0</v>
      </c>
      <c r="P53" s="181"/>
    </row>
    <row r="54" spans="1:16" x14ac:dyDescent="0.25">
      <c r="A54" s="68">
        <v>1100</v>
      </c>
      <c r="B54" s="182" t="s">
        <v>73</v>
      </c>
      <c r="C54" s="69">
        <f t="shared" si="0"/>
        <v>240272</v>
      </c>
      <c r="D54" s="183">
        <f>SUM(D55,D58,D66)</f>
        <v>174392</v>
      </c>
      <c r="E54" s="184">
        <f t="shared" ref="E54:F54" si="42">SUM(E55,E58,E66)</f>
        <v>292</v>
      </c>
      <c r="F54" s="72">
        <f t="shared" si="42"/>
        <v>174684</v>
      </c>
      <c r="G54" s="183">
        <f>SUM(G55,G58,G66)</f>
        <v>61128</v>
      </c>
      <c r="H54" s="184">
        <f t="shared" ref="H54:I54" si="43">SUM(H55,H58,H66)</f>
        <v>0</v>
      </c>
      <c r="I54" s="72">
        <f t="shared" si="43"/>
        <v>61128</v>
      </c>
      <c r="J54" s="183">
        <f>SUM(J55,J58,J66)</f>
        <v>4007</v>
      </c>
      <c r="K54" s="184">
        <f t="shared" ref="K54:L54" si="44">SUM(K55,K58,K66)</f>
        <v>453</v>
      </c>
      <c r="L54" s="72">
        <f t="shared" si="44"/>
        <v>4460</v>
      </c>
      <c r="M54" s="183">
        <f>SUM(M55,M58,M66)</f>
        <v>0</v>
      </c>
      <c r="N54" s="184">
        <f t="shared" ref="N54:O54" si="45">SUM(N55,N58,N66)</f>
        <v>0</v>
      </c>
      <c r="O54" s="72">
        <f t="shared" si="45"/>
        <v>0</v>
      </c>
      <c r="P54" s="76"/>
    </row>
    <row r="55" spans="1:16" x14ac:dyDescent="0.25">
      <c r="A55" s="185">
        <v>1110</v>
      </c>
      <c r="B55" s="137" t="s">
        <v>74</v>
      </c>
      <c r="C55" s="142">
        <f t="shared" si="0"/>
        <v>209511</v>
      </c>
      <c r="D55" s="186">
        <f>SUM(D56:D57)</f>
        <v>148383</v>
      </c>
      <c r="E55" s="187">
        <f t="shared" ref="E55:F55" si="46">SUM(E56:E57)</f>
        <v>0</v>
      </c>
      <c r="F55" s="140">
        <f t="shared" si="46"/>
        <v>148383</v>
      </c>
      <c r="G55" s="186">
        <f>SUM(G56:G57)</f>
        <v>61128</v>
      </c>
      <c r="H55" s="187">
        <f t="shared" ref="H55:I55" si="47">SUM(H56:H57)</f>
        <v>0</v>
      </c>
      <c r="I55" s="140">
        <f t="shared" si="47"/>
        <v>61128</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209511</v>
      </c>
      <c r="D57" s="53">
        <v>148383</v>
      </c>
      <c r="E57" s="54"/>
      <c r="F57" s="55">
        <f t="shared" si="50"/>
        <v>148383</v>
      </c>
      <c r="G57" s="53">
        <v>61128</v>
      </c>
      <c r="H57" s="54"/>
      <c r="I57" s="55">
        <f t="shared" si="51"/>
        <v>61128</v>
      </c>
      <c r="J57" s="53"/>
      <c r="K57" s="54"/>
      <c r="L57" s="55">
        <f t="shared" si="52"/>
        <v>0</v>
      </c>
      <c r="M57" s="53"/>
      <c r="N57" s="54"/>
      <c r="O57" s="55">
        <f t="shared" si="53"/>
        <v>0</v>
      </c>
      <c r="P57" s="57"/>
    </row>
    <row r="58" spans="1:16" x14ac:dyDescent="0.25">
      <c r="A58" s="188">
        <v>1140</v>
      </c>
      <c r="B58" s="88" t="s">
        <v>77</v>
      </c>
      <c r="C58" s="89">
        <f t="shared" si="0"/>
        <v>23513</v>
      </c>
      <c r="D58" s="189">
        <f>SUM(D59:D65)</f>
        <v>23221</v>
      </c>
      <c r="E58" s="190">
        <f>SUM(E59:E65)</f>
        <v>292</v>
      </c>
      <c r="F58" s="55">
        <f t="shared" ref="F58" si="54">SUM(F59:F65)</f>
        <v>23513</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8" t="s">
        <v>78</v>
      </c>
      <c r="C59" s="89">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3133</v>
      </c>
      <c r="D63" s="53">
        <v>3133</v>
      </c>
      <c r="E63" s="54"/>
      <c r="F63" s="55">
        <f t="shared" si="58"/>
        <v>3133</v>
      </c>
      <c r="G63" s="53"/>
      <c r="H63" s="54"/>
      <c r="I63" s="55">
        <f t="shared" si="59"/>
        <v>0</v>
      </c>
      <c r="J63" s="53"/>
      <c r="K63" s="54"/>
      <c r="L63" s="55">
        <f t="shared" si="60"/>
        <v>0</v>
      </c>
      <c r="M63" s="53"/>
      <c r="N63" s="54"/>
      <c r="O63" s="55">
        <f t="shared" si="61"/>
        <v>0</v>
      </c>
      <c r="P63" s="57"/>
    </row>
    <row r="64" spans="1:16" ht="13.5" customHeight="1" x14ac:dyDescent="0.25">
      <c r="A64" s="51">
        <v>1148</v>
      </c>
      <c r="B64" s="88" t="s">
        <v>83</v>
      </c>
      <c r="C64" s="89">
        <f t="shared" si="0"/>
        <v>15179</v>
      </c>
      <c r="D64" s="53">
        <v>14887</v>
      </c>
      <c r="E64" s="834">
        <v>292</v>
      </c>
      <c r="F64" s="55">
        <f t="shared" si="58"/>
        <v>15179</v>
      </c>
      <c r="G64" s="53"/>
      <c r="H64" s="54"/>
      <c r="I64" s="55">
        <f t="shared" si="59"/>
        <v>0</v>
      </c>
      <c r="J64" s="53"/>
      <c r="K64" s="54"/>
      <c r="L64" s="55">
        <f t="shared" si="60"/>
        <v>0</v>
      </c>
      <c r="M64" s="53"/>
      <c r="N64" s="54"/>
      <c r="O64" s="55">
        <f t="shared" si="61"/>
        <v>0</v>
      </c>
      <c r="P64" s="57" t="s">
        <v>1047</v>
      </c>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7248</v>
      </c>
      <c r="D66" s="143">
        <v>2788</v>
      </c>
      <c r="E66" s="144"/>
      <c r="F66" s="140">
        <f t="shared" si="58"/>
        <v>2788</v>
      </c>
      <c r="G66" s="143"/>
      <c r="H66" s="144"/>
      <c r="I66" s="140">
        <f t="shared" si="59"/>
        <v>0</v>
      </c>
      <c r="J66" s="143">
        <v>4007</v>
      </c>
      <c r="K66" s="835">
        <v>453</v>
      </c>
      <c r="L66" s="140">
        <f t="shared" si="60"/>
        <v>4460</v>
      </c>
      <c r="M66" s="143"/>
      <c r="N66" s="144"/>
      <c r="O66" s="140">
        <f t="shared" si="61"/>
        <v>0</v>
      </c>
      <c r="P66" s="128" t="s">
        <v>1048</v>
      </c>
    </row>
    <row r="67" spans="1:16" ht="28.5" customHeight="1" x14ac:dyDescent="0.25">
      <c r="A67" s="68">
        <v>1200</v>
      </c>
      <c r="B67" s="182" t="s">
        <v>86</v>
      </c>
      <c r="C67" s="69">
        <f t="shared" si="0"/>
        <v>77403</v>
      </c>
      <c r="D67" s="183">
        <f>SUM(D68:D69)</f>
        <v>61354</v>
      </c>
      <c r="E67" s="184">
        <f t="shared" ref="E67:F67" si="62">SUM(E68:E69)</f>
        <v>0</v>
      </c>
      <c r="F67" s="72">
        <f t="shared" si="62"/>
        <v>61354</v>
      </c>
      <c r="G67" s="183">
        <f>SUM(G68:G69)</f>
        <v>14974</v>
      </c>
      <c r="H67" s="184">
        <f t="shared" ref="H67:I67" si="63">SUM(H68:H69)</f>
        <v>0</v>
      </c>
      <c r="I67" s="72">
        <f t="shared" si="63"/>
        <v>14974</v>
      </c>
      <c r="J67" s="183">
        <f>SUM(J68:J69)</f>
        <v>966</v>
      </c>
      <c r="K67" s="184">
        <f t="shared" ref="K67:L67" si="64">SUM(K68:K69)</f>
        <v>109</v>
      </c>
      <c r="L67" s="72">
        <f t="shared" si="64"/>
        <v>1075</v>
      </c>
      <c r="M67" s="183">
        <f>SUM(M68:M69)</f>
        <v>0</v>
      </c>
      <c r="N67" s="184">
        <f t="shared" ref="N67:O67" si="65">SUM(N68:N69)</f>
        <v>0</v>
      </c>
      <c r="O67" s="72">
        <f t="shared" si="65"/>
        <v>0</v>
      </c>
      <c r="P67" s="76"/>
    </row>
    <row r="68" spans="1:16" ht="26.25" customHeight="1" x14ac:dyDescent="0.25">
      <c r="A68" s="293">
        <v>1210</v>
      </c>
      <c r="B68" s="81" t="s">
        <v>87</v>
      </c>
      <c r="C68" s="82">
        <f t="shared" si="0"/>
        <v>60246</v>
      </c>
      <c r="D68" s="46">
        <v>44397</v>
      </c>
      <c r="E68" s="47"/>
      <c r="F68" s="133">
        <f>D68+E68</f>
        <v>44397</v>
      </c>
      <c r="G68" s="46">
        <v>14774</v>
      </c>
      <c r="H68" s="47"/>
      <c r="I68" s="133">
        <f>G68+H68</f>
        <v>14774</v>
      </c>
      <c r="J68" s="46">
        <v>966</v>
      </c>
      <c r="K68" s="832">
        <v>109</v>
      </c>
      <c r="L68" s="133">
        <f>K68+J68</f>
        <v>1075</v>
      </c>
      <c r="M68" s="46"/>
      <c r="N68" s="47"/>
      <c r="O68" s="133">
        <f>N68+M68</f>
        <v>0</v>
      </c>
      <c r="P68" s="49" t="s">
        <v>1049</v>
      </c>
    </row>
    <row r="69" spans="1:16" ht="24" x14ac:dyDescent="0.25">
      <c r="A69" s="188">
        <v>1220</v>
      </c>
      <c r="B69" s="88" t="s">
        <v>88</v>
      </c>
      <c r="C69" s="89">
        <f t="shared" si="0"/>
        <v>17157</v>
      </c>
      <c r="D69" s="189">
        <f>SUM(D70:D74)</f>
        <v>16957</v>
      </c>
      <c r="E69" s="190">
        <f t="shared" ref="E69:F69" si="66">SUM(E70:E74)</f>
        <v>0</v>
      </c>
      <c r="F69" s="55">
        <f t="shared" si="66"/>
        <v>16957</v>
      </c>
      <c r="G69" s="189">
        <f>SUM(G70:G74)</f>
        <v>200</v>
      </c>
      <c r="H69" s="190">
        <f t="shared" ref="H69:I69" si="67">SUM(H70:H74)</f>
        <v>0</v>
      </c>
      <c r="I69" s="55">
        <f t="shared" si="67"/>
        <v>200</v>
      </c>
      <c r="J69" s="189">
        <f>SUM(J70:J74)</f>
        <v>0</v>
      </c>
      <c r="K69" s="190">
        <f t="shared" ref="K69:L69" si="68">SUM(K70:K74)</f>
        <v>0</v>
      </c>
      <c r="L69" s="55">
        <f t="shared" si="68"/>
        <v>0</v>
      </c>
      <c r="M69" s="189">
        <f>SUM(M70:M74)</f>
        <v>0</v>
      </c>
      <c r="N69" s="190">
        <f t="shared" ref="N69:O69" si="69">SUM(N70:N74)</f>
        <v>0</v>
      </c>
      <c r="O69" s="55">
        <f t="shared" si="69"/>
        <v>0</v>
      </c>
      <c r="P69" s="57"/>
    </row>
    <row r="70" spans="1:16" ht="50.25" customHeight="1" x14ac:dyDescent="0.25">
      <c r="A70" s="51">
        <v>1221</v>
      </c>
      <c r="B70" s="88" t="s">
        <v>89</v>
      </c>
      <c r="C70" s="89">
        <f t="shared" si="0"/>
        <v>10106</v>
      </c>
      <c r="D70" s="53">
        <v>9906</v>
      </c>
      <c r="E70" s="54"/>
      <c r="F70" s="55">
        <f t="shared" ref="F70:F74" si="70">D70+E70</f>
        <v>9906</v>
      </c>
      <c r="G70" s="53">
        <v>200</v>
      </c>
      <c r="H70" s="54"/>
      <c r="I70" s="55">
        <f t="shared" ref="I70:I74" si="71">G70+H70</f>
        <v>200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9" customHeight="1" x14ac:dyDescent="0.25">
      <c r="A73" s="51">
        <v>1227</v>
      </c>
      <c r="B73" s="88" t="s">
        <v>92</v>
      </c>
      <c r="C73" s="89">
        <f t="shared" si="0"/>
        <v>6403</v>
      </c>
      <c r="D73" s="53">
        <v>6403</v>
      </c>
      <c r="E73" s="54"/>
      <c r="F73" s="55">
        <f t="shared" si="70"/>
        <v>6403</v>
      </c>
      <c r="G73" s="53"/>
      <c r="H73" s="54"/>
      <c r="I73" s="55">
        <f t="shared" si="71"/>
        <v>0</v>
      </c>
      <c r="J73" s="53"/>
      <c r="K73" s="54"/>
      <c r="L73" s="55">
        <f t="shared" si="72"/>
        <v>0</v>
      </c>
      <c r="M73" s="53"/>
      <c r="N73" s="54"/>
      <c r="O73" s="55">
        <f t="shared" si="73"/>
        <v>0</v>
      </c>
      <c r="P73" s="57"/>
    </row>
    <row r="74" spans="1:16" ht="51.75" customHeight="1" x14ac:dyDescent="0.25">
      <c r="A74" s="51">
        <v>1228</v>
      </c>
      <c r="B74" s="88" t="s">
        <v>93</v>
      </c>
      <c r="C74" s="89">
        <f t="shared" si="0"/>
        <v>648</v>
      </c>
      <c r="D74" s="53">
        <v>648</v>
      </c>
      <c r="E74" s="54"/>
      <c r="F74" s="55">
        <f t="shared" si="70"/>
        <v>648</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46579</v>
      </c>
      <c r="D75" s="178">
        <f>SUM(D76,D83,D130,D164,D165,D172)</f>
        <v>38465</v>
      </c>
      <c r="E75" s="179">
        <f t="shared" ref="E75:F75" si="74">SUM(E76,E83,E130,E164,E165,E172)</f>
        <v>1662</v>
      </c>
      <c r="F75" s="180">
        <f t="shared" si="74"/>
        <v>40127</v>
      </c>
      <c r="G75" s="178">
        <f>SUM(G76,G83,G130,G164,G165,G172)</f>
        <v>0</v>
      </c>
      <c r="H75" s="179">
        <f t="shared" ref="H75:I75" si="75">SUM(H76,H83,H130,H164,H165,H172)</f>
        <v>0</v>
      </c>
      <c r="I75" s="180">
        <f t="shared" si="75"/>
        <v>0</v>
      </c>
      <c r="J75" s="178">
        <f>SUM(J76,J83,J130,J164,J165,J172)</f>
        <v>6047</v>
      </c>
      <c r="K75" s="179">
        <f t="shared" ref="K75:L75" si="76">SUM(K76,K83,K130,K164,K165,K172)</f>
        <v>405</v>
      </c>
      <c r="L75" s="180">
        <f t="shared" si="76"/>
        <v>6452</v>
      </c>
      <c r="M75" s="178">
        <f>SUM(M76,M83,M130,M164,M165,M172)</f>
        <v>0</v>
      </c>
      <c r="N75" s="179">
        <f t="shared" ref="N75:O75" si="77">SUM(N76,N83,N130,N164,N165,N172)</f>
        <v>0</v>
      </c>
      <c r="O75" s="180">
        <f t="shared" si="77"/>
        <v>0</v>
      </c>
      <c r="P75" s="181"/>
    </row>
    <row r="76" spans="1:16" ht="24" x14ac:dyDescent="0.25">
      <c r="A76" s="68">
        <v>2100</v>
      </c>
      <c r="B76" s="182" t="s">
        <v>95</v>
      </c>
      <c r="C76" s="69">
        <f t="shared" si="0"/>
        <v>696</v>
      </c>
      <c r="D76" s="183">
        <f>SUM(D77,D80)</f>
        <v>363</v>
      </c>
      <c r="E76" s="184">
        <f t="shared" ref="E76:F76" si="78">SUM(E77,E80)</f>
        <v>333</v>
      </c>
      <c r="F76" s="72">
        <f t="shared" si="78"/>
        <v>696</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x14ac:dyDescent="0.25">
      <c r="A77" s="293">
        <v>2110</v>
      </c>
      <c r="B77" s="81" t="s">
        <v>96</v>
      </c>
      <c r="C77" s="82">
        <f t="shared" si="0"/>
        <v>153</v>
      </c>
      <c r="D77" s="192">
        <f>SUM(D78:D79)</f>
        <v>176</v>
      </c>
      <c r="E77" s="193">
        <f t="shared" ref="E77:F77" si="82">SUM(E78:E79)</f>
        <v>-23</v>
      </c>
      <c r="F77" s="133">
        <f t="shared" si="82"/>
        <v>153</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5" customHeight="1" x14ac:dyDescent="0.25">
      <c r="A78" s="51">
        <v>2111</v>
      </c>
      <c r="B78" s="88" t="s">
        <v>97</v>
      </c>
      <c r="C78" s="89">
        <f t="shared" si="0"/>
        <v>36</v>
      </c>
      <c r="D78" s="194">
        <v>36</v>
      </c>
      <c r="E78" s="836">
        <f>12-12</f>
        <v>0</v>
      </c>
      <c r="F78" s="55">
        <f t="shared" ref="F78:F79" si="86">D78+E78</f>
        <v>36</v>
      </c>
      <c r="G78" s="53"/>
      <c r="H78" s="54"/>
      <c r="I78" s="55">
        <f t="shared" ref="I78:I79" si="87">G78+H78</f>
        <v>0</v>
      </c>
      <c r="J78" s="53"/>
      <c r="K78" s="54"/>
      <c r="L78" s="55">
        <f t="shared" ref="L78:L79" si="88">K78+J78</f>
        <v>0</v>
      </c>
      <c r="M78" s="53"/>
      <c r="N78" s="54"/>
      <c r="O78" s="55">
        <f t="shared" ref="O78:O79" si="89">N78+M78</f>
        <v>0</v>
      </c>
      <c r="P78" s="57" t="s">
        <v>1050</v>
      </c>
    </row>
    <row r="79" spans="1:16" ht="24" customHeight="1" x14ac:dyDescent="0.25">
      <c r="A79" s="51">
        <v>2112</v>
      </c>
      <c r="B79" s="88" t="s">
        <v>98</v>
      </c>
      <c r="C79" s="89">
        <f t="shared" si="0"/>
        <v>117</v>
      </c>
      <c r="D79" s="194">
        <v>140</v>
      </c>
      <c r="E79" s="836">
        <f>-35+12</f>
        <v>-23</v>
      </c>
      <c r="F79" s="55">
        <f t="shared" si="86"/>
        <v>117</v>
      </c>
      <c r="G79" s="53"/>
      <c r="H79" s="54"/>
      <c r="I79" s="55">
        <f t="shared" si="87"/>
        <v>0</v>
      </c>
      <c r="J79" s="53"/>
      <c r="K79" s="54"/>
      <c r="L79" s="55">
        <f t="shared" si="88"/>
        <v>0</v>
      </c>
      <c r="M79" s="53"/>
      <c r="N79" s="54"/>
      <c r="O79" s="55">
        <f t="shared" si="89"/>
        <v>0</v>
      </c>
      <c r="P79" s="57" t="s">
        <v>1051</v>
      </c>
    </row>
    <row r="80" spans="1:16" ht="24" x14ac:dyDescent="0.25">
      <c r="A80" s="188">
        <v>2120</v>
      </c>
      <c r="B80" s="88" t="s">
        <v>99</v>
      </c>
      <c r="C80" s="89">
        <f t="shared" si="0"/>
        <v>543</v>
      </c>
      <c r="D80" s="189">
        <f>SUM(D81:D82)</f>
        <v>187</v>
      </c>
      <c r="E80" s="190">
        <f t="shared" ref="E80:F80" si="90">SUM(E81:E82)</f>
        <v>356</v>
      </c>
      <c r="F80" s="55">
        <f t="shared" si="90"/>
        <v>543</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4.25" customHeight="1" x14ac:dyDescent="0.25">
      <c r="A81" s="51">
        <v>2121</v>
      </c>
      <c r="B81" s="88" t="s">
        <v>97</v>
      </c>
      <c r="C81" s="89">
        <f t="shared" si="0"/>
        <v>245</v>
      </c>
      <c r="D81" s="194">
        <v>169</v>
      </c>
      <c r="E81" s="836">
        <v>76</v>
      </c>
      <c r="F81" s="55">
        <f t="shared" ref="F81:F82" si="94">D81+E81</f>
        <v>245</v>
      </c>
      <c r="G81" s="53"/>
      <c r="H81" s="54"/>
      <c r="I81" s="55">
        <f t="shared" ref="I81:I82" si="95">G81+H81</f>
        <v>0</v>
      </c>
      <c r="J81" s="53"/>
      <c r="K81" s="54"/>
      <c r="L81" s="55">
        <f t="shared" ref="L81:L82" si="96">K81+J81</f>
        <v>0</v>
      </c>
      <c r="M81" s="53"/>
      <c r="N81" s="54"/>
      <c r="O81" s="55">
        <f t="shared" ref="O81:O82" si="97">N81+M81</f>
        <v>0</v>
      </c>
      <c r="P81" s="57" t="s">
        <v>1052</v>
      </c>
    </row>
    <row r="82" spans="1:16" ht="23.25" customHeight="1" x14ac:dyDescent="0.25">
      <c r="A82" s="51">
        <v>2122</v>
      </c>
      <c r="B82" s="88" t="s">
        <v>98</v>
      </c>
      <c r="C82" s="89">
        <f t="shared" si="0"/>
        <v>298</v>
      </c>
      <c r="D82" s="194">
        <v>18</v>
      </c>
      <c r="E82" s="836">
        <v>280</v>
      </c>
      <c r="F82" s="55">
        <f t="shared" si="94"/>
        <v>298</v>
      </c>
      <c r="G82" s="53"/>
      <c r="H82" s="54"/>
      <c r="I82" s="55">
        <f t="shared" si="95"/>
        <v>0</v>
      </c>
      <c r="J82" s="53"/>
      <c r="K82" s="54"/>
      <c r="L82" s="55">
        <f t="shared" si="96"/>
        <v>0</v>
      </c>
      <c r="M82" s="53"/>
      <c r="N82" s="54"/>
      <c r="O82" s="55">
        <f t="shared" si="97"/>
        <v>0</v>
      </c>
      <c r="P82" s="57" t="s">
        <v>1053</v>
      </c>
    </row>
    <row r="83" spans="1:16" x14ac:dyDescent="0.25">
      <c r="A83" s="68">
        <v>2200</v>
      </c>
      <c r="B83" s="182" t="s">
        <v>100</v>
      </c>
      <c r="C83" s="69">
        <f t="shared" si="0"/>
        <v>24009</v>
      </c>
      <c r="D83" s="183">
        <f>SUM(D84,D89,D95,D103,D112,D116,D122,D128)</f>
        <v>21569</v>
      </c>
      <c r="E83" s="184">
        <f t="shared" ref="E83:F83" si="98">SUM(E84,E89,E95,E103,E112,E116,E122,E128)</f>
        <v>767</v>
      </c>
      <c r="F83" s="72">
        <f t="shared" si="98"/>
        <v>22336</v>
      </c>
      <c r="G83" s="183">
        <f>SUM(G84,G89,G95,G103,G112,G116,G122,G128)</f>
        <v>0</v>
      </c>
      <c r="H83" s="184">
        <f t="shared" ref="H83:I83" si="99">SUM(H84,H89,H95,H103,H112,H116,H122,H128)</f>
        <v>0</v>
      </c>
      <c r="I83" s="72">
        <f t="shared" si="99"/>
        <v>0</v>
      </c>
      <c r="J83" s="183">
        <f>SUM(J84,J89,J95,J103,J112,J116,J122,J128)</f>
        <v>1673</v>
      </c>
      <c r="K83" s="184">
        <f t="shared" ref="K83:L83" si="100">SUM(K84,K89,K95,K103,K112,K116,K122,K128)</f>
        <v>0</v>
      </c>
      <c r="L83" s="72">
        <f t="shared" si="100"/>
        <v>1673</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1227</v>
      </c>
      <c r="D84" s="186">
        <f>SUM(D85:D88)</f>
        <v>1227</v>
      </c>
      <c r="E84" s="187">
        <f t="shared" ref="E84:F84" si="103">SUM(E85:E88)</f>
        <v>0</v>
      </c>
      <c r="F84" s="140">
        <f t="shared" si="103"/>
        <v>1227</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727</v>
      </c>
      <c r="D86" s="194">
        <v>727</v>
      </c>
      <c r="E86" s="827"/>
      <c r="F86" s="55">
        <f t="shared" si="107"/>
        <v>727</v>
      </c>
      <c r="G86" s="53"/>
      <c r="H86" s="54"/>
      <c r="I86" s="55">
        <f t="shared" si="108"/>
        <v>0</v>
      </c>
      <c r="J86" s="53"/>
      <c r="K86" s="54"/>
      <c r="L86" s="55">
        <f t="shared" si="109"/>
        <v>0</v>
      </c>
      <c r="M86" s="53"/>
      <c r="N86" s="54"/>
      <c r="O86" s="55">
        <f t="shared" si="110"/>
        <v>0</v>
      </c>
      <c r="P86" s="837"/>
    </row>
    <row r="87" spans="1:16" ht="24" x14ac:dyDescent="0.25">
      <c r="A87" s="51">
        <v>2214</v>
      </c>
      <c r="B87" s="88" t="s">
        <v>104</v>
      </c>
      <c r="C87" s="89">
        <f t="shared" si="102"/>
        <v>409</v>
      </c>
      <c r="D87" s="194">
        <v>409</v>
      </c>
      <c r="E87" s="827"/>
      <c r="F87" s="55">
        <f t="shared" si="107"/>
        <v>409</v>
      </c>
      <c r="G87" s="53"/>
      <c r="H87" s="54"/>
      <c r="I87" s="55">
        <f t="shared" si="108"/>
        <v>0</v>
      </c>
      <c r="J87" s="53"/>
      <c r="K87" s="54"/>
      <c r="L87" s="55">
        <f t="shared" si="109"/>
        <v>0</v>
      </c>
      <c r="M87" s="53"/>
      <c r="N87" s="54"/>
      <c r="O87" s="55">
        <f t="shared" si="110"/>
        <v>0</v>
      </c>
      <c r="P87" s="837"/>
    </row>
    <row r="88" spans="1:16" ht="12" customHeight="1" x14ac:dyDescent="0.25">
      <c r="A88" s="51">
        <v>2219</v>
      </c>
      <c r="B88" s="88" t="s">
        <v>105</v>
      </c>
      <c r="C88" s="89">
        <f t="shared" si="102"/>
        <v>91</v>
      </c>
      <c r="D88" s="194">
        <v>91</v>
      </c>
      <c r="E88" s="195"/>
      <c r="F88" s="55">
        <f t="shared" si="107"/>
        <v>91</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14808</v>
      </c>
      <c r="D89" s="189">
        <f>SUM(D90:D94)</f>
        <v>12764</v>
      </c>
      <c r="E89" s="190">
        <f t="shared" ref="E89:F89" si="111">SUM(E90:E94)</f>
        <v>1224</v>
      </c>
      <c r="F89" s="55">
        <f t="shared" si="111"/>
        <v>13988</v>
      </c>
      <c r="G89" s="189">
        <f>SUM(G90:G94)</f>
        <v>0</v>
      </c>
      <c r="H89" s="190">
        <f t="shared" ref="H89:I89" si="112">SUM(H90:H94)</f>
        <v>0</v>
      </c>
      <c r="I89" s="55">
        <f t="shared" si="112"/>
        <v>0</v>
      </c>
      <c r="J89" s="189">
        <f>SUM(J90:J94)</f>
        <v>820</v>
      </c>
      <c r="K89" s="190">
        <f t="shared" ref="K89:L89" si="113">SUM(K90:K94)</f>
        <v>0</v>
      </c>
      <c r="L89" s="55">
        <f t="shared" si="113"/>
        <v>820</v>
      </c>
      <c r="M89" s="189">
        <f>SUM(M90:M94)</f>
        <v>0</v>
      </c>
      <c r="N89" s="190">
        <f t="shared" ref="N89:O89" si="114">SUM(N90:N94)</f>
        <v>0</v>
      </c>
      <c r="O89" s="55">
        <f t="shared" si="114"/>
        <v>0</v>
      </c>
      <c r="P89" s="57"/>
    </row>
    <row r="90" spans="1:16" ht="24" customHeight="1" x14ac:dyDescent="0.25">
      <c r="A90" s="51">
        <v>2221</v>
      </c>
      <c r="B90" s="88" t="s">
        <v>107</v>
      </c>
      <c r="C90" s="89">
        <f t="shared" si="102"/>
        <v>8594</v>
      </c>
      <c r="D90" s="194">
        <v>6630</v>
      </c>
      <c r="E90" s="836">
        <v>1224</v>
      </c>
      <c r="F90" s="55">
        <f t="shared" ref="F90:F94" si="115">D90+E90</f>
        <v>7854</v>
      </c>
      <c r="G90" s="53"/>
      <c r="H90" s="54"/>
      <c r="I90" s="55">
        <f t="shared" ref="I90:I94" si="116">G90+H90</f>
        <v>0</v>
      </c>
      <c r="J90" s="53">
        <v>740</v>
      </c>
      <c r="K90" s="834"/>
      <c r="L90" s="55">
        <f t="shared" ref="L90:L94" si="117">K90+J90</f>
        <v>740</v>
      </c>
      <c r="M90" s="53"/>
      <c r="N90" s="54"/>
      <c r="O90" s="55">
        <f t="shared" ref="O90:O94" si="118">N90+M90</f>
        <v>0</v>
      </c>
      <c r="P90" s="57" t="s">
        <v>1054</v>
      </c>
    </row>
    <row r="91" spans="1:16" ht="12" customHeight="1" x14ac:dyDescent="0.25">
      <c r="A91" s="51">
        <v>2222</v>
      </c>
      <c r="B91" s="88" t="s">
        <v>108</v>
      </c>
      <c r="C91" s="89">
        <f t="shared" si="102"/>
        <v>146</v>
      </c>
      <c r="D91" s="194">
        <v>146</v>
      </c>
      <c r="E91" s="195"/>
      <c r="F91" s="55">
        <f t="shared" si="115"/>
        <v>146</v>
      </c>
      <c r="G91" s="53"/>
      <c r="H91" s="54"/>
      <c r="I91" s="55">
        <f t="shared" si="116"/>
        <v>0</v>
      </c>
      <c r="J91" s="53"/>
      <c r="K91" s="54"/>
      <c r="L91" s="55">
        <f t="shared" si="117"/>
        <v>0</v>
      </c>
      <c r="M91" s="53"/>
      <c r="N91" s="54"/>
      <c r="O91" s="55">
        <f t="shared" si="118"/>
        <v>0</v>
      </c>
      <c r="P91" s="57"/>
    </row>
    <row r="92" spans="1:16" ht="12" customHeight="1" x14ac:dyDescent="0.25">
      <c r="A92" s="51">
        <v>2223</v>
      </c>
      <c r="B92" s="88" t="s">
        <v>109</v>
      </c>
      <c r="C92" s="89">
        <f t="shared" si="102"/>
        <v>5575</v>
      </c>
      <c r="D92" s="194">
        <v>5495</v>
      </c>
      <c r="E92" s="195"/>
      <c r="F92" s="55">
        <f t="shared" si="115"/>
        <v>5495</v>
      </c>
      <c r="G92" s="53"/>
      <c r="H92" s="54"/>
      <c r="I92" s="55">
        <f t="shared" si="116"/>
        <v>0</v>
      </c>
      <c r="J92" s="53">
        <v>80</v>
      </c>
      <c r="K92" s="54"/>
      <c r="L92" s="55">
        <f t="shared" si="117"/>
        <v>80</v>
      </c>
      <c r="M92" s="53"/>
      <c r="N92" s="54"/>
      <c r="O92" s="55">
        <f t="shared" si="118"/>
        <v>0</v>
      </c>
      <c r="P92" s="57"/>
    </row>
    <row r="93" spans="1:16" ht="48" customHeight="1" x14ac:dyDescent="0.25">
      <c r="A93" s="51">
        <v>2224</v>
      </c>
      <c r="B93" s="88" t="s">
        <v>110</v>
      </c>
      <c r="C93" s="89">
        <f t="shared" si="102"/>
        <v>493</v>
      </c>
      <c r="D93" s="194">
        <v>493</v>
      </c>
      <c r="E93" s="195"/>
      <c r="F93" s="55">
        <f t="shared" si="115"/>
        <v>493</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1868</v>
      </c>
      <c r="D95" s="189">
        <f>SUM(D96:D102)</f>
        <v>1818</v>
      </c>
      <c r="E95" s="190">
        <f t="shared" ref="E95:F95" si="119">SUM(E96:E102)</f>
        <v>0</v>
      </c>
      <c r="F95" s="55">
        <f t="shared" si="119"/>
        <v>1818</v>
      </c>
      <c r="G95" s="189">
        <f>SUM(G96:G102)</f>
        <v>0</v>
      </c>
      <c r="H95" s="190">
        <f t="shared" ref="H95:I95" si="120">SUM(H96:H102)</f>
        <v>0</v>
      </c>
      <c r="I95" s="55">
        <f t="shared" si="120"/>
        <v>0</v>
      </c>
      <c r="J95" s="189">
        <f>SUM(J96:J102)</f>
        <v>50</v>
      </c>
      <c r="K95" s="190">
        <f t="shared" ref="K95:L95" si="121">SUM(K96:K102)</f>
        <v>0</v>
      </c>
      <c r="L95" s="55">
        <f t="shared" si="121"/>
        <v>50</v>
      </c>
      <c r="M95" s="189">
        <f>SUM(M96:M102)</f>
        <v>0</v>
      </c>
      <c r="N95" s="190">
        <f t="shared" ref="N95:O95" si="122">SUM(N96:N102)</f>
        <v>0</v>
      </c>
      <c r="O95" s="55">
        <f t="shared" si="122"/>
        <v>0</v>
      </c>
      <c r="P95" s="57"/>
    </row>
    <row r="96" spans="1:16" ht="24" customHeight="1" x14ac:dyDescent="0.25">
      <c r="A96" s="51">
        <v>2231</v>
      </c>
      <c r="B96" s="88" t="s">
        <v>113</v>
      </c>
      <c r="C96" s="89">
        <f t="shared" si="102"/>
        <v>250</v>
      </c>
      <c r="D96" s="194">
        <v>250</v>
      </c>
      <c r="E96" s="195"/>
      <c r="F96" s="55">
        <f t="shared" ref="F96:F102" si="123">D96+E96</f>
        <v>250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1618</v>
      </c>
      <c r="D102" s="194">
        <v>1568</v>
      </c>
      <c r="E102" s="195"/>
      <c r="F102" s="55">
        <f t="shared" si="123"/>
        <v>1568</v>
      </c>
      <c r="G102" s="53"/>
      <c r="H102" s="54"/>
      <c r="I102" s="55">
        <f t="shared" si="124"/>
        <v>0</v>
      </c>
      <c r="J102" s="53">
        <v>50</v>
      </c>
      <c r="K102" s="822"/>
      <c r="L102" s="55">
        <f t="shared" si="125"/>
        <v>50</v>
      </c>
      <c r="M102" s="53"/>
      <c r="N102" s="54"/>
      <c r="O102" s="55">
        <f t="shared" si="126"/>
        <v>0</v>
      </c>
      <c r="P102" s="57"/>
    </row>
    <row r="103" spans="1:16" ht="27" customHeight="1" x14ac:dyDescent="0.25">
      <c r="A103" s="188">
        <v>2240</v>
      </c>
      <c r="B103" s="88" t="s">
        <v>120</v>
      </c>
      <c r="C103" s="89">
        <f t="shared" si="102"/>
        <v>4387</v>
      </c>
      <c r="D103" s="189">
        <f>SUM(D104:D111)</f>
        <v>3884</v>
      </c>
      <c r="E103" s="190">
        <f t="shared" ref="E103:F103" si="127">SUM(E104:E111)</f>
        <v>0</v>
      </c>
      <c r="F103" s="55">
        <f t="shared" si="127"/>
        <v>3884</v>
      </c>
      <c r="G103" s="189">
        <f>SUM(G104:G111)</f>
        <v>0</v>
      </c>
      <c r="H103" s="190">
        <f t="shared" ref="H103:I103" si="128">SUM(H104:H111)</f>
        <v>0</v>
      </c>
      <c r="I103" s="55">
        <f t="shared" si="128"/>
        <v>0</v>
      </c>
      <c r="J103" s="189">
        <f>SUM(J104:J111)</f>
        <v>503</v>
      </c>
      <c r="K103" s="190">
        <f t="shared" ref="K103:L103" si="129">SUM(K104:K111)</f>
        <v>0</v>
      </c>
      <c r="L103" s="55">
        <f t="shared" si="129"/>
        <v>503</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200</v>
      </c>
      <c r="D106" s="194">
        <v>200</v>
      </c>
      <c r="E106" s="195"/>
      <c r="F106" s="55">
        <f t="shared" si="131"/>
        <v>200</v>
      </c>
      <c r="G106" s="53"/>
      <c r="H106" s="54"/>
      <c r="I106" s="55">
        <f t="shared" si="132"/>
        <v>0</v>
      </c>
      <c r="J106" s="53"/>
      <c r="K106" s="54"/>
      <c r="L106" s="55">
        <f t="shared" si="133"/>
        <v>0</v>
      </c>
      <c r="M106" s="53"/>
      <c r="N106" s="54"/>
      <c r="O106" s="55">
        <f t="shared" si="134"/>
        <v>0</v>
      </c>
      <c r="P106" s="57"/>
    </row>
    <row r="107" spans="1:16" x14ac:dyDescent="0.25">
      <c r="A107" s="51">
        <v>2244</v>
      </c>
      <c r="B107" s="88" t="s">
        <v>124</v>
      </c>
      <c r="C107" s="89">
        <f t="shared" si="102"/>
        <v>4187</v>
      </c>
      <c r="D107" s="194">
        <v>3684</v>
      </c>
      <c r="E107" s="836"/>
      <c r="F107" s="55">
        <f t="shared" si="131"/>
        <v>3684</v>
      </c>
      <c r="G107" s="53"/>
      <c r="H107" s="54"/>
      <c r="I107" s="55">
        <f t="shared" si="132"/>
        <v>0</v>
      </c>
      <c r="J107" s="53">
        <v>503</v>
      </c>
      <c r="K107" s="834"/>
      <c r="L107" s="55">
        <f t="shared" si="133"/>
        <v>503</v>
      </c>
      <c r="M107" s="53"/>
      <c r="N107" s="54"/>
      <c r="O107" s="55">
        <f t="shared" si="134"/>
        <v>0</v>
      </c>
      <c r="P107" s="838"/>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8" t="s">
        <v>129</v>
      </c>
      <c r="C112" s="89">
        <f t="shared" si="102"/>
        <v>329</v>
      </c>
      <c r="D112" s="189">
        <f>SUM(D113:D115)</f>
        <v>329</v>
      </c>
      <c r="E112" s="190">
        <f t="shared" ref="E112:F112" si="135">SUM(E113:E115)</f>
        <v>0</v>
      </c>
      <c r="F112" s="55">
        <f t="shared" si="135"/>
        <v>329</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8" t="s">
        <v>131</v>
      </c>
      <c r="C114" s="89">
        <f t="shared" si="102"/>
        <v>329</v>
      </c>
      <c r="D114" s="194">
        <v>329</v>
      </c>
      <c r="E114" s="195"/>
      <c r="F114" s="55">
        <f t="shared" si="139"/>
        <v>329</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1050</v>
      </c>
      <c r="D116" s="189">
        <f>SUM(D117:D121)</f>
        <v>735</v>
      </c>
      <c r="E116" s="190">
        <f t="shared" ref="E116:F116" si="143">SUM(E117:E121)</f>
        <v>15</v>
      </c>
      <c r="F116" s="55">
        <f t="shared" si="143"/>
        <v>750</v>
      </c>
      <c r="G116" s="189">
        <f>SUM(G117:G121)</f>
        <v>0</v>
      </c>
      <c r="H116" s="190">
        <f t="shared" ref="H116:I116" si="144">SUM(H117:H121)</f>
        <v>0</v>
      </c>
      <c r="I116" s="55">
        <f t="shared" si="144"/>
        <v>0</v>
      </c>
      <c r="J116" s="189">
        <f>SUM(J117:J121)</f>
        <v>300</v>
      </c>
      <c r="K116" s="190">
        <f t="shared" ref="K116:L116" si="145">SUM(K117:K121)</f>
        <v>0</v>
      </c>
      <c r="L116" s="55">
        <f t="shared" si="145"/>
        <v>300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8" t="s">
        <v>135</v>
      </c>
      <c r="C118" s="89">
        <f t="shared" si="102"/>
        <v>1000</v>
      </c>
      <c r="D118" s="194">
        <v>700</v>
      </c>
      <c r="E118" s="195"/>
      <c r="F118" s="55">
        <f t="shared" si="147"/>
        <v>700</v>
      </c>
      <c r="G118" s="53"/>
      <c r="H118" s="54"/>
      <c r="I118" s="55">
        <f t="shared" si="148"/>
        <v>0</v>
      </c>
      <c r="J118" s="53">
        <v>300</v>
      </c>
      <c r="K118" s="54"/>
      <c r="L118" s="55">
        <f t="shared" si="149"/>
        <v>300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customHeight="1" x14ac:dyDescent="0.25">
      <c r="A120" s="51">
        <v>2264</v>
      </c>
      <c r="B120" s="88" t="s">
        <v>137</v>
      </c>
      <c r="C120" s="89">
        <f t="shared" si="102"/>
        <v>15</v>
      </c>
      <c r="D120" s="194"/>
      <c r="E120" s="836">
        <v>15</v>
      </c>
      <c r="F120" s="55">
        <f t="shared" si="147"/>
        <v>15</v>
      </c>
      <c r="G120" s="53"/>
      <c r="H120" s="54"/>
      <c r="I120" s="55">
        <f t="shared" si="148"/>
        <v>0</v>
      </c>
      <c r="J120" s="53"/>
      <c r="K120" s="54"/>
      <c r="L120" s="55">
        <f t="shared" si="149"/>
        <v>0</v>
      </c>
      <c r="M120" s="53"/>
      <c r="N120" s="54"/>
      <c r="O120" s="55">
        <f t="shared" si="150"/>
        <v>0</v>
      </c>
      <c r="P120" s="128" t="s">
        <v>1055</v>
      </c>
    </row>
    <row r="121" spans="1:16" ht="12" customHeight="1" x14ac:dyDescent="0.25">
      <c r="A121" s="51">
        <v>2269</v>
      </c>
      <c r="B121" s="88" t="s">
        <v>138</v>
      </c>
      <c r="C121" s="89">
        <f t="shared" si="102"/>
        <v>35</v>
      </c>
      <c r="D121" s="194">
        <v>35</v>
      </c>
      <c r="E121" s="195"/>
      <c r="F121" s="55">
        <f t="shared" si="147"/>
        <v>35</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340</v>
      </c>
      <c r="D122" s="189">
        <f>SUM(D123:D127)</f>
        <v>812</v>
      </c>
      <c r="E122" s="190">
        <f t="shared" ref="E122:F122" si="151">SUM(E123:E127)</f>
        <v>-472</v>
      </c>
      <c r="F122" s="55">
        <f t="shared" si="151"/>
        <v>340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544">
        <v>500</v>
      </c>
      <c r="E125" s="836">
        <v>-500</v>
      </c>
      <c r="F125" s="55">
        <f t="shared" si="155"/>
        <v>0</v>
      </c>
      <c r="G125" s="53"/>
      <c r="H125" s="54"/>
      <c r="I125" s="55">
        <f t="shared" si="156"/>
        <v>0</v>
      </c>
      <c r="J125" s="53"/>
      <c r="K125" s="54"/>
      <c r="L125" s="55">
        <f t="shared" si="157"/>
        <v>0</v>
      </c>
      <c r="M125" s="53"/>
      <c r="N125" s="54"/>
      <c r="O125" s="55">
        <f t="shared" si="158"/>
        <v>0</v>
      </c>
      <c r="P125" s="57" t="s">
        <v>1056</v>
      </c>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x14ac:dyDescent="0.25">
      <c r="A127" s="51">
        <v>2279</v>
      </c>
      <c r="B127" s="88" t="s">
        <v>144</v>
      </c>
      <c r="C127" s="89">
        <f t="shared" si="102"/>
        <v>340</v>
      </c>
      <c r="D127" s="194">
        <v>312</v>
      </c>
      <c r="E127" s="836">
        <v>28</v>
      </c>
      <c r="F127" s="55">
        <f t="shared" si="155"/>
        <v>340</v>
      </c>
      <c r="G127" s="53"/>
      <c r="H127" s="54"/>
      <c r="I127" s="55">
        <f t="shared" si="156"/>
        <v>0</v>
      </c>
      <c r="J127" s="53"/>
      <c r="K127" s="54"/>
      <c r="L127" s="55">
        <f t="shared" si="157"/>
        <v>0</v>
      </c>
      <c r="M127" s="53"/>
      <c r="N127" s="54"/>
      <c r="O127" s="55">
        <f t="shared" si="158"/>
        <v>0</v>
      </c>
      <c r="P127" s="128" t="s">
        <v>1055</v>
      </c>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21874</v>
      </c>
      <c r="D130" s="183">
        <f>SUM(D131,D136,D140,D141,D144,D151,D159,D160,D163)</f>
        <v>16533</v>
      </c>
      <c r="E130" s="184">
        <f t="shared" ref="E130:F130" si="160">SUM(E131,E136,E140,E141,E144,E151,E159,E160,E163)</f>
        <v>562</v>
      </c>
      <c r="F130" s="72">
        <f t="shared" si="160"/>
        <v>17095</v>
      </c>
      <c r="G130" s="183">
        <f>SUM(G131,G136,G140,G141,G144,G151,G159,G160,G163)</f>
        <v>0</v>
      </c>
      <c r="H130" s="184">
        <f t="shared" ref="H130:I130" si="161">SUM(H131,H136,H140,H141,H144,H151,H159,H160,H163)</f>
        <v>0</v>
      </c>
      <c r="I130" s="72">
        <f t="shared" si="161"/>
        <v>0</v>
      </c>
      <c r="J130" s="183">
        <f>SUM(J131,J136,J140,J141,J144,J151,J159,J160,J163)</f>
        <v>4374</v>
      </c>
      <c r="K130" s="184">
        <f t="shared" ref="K130:L130" si="162">SUM(K131,K136,K140,K141,K144,K151,K159,K160,K163)</f>
        <v>405</v>
      </c>
      <c r="L130" s="72">
        <f t="shared" si="162"/>
        <v>4779</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4434</v>
      </c>
      <c r="D131" s="192">
        <f t="shared" ref="D131:O131" si="164">SUM(D132:D135)</f>
        <v>3147</v>
      </c>
      <c r="E131" s="193">
        <f t="shared" si="164"/>
        <v>323</v>
      </c>
      <c r="F131" s="133">
        <f t="shared" si="164"/>
        <v>3470</v>
      </c>
      <c r="G131" s="192">
        <f t="shared" si="164"/>
        <v>0</v>
      </c>
      <c r="H131" s="193">
        <f t="shared" si="164"/>
        <v>0</v>
      </c>
      <c r="I131" s="133">
        <f t="shared" si="164"/>
        <v>0</v>
      </c>
      <c r="J131" s="192">
        <f t="shared" si="164"/>
        <v>964</v>
      </c>
      <c r="K131" s="193">
        <f t="shared" si="164"/>
        <v>0</v>
      </c>
      <c r="L131" s="133">
        <f t="shared" si="164"/>
        <v>964</v>
      </c>
      <c r="M131" s="192">
        <f t="shared" si="164"/>
        <v>0</v>
      </c>
      <c r="N131" s="193">
        <f t="shared" si="164"/>
        <v>0</v>
      </c>
      <c r="O131" s="133">
        <f t="shared" si="164"/>
        <v>0</v>
      </c>
      <c r="P131" s="49"/>
    </row>
    <row r="132" spans="1:16" ht="15.75" customHeight="1" x14ac:dyDescent="0.25">
      <c r="A132" s="51">
        <v>2311</v>
      </c>
      <c r="B132" s="88" t="s">
        <v>149</v>
      </c>
      <c r="C132" s="89">
        <f t="shared" si="102"/>
        <v>750</v>
      </c>
      <c r="D132" s="194">
        <v>750</v>
      </c>
      <c r="E132" s="195"/>
      <c r="F132" s="55">
        <f t="shared" ref="F132:F135" si="165">D132+E132</f>
        <v>750</v>
      </c>
      <c r="G132" s="53"/>
      <c r="H132" s="54"/>
      <c r="I132" s="55">
        <f t="shared" ref="I132:I135" si="166">G132+H132</f>
        <v>0</v>
      </c>
      <c r="J132" s="53"/>
      <c r="K132" s="54"/>
      <c r="L132" s="55">
        <f t="shared" ref="L132:L135" si="167">K132+J132</f>
        <v>0</v>
      </c>
      <c r="M132" s="53"/>
      <c r="N132" s="822"/>
      <c r="O132" s="55">
        <f t="shared" ref="O132:O135" si="168">N132+M132</f>
        <v>0</v>
      </c>
      <c r="P132" s="57"/>
    </row>
    <row r="133" spans="1:16" ht="14.25" customHeight="1" x14ac:dyDescent="0.25">
      <c r="A133" s="51">
        <v>2312</v>
      </c>
      <c r="B133" s="88" t="s">
        <v>150</v>
      </c>
      <c r="C133" s="89">
        <f t="shared" si="102"/>
        <v>1319</v>
      </c>
      <c r="D133" s="194">
        <v>547</v>
      </c>
      <c r="E133" s="836">
        <v>135</v>
      </c>
      <c r="F133" s="55">
        <f t="shared" si="165"/>
        <v>682</v>
      </c>
      <c r="G133" s="53"/>
      <c r="H133" s="54"/>
      <c r="I133" s="55">
        <f t="shared" si="166"/>
        <v>0</v>
      </c>
      <c r="J133" s="53">
        <v>637</v>
      </c>
      <c r="K133" s="834"/>
      <c r="L133" s="55">
        <f t="shared" si="167"/>
        <v>637</v>
      </c>
      <c r="M133" s="53"/>
      <c r="N133" s="54"/>
      <c r="O133" s="55">
        <f t="shared" si="168"/>
        <v>0</v>
      </c>
      <c r="P133" s="57" t="s">
        <v>1057</v>
      </c>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2365</v>
      </c>
      <c r="D135" s="194">
        <v>1850</v>
      </c>
      <c r="E135" s="836">
        <v>188</v>
      </c>
      <c r="F135" s="55">
        <f t="shared" si="165"/>
        <v>2038</v>
      </c>
      <c r="G135" s="53"/>
      <c r="H135" s="54"/>
      <c r="I135" s="55">
        <f t="shared" si="166"/>
        <v>0</v>
      </c>
      <c r="J135" s="53">
        <v>327</v>
      </c>
      <c r="K135" s="822"/>
      <c r="L135" s="55">
        <f t="shared" si="167"/>
        <v>327</v>
      </c>
      <c r="M135" s="53"/>
      <c r="N135" s="54"/>
      <c r="O135" s="55">
        <f t="shared" si="168"/>
        <v>0</v>
      </c>
      <c r="P135" s="128" t="s">
        <v>1055</v>
      </c>
    </row>
    <row r="136" spans="1:16" x14ac:dyDescent="0.25">
      <c r="A136" s="188">
        <v>2320</v>
      </c>
      <c r="B136" s="88" t="s">
        <v>153</v>
      </c>
      <c r="C136" s="89">
        <f t="shared" si="102"/>
        <v>2936</v>
      </c>
      <c r="D136" s="189">
        <f>SUM(D137:D139)</f>
        <v>2532</v>
      </c>
      <c r="E136" s="190">
        <f t="shared" ref="E136:F136" si="169">SUM(E137:E139)</f>
        <v>0</v>
      </c>
      <c r="F136" s="55">
        <f t="shared" si="169"/>
        <v>2532</v>
      </c>
      <c r="G136" s="189">
        <f>SUM(G137:G139)</f>
        <v>0</v>
      </c>
      <c r="H136" s="190">
        <f t="shared" ref="H136:I136" si="170">SUM(H137:H139)</f>
        <v>0</v>
      </c>
      <c r="I136" s="55">
        <f t="shared" si="170"/>
        <v>0</v>
      </c>
      <c r="J136" s="189">
        <f>SUM(J137:J139)</f>
        <v>150</v>
      </c>
      <c r="K136" s="190">
        <f t="shared" ref="K136:L136" si="171">SUM(K137:K139)</f>
        <v>254</v>
      </c>
      <c r="L136" s="55">
        <f t="shared" si="171"/>
        <v>404</v>
      </c>
      <c r="M136" s="189">
        <f>SUM(M137:M139)</f>
        <v>0</v>
      </c>
      <c r="N136" s="190">
        <f t="shared" ref="N136:O136" si="172">SUM(N137:N139)</f>
        <v>0</v>
      </c>
      <c r="O136" s="55">
        <f t="shared" si="172"/>
        <v>0</v>
      </c>
      <c r="P136" s="57"/>
    </row>
    <row r="137" spans="1:16" ht="13.5" customHeight="1" x14ac:dyDescent="0.25">
      <c r="A137" s="51">
        <v>2321</v>
      </c>
      <c r="B137" s="88" t="s">
        <v>154</v>
      </c>
      <c r="C137" s="89">
        <f t="shared" si="102"/>
        <v>2204</v>
      </c>
      <c r="D137" s="194">
        <v>1950</v>
      </c>
      <c r="E137" s="195"/>
      <c r="F137" s="55">
        <f t="shared" ref="F137:F140" si="173">D137+E137</f>
        <v>1950</v>
      </c>
      <c r="G137" s="53"/>
      <c r="H137" s="54"/>
      <c r="I137" s="55">
        <f t="shared" ref="I137:I140" si="174">G137+H137</f>
        <v>0</v>
      </c>
      <c r="J137" s="53"/>
      <c r="K137" s="834">
        <v>254</v>
      </c>
      <c r="L137" s="55">
        <f t="shared" ref="L137:L140" si="175">K137+J137</f>
        <v>254</v>
      </c>
      <c r="M137" s="53"/>
      <c r="N137" s="54"/>
      <c r="O137" s="55">
        <f t="shared" ref="O137:O140" si="176">N137+M137</f>
        <v>0</v>
      </c>
      <c r="P137" s="57" t="s">
        <v>1058</v>
      </c>
    </row>
    <row r="138" spans="1:16" x14ac:dyDescent="0.25">
      <c r="A138" s="51">
        <v>2322</v>
      </c>
      <c r="B138" s="88" t="s">
        <v>155</v>
      </c>
      <c r="C138" s="89">
        <f t="shared" si="102"/>
        <v>732</v>
      </c>
      <c r="D138" s="194">
        <v>582</v>
      </c>
      <c r="E138" s="195"/>
      <c r="F138" s="55">
        <f t="shared" si="173"/>
        <v>582</v>
      </c>
      <c r="G138" s="53"/>
      <c r="H138" s="54"/>
      <c r="I138" s="55">
        <f t="shared" si="174"/>
        <v>0</v>
      </c>
      <c r="J138" s="53">
        <v>150</v>
      </c>
      <c r="K138" s="834"/>
      <c r="L138" s="55">
        <f t="shared" si="175"/>
        <v>150</v>
      </c>
      <c r="M138" s="53"/>
      <c r="N138" s="54"/>
      <c r="O138" s="55">
        <f t="shared" si="176"/>
        <v>0</v>
      </c>
      <c r="P138" s="295"/>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70</v>
      </c>
      <c r="D141" s="189">
        <f>SUM(D142:D143)</f>
        <v>70</v>
      </c>
      <c r="E141" s="190">
        <f t="shared" ref="E141:F141" si="177">SUM(E142:E143)</f>
        <v>0</v>
      </c>
      <c r="F141" s="55">
        <f t="shared" si="177"/>
        <v>70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8" t="s">
        <v>159</v>
      </c>
      <c r="C142" s="89">
        <f t="shared" si="102"/>
        <v>70</v>
      </c>
      <c r="D142" s="194">
        <v>70</v>
      </c>
      <c r="E142" s="195"/>
      <c r="F142" s="55">
        <f t="shared" ref="F142:F143" si="181">D142+E142</f>
        <v>70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4041</v>
      </c>
      <c r="D144" s="186">
        <f>SUM(D145:D150)</f>
        <v>3808</v>
      </c>
      <c r="E144" s="187">
        <f t="shared" ref="E144:F144" si="185">SUM(E145:E150)</f>
        <v>73</v>
      </c>
      <c r="F144" s="140">
        <f t="shared" si="185"/>
        <v>3881</v>
      </c>
      <c r="G144" s="186">
        <f>SUM(G145:G150)</f>
        <v>0</v>
      </c>
      <c r="H144" s="187">
        <f t="shared" ref="H144:I144" si="186">SUM(H145:H150)</f>
        <v>0</v>
      </c>
      <c r="I144" s="140">
        <f t="shared" si="186"/>
        <v>0</v>
      </c>
      <c r="J144" s="186">
        <f>SUM(J145:J150)</f>
        <v>160</v>
      </c>
      <c r="K144" s="187">
        <f t="shared" ref="K144:L144" si="187">SUM(K145:K150)</f>
        <v>0</v>
      </c>
      <c r="L144" s="140">
        <f t="shared" si="187"/>
        <v>160</v>
      </c>
      <c r="M144" s="186">
        <f>SUM(M145:M150)</f>
        <v>0</v>
      </c>
      <c r="N144" s="187">
        <f t="shared" ref="N144:O144" si="188">SUM(N145:N150)</f>
        <v>0</v>
      </c>
      <c r="O144" s="140">
        <f t="shared" si="188"/>
        <v>0</v>
      </c>
      <c r="P144" s="128"/>
    </row>
    <row r="145" spans="1:16" x14ac:dyDescent="0.25">
      <c r="A145" s="44">
        <v>2351</v>
      </c>
      <c r="B145" s="81" t="s">
        <v>162</v>
      </c>
      <c r="C145" s="82">
        <f t="shared" si="102"/>
        <v>580</v>
      </c>
      <c r="D145" s="196">
        <v>500</v>
      </c>
      <c r="E145" s="197"/>
      <c r="F145" s="133">
        <f t="shared" ref="F145:F150" si="189">D145+E145</f>
        <v>500</v>
      </c>
      <c r="G145" s="46"/>
      <c r="H145" s="47"/>
      <c r="I145" s="133">
        <f t="shared" ref="I145:I150" si="190">G145+H145</f>
        <v>0</v>
      </c>
      <c r="J145" s="46">
        <v>80</v>
      </c>
      <c r="K145" s="832"/>
      <c r="L145" s="133">
        <f t="shared" ref="L145:L150" si="191">K145+J145</f>
        <v>80</v>
      </c>
      <c r="M145" s="46"/>
      <c r="N145" s="47"/>
      <c r="O145" s="133">
        <f t="shared" ref="O145:O150" si="192">N145+M145</f>
        <v>0</v>
      </c>
      <c r="P145" s="49"/>
    </row>
    <row r="146" spans="1:16" ht="14.25" customHeight="1" x14ac:dyDescent="0.25">
      <c r="A146" s="51">
        <v>2352</v>
      </c>
      <c r="B146" s="88" t="s">
        <v>163</v>
      </c>
      <c r="C146" s="89">
        <f t="shared" si="102"/>
        <v>1403</v>
      </c>
      <c r="D146" s="194">
        <v>1250</v>
      </c>
      <c r="E146" s="836">
        <v>73</v>
      </c>
      <c r="F146" s="55">
        <f t="shared" si="189"/>
        <v>1323</v>
      </c>
      <c r="G146" s="53"/>
      <c r="H146" s="54"/>
      <c r="I146" s="55">
        <f t="shared" si="190"/>
        <v>0</v>
      </c>
      <c r="J146" s="53">
        <v>80</v>
      </c>
      <c r="K146" s="834"/>
      <c r="L146" s="55">
        <f t="shared" si="191"/>
        <v>80</v>
      </c>
      <c r="M146" s="53"/>
      <c r="N146" s="54"/>
      <c r="O146" s="55">
        <f t="shared" si="192"/>
        <v>0</v>
      </c>
      <c r="P146" s="128" t="s">
        <v>1059</v>
      </c>
    </row>
    <row r="147" spans="1:16" ht="24" customHeight="1" x14ac:dyDescent="0.25">
      <c r="A147" s="51">
        <v>2353</v>
      </c>
      <c r="B147" s="88" t="s">
        <v>164</v>
      </c>
      <c r="C147" s="89">
        <f t="shared" si="102"/>
        <v>1958</v>
      </c>
      <c r="D147" s="194">
        <v>1958</v>
      </c>
      <c r="E147" s="195"/>
      <c r="F147" s="55">
        <f t="shared" si="189"/>
        <v>1958</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8" t="s">
        <v>166</v>
      </c>
      <c r="C149" s="89">
        <f t="shared" si="193"/>
        <v>100</v>
      </c>
      <c r="D149" s="194">
        <v>100</v>
      </c>
      <c r="E149" s="195"/>
      <c r="F149" s="55">
        <f t="shared" si="189"/>
        <v>100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4614</v>
      </c>
      <c r="D151" s="189">
        <f>SUM(D152:D158)</f>
        <v>1663</v>
      </c>
      <c r="E151" s="190">
        <f t="shared" ref="E151:F151" si="194">SUM(E152:E158)</f>
        <v>0</v>
      </c>
      <c r="F151" s="55">
        <f t="shared" si="194"/>
        <v>1663</v>
      </c>
      <c r="G151" s="189">
        <f>SUM(G152:G158)</f>
        <v>0</v>
      </c>
      <c r="H151" s="190">
        <f t="shared" ref="H151:I151" si="195">SUM(H152:H158)</f>
        <v>0</v>
      </c>
      <c r="I151" s="55">
        <f t="shared" si="195"/>
        <v>0</v>
      </c>
      <c r="J151" s="189">
        <f>SUM(J152:J158)</f>
        <v>2800</v>
      </c>
      <c r="K151" s="190">
        <f t="shared" ref="K151:L151" si="196">SUM(K152:K158)</f>
        <v>151</v>
      </c>
      <c r="L151" s="55">
        <f t="shared" si="196"/>
        <v>2951</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75" customHeight="1" x14ac:dyDescent="0.25">
      <c r="A154" s="50">
        <v>2363</v>
      </c>
      <c r="B154" s="88" t="s">
        <v>171</v>
      </c>
      <c r="C154" s="89">
        <f t="shared" si="193"/>
        <v>4614</v>
      </c>
      <c r="D154" s="194">
        <v>1663</v>
      </c>
      <c r="E154" s="827"/>
      <c r="F154" s="55">
        <f t="shared" si="198"/>
        <v>1663</v>
      </c>
      <c r="G154" s="53"/>
      <c r="H154" s="54"/>
      <c r="I154" s="55">
        <f t="shared" si="199"/>
        <v>0</v>
      </c>
      <c r="J154" s="53">
        <v>2800</v>
      </c>
      <c r="K154" s="834">
        <v>151</v>
      </c>
      <c r="L154" s="55">
        <f t="shared" si="200"/>
        <v>2951</v>
      </c>
      <c r="M154" s="53"/>
      <c r="N154" s="54"/>
      <c r="O154" s="55">
        <f t="shared" si="201"/>
        <v>0</v>
      </c>
      <c r="P154" s="288" t="s">
        <v>1060</v>
      </c>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75" customHeight="1" x14ac:dyDescent="0.25">
      <c r="A159" s="185">
        <v>2370</v>
      </c>
      <c r="B159" s="137" t="s">
        <v>176</v>
      </c>
      <c r="C159" s="142">
        <f t="shared" si="193"/>
        <v>4979</v>
      </c>
      <c r="D159" s="202">
        <v>4513</v>
      </c>
      <c r="E159" s="839">
        <v>166</v>
      </c>
      <c r="F159" s="140">
        <f t="shared" si="198"/>
        <v>4679</v>
      </c>
      <c r="G159" s="143"/>
      <c r="H159" s="144"/>
      <c r="I159" s="140">
        <f t="shared" si="199"/>
        <v>0</v>
      </c>
      <c r="J159" s="143">
        <v>300</v>
      </c>
      <c r="K159" s="840"/>
      <c r="L159" s="140">
        <f t="shared" si="200"/>
        <v>300</v>
      </c>
      <c r="M159" s="143"/>
      <c r="N159" s="144"/>
      <c r="O159" s="140">
        <f t="shared" si="201"/>
        <v>0</v>
      </c>
      <c r="P159" s="128" t="s">
        <v>1055</v>
      </c>
    </row>
    <row r="160" spans="1:16" x14ac:dyDescent="0.25">
      <c r="A160" s="185">
        <v>2380</v>
      </c>
      <c r="B160" s="137" t="s">
        <v>177</v>
      </c>
      <c r="C160" s="142">
        <f t="shared" si="193"/>
        <v>800</v>
      </c>
      <c r="D160" s="186">
        <f>SUM(D161:D162)</f>
        <v>800</v>
      </c>
      <c r="E160" s="187">
        <f t="shared" ref="E160:F160" si="202">SUM(E161:E162)</f>
        <v>0</v>
      </c>
      <c r="F160" s="140">
        <f t="shared" si="202"/>
        <v>800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customHeight="1" x14ac:dyDescent="0.25">
      <c r="A162" s="50">
        <v>2389</v>
      </c>
      <c r="B162" s="88" t="s">
        <v>179</v>
      </c>
      <c r="C162" s="89">
        <f t="shared" si="193"/>
        <v>800</v>
      </c>
      <c r="D162" s="194">
        <v>800</v>
      </c>
      <c r="E162" s="195"/>
      <c r="F162" s="55">
        <f t="shared" si="206"/>
        <v>800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9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7463</v>
      </c>
      <c r="D194" s="172">
        <f t="shared" ref="D194:O194" si="259">SUM(D195,D230,D269,D283)</f>
        <v>7180</v>
      </c>
      <c r="E194" s="173">
        <f t="shared" si="259"/>
        <v>0</v>
      </c>
      <c r="F194" s="174">
        <f t="shared" si="259"/>
        <v>7180</v>
      </c>
      <c r="G194" s="172">
        <f t="shared" si="259"/>
        <v>0</v>
      </c>
      <c r="H194" s="173">
        <f t="shared" si="259"/>
        <v>0</v>
      </c>
      <c r="I194" s="174">
        <f t="shared" si="259"/>
        <v>0</v>
      </c>
      <c r="J194" s="172">
        <f t="shared" si="259"/>
        <v>327</v>
      </c>
      <c r="K194" s="173">
        <f t="shared" si="259"/>
        <v>-44</v>
      </c>
      <c r="L194" s="174">
        <f t="shared" si="259"/>
        <v>283</v>
      </c>
      <c r="M194" s="172">
        <f t="shared" si="259"/>
        <v>0</v>
      </c>
      <c r="N194" s="173">
        <f t="shared" si="259"/>
        <v>0</v>
      </c>
      <c r="O194" s="174">
        <f t="shared" si="259"/>
        <v>0</v>
      </c>
      <c r="P194" s="175"/>
    </row>
    <row r="195" spans="1:16" x14ac:dyDescent="0.25">
      <c r="A195" s="176">
        <v>5000</v>
      </c>
      <c r="B195" s="176" t="s">
        <v>212</v>
      </c>
      <c r="C195" s="177">
        <f t="shared" si="193"/>
        <v>7463</v>
      </c>
      <c r="D195" s="178">
        <f>D196+D204</f>
        <v>7180</v>
      </c>
      <c r="E195" s="179">
        <f t="shared" ref="E195:F195" si="260">E196+E204</f>
        <v>0</v>
      </c>
      <c r="F195" s="180">
        <f t="shared" si="260"/>
        <v>7180</v>
      </c>
      <c r="G195" s="178">
        <f>G196+G204</f>
        <v>0</v>
      </c>
      <c r="H195" s="179">
        <f t="shared" ref="H195:I195" si="261">H196+H204</f>
        <v>0</v>
      </c>
      <c r="I195" s="180">
        <f t="shared" si="261"/>
        <v>0</v>
      </c>
      <c r="J195" s="178">
        <f>J196+J204</f>
        <v>327</v>
      </c>
      <c r="K195" s="179">
        <f t="shared" ref="K195:L195" si="262">K196+K204</f>
        <v>-44</v>
      </c>
      <c r="L195" s="180">
        <f t="shared" si="262"/>
        <v>283</v>
      </c>
      <c r="M195" s="178">
        <f>M196+M204</f>
        <v>0</v>
      </c>
      <c r="N195" s="179">
        <f t="shared" ref="N195:O195" si="263">N196+N204</f>
        <v>0</v>
      </c>
      <c r="O195" s="180">
        <f t="shared" si="263"/>
        <v>0</v>
      </c>
      <c r="P195" s="181"/>
    </row>
    <row r="196" spans="1:16" x14ac:dyDescent="0.25">
      <c r="A196" s="68">
        <v>5100</v>
      </c>
      <c r="B196" s="182" t="s">
        <v>213</v>
      </c>
      <c r="C196" s="69">
        <f t="shared" si="193"/>
        <v>280</v>
      </c>
      <c r="D196" s="183">
        <f>D197+D198+D201+D202+D203</f>
        <v>280</v>
      </c>
      <c r="E196" s="184">
        <f t="shared" ref="E196:F196" si="264">E197+E198+E201+E202+E203</f>
        <v>0</v>
      </c>
      <c r="F196" s="72">
        <f t="shared" si="264"/>
        <v>280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x14ac:dyDescent="0.25">
      <c r="A198" s="188">
        <v>5120</v>
      </c>
      <c r="B198" s="88" t="s">
        <v>215</v>
      </c>
      <c r="C198" s="89">
        <f t="shared" si="193"/>
        <v>280</v>
      </c>
      <c r="D198" s="189">
        <f>D199+D200</f>
        <v>280</v>
      </c>
      <c r="E198" s="190">
        <f t="shared" ref="E198:F198" si="268">E199+E200</f>
        <v>0</v>
      </c>
      <c r="F198" s="55">
        <f t="shared" si="268"/>
        <v>280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customHeight="1" x14ac:dyDescent="0.25">
      <c r="A199" s="51">
        <v>5121</v>
      </c>
      <c r="B199" s="88" t="s">
        <v>216</v>
      </c>
      <c r="C199" s="89">
        <f t="shared" si="193"/>
        <v>280</v>
      </c>
      <c r="D199" s="194">
        <v>280</v>
      </c>
      <c r="E199" s="195"/>
      <c r="F199" s="55">
        <f t="shared" ref="F199:F203" si="272">D199+E199</f>
        <v>280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7183</v>
      </c>
      <c r="D204" s="183">
        <f>D205+D215+D216+D225+D226+D227+D229</f>
        <v>6900</v>
      </c>
      <c r="E204" s="184">
        <f t="shared" ref="E204:F204" si="276">E205+E215+E216+E225+E226+E227+E229</f>
        <v>0</v>
      </c>
      <c r="F204" s="72">
        <f t="shared" si="276"/>
        <v>6900</v>
      </c>
      <c r="G204" s="183">
        <f>G205+G215+G216+G225+G226+G227+G229</f>
        <v>0</v>
      </c>
      <c r="H204" s="184">
        <f t="shared" ref="H204:I204" si="277">H205+H215+H216+H225+H226+H227+H229</f>
        <v>0</v>
      </c>
      <c r="I204" s="72">
        <f t="shared" si="277"/>
        <v>0</v>
      </c>
      <c r="J204" s="183">
        <f>J205+J215+J216+J225+J226+J227+J229</f>
        <v>327</v>
      </c>
      <c r="K204" s="184">
        <f t="shared" ref="K204:L204" si="278">K205+K215+K216+K225+K226+K227+K229</f>
        <v>-44</v>
      </c>
      <c r="L204" s="72">
        <f t="shared" si="278"/>
        <v>283</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7183</v>
      </c>
      <c r="D216" s="189">
        <f>SUM(D217:D224)</f>
        <v>6900</v>
      </c>
      <c r="E216" s="190">
        <f t="shared" ref="E216:F216" si="289">SUM(E217:E224)</f>
        <v>0</v>
      </c>
      <c r="F216" s="55">
        <f t="shared" si="289"/>
        <v>6900</v>
      </c>
      <c r="G216" s="189">
        <f>SUM(G217:G224)</f>
        <v>0</v>
      </c>
      <c r="H216" s="190">
        <f t="shared" ref="H216:I216" si="290">SUM(H217:H224)</f>
        <v>0</v>
      </c>
      <c r="I216" s="55">
        <f t="shared" si="290"/>
        <v>0</v>
      </c>
      <c r="J216" s="189">
        <f>SUM(J217:J224)</f>
        <v>327</v>
      </c>
      <c r="K216" s="190">
        <f t="shared" ref="K216:L216" si="291">SUM(K217:K224)</f>
        <v>-44</v>
      </c>
      <c r="L216" s="55">
        <f t="shared" si="291"/>
        <v>283</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6900</v>
      </c>
      <c r="D223" s="194">
        <v>6900</v>
      </c>
      <c r="E223" s="195"/>
      <c r="F223" s="55">
        <f t="shared" si="293"/>
        <v>6900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283</v>
      </c>
      <c r="D224" s="194"/>
      <c r="E224" s="195"/>
      <c r="F224" s="55">
        <f t="shared" si="293"/>
        <v>0</v>
      </c>
      <c r="G224" s="53"/>
      <c r="H224" s="54"/>
      <c r="I224" s="55">
        <f t="shared" si="294"/>
        <v>0</v>
      </c>
      <c r="J224" s="53">
        <v>327</v>
      </c>
      <c r="K224" s="841">
        <v>-44</v>
      </c>
      <c r="L224" s="55">
        <f t="shared" si="295"/>
        <v>283</v>
      </c>
      <c r="M224" s="53"/>
      <c r="N224" s="54"/>
      <c r="O224" s="55">
        <f t="shared" si="296"/>
        <v>0</v>
      </c>
      <c r="P224" s="57" t="s">
        <v>1061</v>
      </c>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371717</v>
      </c>
      <c r="D289" s="251">
        <f t="shared" ref="D289:O289" si="389">SUM(D286,D269,D230,D195,D187,D173,D75,D53,D283)</f>
        <v>281391</v>
      </c>
      <c r="E289" s="252">
        <f t="shared" si="389"/>
        <v>1954</v>
      </c>
      <c r="F289" s="253">
        <f t="shared" si="389"/>
        <v>283345</v>
      </c>
      <c r="G289" s="251">
        <f t="shared" si="389"/>
        <v>76102</v>
      </c>
      <c r="H289" s="252">
        <f t="shared" si="389"/>
        <v>0</v>
      </c>
      <c r="I289" s="253">
        <f t="shared" si="389"/>
        <v>76102</v>
      </c>
      <c r="J289" s="251">
        <f t="shared" si="389"/>
        <v>11347</v>
      </c>
      <c r="K289" s="252">
        <f t="shared" si="389"/>
        <v>923</v>
      </c>
      <c r="L289" s="253">
        <f t="shared" si="389"/>
        <v>12270</v>
      </c>
      <c r="M289" s="251">
        <f t="shared" si="389"/>
        <v>0</v>
      </c>
      <c r="N289" s="252">
        <f t="shared" si="389"/>
        <v>0</v>
      </c>
      <c r="O289" s="253">
        <f t="shared" si="389"/>
        <v>0</v>
      </c>
      <c r="P289" s="254"/>
    </row>
    <row r="290" spans="1:16" s="28" customFormat="1" ht="13.5" thickTop="1" thickBot="1" x14ac:dyDescent="0.3">
      <c r="A290" s="1945" t="s">
        <v>309</v>
      </c>
      <c r="B290" s="1946"/>
      <c r="C290" s="255">
        <f t="shared" si="371"/>
        <v>-737</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-737</v>
      </c>
      <c r="K290" s="257">
        <f t="shared" ref="K290:L290" si="392">(K26+K43)-K51</f>
        <v>0</v>
      </c>
      <c r="L290" s="258">
        <f t="shared" si="392"/>
        <v>-737</v>
      </c>
      <c r="M290" s="256">
        <f>M45-M51</f>
        <v>0</v>
      </c>
      <c r="N290" s="257">
        <f t="shared" ref="N290:O290" si="393">N45-N51</f>
        <v>0</v>
      </c>
      <c r="O290" s="258">
        <f t="shared" si="393"/>
        <v>0</v>
      </c>
      <c r="P290" s="259"/>
    </row>
    <row r="291" spans="1:16" s="28" customFormat="1" ht="12.75" thickTop="1" x14ac:dyDescent="0.25">
      <c r="A291" s="1947" t="s">
        <v>310</v>
      </c>
      <c r="B291" s="1948"/>
      <c r="C291" s="260">
        <f t="shared" si="371"/>
        <v>737</v>
      </c>
      <c r="D291" s="261">
        <f t="shared" ref="D291:O291" si="394">SUM(D292,D293)-D300+D301</f>
        <v>0</v>
      </c>
      <c r="E291" s="262">
        <f t="shared" si="394"/>
        <v>0</v>
      </c>
      <c r="F291" s="263">
        <f t="shared" si="394"/>
        <v>0</v>
      </c>
      <c r="G291" s="261">
        <f t="shared" si="394"/>
        <v>0</v>
      </c>
      <c r="H291" s="262">
        <f t="shared" si="394"/>
        <v>0</v>
      </c>
      <c r="I291" s="263">
        <f t="shared" si="394"/>
        <v>0</v>
      </c>
      <c r="J291" s="261">
        <f t="shared" si="394"/>
        <v>737</v>
      </c>
      <c r="K291" s="262">
        <f t="shared" si="394"/>
        <v>0</v>
      </c>
      <c r="L291" s="263">
        <f t="shared" si="394"/>
        <v>737</v>
      </c>
      <c r="M291" s="261">
        <f t="shared" si="394"/>
        <v>0</v>
      </c>
      <c r="N291" s="262">
        <f t="shared" si="394"/>
        <v>0</v>
      </c>
      <c r="O291" s="263">
        <f t="shared" si="394"/>
        <v>0</v>
      </c>
      <c r="P291" s="264"/>
    </row>
    <row r="292" spans="1:16" s="28" customFormat="1" ht="12.75" thickBot="1" x14ac:dyDescent="0.3">
      <c r="A292" s="156" t="s">
        <v>311</v>
      </c>
      <c r="B292" s="156" t="s">
        <v>312</v>
      </c>
      <c r="C292" s="157">
        <f t="shared" si="371"/>
        <v>737</v>
      </c>
      <c r="D292" s="158">
        <f t="shared" ref="D292:O292" si="395">D21-D286</f>
        <v>0</v>
      </c>
      <c r="E292" s="159">
        <f t="shared" si="395"/>
        <v>0</v>
      </c>
      <c r="F292" s="160">
        <f t="shared" si="395"/>
        <v>0</v>
      </c>
      <c r="G292" s="158">
        <f t="shared" si="395"/>
        <v>0</v>
      </c>
      <c r="H292" s="159">
        <f t="shared" si="395"/>
        <v>0</v>
      </c>
      <c r="I292" s="160">
        <f t="shared" si="395"/>
        <v>0</v>
      </c>
      <c r="J292" s="158">
        <f t="shared" si="395"/>
        <v>737</v>
      </c>
      <c r="K292" s="159">
        <f t="shared" si="395"/>
        <v>0</v>
      </c>
      <c r="L292" s="160">
        <f t="shared" si="395"/>
        <v>737</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R2w4wmL4z01UgEvVGRZD1WDapQJvf/8UmdRahawKC0m1Qgc678E/HTobGkGDSrNqf+Nk3GdUv86wS4uzvKlPOg==" saltValue="gJnAzAar+EsNHJ5Wh2eCuA==" spinCount="100000" sheet="1" objects="1" scenarios="1" formatCells="0" formatColumns="0" formatRows="0" deleteColumns="0"/>
  <autoFilter ref="A18:P301">
    <filterColumn colId="2">
      <filters>
        <filter val="1 000"/>
        <filter val="1 029"/>
        <filter val="1 050"/>
        <filter val="1 069"/>
        <filter val="1 227"/>
        <filter val="1 319"/>
        <filter val="1 403"/>
        <filter val="1 618"/>
        <filter val="1 868"/>
        <filter val="1 958"/>
        <filter val="10 106"/>
        <filter val="10 464"/>
        <filter val="100"/>
        <filter val="105"/>
        <filter val="11 533"/>
        <filter val="14 808"/>
        <filter val="146"/>
        <filter val="15"/>
        <filter val="15 179"/>
        <filter val="153"/>
        <filter val="17 157"/>
        <filter val="2 204"/>
        <filter val="2 365"/>
        <filter val="2 936"/>
        <filter val="200"/>
        <filter val="209 511"/>
        <filter val="21 874"/>
        <filter val="23 513"/>
        <filter val="24 009"/>
        <filter val="240 272"/>
        <filter val="245"/>
        <filter val="250"/>
        <filter val="280"/>
        <filter val="283"/>
        <filter val="298"/>
        <filter val="3 133"/>
        <filter val="317 675"/>
        <filter val="329"/>
        <filter val="340"/>
        <filter val="35"/>
        <filter val="359 447"/>
        <filter val="364 254"/>
        <filter val="371 717"/>
        <filter val="4 041"/>
        <filter val="4 172"/>
        <filter val="4 187"/>
        <filter val="4 387"/>
        <filter val="4 434"/>
        <filter val="4 614"/>
        <filter val="4 979"/>
        <filter val="409"/>
        <filter val="46 579"/>
        <filter val="48"/>
        <filter val="493"/>
        <filter val="5 575"/>
        <filter val="543"/>
        <filter val="580"/>
        <filter val="6 403"/>
        <filter val="6 900"/>
        <filter val="60 246"/>
        <filter val="648"/>
        <filter val="696"/>
        <filter val="7 183"/>
        <filter val="7 248"/>
        <filter val="7 463"/>
        <filter val="70"/>
        <filter val="727"/>
        <filter val="732"/>
        <filter val="737"/>
        <filter val="-737"/>
        <filter val="750"/>
        <filter val="77 403"/>
        <filter val="8 594"/>
        <filter val="800"/>
        <filter val="91"/>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44.pielikums Jūrmalas pilsētas domes
2019.gada 29.augusta saistošajiem noteikumiem Nr.31
(protokols Nr.12, 20.punkts)</firstHeader>
    <firstFooter>&amp;L&amp;9&amp;D; &amp;T&amp;R&amp;9&amp;P (&amp;N)</first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823</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824</v>
      </c>
      <c r="D3" s="1977"/>
      <c r="E3" s="1977"/>
      <c r="F3" s="1977"/>
      <c r="G3" s="1977"/>
      <c r="H3" s="1977"/>
      <c r="I3" s="1977"/>
      <c r="J3" s="1977"/>
      <c r="K3" s="1977"/>
      <c r="L3" s="1977"/>
      <c r="M3" s="1977"/>
      <c r="N3" s="1977"/>
      <c r="O3" s="1977"/>
      <c r="P3" s="1978"/>
      <c r="Q3" s="276"/>
    </row>
    <row r="4" spans="1:17" ht="12.75" customHeight="1" x14ac:dyDescent="0.25">
      <c r="A4" s="5" t="s">
        <v>4</v>
      </c>
      <c r="B4" s="6"/>
      <c r="C4" s="1977" t="s">
        <v>825</v>
      </c>
      <c r="D4" s="1977"/>
      <c r="E4" s="1977"/>
      <c r="F4" s="1977"/>
      <c r="G4" s="1977"/>
      <c r="H4" s="1977"/>
      <c r="I4" s="1977"/>
      <c r="J4" s="1977"/>
      <c r="K4" s="1977"/>
      <c r="L4" s="1977"/>
      <c r="M4" s="1977"/>
      <c r="N4" s="1977"/>
      <c r="O4" s="1977"/>
      <c r="P4" s="1978"/>
      <c r="Q4" s="276"/>
    </row>
    <row r="5" spans="1:17" ht="12.75" customHeight="1" x14ac:dyDescent="0.25">
      <c r="A5" s="7" t="s">
        <v>6</v>
      </c>
      <c r="B5" s="8"/>
      <c r="C5" s="1972" t="s">
        <v>826</v>
      </c>
      <c r="D5" s="1972"/>
      <c r="E5" s="1972"/>
      <c r="F5" s="1972"/>
      <c r="G5" s="1972"/>
      <c r="H5" s="1972"/>
      <c r="I5" s="1972"/>
      <c r="J5" s="1972"/>
      <c r="K5" s="1972"/>
      <c r="L5" s="1972"/>
      <c r="M5" s="1972"/>
      <c r="N5" s="1972"/>
      <c r="O5" s="1972"/>
      <c r="P5" s="1973"/>
      <c r="Q5" s="276"/>
    </row>
    <row r="6" spans="1:17" ht="12.75" customHeight="1" x14ac:dyDescent="0.25">
      <c r="A6" s="7" t="s">
        <v>8</v>
      </c>
      <c r="B6" s="8"/>
      <c r="C6" s="1972" t="s">
        <v>827</v>
      </c>
      <c r="D6" s="1972"/>
      <c r="E6" s="1972"/>
      <c r="F6" s="1972"/>
      <c r="G6" s="1972"/>
      <c r="H6" s="1972"/>
      <c r="I6" s="1972"/>
      <c r="J6" s="1972"/>
      <c r="K6" s="1972"/>
      <c r="L6" s="1972"/>
      <c r="M6" s="1972"/>
      <c r="N6" s="1972"/>
      <c r="O6" s="1972"/>
      <c r="P6" s="1973"/>
      <c r="Q6" s="276"/>
    </row>
    <row r="7" spans="1:17" x14ac:dyDescent="0.25">
      <c r="A7" s="7" t="s">
        <v>10</v>
      </c>
      <c r="B7" s="8"/>
      <c r="C7" s="1977" t="s">
        <v>828</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t="s">
        <v>829</v>
      </c>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4240</v>
      </c>
      <c r="D20" s="32">
        <f>SUM(D21,D24,D25,D41,D43)</f>
        <v>4239</v>
      </c>
      <c r="E20" s="33">
        <f t="shared" ref="E20:F20" si="1">SUM(E21,E24,E25,E41,E43)</f>
        <v>1</v>
      </c>
      <c r="F20" s="34">
        <f t="shared" si="1"/>
        <v>4240</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38">
        <f t="shared" si="0"/>
        <v>584</v>
      </c>
      <c r="D21" s="39">
        <f>SUM(D22:D23)</f>
        <v>584</v>
      </c>
      <c r="E21" s="40">
        <f t="shared" ref="E21:F21" si="5">SUM(E22:E23)</f>
        <v>0</v>
      </c>
      <c r="F21" s="41">
        <f t="shared" si="5"/>
        <v>584</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584</v>
      </c>
      <c r="D23" s="53">
        <v>584</v>
      </c>
      <c r="E23" s="613"/>
      <c r="F23" s="55">
        <f t="shared" ref="F23:F25" si="9">D23+E23</f>
        <v>584</v>
      </c>
      <c r="G23" s="53"/>
      <c r="H23" s="54"/>
      <c r="I23" s="55">
        <f t="shared" ref="I23:I24" si="10">G23+H23</f>
        <v>0</v>
      </c>
      <c r="J23" s="53"/>
      <c r="K23" s="54"/>
      <c r="L23" s="56">
        <f>K23+J23</f>
        <v>0</v>
      </c>
      <c r="M23" s="53"/>
      <c r="N23" s="54"/>
      <c r="O23" s="55">
        <f>N23+M23</f>
        <v>0</v>
      </c>
      <c r="P23" s="57"/>
    </row>
    <row r="24" spans="1:16" s="28" customFormat="1" ht="24.75" hidden="1" customHeight="1" thickBot="1" x14ac:dyDescent="0.3">
      <c r="A24" s="58">
        <v>19300</v>
      </c>
      <c r="B24" s="58" t="s">
        <v>43</v>
      </c>
      <c r="C24" s="59">
        <f>F24+I24</f>
        <v>0</v>
      </c>
      <c r="D24" s="60"/>
      <c r="E24" s="61"/>
      <c r="F24" s="62">
        <f t="shared" si="9"/>
        <v>0</v>
      </c>
      <c r="G24" s="60"/>
      <c r="H24" s="61"/>
      <c r="I24" s="62">
        <f t="shared" si="10"/>
        <v>0</v>
      </c>
      <c r="J24" s="63" t="s">
        <v>44</v>
      </c>
      <c r="K24" s="64" t="s">
        <v>44</v>
      </c>
      <c r="L24" s="65" t="s">
        <v>44</v>
      </c>
      <c r="M24" s="63" t="s">
        <v>44</v>
      </c>
      <c r="N24" s="64" t="s">
        <v>44</v>
      </c>
      <c r="O24" s="65" t="s">
        <v>44</v>
      </c>
      <c r="P24" s="66"/>
    </row>
    <row r="25" spans="1:16" s="28" customFormat="1" ht="28.5" customHeight="1" x14ac:dyDescent="0.25">
      <c r="A25" s="67">
        <v>18630</v>
      </c>
      <c r="B25" s="68" t="s">
        <v>45</v>
      </c>
      <c r="C25" s="69">
        <f>F25</f>
        <v>3656</v>
      </c>
      <c r="D25" s="70">
        <v>3655</v>
      </c>
      <c r="E25" s="71">
        <v>1</v>
      </c>
      <c r="F25" s="72">
        <f t="shared" si="9"/>
        <v>3656</v>
      </c>
      <c r="G25" s="73" t="s">
        <v>44</v>
      </c>
      <c r="H25" s="74" t="s">
        <v>44</v>
      </c>
      <c r="I25" s="75" t="s">
        <v>44</v>
      </c>
      <c r="J25" s="73" t="s">
        <v>44</v>
      </c>
      <c r="K25" s="74" t="s">
        <v>44</v>
      </c>
      <c r="L25" s="75" t="s">
        <v>44</v>
      </c>
      <c r="M25" s="73" t="s">
        <v>44</v>
      </c>
      <c r="N25" s="74" t="s">
        <v>44</v>
      </c>
      <c r="O25" s="75" t="s">
        <v>44</v>
      </c>
      <c r="P25" s="76" t="s">
        <v>830</v>
      </c>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4240</v>
      </c>
      <c r="D50" s="158">
        <f>SUM(D51,D286)</f>
        <v>4239</v>
      </c>
      <c r="E50" s="159">
        <f t="shared" ref="E50:F50" si="26">SUM(E51,E286)</f>
        <v>1</v>
      </c>
      <c r="F50" s="160">
        <f t="shared" si="26"/>
        <v>4240</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584</v>
      </c>
      <c r="D51" s="164">
        <f>SUM(D52,D194)</f>
        <v>584</v>
      </c>
      <c r="E51" s="165">
        <f t="shared" ref="E51:F51" si="30">SUM(E52,E194)</f>
        <v>0</v>
      </c>
      <c r="F51" s="166">
        <f t="shared" si="30"/>
        <v>584</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3</v>
      </c>
      <c r="D52" s="172">
        <f>SUM(D53,D75,D173,D187)</f>
        <v>2</v>
      </c>
      <c r="E52" s="173">
        <f t="shared" ref="E52:F52" si="34">SUM(E53,E75,E173,E187)</f>
        <v>1</v>
      </c>
      <c r="F52" s="174">
        <f t="shared" si="34"/>
        <v>3</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3</v>
      </c>
      <c r="D75" s="178">
        <f>SUM(D76,D83,D130,D164,D165,D172)</f>
        <v>2</v>
      </c>
      <c r="E75" s="179">
        <f t="shared" ref="E75:F75" si="74">SUM(E76,E83,E130,E164,E165,E172)</f>
        <v>1</v>
      </c>
      <c r="F75" s="180">
        <f t="shared" si="74"/>
        <v>3</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614"/>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3</v>
      </c>
      <c r="D130" s="183">
        <f>SUM(D131,D136,D140,D141,D144,D151,D159,D160,D163)</f>
        <v>2</v>
      </c>
      <c r="E130" s="184">
        <f t="shared" ref="E130:F130" si="160">SUM(E131,E136,E140,E141,E144,E151,E159,E160,E163)</f>
        <v>1</v>
      </c>
      <c r="F130" s="72">
        <f t="shared" si="160"/>
        <v>3</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3</v>
      </c>
      <c r="D131" s="192">
        <f t="shared" ref="D131:O131" si="164">SUM(D132:D135)</f>
        <v>2</v>
      </c>
      <c r="E131" s="193">
        <f t="shared" si="164"/>
        <v>1</v>
      </c>
      <c r="F131" s="133">
        <f t="shared" si="164"/>
        <v>3</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33.75" customHeight="1" x14ac:dyDescent="0.25">
      <c r="A132" s="51">
        <v>2311</v>
      </c>
      <c r="B132" s="88" t="s">
        <v>149</v>
      </c>
      <c r="C132" s="89">
        <f t="shared" si="102"/>
        <v>3</v>
      </c>
      <c r="D132" s="194">
        <v>2</v>
      </c>
      <c r="E132" s="195">
        <v>1</v>
      </c>
      <c r="F132" s="55">
        <f t="shared" ref="F132:F135" si="165">D132+E132</f>
        <v>3</v>
      </c>
      <c r="G132" s="53"/>
      <c r="H132" s="54"/>
      <c r="I132" s="55">
        <f t="shared" ref="I132:I135" si="166">G132+H132</f>
        <v>0</v>
      </c>
      <c r="J132" s="53"/>
      <c r="K132" s="54"/>
      <c r="L132" s="55">
        <f t="shared" ref="L132:L135" si="167">K132+J132</f>
        <v>0</v>
      </c>
      <c r="M132" s="53"/>
      <c r="N132" s="54"/>
      <c r="O132" s="55">
        <f t="shared" ref="O132:O135" si="168">N132+M132</f>
        <v>0</v>
      </c>
      <c r="P132" s="57" t="s">
        <v>831</v>
      </c>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614"/>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581</v>
      </c>
      <c r="D194" s="172">
        <f t="shared" ref="D194:O194" si="259">SUM(D195,D230,D269,D283)</f>
        <v>582</v>
      </c>
      <c r="E194" s="173">
        <f t="shared" si="259"/>
        <v>-1</v>
      </c>
      <c r="F194" s="174">
        <f t="shared" si="259"/>
        <v>581</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581</v>
      </c>
      <c r="D269" s="229">
        <f>SUM(D270,D281)</f>
        <v>582</v>
      </c>
      <c r="E269" s="230">
        <f t="shared" ref="E269:F269" si="355">SUM(E270,E281)</f>
        <v>-1</v>
      </c>
      <c r="F269" s="231">
        <f t="shared" si="355"/>
        <v>581</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x14ac:dyDescent="0.25">
      <c r="A270" s="68">
        <v>7200</v>
      </c>
      <c r="B270" s="182" t="s">
        <v>287</v>
      </c>
      <c r="C270" s="69">
        <f t="shared" si="288"/>
        <v>581</v>
      </c>
      <c r="D270" s="183">
        <f>SUM(D271,D272,D275,D276,D280)</f>
        <v>582</v>
      </c>
      <c r="E270" s="184">
        <f t="shared" ref="E270:F270" si="359">SUM(E271,E272,E275,E276,E280)</f>
        <v>-1</v>
      </c>
      <c r="F270" s="72">
        <f t="shared" si="359"/>
        <v>581</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8">
        <v>7230</v>
      </c>
      <c r="B275" s="88" t="s">
        <v>292</v>
      </c>
      <c r="C275" s="89">
        <f t="shared" si="288"/>
        <v>581</v>
      </c>
      <c r="D275" s="194">
        <v>582</v>
      </c>
      <c r="E275" s="195">
        <v>-1</v>
      </c>
      <c r="F275" s="55">
        <f t="shared" si="367"/>
        <v>581</v>
      </c>
      <c r="G275" s="53"/>
      <c r="H275" s="54"/>
      <c r="I275" s="55">
        <f t="shared" si="368"/>
        <v>0</v>
      </c>
      <c r="J275" s="53"/>
      <c r="K275" s="54"/>
      <c r="L275" s="55">
        <f t="shared" si="369"/>
        <v>0</v>
      </c>
      <c r="M275" s="53"/>
      <c r="N275" s="54"/>
      <c r="O275" s="55">
        <f t="shared" si="370"/>
        <v>0</v>
      </c>
      <c r="P275" s="546" t="s">
        <v>832</v>
      </c>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3656</v>
      </c>
      <c r="D286" s="189">
        <f>SUM(D287:D288)</f>
        <v>3655</v>
      </c>
      <c r="E286" s="190">
        <f t="shared" ref="E286:F286" si="381">SUM(E287:E288)</f>
        <v>1</v>
      </c>
      <c r="F286" s="55">
        <f t="shared" si="381"/>
        <v>3656</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9" t="s">
        <v>306</v>
      </c>
      <c r="B288" s="248" t="s">
        <v>307</v>
      </c>
      <c r="C288" s="82">
        <f t="shared" si="371"/>
        <v>3656</v>
      </c>
      <c r="D288" s="196">
        <v>3655</v>
      </c>
      <c r="E288" s="197">
        <v>1</v>
      </c>
      <c r="F288" s="133">
        <f t="shared" si="385"/>
        <v>3656</v>
      </c>
      <c r="G288" s="46"/>
      <c r="H288" s="47"/>
      <c r="I288" s="133">
        <f t="shared" si="386"/>
        <v>0</v>
      </c>
      <c r="J288" s="46"/>
      <c r="K288" s="47"/>
      <c r="L288" s="133">
        <f t="shared" si="387"/>
        <v>0</v>
      </c>
      <c r="M288" s="46"/>
      <c r="N288" s="47"/>
      <c r="O288" s="133">
        <f t="shared" si="388"/>
        <v>0</v>
      </c>
      <c r="P288" s="616" t="s">
        <v>832</v>
      </c>
    </row>
    <row r="289" spans="1:16" ht="12.75" thickBot="1" x14ac:dyDescent="0.3">
      <c r="A289" s="249"/>
      <c r="B289" s="249" t="s">
        <v>308</v>
      </c>
      <c r="C289" s="250">
        <f t="shared" si="371"/>
        <v>4240</v>
      </c>
      <c r="D289" s="251">
        <f t="shared" ref="D289:O289" si="389">SUM(D286,D269,D230,D195,D187,D173,D75,D53,D283)</f>
        <v>4239</v>
      </c>
      <c r="E289" s="252">
        <f t="shared" si="389"/>
        <v>1</v>
      </c>
      <c r="F289" s="253">
        <f t="shared" si="389"/>
        <v>4240</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945" t="s">
        <v>309</v>
      </c>
      <c r="B290" s="1946"/>
      <c r="C290" s="255">
        <f t="shared" si="371"/>
        <v>3072</v>
      </c>
      <c r="D290" s="256">
        <f>SUM(D24,D25,D41)-D51</f>
        <v>3071</v>
      </c>
      <c r="E290" s="257">
        <f t="shared" ref="E290:F290" si="390">SUM(E24,E25,E41)-E51</f>
        <v>1</v>
      </c>
      <c r="F290" s="258">
        <f t="shared" si="390"/>
        <v>3072</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947" t="s">
        <v>310</v>
      </c>
      <c r="B291" s="1948"/>
      <c r="C291" s="260">
        <f t="shared" si="371"/>
        <v>-3072</v>
      </c>
      <c r="D291" s="261">
        <f t="shared" ref="D291:O291" si="394">SUM(D292,D293)-D300+D301</f>
        <v>-3071</v>
      </c>
      <c r="E291" s="262">
        <f t="shared" si="394"/>
        <v>-1</v>
      </c>
      <c r="F291" s="263">
        <f t="shared" si="394"/>
        <v>-3072</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6" t="s">
        <v>311</v>
      </c>
      <c r="B292" s="156" t="s">
        <v>312</v>
      </c>
      <c r="C292" s="157">
        <f t="shared" si="371"/>
        <v>-3072</v>
      </c>
      <c r="D292" s="158">
        <f t="shared" ref="D292:O292" si="395">D21-D286</f>
        <v>-3071</v>
      </c>
      <c r="E292" s="159">
        <f t="shared" si="395"/>
        <v>-1</v>
      </c>
      <c r="F292" s="160">
        <f t="shared" si="395"/>
        <v>-3072</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Pb+2CmZ/j4Vaq1Mve8pYVOGajFrA6LW0q9Own/awrISwvpNrMBmjR2RqiJDBsJ5zr1RX1szFdSsT/0kkk6doDg==" saltValue="URa8dYDaAO/BZXMWvVPofw==" spinCount="100000" sheet="1" objects="1" scenarios="1" formatCells="0" formatColumns="0" formatRows="0" deleteColumns="0"/>
  <autoFilter ref="A18:P301">
    <filterColumn colId="2">
      <filters>
        <filter val="3"/>
        <filter val="3 072"/>
        <filter val="-3 072"/>
        <filter val="3 656"/>
        <filter val="4 240"/>
        <filter val="581"/>
        <filter val="584"/>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45.pielikums Jūrmalas pilsētas domes
2019.gada 29.augusta saistošajiem noteikumiem Nr.31
(protokols Nr.12, 20.punkts)</firstHeader>
    <firstFooter>&amp;L&amp;9&amp;D; &amp;T&amp;R&amp;9&amp;P (&amp;N)</first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1"/>
  <sheetViews>
    <sheetView showGridLines="0" view="pageLayout" zoomScaleNormal="110" workbookViewId="0">
      <selection activeCell="T2" sqref="T2"/>
    </sheetView>
  </sheetViews>
  <sheetFormatPr defaultColWidth="9.28515625" defaultRowHeight="15" outlineLevelCol="1" x14ac:dyDescent="0.25"/>
  <cols>
    <col min="1" max="1" width="10.7109375" customWidth="1"/>
    <col min="2" max="2" width="28" customWidth="1"/>
    <col min="3" max="3" width="8" customWidth="1"/>
    <col min="4" max="5" width="8.7109375" hidden="1" customWidth="1" outlineLevel="1"/>
    <col min="6" max="6" width="8.7109375" customWidth="1" collapsed="1"/>
    <col min="7" max="8" width="8.7109375" hidden="1" customWidth="1" outlineLevel="1"/>
    <col min="9" max="9" width="8.7109375" customWidth="1" collapsed="1"/>
    <col min="10" max="11" width="8.28515625" hidden="1" customWidth="1" outlineLevel="1"/>
    <col min="12" max="12" width="8.28515625" customWidth="1" collapsed="1"/>
    <col min="13" max="14" width="7.42578125" hidden="1" customWidth="1" outlineLevel="1"/>
    <col min="15" max="15" width="6.7109375" customWidth="1" collapsed="1"/>
    <col min="16" max="16" width="26.7109375" hidden="1" customWidth="1" outlineLevel="1"/>
    <col min="17" max="17" width="9.28515625" collapsed="1"/>
    <col min="257" max="257" width="10.7109375" customWidth="1"/>
    <col min="258" max="258" width="28" customWidth="1"/>
    <col min="259" max="259" width="8" customWidth="1"/>
    <col min="260" max="265" width="8.7109375" customWidth="1"/>
    <col min="266" max="268" width="8.28515625" customWidth="1"/>
    <col min="269" max="270" width="7.42578125" customWidth="1"/>
    <col min="271" max="271" width="6.7109375" customWidth="1"/>
    <col min="272" max="272" width="26.7109375" customWidth="1"/>
    <col min="513" max="513" width="10.7109375" customWidth="1"/>
    <col min="514" max="514" width="28" customWidth="1"/>
    <col min="515" max="515" width="8" customWidth="1"/>
    <col min="516" max="521" width="8.7109375" customWidth="1"/>
    <col min="522" max="524" width="8.28515625" customWidth="1"/>
    <col min="525" max="526" width="7.42578125" customWidth="1"/>
    <col min="527" max="527" width="6.7109375" customWidth="1"/>
    <col min="528" max="528" width="26.7109375" customWidth="1"/>
    <col min="769" max="769" width="10.7109375" customWidth="1"/>
    <col min="770" max="770" width="28" customWidth="1"/>
    <col min="771" max="771" width="8" customWidth="1"/>
    <col min="772" max="777" width="8.7109375" customWidth="1"/>
    <col min="778" max="780" width="8.28515625" customWidth="1"/>
    <col min="781" max="782" width="7.42578125" customWidth="1"/>
    <col min="783" max="783" width="6.7109375" customWidth="1"/>
    <col min="784" max="784" width="26.7109375" customWidth="1"/>
    <col min="1025" max="1025" width="10.7109375" customWidth="1"/>
    <col min="1026" max="1026" width="28" customWidth="1"/>
    <col min="1027" max="1027" width="8" customWidth="1"/>
    <col min="1028" max="1033" width="8.7109375" customWidth="1"/>
    <col min="1034" max="1036" width="8.28515625" customWidth="1"/>
    <col min="1037" max="1038" width="7.42578125" customWidth="1"/>
    <col min="1039" max="1039" width="6.7109375" customWidth="1"/>
    <col min="1040" max="1040" width="26.7109375" customWidth="1"/>
    <col min="1281" max="1281" width="10.7109375" customWidth="1"/>
    <col min="1282" max="1282" width="28" customWidth="1"/>
    <col min="1283" max="1283" width="8" customWidth="1"/>
    <col min="1284" max="1289" width="8.7109375" customWidth="1"/>
    <col min="1290" max="1292" width="8.28515625" customWidth="1"/>
    <col min="1293" max="1294" width="7.42578125" customWidth="1"/>
    <col min="1295" max="1295" width="6.7109375" customWidth="1"/>
    <col min="1296" max="1296" width="26.7109375" customWidth="1"/>
    <col min="1537" max="1537" width="10.7109375" customWidth="1"/>
    <col min="1538" max="1538" width="28" customWidth="1"/>
    <col min="1539" max="1539" width="8" customWidth="1"/>
    <col min="1540" max="1545" width="8.7109375" customWidth="1"/>
    <col min="1546" max="1548" width="8.28515625" customWidth="1"/>
    <col min="1549" max="1550" width="7.42578125" customWidth="1"/>
    <col min="1551" max="1551" width="6.7109375" customWidth="1"/>
    <col min="1552" max="1552" width="26.7109375" customWidth="1"/>
    <col min="1793" max="1793" width="10.7109375" customWidth="1"/>
    <col min="1794" max="1794" width="28" customWidth="1"/>
    <col min="1795" max="1795" width="8" customWidth="1"/>
    <col min="1796" max="1801" width="8.7109375" customWidth="1"/>
    <col min="1802" max="1804" width="8.28515625" customWidth="1"/>
    <col min="1805" max="1806" width="7.42578125" customWidth="1"/>
    <col min="1807" max="1807" width="6.7109375" customWidth="1"/>
    <col min="1808" max="1808" width="26.7109375" customWidth="1"/>
    <col min="2049" max="2049" width="10.7109375" customWidth="1"/>
    <col min="2050" max="2050" width="28" customWidth="1"/>
    <col min="2051" max="2051" width="8" customWidth="1"/>
    <col min="2052" max="2057" width="8.7109375" customWidth="1"/>
    <col min="2058" max="2060" width="8.28515625" customWidth="1"/>
    <col min="2061" max="2062" width="7.42578125" customWidth="1"/>
    <col min="2063" max="2063" width="6.7109375" customWidth="1"/>
    <col min="2064" max="2064" width="26.7109375" customWidth="1"/>
    <col min="2305" max="2305" width="10.7109375" customWidth="1"/>
    <col min="2306" max="2306" width="28" customWidth="1"/>
    <col min="2307" max="2307" width="8" customWidth="1"/>
    <col min="2308" max="2313" width="8.7109375" customWidth="1"/>
    <col min="2314" max="2316" width="8.28515625" customWidth="1"/>
    <col min="2317" max="2318" width="7.42578125" customWidth="1"/>
    <col min="2319" max="2319" width="6.7109375" customWidth="1"/>
    <col min="2320" max="2320" width="26.7109375" customWidth="1"/>
    <col min="2561" max="2561" width="10.7109375" customWidth="1"/>
    <col min="2562" max="2562" width="28" customWidth="1"/>
    <col min="2563" max="2563" width="8" customWidth="1"/>
    <col min="2564" max="2569" width="8.7109375" customWidth="1"/>
    <col min="2570" max="2572" width="8.28515625" customWidth="1"/>
    <col min="2573" max="2574" width="7.42578125" customWidth="1"/>
    <col min="2575" max="2575" width="6.7109375" customWidth="1"/>
    <col min="2576" max="2576" width="26.7109375" customWidth="1"/>
    <col min="2817" max="2817" width="10.7109375" customWidth="1"/>
    <col min="2818" max="2818" width="28" customWidth="1"/>
    <col min="2819" max="2819" width="8" customWidth="1"/>
    <col min="2820" max="2825" width="8.7109375" customWidth="1"/>
    <col min="2826" max="2828" width="8.28515625" customWidth="1"/>
    <col min="2829" max="2830" width="7.42578125" customWidth="1"/>
    <col min="2831" max="2831" width="6.7109375" customWidth="1"/>
    <col min="2832" max="2832" width="26.7109375" customWidth="1"/>
    <col min="3073" max="3073" width="10.7109375" customWidth="1"/>
    <col min="3074" max="3074" width="28" customWidth="1"/>
    <col min="3075" max="3075" width="8" customWidth="1"/>
    <col min="3076" max="3081" width="8.7109375" customWidth="1"/>
    <col min="3082" max="3084" width="8.28515625" customWidth="1"/>
    <col min="3085" max="3086" width="7.42578125" customWidth="1"/>
    <col min="3087" max="3087" width="6.7109375" customWidth="1"/>
    <col min="3088" max="3088" width="26.7109375" customWidth="1"/>
    <col min="3329" max="3329" width="10.7109375" customWidth="1"/>
    <col min="3330" max="3330" width="28" customWidth="1"/>
    <col min="3331" max="3331" width="8" customWidth="1"/>
    <col min="3332" max="3337" width="8.7109375" customWidth="1"/>
    <col min="3338" max="3340" width="8.28515625" customWidth="1"/>
    <col min="3341" max="3342" width="7.42578125" customWidth="1"/>
    <col min="3343" max="3343" width="6.7109375" customWidth="1"/>
    <col min="3344" max="3344" width="26.7109375" customWidth="1"/>
    <col min="3585" max="3585" width="10.7109375" customWidth="1"/>
    <col min="3586" max="3586" width="28" customWidth="1"/>
    <col min="3587" max="3587" width="8" customWidth="1"/>
    <col min="3588" max="3593" width="8.7109375" customWidth="1"/>
    <col min="3594" max="3596" width="8.28515625" customWidth="1"/>
    <col min="3597" max="3598" width="7.42578125" customWidth="1"/>
    <col min="3599" max="3599" width="6.7109375" customWidth="1"/>
    <col min="3600" max="3600" width="26.7109375" customWidth="1"/>
    <col min="3841" max="3841" width="10.7109375" customWidth="1"/>
    <col min="3842" max="3842" width="28" customWidth="1"/>
    <col min="3843" max="3843" width="8" customWidth="1"/>
    <col min="3844" max="3849" width="8.7109375" customWidth="1"/>
    <col min="3850" max="3852" width="8.28515625" customWidth="1"/>
    <col min="3853" max="3854" width="7.42578125" customWidth="1"/>
    <col min="3855" max="3855" width="6.7109375" customWidth="1"/>
    <col min="3856" max="3856" width="26.7109375" customWidth="1"/>
    <col min="4097" max="4097" width="10.7109375" customWidth="1"/>
    <col min="4098" max="4098" width="28" customWidth="1"/>
    <col min="4099" max="4099" width="8" customWidth="1"/>
    <col min="4100" max="4105" width="8.7109375" customWidth="1"/>
    <col min="4106" max="4108" width="8.28515625" customWidth="1"/>
    <col min="4109" max="4110" width="7.42578125" customWidth="1"/>
    <col min="4111" max="4111" width="6.7109375" customWidth="1"/>
    <col min="4112" max="4112" width="26.7109375" customWidth="1"/>
    <col min="4353" max="4353" width="10.7109375" customWidth="1"/>
    <col min="4354" max="4354" width="28" customWidth="1"/>
    <col min="4355" max="4355" width="8" customWidth="1"/>
    <col min="4356" max="4361" width="8.7109375" customWidth="1"/>
    <col min="4362" max="4364" width="8.28515625" customWidth="1"/>
    <col min="4365" max="4366" width="7.42578125" customWidth="1"/>
    <col min="4367" max="4367" width="6.7109375" customWidth="1"/>
    <col min="4368" max="4368" width="26.7109375" customWidth="1"/>
    <col min="4609" max="4609" width="10.7109375" customWidth="1"/>
    <col min="4610" max="4610" width="28" customWidth="1"/>
    <col min="4611" max="4611" width="8" customWidth="1"/>
    <col min="4612" max="4617" width="8.7109375" customWidth="1"/>
    <col min="4618" max="4620" width="8.28515625" customWidth="1"/>
    <col min="4621" max="4622" width="7.42578125" customWidth="1"/>
    <col min="4623" max="4623" width="6.7109375" customWidth="1"/>
    <col min="4624" max="4624" width="26.7109375" customWidth="1"/>
    <col min="4865" max="4865" width="10.7109375" customWidth="1"/>
    <col min="4866" max="4866" width="28" customWidth="1"/>
    <col min="4867" max="4867" width="8" customWidth="1"/>
    <col min="4868" max="4873" width="8.7109375" customWidth="1"/>
    <col min="4874" max="4876" width="8.28515625" customWidth="1"/>
    <col min="4877" max="4878" width="7.42578125" customWidth="1"/>
    <col min="4879" max="4879" width="6.7109375" customWidth="1"/>
    <col min="4880" max="4880" width="26.7109375" customWidth="1"/>
    <col min="5121" max="5121" width="10.7109375" customWidth="1"/>
    <col min="5122" max="5122" width="28" customWidth="1"/>
    <col min="5123" max="5123" width="8" customWidth="1"/>
    <col min="5124" max="5129" width="8.7109375" customWidth="1"/>
    <col min="5130" max="5132" width="8.28515625" customWidth="1"/>
    <col min="5133" max="5134" width="7.42578125" customWidth="1"/>
    <col min="5135" max="5135" width="6.7109375" customWidth="1"/>
    <col min="5136" max="5136" width="26.7109375" customWidth="1"/>
    <col min="5377" max="5377" width="10.7109375" customWidth="1"/>
    <col min="5378" max="5378" width="28" customWidth="1"/>
    <col min="5379" max="5379" width="8" customWidth="1"/>
    <col min="5380" max="5385" width="8.7109375" customWidth="1"/>
    <col min="5386" max="5388" width="8.28515625" customWidth="1"/>
    <col min="5389" max="5390" width="7.42578125" customWidth="1"/>
    <col min="5391" max="5391" width="6.7109375" customWidth="1"/>
    <col min="5392" max="5392" width="26.7109375" customWidth="1"/>
    <col min="5633" max="5633" width="10.7109375" customWidth="1"/>
    <col min="5634" max="5634" width="28" customWidth="1"/>
    <col min="5635" max="5635" width="8" customWidth="1"/>
    <col min="5636" max="5641" width="8.7109375" customWidth="1"/>
    <col min="5642" max="5644" width="8.28515625" customWidth="1"/>
    <col min="5645" max="5646" width="7.42578125" customWidth="1"/>
    <col min="5647" max="5647" width="6.7109375" customWidth="1"/>
    <col min="5648" max="5648" width="26.7109375" customWidth="1"/>
    <col min="5889" max="5889" width="10.7109375" customWidth="1"/>
    <col min="5890" max="5890" width="28" customWidth="1"/>
    <col min="5891" max="5891" width="8" customWidth="1"/>
    <col min="5892" max="5897" width="8.7109375" customWidth="1"/>
    <col min="5898" max="5900" width="8.28515625" customWidth="1"/>
    <col min="5901" max="5902" width="7.42578125" customWidth="1"/>
    <col min="5903" max="5903" width="6.7109375" customWidth="1"/>
    <col min="5904" max="5904" width="26.7109375" customWidth="1"/>
    <col min="6145" max="6145" width="10.7109375" customWidth="1"/>
    <col min="6146" max="6146" width="28" customWidth="1"/>
    <col min="6147" max="6147" width="8" customWidth="1"/>
    <col min="6148" max="6153" width="8.7109375" customWidth="1"/>
    <col min="6154" max="6156" width="8.28515625" customWidth="1"/>
    <col min="6157" max="6158" width="7.42578125" customWidth="1"/>
    <col min="6159" max="6159" width="6.7109375" customWidth="1"/>
    <col min="6160" max="6160" width="26.7109375" customWidth="1"/>
    <col min="6401" max="6401" width="10.7109375" customWidth="1"/>
    <col min="6402" max="6402" width="28" customWidth="1"/>
    <col min="6403" max="6403" width="8" customWidth="1"/>
    <col min="6404" max="6409" width="8.7109375" customWidth="1"/>
    <col min="6410" max="6412" width="8.28515625" customWidth="1"/>
    <col min="6413" max="6414" width="7.42578125" customWidth="1"/>
    <col min="6415" max="6415" width="6.7109375" customWidth="1"/>
    <col min="6416" max="6416" width="26.7109375" customWidth="1"/>
    <col min="6657" max="6657" width="10.7109375" customWidth="1"/>
    <col min="6658" max="6658" width="28" customWidth="1"/>
    <col min="6659" max="6659" width="8" customWidth="1"/>
    <col min="6660" max="6665" width="8.7109375" customWidth="1"/>
    <col min="6666" max="6668" width="8.28515625" customWidth="1"/>
    <col min="6669" max="6670" width="7.42578125" customWidth="1"/>
    <col min="6671" max="6671" width="6.7109375" customWidth="1"/>
    <col min="6672" max="6672" width="26.7109375" customWidth="1"/>
    <col min="6913" max="6913" width="10.7109375" customWidth="1"/>
    <col min="6914" max="6914" width="28" customWidth="1"/>
    <col min="6915" max="6915" width="8" customWidth="1"/>
    <col min="6916" max="6921" width="8.7109375" customWidth="1"/>
    <col min="6922" max="6924" width="8.28515625" customWidth="1"/>
    <col min="6925" max="6926" width="7.42578125" customWidth="1"/>
    <col min="6927" max="6927" width="6.7109375" customWidth="1"/>
    <col min="6928" max="6928" width="26.7109375" customWidth="1"/>
    <col min="7169" max="7169" width="10.7109375" customWidth="1"/>
    <col min="7170" max="7170" width="28" customWidth="1"/>
    <col min="7171" max="7171" width="8" customWidth="1"/>
    <col min="7172" max="7177" width="8.7109375" customWidth="1"/>
    <col min="7178" max="7180" width="8.28515625" customWidth="1"/>
    <col min="7181" max="7182" width="7.42578125" customWidth="1"/>
    <col min="7183" max="7183" width="6.7109375" customWidth="1"/>
    <col min="7184" max="7184" width="26.7109375" customWidth="1"/>
    <col min="7425" max="7425" width="10.7109375" customWidth="1"/>
    <col min="7426" max="7426" width="28" customWidth="1"/>
    <col min="7427" max="7427" width="8" customWidth="1"/>
    <col min="7428" max="7433" width="8.7109375" customWidth="1"/>
    <col min="7434" max="7436" width="8.28515625" customWidth="1"/>
    <col min="7437" max="7438" width="7.42578125" customWidth="1"/>
    <col min="7439" max="7439" width="6.7109375" customWidth="1"/>
    <col min="7440" max="7440" width="26.7109375" customWidth="1"/>
    <col min="7681" max="7681" width="10.7109375" customWidth="1"/>
    <col min="7682" max="7682" width="28" customWidth="1"/>
    <col min="7683" max="7683" width="8" customWidth="1"/>
    <col min="7684" max="7689" width="8.7109375" customWidth="1"/>
    <col min="7690" max="7692" width="8.28515625" customWidth="1"/>
    <col min="7693" max="7694" width="7.42578125" customWidth="1"/>
    <col min="7695" max="7695" width="6.7109375" customWidth="1"/>
    <col min="7696" max="7696" width="26.7109375" customWidth="1"/>
    <col min="7937" max="7937" width="10.7109375" customWidth="1"/>
    <col min="7938" max="7938" width="28" customWidth="1"/>
    <col min="7939" max="7939" width="8" customWidth="1"/>
    <col min="7940" max="7945" width="8.7109375" customWidth="1"/>
    <col min="7946" max="7948" width="8.28515625" customWidth="1"/>
    <col min="7949" max="7950" width="7.42578125" customWidth="1"/>
    <col min="7951" max="7951" width="6.7109375" customWidth="1"/>
    <col min="7952" max="7952" width="26.7109375" customWidth="1"/>
    <col min="8193" max="8193" width="10.7109375" customWidth="1"/>
    <col min="8194" max="8194" width="28" customWidth="1"/>
    <col min="8195" max="8195" width="8" customWidth="1"/>
    <col min="8196" max="8201" width="8.7109375" customWidth="1"/>
    <col min="8202" max="8204" width="8.28515625" customWidth="1"/>
    <col min="8205" max="8206" width="7.42578125" customWidth="1"/>
    <col min="8207" max="8207" width="6.7109375" customWidth="1"/>
    <col min="8208" max="8208" width="26.7109375" customWidth="1"/>
    <col min="8449" max="8449" width="10.7109375" customWidth="1"/>
    <col min="8450" max="8450" width="28" customWidth="1"/>
    <col min="8451" max="8451" width="8" customWidth="1"/>
    <col min="8452" max="8457" width="8.7109375" customWidth="1"/>
    <col min="8458" max="8460" width="8.28515625" customWidth="1"/>
    <col min="8461" max="8462" width="7.42578125" customWidth="1"/>
    <col min="8463" max="8463" width="6.7109375" customWidth="1"/>
    <col min="8464" max="8464" width="26.7109375" customWidth="1"/>
    <col min="8705" max="8705" width="10.7109375" customWidth="1"/>
    <col min="8706" max="8706" width="28" customWidth="1"/>
    <col min="8707" max="8707" width="8" customWidth="1"/>
    <col min="8708" max="8713" width="8.7109375" customWidth="1"/>
    <col min="8714" max="8716" width="8.28515625" customWidth="1"/>
    <col min="8717" max="8718" width="7.42578125" customWidth="1"/>
    <col min="8719" max="8719" width="6.7109375" customWidth="1"/>
    <col min="8720" max="8720" width="26.7109375" customWidth="1"/>
    <col min="8961" max="8961" width="10.7109375" customWidth="1"/>
    <col min="8962" max="8962" width="28" customWidth="1"/>
    <col min="8963" max="8963" width="8" customWidth="1"/>
    <col min="8964" max="8969" width="8.7109375" customWidth="1"/>
    <col min="8970" max="8972" width="8.28515625" customWidth="1"/>
    <col min="8973" max="8974" width="7.42578125" customWidth="1"/>
    <col min="8975" max="8975" width="6.7109375" customWidth="1"/>
    <col min="8976" max="8976" width="26.7109375" customWidth="1"/>
    <col min="9217" max="9217" width="10.7109375" customWidth="1"/>
    <col min="9218" max="9218" width="28" customWidth="1"/>
    <col min="9219" max="9219" width="8" customWidth="1"/>
    <col min="9220" max="9225" width="8.7109375" customWidth="1"/>
    <col min="9226" max="9228" width="8.28515625" customWidth="1"/>
    <col min="9229" max="9230" width="7.42578125" customWidth="1"/>
    <col min="9231" max="9231" width="6.7109375" customWidth="1"/>
    <col min="9232" max="9232" width="26.7109375" customWidth="1"/>
    <col min="9473" max="9473" width="10.7109375" customWidth="1"/>
    <col min="9474" max="9474" width="28" customWidth="1"/>
    <col min="9475" max="9475" width="8" customWidth="1"/>
    <col min="9476" max="9481" width="8.7109375" customWidth="1"/>
    <col min="9482" max="9484" width="8.28515625" customWidth="1"/>
    <col min="9485" max="9486" width="7.42578125" customWidth="1"/>
    <col min="9487" max="9487" width="6.7109375" customWidth="1"/>
    <col min="9488" max="9488" width="26.7109375" customWidth="1"/>
    <col min="9729" max="9729" width="10.7109375" customWidth="1"/>
    <col min="9730" max="9730" width="28" customWidth="1"/>
    <col min="9731" max="9731" width="8" customWidth="1"/>
    <col min="9732" max="9737" width="8.7109375" customWidth="1"/>
    <col min="9738" max="9740" width="8.28515625" customWidth="1"/>
    <col min="9741" max="9742" width="7.42578125" customWidth="1"/>
    <col min="9743" max="9743" width="6.7109375" customWidth="1"/>
    <col min="9744" max="9744" width="26.7109375" customWidth="1"/>
    <col min="9985" max="9985" width="10.7109375" customWidth="1"/>
    <col min="9986" max="9986" width="28" customWidth="1"/>
    <col min="9987" max="9987" width="8" customWidth="1"/>
    <col min="9988" max="9993" width="8.7109375" customWidth="1"/>
    <col min="9994" max="9996" width="8.28515625" customWidth="1"/>
    <col min="9997" max="9998" width="7.42578125" customWidth="1"/>
    <col min="9999" max="9999" width="6.7109375" customWidth="1"/>
    <col min="10000" max="10000" width="26.7109375" customWidth="1"/>
    <col min="10241" max="10241" width="10.7109375" customWidth="1"/>
    <col min="10242" max="10242" width="28" customWidth="1"/>
    <col min="10243" max="10243" width="8" customWidth="1"/>
    <col min="10244" max="10249" width="8.7109375" customWidth="1"/>
    <col min="10250" max="10252" width="8.28515625" customWidth="1"/>
    <col min="10253" max="10254" width="7.42578125" customWidth="1"/>
    <col min="10255" max="10255" width="6.7109375" customWidth="1"/>
    <col min="10256" max="10256" width="26.7109375" customWidth="1"/>
    <col min="10497" max="10497" width="10.7109375" customWidth="1"/>
    <col min="10498" max="10498" width="28" customWidth="1"/>
    <col min="10499" max="10499" width="8" customWidth="1"/>
    <col min="10500" max="10505" width="8.7109375" customWidth="1"/>
    <col min="10506" max="10508" width="8.28515625" customWidth="1"/>
    <col min="10509" max="10510" width="7.42578125" customWidth="1"/>
    <col min="10511" max="10511" width="6.7109375" customWidth="1"/>
    <col min="10512" max="10512" width="26.7109375" customWidth="1"/>
    <col min="10753" max="10753" width="10.7109375" customWidth="1"/>
    <col min="10754" max="10754" width="28" customWidth="1"/>
    <col min="10755" max="10755" width="8" customWidth="1"/>
    <col min="10756" max="10761" width="8.7109375" customWidth="1"/>
    <col min="10762" max="10764" width="8.28515625" customWidth="1"/>
    <col min="10765" max="10766" width="7.42578125" customWidth="1"/>
    <col min="10767" max="10767" width="6.7109375" customWidth="1"/>
    <col min="10768" max="10768" width="26.7109375" customWidth="1"/>
    <col min="11009" max="11009" width="10.7109375" customWidth="1"/>
    <col min="11010" max="11010" width="28" customWidth="1"/>
    <col min="11011" max="11011" width="8" customWidth="1"/>
    <col min="11012" max="11017" width="8.7109375" customWidth="1"/>
    <col min="11018" max="11020" width="8.28515625" customWidth="1"/>
    <col min="11021" max="11022" width="7.42578125" customWidth="1"/>
    <col min="11023" max="11023" width="6.7109375" customWidth="1"/>
    <col min="11024" max="11024" width="26.7109375" customWidth="1"/>
    <col min="11265" max="11265" width="10.7109375" customWidth="1"/>
    <col min="11266" max="11266" width="28" customWidth="1"/>
    <col min="11267" max="11267" width="8" customWidth="1"/>
    <col min="11268" max="11273" width="8.7109375" customWidth="1"/>
    <col min="11274" max="11276" width="8.28515625" customWidth="1"/>
    <col min="11277" max="11278" width="7.42578125" customWidth="1"/>
    <col min="11279" max="11279" width="6.7109375" customWidth="1"/>
    <col min="11280" max="11280" width="26.7109375" customWidth="1"/>
    <col min="11521" max="11521" width="10.7109375" customWidth="1"/>
    <col min="11522" max="11522" width="28" customWidth="1"/>
    <col min="11523" max="11523" width="8" customWidth="1"/>
    <col min="11524" max="11529" width="8.7109375" customWidth="1"/>
    <col min="11530" max="11532" width="8.28515625" customWidth="1"/>
    <col min="11533" max="11534" width="7.42578125" customWidth="1"/>
    <col min="11535" max="11535" width="6.7109375" customWidth="1"/>
    <col min="11536" max="11536" width="26.7109375" customWidth="1"/>
    <col min="11777" max="11777" width="10.7109375" customWidth="1"/>
    <col min="11778" max="11778" width="28" customWidth="1"/>
    <col min="11779" max="11779" width="8" customWidth="1"/>
    <col min="11780" max="11785" width="8.7109375" customWidth="1"/>
    <col min="11786" max="11788" width="8.28515625" customWidth="1"/>
    <col min="11789" max="11790" width="7.42578125" customWidth="1"/>
    <col min="11791" max="11791" width="6.7109375" customWidth="1"/>
    <col min="11792" max="11792" width="26.7109375" customWidth="1"/>
    <col min="12033" max="12033" width="10.7109375" customWidth="1"/>
    <col min="12034" max="12034" width="28" customWidth="1"/>
    <col min="12035" max="12035" width="8" customWidth="1"/>
    <col min="12036" max="12041" width="8.7109375" customWidth="1"/>
    <col min="12042" max="12044" width="8.28515625" customWidth="1"/>
    <col min="12045" max="12046" width="7.42578125" customWidth="1"/>
    <col min="12047" max="12047" width="6.7109375" customWidth="1"/>
    <col min="12048" max="12048" width="26.7109375" customWidth="1"/>
    <col min="12289" max="12289" width="10.7109375" customWidth="1"/>
    <col min="12290" max="12290" width="28" customWidth="1"/>
    <col min="12291" max="12291" width="8" customWidth="1"/>
    <col min="12292" max="12297" width="8.7109375" customWidth="1"/>
    <col min="12298" max="12300" width="8.28515625" customWidth="1"/>
    <col min="12301" max="12302" width="7.42578125" customWidth="1"/>
    <col min="12303" max="12303" width="6.7109375" customWidth="1"/>
    <col min="12304" max="12304" width="26.7109375" customWidth="1"/>
    <col min="12545" max="12545" width="10.7109375" customWidth="1"/>
    <col min="12546" max="12546" width="28" customWidth="1"/>
    <col min="12547" max="12547" width="8" customWidth="1"/>
    <col min="12548" max="12553" width="8.7109375" customWidth="1"/>
    <col min="12554" max="12556" width="8.28515625" customWidth="1"/>
    <col min="12557" max="12558" width="7.42578125" customWidth="1"/>
    <col min="12559" max="12559" width="6.7109375" customWidth="1"/>
    <col min="12560" max="12560" width="26.7109375" customWidth="1"/>
    <col min="12801" max="12801" width="10.7109375" customWidth="1"/>
    <col min="12802" max="12802" width="28" customWidth="1"/>
    <col min="12803" max="12803" width="8" customWidth="1"/>
    <col min="12804" max="12809" width="8.7109375" customWidth="1"/>
    <col min="12810" max="12812" width="8.28515625" customWidth="1"/>
    <col min="12813" max="12814" width="7.42578125" customWidth="1"/>
    <col min="12815" max="12815" width="6.7109375" customWidth="1"/>
    <col min="12816" max="12816" width="26.7109375" customWidth="1"/>
    <col min="13057" max="13057" width="10.7109375" customWidth="1"/>
    <col min="13058" max="13058" width="28" customWidth="1"/>
    <col min="13059" max="13059" width="8" customWidth="1"/>
    <col min="13060" max="13065" width="8.7109375" customWidth="1"/>
    <col min="13066" max="13068" width="8.28515625" customWidth="1"/>
    <col min="13069" max="13070" width="7.42578125" customWidth="1"/>
    <col min="13071" max="13071" width="6.7109375" customWidth="1"/>
    <col min="13072" max="13072" width="26.7109375" customWidth="1"/>
    <col min="13313" max="13313" width="10.7109375" customWidth="1"/>
    <col min="13314" max="13314" width="28" customWidth="1"/>
    <col min="13315" max="13315" width="8" customWidth="1"/>
    <col min="13316" max="13321" width="8.7109375" customWidth="1"/>
    <col min="13322" max="13324" width="8.28515625" customWidth="1"/>
    <col min="13325" max="13326" width="7.42578125" customWidth="1"/>
    <col min="13327" max="13327" width="6.7109375" customWidth="1"/>
    <col min="13328" max="13328" width="26.7109375" customWidth="1"/>
    <col min="13569" max="13569" width="10.7109375" customWidth="1"/>
    <col min="13570" max="13570" width="28" customWidth="1"/>
    <col min="13571" max="13571" width="8" customWidth="1"/>
    <col min="13572" max="13577" width="8.7109375" customWidth="1"/>
    <col min="13578" max="13580" width="8.28515625" customWidth="1"/>
    <col min="13581" max="13582" width="7.42578125" customWidth="1"/>
    <col min="13583" max="13583" width="6.7109375" customWidth="1"/>
    <col min="13584" max="13584" width="26.7109375" customWidth="1"/>
    <col min="13825" max="13825" width="10.7109375" customWidth="1"/>
    <col min="13826" max="13826" width="28" customWidth="1"/>
    <col min="13827" max="13827" width="8" customWidth="1"/>
    <col min="13828" max="13833" width="8.7109375" customWidth="1"/>
    <col min="13834" max="13836" width="8.28515625" customWidth="1"/>
    <col min="13837" max="13838" width="7.42578125" customWidth="1"/>
    <col min="13839" max="13839" width="6.7109375" customWidth="1"/>
    <col min="13840" max="13840" width="26.7109375" customWidth="1"/>
    <col min="14081" max="14081" width="10.7109375" customWidth="1"/>
    <col min="14082" max="14082" width="28" customWidth="1"/>
    <col min="14083" max="14083" width="8" customWidth="1"/>
    <col min="14084" max="14089" width="8.7109375" customWidth="1"/>
    <col min="14090" max="14092" width="8.28515625" customWidth="1"/>
    <col min="14093" max="14094" width="7.42578125" customWidth="1"/>
    <col min="14095" max="14095" width="6.7109375" customWidth="1"/>
    <col min="14096" max="14096" width="26.7109375" customWidth="1"/>
    <col min="14337" max="14337" width="10.7109375" customWidth="1"/>
    <col min="14338" max="14338" width="28" customWidth="1"/>
    <col min="14339" max="14339" width="8" customWidth="1"/>
    <col min="14340" max="14345" width="8.7109375" customWidth="1"/>
    <col min="14346" max="14348" width="8.28515625" customWidth="1"/>
    <col min="14349" max="14350" width="7.42578125" customWidth="1"/>
    <col min="14351" max="14351" width="6.7109375" customWidth="1"/>
    <col min="14352" max="14352" width="26.7109375" customWidth="1"/>
    <col min="14593" max="14593" width="10.7109375" customWidth="1"/>
    <col min="14594" max="14594" width="28" customWidth="1"/>
    <col min="14595" max="14595" width="8" customWidth="1"/>
    <col min="14596" max="14601" width="8.7109375" customWidth="1"/>
    <col min="14602" max="14604" width="8.28515625" customWidth="1"/>
    <col min="14605" max="14606" width="7.42578125" customWidth="1"/>
    <col min="14607" max="14607" width="6.7109375" customWidth="1"/>
    <col min="14608" max="14608" width="26.7109375" customWidth="1"/>
    <col min="14849" max="14849" width="10.7109375" customWidth="1"/>
    <col min="14850" max="14850" width="28" customWidth="1"/>
    <col min="14851" max="14851" width="8" customWidth="1"/>
    <col min="14852" max="14857" width="8.7109375" customWidth="1"/>
    <col min="14858" max="14860" width="8.28515625" customWidth="1"/>
    <col min="14861" max="14862" width="7.42578125" customWidth="1"/>
    <col min="14863" max="14863" width="6.7109375" customWidth="1"/>
    <col min="14864" max="14864" width="26.7109375" customWidth="1"/>
    <col min="15105" max="15105" width="10.7109375" customWidth="1"/>
    <col min="15106" max="15106" width="28" customWidth="1"/>
    <col min="15107" max="15107" width="8" customWidth="1"/>
    <col min="15108" max="15113" width="8.7109375" customWidth="1"/>
    <col min="15114" max="15116" width="8.28515625" customWidth="1"/>
    <col min="15117" max="15118" width="7.42578125" customWidth="1"/>
    <col min="15119" max="15119" width="6.7109375" customWidth="1"/>
    <col min="15120" max="15120" width="26.7109375" customWidth="1"/>
    <col min="15361" max="15361" width="10.7109375" customWidth="1"/>
    <col min="15362" max="15362" width="28" customWidth="1"/>
    <col min="15363" max="15363" width="8" customWidth="1"/>
    <col min="15364" max="15369" width="8.7109375" customWidth="1"/>
    <col min="15370" max="15372" width="8.28515625" customWidth="1"/>
    <col min="15373" max="15374" width="7.42578125" customWidth="1"/>
    <col min="15375" max="15375" width="6.7109375" customWidth="1"/>
    <col min="15376" max="15376" width="26.7109375" customWidth="1"/>
    <col min="15617" max="15617" width="10.7109375" customWidth="1"/>
    <col min="15618" max="15618" width="28" customWidth="1"/>
    <col min="15619" max="15619" width="8" customWidth="1"/>
    <col min="15620" max="15625" width="8.7109375" customWidth="1"/>
    <col min="15626" max="15628" width="8.28515625" customWidth="1"/>
    <col min="15629" max="15630" width="7.42578125" customWidth="1"/>
    <col min="15631" max="15631" width="6.7109375" customWidth="1"/>
    <col min="15632" max="15632" width="26.7109375" customWidth="1"/>
    <col min="15873" max="15873" width="10.7109375" customWidth="1"/>
    <col min="15874" max="15874" width="28" customWidth="1"/>
    <col min="15875" max="15875" width="8" customWidth="1"/>
    <col min="15876" max="15881" width="8.7109375" customWidth="1"/>
    <col min="15882" max="15884" width="8.28515625" customWidth="1"/>
    <col min="15885" max="15886" width="7.42578125" customWidth="1"/>
    <col min="15887" max="15887" width="6.7109375" customWidth="1"/>
    <col min="15888" max="15888" width="26.7109375" customWidth="1"/>
    <col min="16129" max="16129" width="10.7109375" customWidth="1"/>
    <col min="16130" max="16130" width="28" customWidth="1"/>
    <col min="16131" max="16131" width="8" customWidth="1"/>
    <col min="16132" max="16137" width="8.7109375" customWidth="1"/>
    <col min="16138" max="16140" width="8.28515625" customWidth="1"/>
    <col min="16141" max="16142" width="7.42578125" customWidth="1"/>
    <col min="16143" max="16143" width="6.7109375" customWidth="1"/>
    <col min="16144" max="16144" width="26.7109375" customWidth="1"/>
  </cols>
  <sheetData>
    <row r="1" spans="1:17" x14ac:dyDescent="0.25">
      <c r="A1" s="1"/>
      <c r="B1" s="1"/>
      <c r="C1" s="1"/>
      <c r="D1" s="296"/>
      <c r="E1" s="296"/>
      <c r="F1" s="296"/>
      <c r="G1" s="296"/>
      <c r="H1" s="296"/>
      <c r="I1" s="296"/>
      <c r="J1" s="296"/>
      <c r="K1" s="296"/>
      <c r="L1" s="296"/>
      <c r="M1" s="1"/>
      <c r="N1" s="2"/>
      <c r="O1" s="3" t="s">
        <v>1063</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726"/>
    </row>
    <row r="3" spans="1:17" ht="12.75" customHeight="1" x14ac:dyDescent="0.25">
      <c r="A3" s="5" t="s">
        <v>2</v>
      </c>
      <c r="B3" s="6"/>
      <c r="C3" s="1977" t="s">
        <v>1064</v>
      </c>
      <c r="D3" s="1977"/>
      <c r="E3" s="1977"/>
      <c r="F3" s="1977"/>
      <c r="G3" s="1977"/>
      <c r="H3" s="1977"/>
      <c r="I3" s="1977"/>
      <c r="J3" s="1977"/>
      <c r="K3" s="1977"/>
      <c r="L3" s="1977"/>
      <c r="M3" s="1977"/>
      <c r="N3" s="1977"/>
      <c r="O3" s="1977"/>
      <c r="P3" s="1978"/>
      <c r="Q3" s="726"/>
    </row>
    <row r="4" spans="1:17" ht="12.75" customHeight="1" x14ac:dyDescent="0.25">
      <c r="A4" s="5" t="s">
        <v>4</v>
      </c>
      <c r="B4" s="6"/>
      <c r="C4" s="1977" t="s">
        <v>1065</v>
      </c>
      <c r="D4" s="1977"/>
      <c r="E4" s="1977"/>
      <c r="F4" s="1977"/>
      <c r="G4" s="1977"/>
      <c r="H4" s="1977"/>
      <c r="I4" s="1977"/>
      <c r="J4" s="1977"/>
      <c r="K4" s="1977"/>
      <c r="L4" s="1977"/>
      <c r="M4" s="1977"/>
      <c r="N4" s="1977"/>
      <c r="O4" s="1977"/>
      <c r="P4" s="1978"/>
      <c r="Q4" s="726"/>
    </row>
    <row r="5" spans="1:17" ht="12.75" customHeight="1" x14ac:dyDescent="0.25">
      <c r="A5" s="7" t="s">
        <v>6</v>
      </c>
      <c r="B5" s="8"/>
      <c r="C5" s="1972" t="s">
        <v>1066</v>
      </c>
      <c r="D5" s="1972"/>
      <c r="E5" s="1972"/>
      <c r="F5" s="1972"/>
      <c r="G5" s="1972"/>
      <c r="H5" s="1972"/>
      <c r="I5" s="1972"/>
      <c r="J5" s="1972"/>
      <c r="K5" s="1972"/>
      <c r="L5" s="1972"/>
      <c r="M5" s="1972"/>
      <c r="N5" s="1972"/>
      <c r="O5" s="1972"/>
      <c r="P5" s="1973"/>
      <c r="Q5" s="726"/>
    </row>
    <row r="6" spans="1:17" ht="12.75" customHeight="1" x14ac:dyDescent="0.25">
      <c r="A6" s="7" t="s">
        <v>8</v>
      </c>
      <c r="B6" s="8"/>
      <c r="C6" s="1972" t="s">
        <v>853</v>
      </c>
      <c r="D6" s="1972"/>
      <c r="E6" s="1972"/>
      <c r="F6" s="1972"/>
      <c r="G6" s="1972"/>
      <c r="H6" s="1972"/>
      <c r="I6" s="1972"/>
      <c r="J6" s="1972"/>
      <c r="K6" s="1972"/>
      <c r="L6" s="1972"/>
      <c r="M6" s="1972"/>
      <c r="N6" s="1972"/>
      <c r="O6" s="1972"/>
      <c r="P6" s="1973"/>
      <c r="Q6" s="726"/>
    </row>
    <row r="7" spans="1:17" ht="24.75" customHeight="1" x14ac:dyDescent="0.25">
      <c r="A7" s="7" t="s">
        <v>10</v>
      </c>
      <c r="B7" s="8"/>
      <c r="C7" s="1977" t="s">
        <v>869</v>
      </c>
      <c r="D7" s="1977"/>
      <c r="E7" s="1977"/>
      <c r="F7" s="1977"/>
      <c r="G7" s="1977"/>
      <c r="H7" s="1977"/>
      <c r="I7" s="1977"/>
      <c r="J7" s="1977"/>
      <c r="K7" s="1977"/>
      <c r="L7" s="1977"/>
      <c r="M7" s="1977"/>
      <c r="N7" s="1977"/>
      <c r="O7" s="1977"/>
      <c r="P7" s="1978"/>
      <c r="Q7" s="726"/>
    </row>
    <row r="8" spans="1:17" ht="12.75" customHeight="1" x14ac:dyDescent="0.25">
      <c r="A8" s="9" t="s">
        <v>12</v>
      </c>
      <c r="B8" s="8"/>
      <c r="C8" s="1979"/>
      <c r="D8" s="1979"/>
      <c r="E8" s="1979"/>
      <c r="F8" s="1979"/>
      <c r="G8" s="1979"/>
      <c r="H8" s="1979"/>
      <c r="I8" s="1979"/>
      <c r="J8" s="1979"/>
      <c r="K8" s="1979"/>
      <c r="L8" s="1979"/>
      <c r="M8" s="1979"/>
      <c r="N8" s="1979"/>
      <c r="O8" s="1979"/>
      <c r="P8" s="1980"/>
      <c r="Q8" s="726"/>
    </row>
    <row r="9" spans="1:17" ht="12.75" customHeight="1" x14ac:dyDescent="0.25">
      <c r="A9" s="7"/>
      <c r="B9" s="8" t="s">
        <v>13</v>
      </c>
      <c r="C9" s="1972" t="s">
        <v>1067</v>
      </c>
      <c r="D9" s="1972"/>
      <c r="E9" s="1972"/>
      <c r="F9" s="1972"/>
      <c r="G9" s="1972"/>
      <c r="H9" s="1972"/>
      <c r="I9" s="1972"/>
      <c r="J9" s="1972"/>
      <c r="K9" s="1972"/>
      <c r="L9" s="1972"/>
      <c r="M9" s="1972"/>
      <c r="N9" s="1972"/>
      <c r="O9" s="1972"/>
      <c r="P9" s="1973"/>
      <c r="Q9" s="726"/>
    </row>
    <row r="10" spans="1:17" ht="12.75" customHeight="1" x14ac:dyDescent="0.25">
      <c r="A10" s="7"/>
      <c r="B10" s="8" t="s">
        <v>15</v>
      </c>
      <c r="C10" s="1972" t="s">
        <v>1068</v>
      </c>
      <c r="D10" s="1972"/>
      <c r="E10" s="1972"/>
      <c r="F10" s="1972"/>
      <c r="G10" s="1972"/>
      <c r="H10" s="1972"/>
      <c r="I10" s="1972"/>
      <c r="J10" s="1972"/>
      <c r="K10" s="1972"/>
      <c r="L10" s="1972"/>
      <c r="M10" s="1972"/>
      <c r="N10" s="1972"/>
      <c r="O10" s="1972"/>
      <c r="P10" s="1973"/>
      <c r="Q10" s="726"/>
    </row>
    <row r="11" spans="1:17" ht="12.75" customHeight="1" x14ac:dyDescent="0.25">
      <c r="A11" s="7"/>
      <c r="B11" s="8" t="s">
        <v>16</v>
      </c>
      <c r="C11" s="1979" t="s">
        <v>1069</v>
      </c>
      <c r="D11" s="1979"/>
      <c r="E11" s="1979"/>
      <c r="F11" s="1979"/>
      <c r="G11" s="1979"/>
      <c r="H11" s="1979"/>
      <c r="I11" s="1979"/>
      <c r="J11" s="1979"/>
      <c r="K11" s="1979"/>
      <c r="L11" s="1979"/>
      <c r="M11" s="1979"/>
      <c r="N11" s="1979"/>
      <c r="O11" s="1979"/>
      <c r="P11" s="1980"/>
      <c r="Q11" s="72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72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726"/>
    </row>
    <row r="14" spans="1:17" ht="12.75" customHeight="1" x14ac:dyDescent="0.25">
      <c r="A14" s="10"/>
      <c r="B14" s="11"/>
      <c r="C14" s="1952"/>
      <c r="D14" s="1952"/>
      <c r="E14" s="1952"/>
      <c r="F14" s="1952"/>
      <c r="G14" s="1952"/>
      <c r="H14" s="1952"/>
      <c r="I14" s="1952"/>
      <c r="J14" s="1952"/>
      <c r="K14" s="1952"/>
      <c r="L14" s="1952"/>
      <c r="M14" s="1952"/>
      <c r="N14" s="1952"/>
      <c r="O14" s="1952"/>
      <c r="P14" s="1953"/>
      <c r="Q14" s="72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2010" t="s">
        <v>24</v>
      </c>
      <c r="E16" s="2012" t="s">
        <v>25</v>
      </c>
      <c r="F16" s="2014" t="s">
        <v>26</v>
      </c>
      <c r="G16" s="2008" t="s">
        <v>27</v>
      </c>
      <c r="H16" s="2009" t="s">
        <v>28</v>
      </c>
      <c r="I16" s="2007" t="s">
        <v>29</v>
      </c>
      <c r="J16" s="2008" t="s">
        <v>30</v>
      </c>
      <c r="K16" s="2009" t="s">
        <v>31</v>
      </c>
      <c r="L16" s="2007" t="s">
        <v>32</v>
      </c>
      <c r="M16" s="1950" t="s">
        <v>33</v>
      </c>
      <c r="N16" s="1951" t="s">
        <v>34</v>
      </c>
      <c r="O16" s="1949" t="s">
        <v>35</v>
      </c>
      <c r="P16" s="1970" t="s">
        <v>36</v>
      </c>
    </row>
    <row r="17" spans="1:16" s="13" customFormat="1" ht="70.5" customHeight="1" thickBot="1" x14ac:dyDescent="0.3">
      <c r="A17" s="1956"/>
      <c r="B17" s="1958"/>
      <c r="C17" s="1963"/>
      <c r="D17" s="2011"/>
      <c r="E17" s="2013"/>
      <c r="F17" s="2015"/>
      <c r="G17" s="2008"/>
      <c r="H17" s="2009"/>
      <c r="I17" s="2007"/>
      <c r="J17" s="2008"/>
      <c r="K17" s="2009"/>
      <c r="L17" s="2007"/>
      <c r="M17" s="1950"/>
      <c r="N17" s="1951"/>
      <c r="O17" s="1949"/>
      <c r="P17" s="1971"/>
    </row>
    <row r="18" spans="1:16" s="13" customFormat="1" ht="9.75" customHeight="1" thickTop="1" x14ac:dyDescent="0.25">
      <c r="A18" s="14" t="s">
        <v>37</v>
      </c>
      <c r="B18" s="14">
        <v>2</v>
      </c>
      <c r="C18" s="15">
        <v>3</v>
      </c>
      <c r="D18" s="617">
        <v>4</v>
      </c>
      <c r="E18" s="618">
        <v>5</v>
      </c>
      <c r="F18" s="619">
        <v>6</v>
      </c>
      <c r="G18" s="617">
        <v>7</v>
      </c>
      <c r="H18" s="298">
        <v>8</v>
      </c>
      <c r="I18" s="620" t="s">
        <v>1070</v>
      </c>
      <c r="J18" s="298">
        <v>10</v>
      </c>
      <c r="K18" s="618">
        <v>11</v>
      </c>
      <c r="L18" s="621">
        <v>12</v>
      </c>
      <c r="M18" s="15">
        <v>13</v>
      </c>
      <c r="N18" s="17">
        <v>14</v>
      </c>
      <c r="O18" s="20">
        <v>15</v>
      </c>
      <c r="P18" s="20">
        <v>16</v>
      </c>
    </row>
    <row r="19" spans="1:16" s="28" customFormat="1" ht="12" hidden="1" customHeight="1" x14ac:dyDescent="0.25">
      <c r="A19" s="22"/>
      <c r="B19" s="23" t="s">
        <v>38</v>
      </c>
      <c r="C19" s="24"/>
      <c r="D19" s="299"/>
      <c r="E19" s="622"/>
      <c r="F19" s="623"/>
      <c r="G19" s="299"/>
      <c r="H19" s="622"/>
      <c r="I19" s="623"/>
      <c r="J19" s="299"/>
      <c r="K19" s="622"/>
      <c r="L19" s="623"/>
      <c r="M19" s="25"/>
      <c r="N19" s="26"/>
      <c r="O19" s="27"/>
      <c r="P19" s="27"/>
    </row>
    <row r="20" spans="1:16" s="28" customFormat="1" ht="12.75" thickBot="1" x14ac:dyDescent="0.3">
      <c r="A20" s="29"/>
      <c r="B20" s="30" t="s">
        <v>39</v>
      </c>
      <c r="C20" s="31">
        <f t="shared" ref="C20:C83" si="0">F20+I20+L20+O20</f>
        <v>620719</v>
      </c>
      <c r="D20" s="300">
        <f>SUM(D21,D24,D25,D41,D43)</f>
        <v>421082</v>
      </c>
      <c r="E20" s="624">
        <f>SUM(E21,E24,E25,E41,E43)</f>
        <v>-1500</v>
      </c>
      <c r="F20" s="625">
        <f>SUM(F21,F24,F25,F41,F43)</f>
        <v>419582</v>
      </c>
      <c r="G20" s="300">
        <f>SUM(G21,G24,G43)</f>
        <v>176168</v>
      </c>
      <c r="H20" s="624">
        <f>SUM(H21,H24,H43)</f>
        <v>0</v>
      </c>
      <c r="I20" s="625">
        <f>SUM(I21,I24,I43)</f>
        <v>176168</v>
      </c>
      <c r="J20" s="300">
        <f>SUM(J21,J26,J43)</f>
        <v>18915</v>
      </c>
      <c r="K20" s="624">
        <f>SUM(K21,K26,K43)</f>
        <v>6054</v>
      </c>
      <c r="L20" s="625">
        <f>SUM(L21,L26,L43)</f>
        <v>24969</v>
      </c>
      <c r="M20" s="32">
        <f>SUM(M21,M45)</f>
        <v>0</v>
      </c>
      <c r="N20" s="33">
        <f>SUM(N21,N45)</f>
        <v>0</v>
      </c>
      <c r="O20" s="34">
        <f>SUM(O21,O45)</f>
        <v>0</v>
      </c>
      <c r="P20" s="35"/>
    </row>
    <row r="21" spans="1:16" ht="15.75" thickTop="1" x14ac:dyDescent="0.25">
      <c r="A21" s="36"/>
      <c r="B21" s="37" t="s">
        <v>40</v>
      </c>
      <c r="C21" s="38">
        <f t="shared" si="0"/>
        <v>5456</v>
      </c>
      <c r="D21" s="301">
        <f t="shared" ref="D21:O21" si="1">SUM(D22:D23)</f>
        <v>0</v>
      </c>
      <c r="E21" s="626">
        <f t="shared" si="1"/>
        <v>0</v>
      </c>
      <c r="F21" s="627">
        <f t="shared" si="1"/>
        <v>0</v>
      </c>
      <c r="G21" s="301">
        <f t="shared" si="1"/>
        <v>0</v>
      </c>
      <c r="H21" s="626">
        <f t="shared" si="1"/>
        <v>0</v>
      </c>
      <c r="I21" s="627">
        <f t="shared" si="1"/>
        <v>0</v>
      </c>
      <c r="J21" s="301">
        <f t="shared" si="1"/>
        <v>5456</v>
      </c>
      <c r="K21" s="626">
        <f t="shared" si="1"/>
        <v>0</v>
      </c>
      <c r="L21" s="627">
        <f t="shared" si="1"/>
        <v>5456</v>
      </c>
      <c r="M21" s="39">
        <f t="shared" si="1"/>
        <v>0</v>
      </c>
      <c r="N21" s="40">
        <f t="shared" si="1"/>
        <v>0</v>
      </c>
      <c r="O21" s="41">
        <f t="shared" si="1"/>
        <v>0</v>
      </c>
      <c r="P21" s="42"/>
    </row>
    <row r="22" spans="1:16" ht="12" hidden="1" customHeight="1" x14ac:dyDescent="0.25">
      <c r="A22" s="43"/>
      <c r="B22" s="44" t="s">
        <v>41</v>
      </c>
      <c r="C22" s="45">
        <f t="shared" si="0"/>
        <v>0</v>
      </c>
      <c r="D22" s="302"/>
      <c r="E22" s="628"/>
      <c r="F22" s="629">
        <f>D22+E22</f>
        <v>0</v>
      </c>
      <c r="G22" s="302"/>
      <c r="H22" s="628"/>
      <c r="I22" s="629">
        <f>G22+H22</f>
        <v>0</v>
      </c>
      <c r="J22" s="302"/>
      <c r="K22" s="628"/>
      <c r="L22" s="629">
        <f>K22+J22</f>
        <v>0</v>
      </c>
      <c r="M22" s="46"/>
      <c r="N22" s="47"/>
      <c r="O22" s="48">
        <f>N22+M22</f>
        <v>0</v>
      </c>
      <c r="P22" s="49"/>
    </row>
    <row r="23" spans="1:16" x14ac:dyDescent="0.25">
      <c r="A23" s="50"/>
      <c r="B23" s="51" t="s">
        <v>42</v>
      </c>
      <c r="C23" s="52">
        <f>F23+I23+L23+O23</f>
        <v>5456</v>
      </c>
      <c r="D23" s="303"/>
      <c r="E23" s="542"/>
      <c r="F23" s="543">
        <f>D23+E23</f>
        <v>0</v>
      </c>
      <c r="G23" s="303"/>
      <c r="H23" s="542"/>
      <c r="I23" s="543">
        <f>G23+H23</f>
        <v>0</v>
      </c>
      <c r="J23" s="303">
        <v>5456</v>
      </c>
      <c r="K23" s="54"/>
      <c r="L23" s="631">
        <f>K23+J23</f>
        <v>5456</v>
      </c>
      <c r="M23" s="53"/>
      <c r="N23" s="54"/>
      <c r="O23" s="55">
        <f>N23+M23</f>
        <v>0</v>
      </c>
      <c r="P23" s="57"/>
    </row>
    <row r="24" spans="1:16" s="28" customFormat="1" ht="28.5" customHeight="1" thickBot="1" x14ac:dyDescent="0.3">
      <c r="A24" s="58">
        <v>19300</v>
      </c>
      <c r="B24" s="58" t="s">
        <v>43</v>
      </c>
      <c r="C24" s="59">
        <f>F24+I24</f>
        <v>595750</v>
      </c>
      <c r="D24" s="60">
        <v>421082</v>
      </c>
      <c r="E24" s="61">
        <v>-1500</v>
      </c>
      <c r="F24" s="62">
        <f>D24+E24</f>
        <v>419582</v>
      </c>
      <c r="G24" s="60">
        <f>176167+1</f>
        <v>176168</v>
      </c>
      <c r="H24" s="61"/>
      <c r="I24" s="62">
        <f>G24+H24</f>
        <v>176168</v>
      </c>
      <c r="J24" s="63" t="s">
        <v>44</v>
      </c>
      <c r="K24" s="64" t="s">
        <v>44</v>
      </c>
      <c r="L24" s="65" t="s">
        <v>44</v>
      </c>
      <c r="M24" s="63" t="s">
        <v>44</v>
      </c>
      <c r="N24" s="64" t="s">
        <v>44</v>
      </c>
      <c r="O24" s="65" t="s">
        <v>44</v>
      </c>
      <c r="P24" s="66" t="s">
        <v>1071</v>
      </c>
    </row>
    <row r="25" spans="1:16" s="28" customFormat="1" ht="24.75" hidden="1" customHeight="1" thickTop="1" x14ac:dyDescent="0.25">
      <c r="A25" s="68"/>
      <c r="B25" s="68" t="s">
        <v>45</v>
      </c>
      <c r="C25" s="69">
        <f>F25</f>
        <v>0</v>
      </c>
      <c r="D25" s="320"/>
      <c r="E25" s="637"/>
      <c r="F25" s="638">
        <f>D25+E25</f>
        <v>0</v>
      </c>
      <c r="G25" s="305" t="s">
        <v>44</v>
      </c>
      <c r="H25" s="639" t="s">
        <v>44</v>
      </c>
      <c r="I25" s="640" t="s">
        <v>44</v>
      </c>
      <c r="J25" s="305" t="s">
        <v>44</v>
      </c>
      <c r="K25" s="639" t="s">
        <v>44</v>
      </c>
      <c r="L25" s="640" t="s">
        <v>44</v>
      </c>
      <c r="M25" s="73" t="s">
        <v>44</v>
      </c>
      <c r="N25" s="74" t="s">
        <v>44</v>
      </c>
      <c r="O25" s="75" t="s">
        <v>44</v>
      </c>
      <c r="P25" s="76"/>
    </row>
    <row r="26" spans="1:16" s="28" customFormat="1" ht="36" customHeight="1" thickTop="1" x14ac:dyDescent="0.25">
      <c r="A26" s="68">
        <v>21300</v>
      </c>
      <c r="B26" s="68" t="s">
        <v>46</v>
      </c>
      <c r="C26" s="69">
        <f t="shared" ref="C26:C40" si="2">L26</f>
        <v>19439</v>
      </c>
      <c r="D26" s="305" t="s">
        <v>44</v>
      </c>
      <c r="E26" s="639" t="s">
        <v>44</v>
      </c>
      <c r="F26" s="640" t="s">
        <v>44</v>
      </c>
      <c r="G26" s="305" t="s">
        <v>44</v>
      </c>
      <c r="H26" s="639" t="s">
        <v>44</v>
      </c>
      <c r="I26" s="640" t="s">
        <v>44</v>
      </c>
      <c r="J26" s="306">
        <f>SUM(J27,J31,J33,J36)</f>
        <v>13439</v>
      </c>
      <c r="K26" s="641">
        <f>SUM(K27,K31,K33,K36)</f>
        <v>6000</v>
      </c>
      <c r="L26" s="642">
        <f>SUM(L27,L31,L33,L36)</f>
        <v>19439</v>
      </c>
      <c r="M26" s="77" t="s">
        <v>44</v>
      </c>
      <c r="N26" s="78" t="s">
        <v>44</v>
      </c>
      <c r="O26" s="79" t="s">
        <v>44</v>
      </c>
      <c r="P26" s="76"/>
    </row>
    <row r="27" spans="1:16" s="28" customFormat="1" ht="24" hidden="1" customHeight="1" x14ac:dyDescent="0.25">
      <c r="A27" s="80">
        <v>21350</v>
      </c>
      <c r="B27" s="68" t="s">
        <v>47</v>
      </c>
      <c r="C27" s="69">
        <f t="shared" si="2"/>
        <v>0</v>
      </c>
      <c r="D27" s="305" t="s">
        <v>44</v>
      </c>
      <c r="E27" s="639" t="s">
        <v>44</v>
      </c>
      <c r="F27" s="640" t="s">
        <v>44</v>
      </c>
      <c r="G27" s="305" t="s">
        <v>44</v>
      </c>
      <c r="H27" s="639" t="s">
        <v>44</v>
      </c>
      <c r="I27" s="640" t="s">
        <v>44</v>
      </c>
      <c r="J27" s="306">
        <f>SUM(J28:J30)</f>
        <v>0</v>
      </c>
      <c r="K27" s="641">
        <f>SUM(K28:K30)</f>
        <v>0</v>
      </c>
      <c r="L27" s="642">
        <f>SUM(L28:L30)</f>
        <v>0</v>
      </c>
      <c r="M27" s="77" t="s">
        <v>44</v>
      </c>
      <c r="N27" s="78" t="s">
        <v>44</v>
      </c>
      <c r="O27" s="79" t="s">
        <v>44</v>
      </c>
      <c r="P27" s="76"/>
    </row>
    <row r="28" spans="1:16" ht="12" hidden="1" customHeight="1" x14ac:dyDescent="0.25">
      <c r="A28" s="43">
        <v>21351</v>
      </c>
      <c r="B28" s="81" t="s">
        <v>48</v>
      </c>
      <c r="C28" s="82">
        <f t="shared" si="2"/>
        <v>0</v>
      </c>
      <c r="D28" s="643" t="s">
        <v>44</v>
      </c>
      <c r="E28" s="644" t="s">
        <v>44</v>
      </c>
      <c r="F28" s="645" t="s">
        <v>44</v>
      </c>
      <c r="G28" s="643" t="s">
        <v>44</v>
      </c>
      <c r="H28" s="644" t="s">
        <v>44</v>
      </c>
      <c r="I28" s="645" t="s">
        <v>44</v>
      </c>
      <c r="J28" s="302"/>
      <c r="K28" s="628"/>
      <c r="L28" s="629">
        <f>K28+J28</f>
        <v>0</v>
      </c>
      <c r="M28" s="86" t="s">
        <v>44</v>
      </c>
      <c r="N28" s="87" t="s">
        <v>44</v>
      </c>
      <c r="O28" s="48" t="s">
        <v>44</v>
      </c>
      <c r="P28" s="49"/>
    </row>
    <row r="29" spans="1:16" ht="12" hidden="1" customHeight="1" x14ac:dyDescent="0.25">
      <c r="A29" s="50">
        <v>21352</v>
      </c>
      <c r="B29" s="88" t="s">
        <v>49</v>
      </c>
      <c r="C29" s="89">
        <f t="shared" si="2"/>
        <v>0</v>
      </c>
      <c r="D29" s="646" t="s">
        <v>44</v>
      </c>
      <c r="E29" s="647" t="s">
        <v>44</v>
      </c>
      <c r="F29" s="648" t="s">
        <v>44</v>
      </c>
      <c r="G29" s="646" t="s">
        <v>44</v>
      </c>
      <c r="H29" s="647" t="s">
        <v>44</v>
      </c>
      <c r="I29" s="648" t="s">
        <v>44</v>
      </c>
      <c r="J29" s="303"/>
      <c r="K29" s="542"/>
      <c r="L29" s="631">
        <f>K29+J29</f>
        <v>0</v>
      </c>
      <c r="M29" s="93" t="s">
        <v>44</v>
      </c>
      <c r="N29" s="94" t="s">
        <v>44</v>
      </c>
      <c r="O29" s="56" t="s">
        <v>44</v>
      </c>
      <c r="P29" s="57"/>
    </row>
    <row r="30" spans="1:16" ht="24" hidden="1" customHeight="1" x14ac:dyDescent="0.25">
      <c r="A30" s="50">
        <v>21359</v>
      </c>
      <c r="B30" s="88" t="s">
        <v>50</v>
      </c>
      <c r="C30" s="89">
        <f t="shared" si="2"/>
        <v>0</v>
      </c>
      <c r="D30" s="646" t="s">
        <v>44</v>
      </c>
      <c r="E30" s="647" t="s">
        <v>44</v>
      </c>
      <c r="F30" s="648" t="s">
        <v>44</v>
      </c>
      <c r="G30" s="646" t="s">
        <v>44</v>
      </c>
      <c r="H30" s="647" t="s">
        <v>44</v>
      </c>
      <c r="I30" s="648" t="s">
        <v>44</v>
      </c>
      <c r="J30" s="303"/>
      <c r="K30" s="542"/>
      <c r="L30" s="631">
        <f>K30+J30</f>
        <v>0</v>
      </c>
      <c r="M30" s="93" t="s">
        <v>44</v>
      </c>
      <c r="N30" s="94" t="s">
        <v>44</v>
      </c>
      <c r="O30" s="56" t="s">
        <v>44</v>
      </c>
      <c r="P30" s="57"/>
    </row>
    <row r="31" spans="1:16" s="28" customFormat="1" ht="36" hidden="1" customHeight="1" x14ac:dyDescent="0.25">
      <c r="A31" s="80">
        <v>21370</v>
      </c>
      <c r="B31" s="68" t="s">
        <v>51</v>
      </c>
      <c r="C31" s="69">
        <f t="shared" si="2"/>
        <v>0</v>
      </c>
      <c r="D31" s="305" t="s">
        <v>44</v>
      </c>
      <c r="E31" s="639" t="s">
        <v>44</v>
      </c>
      <c r="F31" s="640" t="s">
        <v>44</v>
      </c>
      <c r="G31" s="305" t="s">
        <v>44</v>
      </c>
      <c r="H31" s="639" t="s">
        <v>44</v>
      </c>
      <c r="I31" s="640" t="s">
        <v>44</v>
      </c>
      <c r="J31" s="306">
        <f>SUM(J32)</f>
        <v>0</v>
      </c>
      <c r="K31" s="641">
        <f>SUM(K32)</f>
        <v>0</v>
      </c>
      <c r="L31" s="642">
        <f>SUM(L32)</f>
        <v>0</v>
      </c>
      <c r="M31" s="77" t="s">
        <v>44</v>
      </c>
      <c r="N31" s="78" t="s">
        <v>44</v>
      </c>
      <c r="O31" s="79" t="s">
        <v>44</v>
      </c>
      <c r="P31" s="76"/>
    </row>
    <row r="32" spans="1:16" ht="36" hidden="1" customHeight="1" x14ac:dyDescent="0.25">
      <c r="A32" s="95">
        <v>21379</v>
      </c>
      <c r="B32" s="96" t="s">
        <v>52</v>
      </c>
      <c r="C32" s="97">
        <f t="shared" si="2"/>
        <v>0</v>
      </c>
      <c r="D32" s="649" t="s">
        <v>44</v>
      </c>
      <c r="E32" s="650" t="s">
        <v>44</v>
      </c>
      <c r="F32" s="651" t="s">
        <v>44</v>
      </c>
      <c r="G32" s="649" t="s">
        <v>44</v>
      </c>
      <c r="H32" s="650" t="s">
        <v>44</v>
      </c>
      <c r="I32" s="651" t="s">
        <v>44</v>
      </c>
      <c r="J32" s="307"/>
      <c r="K32" s="652"/>
      <c r="L32" s="653">
        <f>K32+J32</f>
        <v>0</v>
      </c>
      <c r="M32" s="104" t="s">
        <v>44</v>
      </c>
      <c r="N32" s="105" t="s">
        <v>44</v>
      </c>
      <c r="O32" s="103" t="s">
        <v>44</v>
      </c>
      <c r="P32" s="106"/>
    </row>
    <row r="33" spans="1:16" s="28" customFormat="1" ht="12" customHeight="1" x14ac:dyDescent="0.25">
      <c r="A33" s="80">
        <v>21380</v>
      </c>
      <c r="B33" s="68" t="s">
        <v>53</v>
      </c>
      <c r="C33" s="69">
        <f t="shared" si="2"/>
        <v>15609</v>
      </c>
      <c r="D33" s="305" t="s">
        <v>44</v>
      </c>
      <c r="E33" s="639" t="s">
        <v>44</v>
      </c>
      <c r="F33" s="640" t="s">
        <v>44</v>
      </c>
      <c r="G33" s="305" t="s">
        <v>44</v>
      </c>
      <c r="H33" s="639" t="s">
        <v>44</v>
      </c>
      <c r="I33" s="640" t="s">
        <v>44</v>
      </c>
      <c r="J33" s="306">
        <f>SUM(J34:J35)</f>
        <v>9609</v>
      </c>
      <c r="K33" s="641">
        <f>SUM(K34:K35)</f>
        <v>6000</v>
      </c>
      <c r="L33" s="642">
        <f>SUM(L34:L35)</f>
        <v>15609</v>
      </c>
      <c r="M33" s="77" t="s">
        <v>44</v>
      </c>
      <c r="N33" s="78" t="s">
        <v>44</v>
      </c>
      <c r="O33" s="79" t="s">
        <v>44</v>
      </c>
      <c r="P33" s="76"/>
    </row>
    <row r="34" spans="1:16" ht="12" customHeight="1" x14ac:dyDescent="0.25">
      <c r="A34" s="44">
        <v>21381</v>
      </c>
      <c r="B34" s="81" t="s">
        <v>54</v>
      </c>
      <c r="C34" s="82">
        <f t="shared" si="2"/>
        <v>15609</v>
      </c>
      <c r="D34" s="83" t="s">
        <v>44</v>
      </c>
      <c r="E34" s="84" t="s">
        <v>44</v>
      </c>
      <c r="F34" s="85" t="s">
        <v>44</v>
      </c>
      <c r="G34" s="83" t="s">
        <v>44</v>
      </c>
      <c r="H34" s="84" t="s">
        <v>44</v>
      </c>
      <c r="I34" s="85" t="s">
        <v>44</v>
      </c>
      <c r="J34" s="46">
        <v>9609</v>
      </c>
      <c r="K34" s="47">
        <v>6000</v>
      </c>
      <c r="L34" s="48">
        <f>K34+J34</f>
        <v>15609</v>
      </c>
      <c r="M34" s="86" t="s">
        <v>44</v>
      </c>
      <c r="N34" s="87" t="s">
        <v>44</v>
      </c>
      <c r="O34" s="48" t="s">
        <v>44</v>
      </c>
      <c r="P34" s="49" t="s">
        <v>1072</v>
      </c>
    </row>
    <row r="35" spans="1:16" ht="24" hidden="1" customHeight="1" x14ac:dyDescent="0.25">
      <c r="A35" s="209">
        <v>21383</v>
      </c>
      <c r="B35" s="226" t="s">
        <v>55</v>
      </c>
      <c r="C35" s="208">
        <f t="shared" si="2"/>
        <v>0</v>
      </c>
      <c r="D35" s="1152" t="s">
        <v>44</v>
      </c>
      <c r="E35" s="1153" t="s">
        <v>44</v>
      </c>
      <c r="F35" s="1154" t="s">
        <v>44</v>
      </c>
      <c r="G35" s="1152" t="s">
        <v>44</v>
      </c>
      <c r="H35" s="1153" t="s">
        <v>44</v>
      </c>
      <c r="I35" s="1154" t="s">
        <v>44</v>
      </c>
      <c r="J35" s="321"/>
      <c r="K35" s="697"/>
      <c r="L35" s="1155">
        <f>K35+J35</f>
        <v>0</v>
      </c>
      <c r="M35" s="1156" t="s">
        <v>44</v>
      </c>
      <c r="N35" s="1157" t="s">
        <v>44</v>
      </c>
      <c r="O35" s="1158" t="s">
        <v>44</v>
      </c>
      <c r="P35" s="215"/>
    </row>
    <row r="36" spans="1:16" s="28" customFormat="1" ht="25.5" customHeight="1" x14ac:dyDescent="0.25">
      <c r="A36" s="1151">
        <v>21390</v>
      </c>
      <c r="B36" s="216" t="s">
        <v>56</v>
      </c>
      <c r="C36" s="217">
        <f t="shared" si="2"/>
        <v>3830</v>
      </c>
      <c r="D36" s="1159" t="s">
        <v>44</v>
      </c>
      <c r="E36" s="1160" t="s">
        <v>44</v>
      </c>
      <c r="F36" s="1161" t="s">
        <v>44</v>
      </c>
      <c r="G36" s="1159" t="s">
        <v>44</v>
      </c>
      <c r="H36" s="1160" t="s">
        <v>44</v>
      </c>
      <c r="I36" s="1161" t="s">
        <v>44</v>
      </c>
      <c r="J36" s="1162">
        <f>SUM(J37:J40)</f>
        <v>3830</v>
      </c>
      <c r="K36" s="1163">
        <f>SUM(K37:K40)</f>
        <v>0</v>
      </c>
      <c r="L36" s="1164">
        <f>SUM(L37:L40)</f>
        <v>3830</v>
      </c>
      <c r="M36" s="1148" t="s">
        <v>44</v>
      </c>
      <c r="N36" s="1149" t="s">
        <v>44</v>
      </c>
      <c r="O36" s="1147" t="s">
        <v>44</v>
      </c>
      <c r="P36" s="221"/>
    </row>
    <row r="37" spans="1:16" ht="24" hidden="1" customHeight="1" x14ac:dyDescent="0.25">
      <c r="A37" s="44">
        <v>21391</v>
      </c>
      <c r="B37" s="81" t="s">
        <v>57</v>
      </c>
      <c r="C37" s="82">
        <f t="shared" si="2"/>
        <v>0</v>
      </c>
      <c r="D37" s="643" t="s">
        <v>44</v>
      </c>
      <c r="E37" s="644" t="s">
        <v>44</v>
      </c>
      <c r="F37" s="645" t="s">
        <v>44</v>
      </c>
      <c r="G37" s="643" t="s">
        <v>44</v>
      </c>
      <c r="H37" s="644" t="s">
        <v>44</v>
      </c>
      <c r="I37" s="645" t="s">
        <v>44</v>
      </c>
      <c r="J37" s="302"/>
      <c r="K37" s="628"/>
      <c r="L37" s="629">
        <f>K37+J37</f>
        <v>0</v>
      </c>
      <c r="M37" s="86" t="s">
        <v>44</v>
      </c>
      <c r="N37" s="87" t="s">
        <v>44</v>
      </c>
      <c r="O37" s="48" t="s">
        <v>44</v>
      </c>
      <c r="P37" s="49"/>
    </row>
    <row r="38" spans="1:16" ht="12" hidden="1" customHeight="1" x14ac:dyDescent="0.25">
      <c r="A38" s="51">
        <v>21393</v>
      </c>
      <c r="B38" s="88" t="s">
        <v>58</v>
      </c>
      <c r="C38" s="89">
        <f t="shared" si="2"/>
        <v>0</v>
      </c>
      <c r="D38" s="646" t="s">
        <v>44</v>
      </c>
      <c r="E38" s="647" t="s">
        <v>44</v>
      </c>
      <c r="F38" s="648" t="s">
        <v>44</v>
      </c>
      <c r="G38" s="646" t="s">
        <v>44</v>
      </c>
      <c r="H38" s="647" t="s">
        <v>44</v>
      </c>
      <c r="I38" s="648" t="s">
        <v>44</v>
      </c>
      <c r="J38" s="303"/>
      <c r="K38" s="542"/>
      <c r="L38" s="631">
        <f>K38+J38</f>
        <v>0</v>
      </c>
      <c r="M38" s="93" t="s">
        <v>44</v>
      </c>
      <c r="N38" s="94" t="s">
        <v>44</v>
      </c>
      <c r="O38" s="56" t="s">
        <v>44</v>
      </c>
      <c r="P38" s="57"/>
    </row>
    <row r="39" spans="1:16" ht="12" hidden="1" customHeight="1" x14ac:dyDescent="0.25">
      <c r="A39" s="51">
        <v>21395</v>
      </c>
      <c r="B39" s="88" t="s">
        <v>59</v>
      </c>
      <c r="C39" s="89">
        <f t="shared" si="2"/>
        <v>0</v>
      </c>
      <c r="D39" s="646" t="s">
        <v>44</v>
      </c>
      <c r="E39" s="647" t="s">
        <v>44</v>
      </c>
      <c r="F39" s="648" t="s">
        <v>44</v>
      </c>
      <c r="G39" s="646" t="s">
        <v>44</v>
      </c>
      <c r="H39" s="647" t="s">
        <v>44</v>
      </c>
      <c r="I39" s="648" t="s">
        <v>44</v>
      </c>
      <c r="J39" s="303"/>
      <c r="K39" s="542"/>
      <c r="L39" s="631">
        <f>K39+J39</f>
        <v>0</v>
      </c>
      <c r="M39" s="93" t="s">
        <v>44</v>
      </c>
      <c r="N39" s="94" t="s">
        <v>44</v>
      </c>
      <c r="O39" s="56" t="s">
        <v>44</v>
      </c>
      <c r="P39" s="57"/>
    </row>
    <row r="40" spans="1:16" ht="24" customHeight="1" x14ac:dyDescent="0.25">
      <c r="A40" s="107">
        <v>21399</v>
      </c>
      <c r="B40" s="108" t="s">
        <v>60</v>
      </c>
      <c r="C40" s="109">
        <f t="shared" si="2"/>
        <v>3830</v>
      </c>
      <c r="D40" s="310" t="s">
        <v>44</v>
      </c>
      <c r="E40" s="654" t="s">
        <v>44</v>
      </c>
      <c r="F40" s="655" t="s">
        <v>44</v>
      </c>
      <c r="G40" s="310" t="s">
        <v>44</v>
      </c>
      <c r="H40" s="654" t="s">
        <v>44</v>
      </c>
      <c r="I40" s="655" t="s">
        <v>44</v>
      </c>
      <c r="J40" s="308">
        <v>3830</v>
      </c>
      <c r="K40" s="656"/>
      <c r="L40" s="657">
        <f>K40+J40</f>
        <v>3830</v>
      </c>
      <c r="M40" s="116" t="s">
        <v>44</v>
      </c>
      <c r="N40" s="117" t="s">
        <v>44</v>
      </c>
      <c r="O40" s="115" t="s">
        <v>44</v>
      </c>
      <c r="P40" s="118"/>
    </row>
    <row r="41" spans="1:16" s="28" customFormat="1" ht="26.25" hidden="1" customHeight="1" x14ac:dyDescent="0.25">
      <c r="A41" s="119">
        <v>21420</v>
      </c>
      <c r="B41" s="120" t="s">
        <v>61</v>
      </c>
      <c r="C41" s="121">
        <f>F41</f>
        <v>0</v>
      </c>
      <c r="D41" s="658">
        <f>SUM(D42)</f>
        <v>0</v>
      </c>
      <c r="E41" s="659">
        <f>SUM(E42)</f>
        <v>0</v>
      </c>
      <c r="F41" s="660">
        <f>SUM(F42)</f>
        <v>0</v>
      </c>
      <c r="G41" s="309" t="s">
        <v>44</v>
      </c>
      <c r="H41" s="661" t="s">
        <v>44</v>
      </c>
      <c r="I41" s="662" t="s">
        <v>44</v>
      </c>
      <c r="J41" s="309" t="s">
        <v>44</v>
      </c>
      <c r="K41" s="661" t="s">
        <v>44</v>
      </c>
      <c r="L41" s="662" t="s">
        <v>44</v>
      </c>
      <c r="M41" s="125" t="s">
        <v>44</v>
      </c>
      <c r="N41" s="126" t="s">
        <v>44</v>
      </c>
      <c r="O41" s="127" t="s">
        <v>44</v>
      </c>
      <c r="P41" s="128"/>
    </row>
    <row r="42" spans="1:16" s="28" customFormat="1" ht="26.25" hidden="1" customHeight="1" x14ac:dyDescent="0.25">
      <c r="A42" s="107">
        <v>21429</v>
      </c>
      <c r="B42" s="108" t="s">
        <v>62</v>
      </c>
      <c r="C42" s="129">
        <f>F42</f>
        <v>0</v>
      </c>
      <c r="D42" s="308"/>
      <c r="E42" s="656"/>
      <c r="F42" s="663">
        <f>D42+E42</f>
        <v>0</v>
      </c>
      <c r="G42" s="310" t="s">
        <v>44</v>
      </c>
      <c r="H42" s="654" t="s">
        <v>44</v>
      </c>
      <c r="I42" s="655" t="s">
        <v>44</v>
      </c>
      <c r="J42" s="310" t="s">
        <v>44</v>
      </c>
      <c r="K42" s="654" t="s">
        <v>44</v>
      </c>
      <c r="L42" s="655" t="s">
        <v>44</v>
      </c>
      <c r="M42" s="110" t="s">
        <v>44</v>
      </c>
      <c r="N42" s="111" t="s">
        <v>44</v>
      </c>
      <c r="O42" s="112" t="s">
        <v>44</v>
      </c>
      <c r="P42" s="118"/>
    </row>
    <row r="43" spans="1:16" s="28" customFormat="1" ht="24" x14ac:dyDescent="0.25">
      <c r="A43" s="80">
        <v>21490</v>
      </c>
      <c r="B43" s="68" t="s">
        <v>63</v>
      </c>
      <c r="C43" s="131">
        <f>F43+I43+L43</f>
        <v>74</v>
      </c>
      <c r="D43" s="306">
        <f>D44</f>
        <v>0</v>
      </c>
      <c r="E43" s="641">
        <f>E44</f>
        <v>0</v>
      </c>
      <c r="F43" s="642">
        <f>F44</f>
        <v>0</v>
      </c>
      <c r="G43" s="306">
        <f t="shared" ref="G43:L43" si="3">G44</f>
        <v>0</v>
      </c>
      <c r="H43" s="641">
        <f t="shared" si="3"/>
        <v>0</v>
      </c>
      <c r="I43" s="642">
        <f t="shared" si="3"/>
        <v>0</v>
      </c>
      <c r="J43" s="306">
        <f t="shared" si="3"/>
        <v>20</v>
      </c>
      <c r="K43" s="641">
        <f t="shared" si="3"/>
        <v>54</v>
      </c>
      <c r="L43" s="642">
        <f t="shared" si="3"/>
        <v>74</v>
      </c>
      <c r="M43" s="77" t="s">
        <v>44</v>
      </c>
      <c r="N43" s="78" t="s">
        <v>44</v>
      </c>
      <c r="O43" s="79" t="s">
        <v>44</v>
      </c>
      <c r="P43" s="76"/>
    </row>
    <row r="44" spans="1:16" s="28" customFormat="1" ht="24" customHeight="1" x14ac:dyDescent="0.25">
      <c r="A44" s="51">
        <v>21499</v>
      </c>
      <c r="B44" s="88" t="s">
        <v>64</v>
      </c>
      <c r="C44" s="132">
        <f>F44+I44+L44</f>
        <v>74</v>
      </c>
      <c r="D44" s="46"/>
      <c r="E44" s="47"/>
      <c r="F44" s="133">
        <f>D44+E44</f>
        <v>0</v>
      </c>
      <c r="G44" s="46"/>
      <c r="H44" s="47"/>
      <c r="I44" s="133">
        <f>G44+H44</f>
        <v>0</v>
      </c>
      <c r="J44" s="46">
        <v>20</v>
      </c>
      <c r="K44" s="47">
        <v>54</v>
      </c>
      <c r="L44" s="48">
        <f>K44+J44</f>
        <v>74</v>
      </c>
      <c r="M44" s="86" t="s">
        <v>44</v>
      </c>
      <c r="N44" s="87" t="s">
        <v>44</v>
      </c>
      <c r="O44" s="48" t="s">
        <v>44</v>
      </c>
      <c r="P44" s="49" t="s">
        <v>1073</v>
      </c>
    </row>
    <row r="45" spans="1:16" ht="12.75" hidden="1" customHeight="1" x14ac:dyDescent="0.25">
      <c r="A45" s="134">
        <v>23000</v>
      </c>
      <c r="B45" s="135" t="s">
        <v>65</v>
      </c>
      <c r="C45" s="131">
        <f>O45</f>
        <v>0</v>
      </c>
      <c r="D45" s="310" t="s">
        <v>44</v>
      </c>
      <c r="E45" s="654" t="s">
        <v>44</v>
      </c>
      <c r="F45" s="655" t="s">
        <v>44</v>
      </c>
      <c r="G45" s="310" t="s">
        <v>44</v>
      </c>
      <c r="H45" s="654" t="s">
        <v>44</v>
      </c>
      <c r="I45" s="655" t="s">
        <v>44</v>
      </c>
      <c r="J45" s="311" t="s">
        <v>44</v>
      </c>
      <c r="K45" s="665" t="s">
        <v>44</v>
      </c>
      <c r="L45" s="657" t="s">
        <v>44</v>
      </c>
      <c r="M45" s="116">
        <f>SUM(M46:M47)</f>
        <v>0</v>
      </c>
      <c r="N45" s="117">
        <f>SUM(N46:N47)</f>
        <v>0</v>
      </c>
      <c r="O45" s="115">
        <f>SUM(O46:O47)</f>
        <v>0</v>
      </c>
      <c r="P45" s="118"/>
    </row>
    <row r="46" spans="1:16" ht="24" hidden="1" customHeight="1" x14ac:dyDescent="0.25">
      <c r="A46" s="136">
        <v>23410</v>
      </c>
      <c r="B46" s="137" t="s">
        <v>66</v>
      </c>
      <c r="C46" s="121">
        <f>O46</f>
        <v>0</v>
      </c>
      <c r="D46" s="309" t="s">
        <v>44</v>
      </c>
      <c r="E46" s="661" t="s">
        <v>44</v>
      </c>
      <c r="F46" s="662" t="s">
        <v>44</v>
      </c>
      <c r="G46" s="309" t="s">
        <v>44</v>
      </c>
      <c r="H46" s="661" t="s">
        <v>44</v>
      </c>
      <c r="I46" s="662" t="s">
        <v>44</v>
      </c>
      <c r="J46" s="309" t="s">
        <v>44</v>
      </c>
      <c r="K46" s="661" t="s">
        <v>44</v>
      </c>
      <c r="L46" s="662" t="s">
        <v>44</v>
      </c>
      <c r="M46" s="138"/>
      <c r="N46" s="139"/>
      <c r="O46" s="140">
        <f>N46+M46</f>
        <v>0</v>
      </c>
      <c r="P46" s="128"/>
    </row>
    <row r="47" spans="1:16" ht="24" hidden="1" customHeight="1" x14ac:dyDescent="0.25">
      <c r="A47" s="136">
        <v>23510</v>
      </c>
      <c r="B47" s="137" t="s">
        <v>67</v>
      </c>
      <c r="C47" s="121">
        <f>O47</f>
        <v>0</v>
      </c>
      <c r="D47" s="309" t="s">
        <v>44</v>
      </c>
      <c r="E47" s="661" t="s">
        <v>44</v>
      </c>
      <c r="F47" s="662" t="s">
        <v>44</v>
      </c>
      <c r="G47" s="309" t="s">
        <v>44</v>
      </c>
      <c r="H47" s="661" t="s">
        <v>44</v>
      </c>
      <c r="I47" s="662" t="s">
        <v>44</v>
      </c>
      <c r="J47" s="309" t="s">
        <v>44</v>
      </c>
      <c r="K47" s="661" t="s">
        <v>44</v>
      </c>
      <c r="L47" s="662" t="s">
        <v>44</v>
      </c>
      <c r="M47" s="138"/>
      <c r="N47" s="139"/>
      <c r="O47" s="140">
        <f>N47+M47</f>
        <v>0</v>
      </c>
      <c r="P47" s="128"/>
    </row>
    <row r="48" spans="1:16" ht="12" hidden="1" customHeight="1" x14ac:dyDescent="0.25">
      <c r="A48" s="141"/>
      <c r="B48" s="137"/>
      <c r="C48" s="142"/>
      <c r="D48" s="312"/>
      <c r="E48" s="666"/>
      <c r="F48" s="667"/>
      <c r="G48" s="312"/>
      <c r="H48" s="666"/>
      <c r="I48" s="667"/>
      <c r="J48" s="312"/>
      <c r="K48" s="666"/>
      <c r="L48" s="660"/>
      <c r="M48" s="143"/>
      <c r="N48" s="144"/>
      <c r="O48" s="140"/>
      <c r="P48" s="128"/>
    </row>
    <row r="49" spans="1:16" s="28" customFormat="1" ht="12" hidden="1" customHeight="1" x14ac:dyDescent="0.25">
      <c r="A49" s="145"/>
      <c r="B49" s="146" t="s">
        <v>68</v>
      </c>
      <c r="C49" s="147"/>
      <c r="D49" s="668"/>
      <c r="E49" s="669"/>
      <c r="F49" s="670"/>
      <c r="G49" s="302"/>
      <c r="H49" s="628"/>
      <c r="I49" s="664"/>
      <c r="J49" s="302"/>
      <c r="K49" s="628"/>
      <c r="L49" s="629"/>
      <c r="M49" s="151"/>
      <c r="N49" s="152"/>
      <c r="O49" s="153"/>
      <c r="P49" s="155"/>
    </row>
    <row r="50" spans="1:16" s="28" customFormat="1" ht="12.75" thickBot="1" x14ac:dyDescent="0.3">
      <c r="A50" s="156"/>
      <c r="B50" s="29" t="s">
        <v>69</v>
      </c>
      <c r="C50" s="157">
        <f t="shared" si="0"/>
        <v>620719</v>
      </c>
      <c r="D50" s="328">
        <f t="shared" ref="D50:O50" si="4">SUM(D51,D286)</f>
        <v>421082</v>
      </c>
      <c r="E50" s="671">
        <f t="shared" si="4"/>
        <v>-1500</v>
      </c>
      <c r="F50" s="672">
        <f t="shared" si="4"/>
        <v>419582</v>
      </c>
      <c r="G50" s="328">
        <f t="shared" si="4"/>
        <v>176168</v>
      </c>
      <c r="H50" s="671">
        <f t="shared" si="4"/>
        <v>0</v>
      </c>
      <c r="I50" s="672">
        <f t="shared" si="4"/>
        <v>176168</v>
      </c>
      <c r="J50" s="300">
        <f t="shared" si="4"/>
        <v>18915</v>
      </c>
      <c r="K50" s="624">
        <f t="shared" si="4"/>
        <v>6054</v>
      </c>
      <c r="L50" s="625">
        <f t="shared" si="4"/>
        <v>24969</v>
      </c>
      <c r="M50" s="32">
        <f t="shared" si="4"/>
        <v>0</v>
      </c>
      <c r="N50" s="33">
        <f t="shared" si="4"/>
        <v>0</v>
      </c>
      <c r="O50" s="34">
        <f t="shared" si="4"/>
        <v>0</v>
      </c>
      <c r="P50" s="35"/>
    </row>
    <row r="51" spans="1:16" s="28" customFormat="1" ht="40.5" customHeight="1" thickTop="1" x14ac:dyDescent="0.25">
      <c r="A51" s="161"/>
      <c r="B51" s="162" t="s">
        <v>70</v>
      </c>
      <c r="C51" s="163">
        <f t="shared" si="0"/>
        <v>620714</v>
      </c>
      <c r="D51" s="673">
        <f t="shared" ref="D51:O51" si="5">SUM(D52,D194)</f>
        <v>421082</v>
      </c>
      <c r="E51" s="674">
        <f t="shared" si="5"/>
        <v>-1500</v>
      </c>
      <c r="F51" s="675">
        <f t="shared" si="5"/>
        <v>419582</v>
      </c>
      <c r="G51" s="673">
        <f t="shared" si="5"/>
        <v>176163</v>
      </c>
      <c r="H51" s="674">
        <f t="shared" si="5"/>
        <v>0</v>
      </c>
      <c r="I51" s="675">
        <f t="shared" si="5"/>
        <v>176163</v>
      </c>
      <c r="J51" s="313">
        <f t="shared" si="5"/>
        <v>18915</v>
      </c>
      <c r="K51" s="676">
        <f t="shared" si="5"/>
        <v>6054</v>
      </c>
      <c r="L51" s="677">
        <f t="shared" si="5"/>
        <v>24969</v>
      </c>
      <c r="M51" s="167">
        <f t="shared" si="5"/>
        <v>0</v>
      </c>
      <c r="N51" s="168">
        <f t="shared" si="5"/>
        <v>0</v>
      </c>
      <c r="O51" s="169">
        <f t="shared" si="5"/>
        <v>0</v>
      </c>
      <c r="P51" s="170"/>
    </row>
    <row r="52" spans="1:16" s="28" customFormat="1" ht="26.25" customHeight="1" x14ac:dyDescent="0.25">
      <c r="A52" s="24"/>
      <c r="B52" s="22" t="s">
        <v>71</v>
      </c>
      <c r="C52" s="171">
        <f t="shared" si="0"/>
        <v>616829</v>
      </c>
      <c r="D52" s="314">
        <f t="shared" ref="D52:O52" si="6">SUM(D53,D75,D173,D187)</f>
        <v>420082</v>
      </c>
      <c r="E52" s="678">
        <f t="shared" si="6"/>
        <v>-1500</v>
      </c>
      <c r="F52" s="670">
        <f t="shared" si="6"/>
        <v>418582</v>
      </c>
      <c r="G52" s="314">
        <f t="shared" si="6"/>
        <v>173973</v>
      </c>
      <c r="H52" s="678">
        <f t="shared" si="6"/>
        <v>0</v>
      </c>
      <c r="I52" s="670">
        <f t="shared" si="6"/>
        <v>173973</v>
      </c>
      <c r="J52" s="314">
        <f t="shared" si="6"/>
        <v>18220</v>
      </c>
      <c r="K52" s="678">
        <f t="shared" si="6"/>
        <v>6054</v>
      </c>
      <c r="L52" s="670">
        <f t="shared" si="6"/>
        <v>24274</v>
      </c>
      <c r="M52" s="172">
        <f t="shared" si="6"/>
        <v>0</v>
      </c>
      <c r="N52" s="173">
        <f t="shared" si="6"/>
        <v>0</v>
      </c>
      <c r="O52" s="174">
        <f t="shared" si="6"/>
        <v>0</v>
      </c>
      <c r="P52" s="175"/>
    </row>
    <row r="53" spans="1:16" s="28" customFormat="1" ht="12" x14ac:dyDescent="0.25">
      <c r="A53" s="176">
        <v>1000</v>
      </c>
      <c r="B53" s="176" t="s">
        <v>72</v>
      </c>
      <c r="C53" s="177">
        <f t="shared" si="0"/>
        <v>495905</v>
      </c>
      <c r="D53" s="842">
        <f t="shared" ref="D53:O53" si="7">SUM(D54,D67)</f>
        <v>323901</v>
      </c>
      <c r="E53" s="843">
        <f t="shared" si="7"/>
        <v>0</v>
      </c>
      <c r="F53" s="844">
        <f t="shared" si="7"/>
        <v>323901</v>
      </c>
      <c r="G53" s="842">
        <f t="shared" si="7"/>
        <v>172004</v>
      </c>
      <c r="H53" s="843">
        <f t="shared" si="7"/>
        <v>0</v>
      </c>
      <c r="I53" s="844">
        <f t="shared" si="7"/>
        <v>172004</v>
      </c>
      <c r="J53" s="842">
        <f t="shared" si="7"/>
        <v>0</v>
      </c>
      <c r="K53" s="843">
        <f t="shared" si="7"/>
        <v>0</v>
      </c>
      <c r="L53" s="844">
        <f t="shared" si="7"/>
        <v>0</v>
      </c>
      <c r="M53" s="842">
        <f t="shared" si="7"/>
        <v>0</v>
      </c>
      <c r="N53" s="179">
        <f t="shared" si="7"/>
        <v>0</v>
      </c>
      <c r="O53" s="180">
        <f t="shared" si="7"/>
        <v>0</v>
      </c>
      <c r="P53" s="181"/>
    </row>
    <row r="54" spans="1:16" x14ac:dyDescent="0.25">
      <c r="A54" s="68">
        <v>1100</v>
      </c>
      <c r="B54" s="182" t="s">
        <v>73</v>
      </c>
      <c r="C54" s="69">
        <f t="shared" si="0"/>
        <v>371210</v>
      </c>
      <c r="D54" s="316">
        <f t="shared" ref="D54:O54" si="8">SUM(D55,D58,D66)</f>
        <v>233258</v>
      </c>
      <c r="E54" s="685">
        <f t="shared" si="8"/>
        <v>0</v>
      </c>
      <c r="F54" s="638">
        <f t="shared" si="8"/>
        <v>233258</v>
      </c>
      <c r="G54" s="316">
        <f t="shared" si="8"/>
        <v>137952</v>
      </c>
      <c r="H54" s="685">
        <f t="shared" si="8"/>
        <v>0</v>
      </c>
      <c r="I54" s="638">
        <f t="shared" si="8"/>
        <v>137952</v>
      </c>
      <c r="J54" s="316">
        <f t="shared" si="8"/>
        <v>0</v>
      </c>
      <c r="K54" s="685">
        <f t="shared" si="8"/>
        <v>0</v>
      </c>
      <c r="L54" s="638">
        <f t="shared" si="8"/>
        <v>0</v>
      </c>
      <c r="M54" s="183">
        <f t="shared" si="8"/>
        <v>0</v>
      </c>
      <c r="N54" s="184">
        <f t="shared" si="8"/>
        <v>0</v>
      </c>
      <c r="O54" s="72">
        <f t="shared" si="8"/>
        <v>0</v>
      </c>
      <c r="P54" s="76"/>
    </row>
    <row r="55" spans="1:16" x14ac:dyDescent="0.25">
      <c r="A55" s="185">
        <v>1110</v>
      </c>
      <c r="B55" s="137" t="s">
        <v>74</v>
      </c>
      <c r="C55" s="142">
        <f t="shared" si="0"/>
        <v>339162</v>
      </c>
      <c r="D55" s="317">
        <f t="shared" ref="D55:O55" si="9">SUM(D56:D57)</f>
        <v>201276</v>
      </c>
      <c r="E55" s="686">
        <f t="shared" si="9"/>
        <v>-66</v>
      </c>
      <c r="F55" s="667">
        <f t="shared" si="9"/>
        <v>201210</v>
      </c>
      <c r="G55" s="317">
        <f t="shared" si="9"/>
        <v>137952</v>
      </c>
      <c r="H55" s="686">
        <f t="shared" si="9"/>
        <v>0</v>
      </c>
      <c r="I55" s="667">
        <f t="shared" si="9"/>
        <v>137952</v>
      </c>
      <c r="J55" s="317">
        <f t="shared" si="9"/>
        <v>0</v>
      </c>
      <c r="K55" s="686">
        <f t="shared" si="9"/>
        <v>0</v>
      </c>
      <c r="L55" s="667">
        <f t="shared" si="9"/>
        <v>0</v>
      </c>
      <c r="M55" s="186">
        <f t="shared" si="9"/>
        <v>0</v>
      </c>
      <c r="N55" s="187">
        <f t="shared" si="9"/>
        <v>0</v>
      </c>
      <c r="O55" s="140">
        <f t="shared" si="9"/>
        <v>0</v>
      </c>
      <c r="P55" s="128"/>
    </row>
    <row r="56" spans="1:16" ht="12" hidden="1" customHeight="1" x14ac:dyDescent="0.25">
      <c r="A56" s="44">
        <v>1111</v>
      </c>
      <c r="B56" s="81" t="s">
        <v>75</v>
      </c>
      <c r="C56" s="82">
        <f t="shared" si="0"/>
        <v>0</v>
      </c>
      <c r="D56" s="302"/>
      <c r="E56" s="628"/>
      <c r="F56" s="664">
        <f>D56+E56</f>
        <v>0</v>
      </c>
      <c r="G56" s="302"/>
      <c r="H56" s="628"/>
      <c r="I56" s="664">
        <f>G56+H56</f>
        <v>0</v>
      </c>
      <c r="J56" s="302"/>
      <c r="K56" s="628"/>
      <c r="L56" s="664">
        <f>K56+J56</f>
        <v>0</v>
      </c>
      <c r="M56" s="46"/>
      <c r="N56" s="47"/>
      <c r="O56" s="133">
        <f>N56+M56</f>
        <v>0</v>
      </c>
      <c r="P56" s="49"/>
    </row>
    <row r="57" spans="1:16" ht="24.75" customHeight="1" x14ac:dyDescent="0.25">
      <c r="A57" s="51">
        <v>1119</v>
      </c>
      <c r="B57" s="88" t="s">
        <v>76</v>
      </c>
      <c r="C57" s="89">
        <f t="shared" si="0"/>
        <v>339162</v>
      </c>
      <c r="D57" s="53">
        <v>201276</v>
      </c>
      <c r="E57" s="54">
        <v>-66</v>
      </c>
      <c r="F57" s="55">
        <f>D57+E57</f>
        <v>201210</v>
      </c>
      <c r="G57" s="53">
        <v>137952</v>
      </c>
      <c r="H57" s="54"/>
      <c r="I57" s="55">
        <f>G57+H57</f>
        <v>137952</v>
      </c>
      <c r="J57" s="53"/>
      <c r="K57" s="54"/>
      <c r="L57" s="55">
        <f>K57+J57</f>
        <v>0</v>
      </c>
      <c r="M57" s="53"/>
      <c r="N57" s="54"/>
      <c r="O57" s="55">
        <f>N57+M57</f>
        <v>0</v>
      </c>
      <c r="P57" s="57" t="s">
        <v>1074</v>
      </c>
    </row>
    <row r="58" spans="1:16" x14ac:dyDescent="0.25">
      <c r="A58" s="188">
        <v>1140</v>
      </c>
      <c r="B58" s="88" t="s">
        <v>77</v>
      </c>
      <c r="C58" s="89">
        <f t="shared" si="0"/>
        <v>28331</v>
      </c>
      <c r="D58" s="189">
        <f t="shared" ref="D58:O58" si="10">SUM(D59:D65)</f>
        <v>28265</v>
      </c>
      <c r="E58" s="190">
        <f t="shared" si="10"/>
        <v>66</v>
      </c>
      <c r="F58" s="55">
        <f t="shared" si="10"/>
        <v>28331</v>
      </c>
      <c r="G58" s="189">
        <f t="shared" si="10"/>
        <v>0</v>
      </c>
      <c r="H58" s="190">
        <f t="shared" si="10"/>
        <v>0</v>
      </c>
      <c r="I58" s="55">
        <f t="shared" si="10"/>
        <v>0</v>
      </c>
      <c r="J58" s="189">
        <f t="shared" si="10"/>
        <v>0</v>
      </c>
      <c r="K58" s="190">
        <f t="shared" si="10"/>
        <v>0</v>
      </c>
      <c r="L58" s="55">
        <f t="shared" si="10"/>
        <v>0</v>
      </c>
      <c r="M58" s="189">
        <f t="shared" si="10"/>
        <v>0</v>
      </c>
      <c r="N58" s="190">
        <f t="shared" si="10"/>
        <v>0</v>
      </c>
      <c r="O58" s="55">
        <f t="shared" si="10"/>
        <v>0</v>
      </c>
      <c r="P58" s="57"/>
    </row>
    <row r="59" spans="1:16" ht="12" customHeight="1" x14ac:dyDescent="0.25">
      <c r="A59" s="51">
        <v>1141</v>
      </c>
      <c r="B59" s="88" t="s">
        <v>78</v>
      </c>
      <c r="C59" s="89">
        <f t="shared" si="0"/>
        <v>4172</v>
      </c>
      <c r="D59" s="53">
        <v>4172</v>
      </c>
      <c r="E59" s="54"/>
      <c r="F59" s="55">
        <f t="shared" ref="F59:F66" si="11">D59+E59</f>
        <v>4172</v>
      </c>
      <c r="G59" s="53"/>
      <c r="H59" s="54"/>
      <c r="I59" s="55">
        <f t="shared" ref="I59:I66" si="12">G59+H59</f>
        <v>0</v>
      </c>
      <c r="J59" s="53"/>
      <c r="K59" s="54"/>
      <c r="L59" s="55">
        <f t="shared" ref="L59:L66" si="13">K59+J59</f>
        <v>0</v>
      </c>
      <c r="M59" s="53"/>
      <c r="N59" s="54"/>
      <c r="O59" s="55">
        <f t="shared" ref="O59:O66" si="14">N59+M59</f>
        <v>0</v>
      </c>
      <c r="P59" s="57"/>
    </row>
    <row r="60" spans="1:16" ht="24" customHeight="1" x14ac:dyDescent="0.25">
      <c r="A60" s="51">
        <v>1142</v>
      </c>
      <c r="B60" s="88" t="s">
        <v>79</v>
      </c>
      <c r="C60" s="89">
        <f t="shared" si="0"/>
        <v>1095</v>
      </c>
      <c r="D60" s="53">
        <v>1029</v>
      </c>
      <c r="E60" s="54">
        <v>66</v>
      </c>
      <c r="F60" s="55">
        <f t="shared" si="11"/>
        <v>1095</v>
      </c>
      <c r="G60" s="53"/>
      <c r="H60" s="54"/>
      <c r="I60" s="55">
        <f t="shared" si="12"/>
        <v>0</v>
      </c>
      <c r="J60" s="53"/>
      <c r="K60" s="54"/>
      <c r="L60" s="55">
        <f t="shared" si="13"/>
        <v>0</v>
      </c>
      <c r="M60" s="53"/>
      <c r="N60" s="54"/>
      <c r="O60" s="55">
        <f t="shared" si="14"/>
        <v>0</v>
      </c>
      <c r="P60" s="57" t="s">
        <v>1075</v>
      </c>
    </row>
    <row r="61" spans="1:16" ht="24" hidden="1" customHeight="1" x14ac:dyDescent="0.25">
      <c r="A61" s="51">
        <v>1145</v>
      </c>
      <c r="B61" s="88" t="s">
        <v>80</v>
      </c>
      <c r="C61" s="89">
        <f t="shared" si="0"/>
        <v>0</v>
      </c>
      <c r="D61" s="303"/>
      <c r="E61" s="542"/>
      <c r="F61" s="543">
        <f t="shared" si="11"/>
        <v>0</v>
      </c>
      <c r="G61" s="303"/>
      <c r="H61" s="542"/>
      <c r="I61" s="543">
        <f t="shared" si="12"/>
        <v>0</v>
      </c>
      <c r="J61" s="303"/>
      <c r="K61" s="542"/>
      <c r="L61" s="543">
        <f t="shared" si="13"/>
        <v>0</v>
      </c>
      <c r="M61" s="53"/>
      <c r="N61" s="54"/>
      <c r="O61" s="55">
        <f t="shared" si="14"/>
        <v>0</v>
      </c>
      <c r="P61" s="57"/>
    </row>
    <row r="62" spans="1:16" ht="27.75" hidden="1" customHeight="1" x14ac:dyDescent="0.25">
      <c r="A62" s="51">
        <v>1146</v>
      </c>
      <c r="B62" s="88" t="s">
        <v>81</v>
      </c>
      <c r="C62" s="89">
        <f t="shared" si="0"/>
        <v>0</v>
      </c>
      <c r="D62" s="303"/>
      <c r="E62" s="542"/>
      <c r="F62" s="543">
        <f t="shared" si="11"/>
        <v>0</v>
      </c>
      <c r="G62" s="303"/>
      <c r="H62" s="542"/>
      <c r="I62" s="543">
        <f t="shared" si="12"/>
        <v>0</v>
      </c>
      <c r="J62" s="303"/>
      <c r="K62" s="542"/>
      <c r="L62" s="543">
        <f t="shared" si="13"/>
        <v>0</v>
      </c>
      <c r="M62" s="53"/>
      <c r="N62" s="54"/>
      <c r="O62" s="55">
        <f t="shared" si="14"/>
        <v>0</v>
      </c>
      <c r="P62" s="57"/>
    </row>
    <row r="63" spans="1:16" ht="12" customHeight="1" x14ac:dyDescent="0.25">
      <c r="A63" s="51">
        <v>1147</v>
      </c>
      <c r="B63" s="88" t="s">
        <v>82</v>
      </c>
      <c r="C63" s="89">
        <f t="shared" si="0"/>
        <v>3128</v>
      </c>
      <c r="D63" s="303">
        <v>3128</v>
      </c>
      <c r="E63" s="542"/>
      <c r="F63" s="543">
        <f t="shared" si="11"/>
        <v>3128</v>
      </c>
      <c r="G63" s="303"/>
      <c r="H63" s="542"/>
      <c r="I63" s="543">
        <f t="shared" si="12"/>
        <v>0</v>
      </c>
      <c r="J63" s="303"/>
      <c r="K63" s="542"/>
      <c r="L63" s="543">
        <f t="shared" si="13"/>
        <v>0</v>
      </c>
      <c r="M63" s="53"/>
      <c r="N63" s="54"/>
      <c r="O63" s="55">
        <f t="shared" si="14"/>
        <v>0</v>
      </c>
      <c r="P63" s="57"/>
    </row>
    <row r="64" spans="1:16" ht="12" customHeight="1" x14ac:dyDescent="0.25">
      <c r="A64" s="51">
        <v>1148</v>
      </c>
      <c r="B64" s="88" t="s">
        <v>83</v>
      </c>
      <c r="C64" s="89">
        <f t="shared" si="0"/>
        <v>19936</v>
      </c>
      <c r="D64" s="303">
        <v>19936</v>
      </c>
      <c r="E64" s="542"/>
      <c r="F64" s="543">
        <f t="shared" si="11"/>
        <v>19936</v>
      </c>
      <c r="G64" s="303"/>
      <c r="H64" s="542"/>
      <c r="I64" s="543">
        <f t="shared" si="12"/>
        <v>0</v>
      </c>
      <c r="J64" s="303"/>
      <c r="K64" s="542"/>
      <c r="L64" s="543">
        <f t="shared" si="13"/>
        <v>0</v>
      </c>
      <c r="M64" s="53"/>
      <c r="N64" s="54"/>
      <c r="O64" s="55">
        <f t="shared" si="14"/>
        <v>0</v>
      </c>
      <c r="P64" s="57"/>
    </row>
    <row r="65" spans="1:16" ht="24" hidden="1" customHeight="1" x14ac:dyDescent="0.25">
      <c r="A65" s="51">
        <v>1149</v>
      </c>
      <c r="B65" s="88" t="s">
        <v>84</v>
      </c>
      <c r="C65" s="89">
        <f t="shared" si="0"/>
        <v>0</v>
      </c>
      <c r="D65" s="303"/>
      <c r="E65" s="542"/>
      <c r="F65" s="543">
        <f t="shared" si="11"/>
        <v>0</v>
      </c>
      <c r="G65" s="303"/>
      <c r="H65" s="542"/>
      <c r="I65" s="543">
        <f t="shared" si="12"/>
        <v>0</v>
      </c>
      <c r="J65" s="303"/>
      <c r="K65" s="542"/>
      <c r="L65" s="543">
        <f t="shared" si="13"/>
        <v>0</v>
      </c>
      <c r="M65" s="53"/>
      <c r="N65" s="54"/>
      <c r="O65" s="55">
        <f t="shared" si="14"/>
        <v>0</v>
      </c>
      <c r="P65" s="57"/>
    </row>
    <row r="66" spans="1:16" ht="38.25" customHeight="1" x14ac:dyDescent="0.25">
      <c r="A66" s="185">
        <v>1150</v>
      </c>
      <c r="B66" s="137" t="s">
        <v>85</v>
      </c>
      <c r="C66" s="142">
        <f t="shared" si="0"/>
        <v>3717</v>
      </c>
      <c r="D66" s="312">
        <v>3717</v>
      </c>
      <c r="E66" s="666"/>
      <c r="F66" s="667">
        <f t="shared" si="11"/>
        <v>3717</v>
      </c>
      <c r="G66" s="312"/>
      <c r="H66" s="666"/>
      <c r="I66" s="667">
        <f t="shared" si="12"/>
        <v>0</v>
      </c>
      <c r="J66" s="312"/>
      <c r="K66" s="666"/>
      <c r="L66" s="667">
        <f t="shared" si="13"/>
        <v>0</v>
      </c>
      <c r="M66" s="143"/>
      <c r="N66" s="144"/>
      <c r="O66" s="140">
        <f t="shared" si="14"/>
        <v>0</v>
      </c>
      <c r="P66" s="128"/>
    </row>
    <row r="67" spans="1:16" ht="28.5" customHeight="1" x14ac:dyDescent="0.25">
      <c r="A67" s="68">
        <v>1200</v>
      </c>
      <c r="B67" s="182" t="s">
        <v>86</v>
      </c>
      <c r="C67" s="69">
        <f t="shared" si="0"/>
        <v>124695</v>
      </c>
      <c r="D67" s="316">
        <f t="shared" ref="D67:O67" si="15">SUM(D68:D69)</f>
        <v>90643</v>
      </c>
      <c r="E67" s="685">
        <f t="shared" si="15"/>
        <v>0</v>
      </c>
      <c r="F67" s="638">
        <f t="shared" si="15"/>
        <v>90643</v>
      </c>
      <c r="G67" s="316">
        <f t="shared" si="15"/>
        <v>34052</v>
      </c>
      <c r="H67" s="685">
        <f t="shared" si="15"/>
        <v>0</v>
      </c>
      <c r="I67" s="638">
        <f t="shared" si="15"/>
        <v>34052</v>
      </c>
      <c r="J67" s="316">
        <f t="shared" si="15"/>
        <v>0</v>
      </c>
      <c r="K67" s="685">
        <f t="shared" si="15"/>
        <v>0</v>
      </c>
      <c r="L67" s="638">
        <f t="shared" si="15"/>
        <v>0</v>
      </c>
      <c r="M67" s="183">
        <f t="shared" si="15"/>
        <v>0</v>
      </c>
      <c r="N67" s="184">
        <f t="shared" si="15"/>
        <v>0</v>
      </c>
      <c r="O67" s="72">
        <f t="shared" si="15"/>
        <v>0</v>
      </c>
      <c r="P67" s="76"/>
    </row>
    <row r="68" spans="1:16" ht="27.75" customHeight="1" x14ac:dyDescent="0.25">
      <c r="A68" s="293">
        <v>1210</v>
      </c>
      <c r="B68" s="81" t="s">
        <v>87</v>
      </c>
      <c r="C68" s="82">
        <f t="shared" si="0"/>
        <v>94103</v>
      </c>
      <c r="D68" s="302">
        <v>60711</v>
      </c>
      <c r="E68" s="628"/>
      <c r="F68" s="664">
        <f>D68+E68</f>
        <v>60711</v>
      </c>
      <c r="G68" s="302">
        <v>33392</v>
      </c>
      <c r="H68" s="628"/>
      <c r="I68" s="664">
        <f>G68+H68</f>
        <v>33392</v>
      </c>
      <c r="J68" s="302"/>
      <c r="K68" s="628"/>
      <c r="L68" s="664">
        <f>K68+J68</f>
        <v>0</v>
      </c>
      <c r="M68" s="46"/>
      <c r="N68" s="47"/>
      <c r="O68" s="133">
        <f>N68+M68</f>
        <v>0</v>
      </c>
      <c r="P68" s="49"/>
    </row>
    <row r="69" spans="1:16" ht="27.75" customHeight="1" x14ac:dyDescent="0.25">
      <c r="A69" s="188">
        <v>1220</v>
      </c>
      <c r="B69" s="88" t="s">
        <v>88</v>
      </c>
      <c r="C69" s="89">
        <f t="shared" si="0"/>
        <v>30592</v>
      </c>
      <c r="D69" s="318">
        <f t="shared" ref="D69:O69" si="16">SUM(D70:D74)</f>
        <v>29932</v>
      </c>
      <c r="E69" s="687">
        <f t="shared" si="16"/>
        <v>0</v>
      </c>
      <c r="F69" s="543">
        <f t="shared" si="16"/>
        <v>29932</v>
      </c>
      <c r="G69" s="318">
        <f t="shared" si="16"/>
        <v>660</v>
      </c>
      <c r="H69" s="687">
        <f t="shared" si="16"/>
        <v>0</v>
      </c>
      <c r="I69" s="543">
        <f t="shared" si="16"/>
        <v>660</v>
      </c>
      <c r="J69" s="318">
        <f t="shared" si="16"/>
        <v>0</v>
      </c>
      <c r="K69" s="687">
        <f t="shared" si="16"/>
        <v>0</v>
      </c>
      <c r="L69" s="543">
        <f t="shared" si="16"/>
        <v>0</v>
      </c>
      <c r="M69" s="189">
        <f t="shared" si="16"/>
        <v>0</v>
      </c>
      <c r="N69" s="190">
        <f t="shared" si="16"/>
        <v>0</v>
      </c>
      <c r="O69" s="55">
        <f t="shared" si="16"/>
        <v>0</v>
      </c>
      <c r="P69" s="57"/>
    </row>
    <row r="70" spans="1:16" ht="54" customHeight="1" x14ac:dyDescent="0.25">
      <c r="A70" s="51">
        <v>1221</v>
      </c>
      <c r="B70" s="88" t="s">
        <v>89</v>
      </c>
      <c r="C70" s="89">
        <f t="shared" si="0"/>
        <v>19420</v>
      </c>
      <c r="D70" s="303">
        <v>18760</v>
      </c>
      <c r="E70" s="542"/>
      <c r="F70" s="543">
        <f>D70+E70</f>
        <v>18760</v>
      </c>
      <c r="G70" s="303">
        <v>660</v>
      </c>
      <c r="H70" s="542"/>
      <c r="I70" s="543">
        <f>G70+H70</f>
        <v>660</v>
      </c>
      <c r="J70" s="303"/>
      <c r="K70" s="542"/>
      <c r="L70" s="543">
        <f>K70+J70</f>
        <v>0</v>
      </c>
      <c r="M70" s="53"/>
      <c r="N70" s="54"/>
      <c r="O70" s="55">
        <f>N70+M70</f>
        <v>0</v>
      </c>
      <c r="P70" s="57"/>
    </row>
    <row r="71" spans="1:16" ht="12" hidden="1" customHeight="1" x14ac:dyDescent="0.25">
      <c r="A71" s="51">
        <v>1223</v>
      </c>
      <c r="B71" s="88" t="s">
        <v>90</v>
      </c>
      <c r="C71" s="89">
        <f t="shared" si="0"/>
        <v>0</v>
      </c>
      <c r="D71" s="303"/>
      <c r="E71" s="542"/>
      <c r="F71" s="543">
        <f>D71+E71</f>
        <v>0</v>
      </c>
      <c r="G71" s="303"/>
      <c r="H71" s="542"/>
      <c r="I71" s="543">
        <f>G71+H71</f>
        <v>0</v>
      </c>
      <c r="J71" s="303"/>
      <c r="K71" s="542"/>
      <c r="L71" s="543">
        <f>K71+J71</f>
        <v>0</v>
      </c>
      <c r="M71" s="53"/>
      <c r="N71" s="54"/>
      <c r="O71" s="55">
        <f>N71+M71</f>
        <v>0</v>
      </c>
      <c r="P71" s="57"/>
    </row>
    <row r="72" spans="1:16" ht="24" hidden="1" customHeight="1" x14ac:dyDescent="0.25">
      <c r="A72" s="51">
        <v>1225</v>
      </c>
      <c r="B72" s="88" t="s">
        <v>91</v>
      </c>
      <c r="C72" s="89">
        <f t="shared" si="0"/>
        <v>0</v>
      </c>
      <c r="D72" s="303"/>
      <c r="E72" s="542"/>
      <c r="F72" s="543">
        <f>D72+E72</f>
        <v>0</v>
      </c>
      <c r="G72" s="303"/>
      <c r="H72" s="542"/>
      <c r="I72" s="543">
        <f>G72+H72</f>
        <v>0</v>
      </c>
      <c r="J72" s="303"/>
      <c r="K72" s="542"/>
      <c r="L72" s="543">
        <f>K72+J72</f>
        <v>0</v>
      </c>
      <c r="M72" s="53"/>
      <c r="N72" s="54"/>
      <c r="O72" s="55">
        <f>N72+M72</f>
        <v>0</v>
      </c>
      <c r="P72" s="57"/>
    </row>
    <row r="73" spans="1:16" ht="39" customHeight="1" x14ac:dyDescent="0.25">
      <c r="A73" s="51">
        <v>1227</v>
      </c>
      <c r="B73" s="88" t="s">
        <v>92</v>
      </c>
      <c r="C73" s="89">
        <f t="shared" si="0"/>
        <v>10672</v>
      </c>
      <c r="D73" s="303">
        <v>10672</v>
      </c>
      <c r="E73" s="542"/>
      <c r="F73" s="543">
        <f>D73+E73</f>
        <v>10672</v>
      </c>
      <c r="G73" s="303"/>
      <c r="H73" s="542"/>
      <c r="I73" s="543">
        <f>G73+H73</f>
        <v>0</v>
      </c>
      <c r="J73" s="303"/>
      <c r="K73" s="542"/>
      <c r="L73" s="543">
        <f>K73+J73</f>
        <v>0</v>
      </c>
      <c r="M73" s="53"/>
      <c r="N73" s="54"/>
      <c r="O73" s="55">
        <f>N73+M73</f>
        <v>0</v>
      </c>
      <c r="P73" s="57"/>
    </row>
    <row r="74" spans="1:16" ht="52.5" customHeight="1" x14ac:dyDescent="0.25">
      <c r="A74" s="51">
        <v>1228</v>
      </c>
      <c r="B74" s="88" t="s">
        <v>93</v>
      </c>
      <c r="C74" s="89">
        <f t="shared" si="0"/>
        <v>500</v>
      </c>
      <c r="D74" s="303">
        <v>500</v>
      </c>
      <c r="E74" s="542"/>
      <c r="F74" s="543">
        <f>D74+E74</f>
        <v>500</v>
      </c>
      <c r="G74" s="303"/>
      <c r="H74" s="542"/>
      <c r="I74" s="543">
        <f>G74+H74</f>
        <v>0</v>
      </c>
      <c r="J74" s="303"/>
      <c r="K74" s="542"/>
      <c r="L74" s="543">
        <f>K74+J74</f>
        <v>0</v>
      </c>
      <c r="M74" s="53"/>
      <c r="N74" s="54"/>
      <c r="O74" s="55">
        <f>N74+M74</f>
        <v>0</v>
      </c>
      <c r="P74" s="57"/>
    </row>
    <row r="75" spans="1:16" x14ac:dyDescent="0.25">
      <c r="A75" s="176">
        <v>2000</v>
      </c>
      <c r="B75" s="176" t="s">
        <v>94</v>
      </c>
      <c r="C75" s="177">
        <f t="shared" si="0"/>
        <v>120924</v>
      </c>
      <c r="D75" s="842">
        <f t="shared" ref="D75:O75" si="17">SUM(D76,D83,D130,D164,D165,D172)</f>
        <v>96181</v>
      </c>
      <c r="E75" s="843">
        <f t="shared" si="17"/>
        <v>-1500</v>
      </c>
      <c r="F75" s="844">
        <f t="shared" si="17"/>
        <v>94681</v>
      </c>
      <c r="G75" s="842">
        <f t="shared" si="17"/>
        <v>1969</v>
      </c>
      <c r="H75" s="843">
        <f t="shared" si="17"/>
        <v>0</v>
      </c>
      <c r="I75" s="844">
        <f t="shared" si="17"/>
        <v>1969</v>
      </c>
      <c r="J75" s="842">
        <f t="shared" si="17"/>
        <v>18220</v>
      </c>
      <c r="K75" s="843">
        <f t="shared" si="17"/>
        <v>6054</v>
      </c>
      <c r="L75" s="844">
        <f t="shared" si="17"/>
        <v>24274</v>
      </c>
      <c r="M75" s="178">
        <f t="shared" si="17"/>
        <v>0</v>
      </c>
      <c r="N75" s="179">
        <f t="shared" si="17"/>
        <v>0</v>
      </c>
      <c r="O75" s="180">
        <f t="shared" si="17"/>
        <v>0</v>
      </c>
      <c r="P75" s="181"/>
    </row>
    <row r="76" spans="1:16" ht="24" x14ac:dyDescent="0.25">
      <c r="A76" s="68">
        <v>2100</v>
      </c>
      <c r="B76" s="182" t="s">
        <v>95</v>
      </c>
      <c r="C76" s="69">
        <f t="shared" si="0"/>
        <v>28</v>
      </c>
      <c r="D76" s="316">
        <f t="shared" ref="D76:O76" si="18">SUM(D77,D80)</f>
        <v>28</v>
      </c>
      <c r="E76" s="685">
        <f t="shared" si="18"/>
        <v>0</v>
      </c>
      <c r="F76" s="638">
        <f t="shared" si="18"/>
        <v>28</v>
      </c>
      <c r="G76" s="316">
        <f t="shared" si="18"/>
        <v>0</v>
      </c>
      <c r="H76" s="685">
        <f t="shared" si="18"/>
        <v>0</v>
      </c>
      <c r="I76" s="638">
        <f t="shared" si="18"/>
        <v>0</v>
      </c>
      <c r="J76" s="316">
        <f t="shared" si="18"/>
        <v>0</v>
      </c>
      <c r="K76" s="685">
        <f t="shared" si="18"/>
        <v>0</v>
      </c>
      <c r="L76" s="638">
        <f t="shared" si="18"/>
        <v>0</v>
      </c>
      <c r="M76" s="183">
        <f t="shared" si="18"/>
        <v>0</v>
      </c>
      <c r="N76" s="184">
        <f t="shared" si="18"/>
        <v>0</v>
      </c>
      <c r="O76" s="72">
        <f t="shared" si="18"/>
        <v>0</v>
      </c>
      <c r="P76" s="76"/>
    </row>
    <row r="77" spans="1:16" ht="24" x14ac:dyDescent="0.25">
      <c r="A77" s="293">
        <v>2110</v>
      </c>
      <c r="B77" s="81" t="s">
        <v>96</v>
      </c>
      <c r="C77" s="82">
        <f t="shared" si="0"/>
        <v>28</v>
      </c>
      <c r="D77" s="319">
        <f t="shared" ref="D77:O77" si="19">SUM(D78:D79)</f>
        <v>28</v>
      </c>
      <c r="E77" s="688">
        <f t="shared" si="19"/>
        <v>0</v>
      </c>
      <c r="F77" s="664">
        <f t="shared" si="19"/>
        <v>28</v>
      </c>
      <c r="G77" s="319">
        <f t="shared" si="19"/>
        <v>0</v>
      </c>
      <c r="H77" s="688">
        <f t="shared" si="19"/>
        <v>0</v>
      </c>
      <c r="I77" s="664">
        <f t="shared" si="19"/>
        <v>0</v>
      </c>
      <c r="J77" s="319">
        <f t="shared" si="19"/>
        <v>0</v>
      </c>
      <c r="K77" s="688">
        <f t="shared" si="19"/>
        <v>0</v>
      </c>
      <c r="L77" s="664">
        <f t="shared" si="19"/>
        <v>0</v>
      </c>
      <c r="M77" s="192">
        <f t="shared" si="19"/>
        <v>0</v>
      </c>
      <c r="N77" s="193">
        <f t="shared" si="19"/>
        <v>0</v>
      </c>
      <c r="O77" s="133">
        <f t="shared" si="19"/>
        <v>0</v>
      </c>
      <c r="P77" s="49"/>
    </row>
    <row r="78" spans="1:16" ht="40.5" hidden="1" customHeight="1" x14ac:dyDescent="0.25">
      <c r="A78" s="51">
        <v>2111</v>
      </c>
      <c r="B78" s="88" t="s">
        <v>97</v>
      </c>
      <c r="C78" s="89">
        <f t="shared" si="0"/>
        <v>0</v>
      </c>
      <c r="D78" s="194"/>
      <c r="E78" s="195">
        <f>12-12</f>
        <v>0</v>
      </c>
      <c r="F78" s="55">
        <f>D78+E78</f>
        <v>0</v>
      </c>
      <c r="G78" s="53"/>
      <c r="H78" s="54"/>
      <c r="I78" s="55">
        <f>G78+H78</f>
        <v>0</v>
      </c>
      <c r="J78" s="53"/>
      <c r="K78" s="54"/>
      <c r="L78" s="55">
        <f>K78+J78</f>
        <v>0</v>
      </c>
      <c r="M78" s="53"/>
      <c r="N78" s="54"/>
      <c r="O78" s="55">
        <f>N78+M78</f>
        <v>0</v>
      </c>
      <c r="P78" s="57" t="s">
        <v>1076</v>
      </c>
    </row>
    <row r="79" spans="1:16" ht="24" customHeight="1" x14ac:dyDescent="0.25">
      <c r="A79" s="51">
        <v>2112</v>
      </c>
      <c r="B79" s="88" t="s">
        <v>98</v>
      </c>
      <c r="C79" s="89">
        <f t="shared" si="0"/>
        <v>28</v>
      </c>
      <c r="D79" s="194">
        <v>28</v>
      </c>
      <c r="E79" s="195">
        <f>-12+12</f>
        <v>0</v>
      </c>
      <c r="F79" s="55">
        <f>D79+E79</f>
        <v>28</v>
      </c>
      <c r="G79" s="53"/>
      <c r="H79" s="54"/>
      <c r="I79" s="55">
        <f>G79+H79</f>
        <v>0</v>
      </c>
      <c r="J79" s="53"/>
      <c r="K79" s="54"/>
      <c r="L79" s="55">
        <f>K79+J79</f>
        <v>0</v>
      </c>
      <c r="M79" s="53"/>
      <c r="N79" s="54"/>
      <c r="O79" s="55">
        <f>N79+M79</f>
        <v>0</v>
      </c>
      <c r="P79" s="57" t="s">
        <v>1077</v>
      </c>
    </row>
    <row r="80" spans="1:16" ht="24" hidden="1" x14ac:dyDescent="0.25">
      <c r="A80" s="188">
        <v>2120</v>
      </c>
      <c r="B80" s="88" t="s">
        <v>99</v>
      </c>
      <c r="C80" s="89">
        <f t="shared" si="0"/>
        <v>0</v>
      </c>
      <c r="D80" s="318">
        <f t="shared" ref="D80:O80" si="20">SUM(D81:D82)</f>
        <v>0</v>
      </c>
      <c r="E80" s="687">
        <f t="shared" si="20"/>
        <v>0</v>
      </c>
      <c r="F80" s="543">
        <f t="shared" si="20"/>
        <v>0</v>
      </c>
      <c r="G80" s="318">
        <f t="shared" si="20"/>
        <v>0</v>
      </c>
      <c r="H80" s="687">
        <f t="shared" si="20"/>
        <v>0</v>
      </c>
      <c r="I80" s="543">
        <f t="shared" si="20"/>
        <v>0</v>
      </c>
      <c r="J80" s="318">
        <f t="shared" si="20"/>
        <v>0</v>
      </c>
      <c r="K80" s="687">
        <f t="shared" si="20"/>
        <v>0</v>
      </c>
      <c r="L80" s="543">
        <f t="shared" si="20"/>
        <v>0</v>
      </c>
      <c r="M80" s="189">
        <f t="shared" si="20"/>
        <v>0</v>
      </c>
      <c r="N80" s="190">
        <f t="shared" si="20"/>
        <v>0</v>
      </c>
      <c r="O80" s="55">
        <f t="shared" si="20"/>
        <v>0</v>
      </c>
      <c r="P80" s="57"/>
    </row>
    <row r="81" spans="1:16" ht="12" hidden="1" customHeight="1" x14ac:dyDescent="0.25">
      <c r="A81" s="51">
        <v>2121</v>
      </c>
      <c r="B81" s="88" t="s">
        <v>97</v>
      </c>
      <c r="C81" s="89">
        <f t="shared" si="0"/>
        <v>0</v>
      </c>
      <c r="D81" s="544"/>
      <c r="E81" s="545"/>
      <c r="F81" s="543">
        <f>D81+E81</f>
        <v>0</v>
      </c>
      <c r="G81" s="303"/>
      <c r="H81" s="542"/>
      <c r="I81" s="543">
        <f>G81+H81</f>
        <v>0</v>
      </c>
      <c r="J81" s="303"/>
      <c r="K81" s="542"/>
      <c r="L81" s="543">
        <f>K81+J81</f>
        <v>0</v>
      </c>
      <c r="M81" s="53"/>
      <c r="N81" s="54"/>
      <c r="O81" s="55">
        <f>N81+M81</f>
        <v>0</v>
      </c>
      <c r="P81" s="57"/>
    </row>
    <row r="82" spans="1:16" ht="24" hidden="1" customHeight="1" x14ac:dyDescent="0.25">
      <c r="A82" s="51">
        <v>2122</v>
      </c>
      <c r="B82" s="88" t="s">
        <v>98</v>
      </c>
      <c r="C82" s="89">
        <f t="shared" si="0"/>
        <v>0</v>
      </c>
      <c r="D82" s="544"/>
      <c r="E82" s="545"/>
      <c r="F82" s="543">
        <f>D82+E82</f>
        <v>0</v>
      </c>
      <c r="G82" s="303"/>
      <c r="H82" s="542"/>
      <c r="I82" s="543">
        <f>G82+H82</f>
        <v>0</v>
      </c>
      <c r="J82" s="303"/>
      <c r="K82" s="542"/>
      <c r="L82" s="543">
        <f>K82+J82</f>
        <v>0</v>
      </c>
      <c r="M82" s="53"/>
      <c r="N82" s="54"/>
      <c r="O82" s="55">
        <f>N82+M82</f>
        <v>0</v>
      </c>
      <c r="P82" s="57"/>
    </row>
    <row r="83" spans="1:16" x14ac:dyDescent="0.25">
      <c r="A83" s="68">
        <v>2200</v>
      </c>
      <c r="B83" s="182" t="s">
        <v>100</v>
      </c>
      <c r="C83" s="69">
        <f t="shared" si="0"/>
        <v>104926</v>
      </c>
      <c r="D83" s="316">
        <f t="shared" ref="D83:O83" si="21">SUM(D84,D89,D95,D103,D112,D116,D122,D128)</f>
        <v>81183</v>
      </c>
      <c r="E83" s="685">
        <f t="shared" si="21"/>
        <v>-1500</v>
      </c>
      <c r="F83" s="638">
        <f t="shared" si="21"/>
        <v>79683</v>
      </c>
      <c r="G83" s="316">
        <f t="shared" si="21"/>
        <v>969</v>
      </c>
      <c r="H83" s="685">
        <f t="shared" si="21"/>
        <v>0</v>
      </c>
      <c r="I83" s="638">
        <f t="shared" si="21"/>
        <v>969</v>
      </c>
      <c r="J83" s="316">
        <f t="shared" si="21"/>
        <v>18220</v>
      </c>
      <c r="K83" s="685">
        <f t="shared" si="21"/>
        <v>6054</v>
      </c>
      <c r="L83" s="638">
        <f t="shared" si="21"/>
        <v>24274</v>
      </c>
      <c r="M83" s="183">
        <f t="shared" si="21"/>
        <v>0</v>
      </c>
      <c r="N83" s="184">
        <f t="shared" si="21"/>
        <v>0</v>
      </c>
      <c r="O83" s="72">
        <f t="shared" si="21"/>
        <v>0</v>
      </c>
      <c r="P83" s="76"/>
    </row>
    <row r="84" spans="1:16" x14ac:dyDescent="0.25">
      <c r="A84" s="185">
        <v>2210</v>
      </c>
      <c r="B84" s="137" t="s">
        <v>101</v>
      </c>
      <c r="C84" s="142">
        <f t="shared" ref="C84:C147" si="22">F84+I84+L84+O84</f>
        <v>2016</v>
      </c>
      <c r="D84" s="317">
        <f t="shared" ref="D84:O84" si="23">SUM(D85:D88)</f>
        <v>1942</v>
      </c>
      <c r="E84" s="686">
        <f t="shared" si="23"/>
        <v>0</v>
      </c>
      <c r="F84" s="667">
        <f t="shared" si="23"/>
        <v>1942</v>
      </c>
      <c r="G84" s="317">
        <f t="shared" si="23"/>
        <v>0</v>
      </c>
      <c r="H84" s="686">
        <f t="shared" si="23"/>
        <v>0</v>
      </c>
      <c r="I84" s="667">
        <f t="shared" si="23"/>
        <v>0</v>
      </c>
      <c r="J84" s="317">
        <f t="shared" si="23"/>
        <v>20</v>
      </c>
      <c r="K84" s="686">
        <f t="shared" si="23"/>
        <v>54</v>
      </c>
      <c r="L84" s="667">
        <f t="shared" si="23"/>
        <v>74</v>
      </c>
      <c r="M84" s="186">
        <f t="shared" si="23"/>
        <v>0</v>
      </c>
      <c r="N84" s="187">
        <f t="shared" si="23"/>
        <v>0</v>
      </c>
      <c r="O84" s="140">
        <f t="shared" si="23"/>
        <v>0</v>
      </c>
      <c r="P84" s="128"/>
    </row>
    <row r="85" spans="1:16" ht="24" hidden="1" customHeight="1" x14ac:dyDescent="0.25">
      <c r="A85" s="44">
        <v>2211</v>
      </c>
      <c r="B85" s="81" t="s">
        <v>102</v>
      </c>
      <c r="C85" s="82">
        <f t="shared" si="22"/>
        <v>0</v>
      </c>
      <c r="D85" s="689"/>
      <c r="E85" s="690"/>
      <c r="F85" s="664">
        <f>D85+E85</f>
        <v>0</v>
      </c>
      <c r="G85" s="302"/>
      <c r="H85" s="628"/>
      <c r="I85" s="664">
        <f>G85+H85</f>
        <v>0</v>
      </c>
      <c r="J85" s="302"/>
      <c r="K85" s="628"/>
      <c r="L85" s="664">
        <f>K85+J85</f>
        <v>0</v>
      </c>
      <c r="M85" s="46"/>
      <c r="N85" s="47"/>
      <c r="O85" s="133">
        <f>N85+M85</f>
        <v>0</v>
      </c>
      <c r="P85" s="49"/>
    </row>
    <row r="86" spans="1:16" ht="36" customHeight="1" x14ac:dyDescent="0.25">
      <c r="A86" s="51">
        <v>2212</v>
      </c>
      <c r="B86" s="88" t="s">
        <v>103</v>
      </c>
      <c r="C86" s="89">
        <f t="shared" si="22"/>
        <v>1766</v>
      </c>
      <c r="D86" s="544">
        <v>1766</v>
      </c>
      <c r="E86" s="545"/>
      <c r="F86" s="543">
        <f>D86+E86</f>
        <v>1766</v>
      </c>
      <c r="G86" s="303"/>
      <c r="H86" s="542"/>
      <c r="I86" s="543">
        <f>G86+H86</f>
        <v>0</v>
      </c>
      <c r="J86" s="303"/>
      <c r="K86" s="542"/>
      <c r="L86" s="543">
        <f>K86+J86</f>
        <v>0</v>
      </c>
      <c r="M86" s="53"/>
      <c r="N86" s="54"/>
      <c r="O86" s="55">
        <f>N86+M86</f>
        <v>0</v>
      </c>
      <c r="P86" s="57"/>
    </row>
    <row r="87" spans="1:16" ht="24" customHeight="1" x14ac:dyDescent="0.25">
      <c r="A87" s="51">
        <v>2214</v>
      </c>
      <c r="B87" s="88" t="s">
        <v>104</v>
      </c>
      <c r="C87" s="89">
        <f t="shared" si="22"/>
        <v>176</v>
      </c>
      <c r="D87" s="194">
        <v>102</v>
      </c>
      <c r="E87" s="195"/>
      <c r="F87" s="55">
        <f>D87+E87</f>
        <v>102</v>
      </c>
      <c r="G87" s="53"/>
      <c r="H87" s="54"/>
      <c r="I87" s="55">
        <f>G87+H87</f>
        <v>0</v>
      </c>
      <c r="J87" s="53">
        <v>20</v>
      </c>
      <c r="K87" s="54">
        <v>54</v>
      </c>
      <c r="L87" s="55">
        <f>K87+J87</f>
        <v>74</v>
      </c>
      <c r="M87" s="53"/>
      <c r="N87" s="54"/>
      <c r="O87" s="55">
        <f>N87+M87</f>
        <v>0</v>
      </c>
      <c r="P87" s="57" t="s">
        <v>1073</v>
      </c>
    </row>
    <row r="88" spans="1:16" ht="12" customHeight="1" x14ac:dyDescent="0.25">
      <c r="A88" s="51">
        <v>2219</v>
      </c>
      <c r="B88" s="88" t="s">
        <v>105</v>
      </c>
      <c r="C88" s="89">
        <f t="shared" si="22"/>
        <v>74</v>
      </c>
      <c r="D88" s="194">
        <v>74</v>
      </c>
      <c r="E88" s="195"/>
      <c r="F88" s="55">
        <f>D88+E88</f>
        <v>74</v>
      </c>
      <c r="G88" s="53"/>
      <c r="H88" s="54"/>
      <c r="I88" s="55">
        <f>G88+H88</f>
        <v>0</v>
      </c>
      <c r="J88" s="53"/>
      <c r="K88" s="54"/>
      <c r="L88" s="55">
        <f>K88+J88</f>
        <v>0</v>
      </c>
      <c r="M88" s="53"/>
      <c r="N88" s="54"/>
      <c r="O88" s="55">
        <f>N88+M88</f>
        <v>0</v>
      </c>
      <c r="P88" s="57"/>
    </row>
    <row r="89" spans="1:16" ht="24" x14ac:dyDescent="0.25">
      <c r="A89" s="188">
        <v>2220</v>
      </c>
      <c r="B89" s="88" t="s">
        <v>106</v>
      </c>
      <c r="C89" s="89">
        <f t="shared" si="22"/>
        <v>91579</v>
      </c>
      <c r="D89" s="189">
        <f t="shared" ref="D89:O89" si="24">SUM(D90:D94)</f>
        <v>68879</v>
      </c>
      <c r="E89" s="190">
        <f t="shared" si="24"/>
        <v>-1500</v>
      </c>
      <c r="F89" s="55">
        <f t="shared" si="24"/>
        <v>67379</v>
      </c>
      <c r="G89" s="189">
        <f t="shared" si="24"/>
        <v>0</v>
      </c>
      <c r="H89" s="190">
        <f t="shared" si="24"/>
        <v>0</v>
      </c>
      <c r="I89" s="55">
        <f t="shared" si="24"/>
        <v>0</v>
      </c>
      <c r="J89" s="189">
        <f t="shared" si="24"/>
        <v>18200</v>
      </c>
      <c r="K89" s="190">
        <f t="shared" si="24"/>
        <v>6000</v>
      </c>
      <c r="L89" s="55">
        <f t="shared" si="24"/>
        <v>24200</v>
      </c>
      <c r="M89" s="189">
        <f t="shared" si="24"/>
        <v>0</v>
      </c>
      <c r="N89" s="190">
        <f t="shared" si="24"/>
        <v>0</v>
      </c>
      <c r="O89" s="55">
        <f t="shared" si="24"/>
        <v>0</v>
      </c>
      <c r="P89" s="57"/>
    </row>
    <row r="90" spans="1:16" ht="27" customHeight="1" x14ac:dyDescent="0.25">
      <c r="A90" s="51">
        <v>2221</v>
      </c>
      <c r="B90" s="88" t="s">
        <v>107</v>
      </c>
      <c r="C90" s="89">
        <f t="shared" si="22"/>
        <v>68445</v>
      </c>
      <c r="D90" s="194">
        <v>57561</v>
      </c>
      <c r="E90" s="195">
        <v>-1500</v>
      </c>
      <c r="F90" s="55">
        <f>D90+E90</f>
        <v>56061</v>
      </c>
      <c r="G90" s="53"/>
      <c r="H90" s="54"/>
      <c r="I90" s="55">
        <f>G90+H90</f>
        <v>0</v>
      </c>
      <c r="J90" s="53">
        <v>6384</v>
      </c>
      <c r="K90" s="54">
        <v>6000</v>
      </c>
      <c r="L90" s="55">
        <f>K90+J90</f>
        <v>12384</v>
      </c>
      <c r="M90" s="53"/>
      <c r="N90" s="54"/>
      <c r="O90" s="55">
        <f>N90+M90</f>
        <v>0</v>
      </c>
      <c r="P90" s="57" t="s">
        <v>1078</v>
      </c>
    </row>
    <row r="91" spans="1:16" ht="12" customHeight="1" x14ac:dyDescent="0.25">
      <c r="A91" s="51">
        <v>2222</v>
      </c>
      <c r="B91" s="88" t="s">
        <v>108</v>
      </c>
      <c r="C91" s="89">
        <f t="shared" si="22"/>
        <v>4704</v>
      </c>
      <c r="D91" s="194">
        <v>1924</v>
      </c>
      <c r="E91" s="195"/>
      <c r="F91" s="55">
        <f>D91+E91</f>
        <v>1924</v>
      </c>
      <c r="G91" s="53">
        <v>0</v>
      </c>
      <c r="H91" s="54"/>
      <c r="I91" s="55">
        <f>G91+H91</f>
        <v>0</v>
      </c>
      <c r="J91" s="53">
        <v>2780</v>
      </c>
      <c r="K91" s="54"/>
      <c r="L91" s="55">
        <f>K91+J91</f>
        <v>2780</v>
      </c>
      <c r="M91" s="53"/>
      <c r="N91" s="54"/>
      <c r="O91" s="55">
        <f>N91+M91</f>
        <v>0</v>
      </c>
      <c r="P91" s="57"/>
    </row>
    <row r="92" spans="1:16" ht="12.75" customHeight="1" x14ac:dyDescent="0.25">
      <c r="A92" s="51">
        <v>2223</v>
      </c>
      <c r="B92" s="88" t="s">
        <v>109</v>
      </c>
      <c r="C92" s="89">
        <f t="shared" si="22"/>
        <v>17501</v>
      </c>
      <c r="D92" s="194">
        <v>8630</v>
      </c>
      <c r="E92" s="195"/>
      <c r="F92" s="55">
        <f>D92+E92</f>
        <v>8630</v>
      </c>
      <c r="G92" s="53"/>
      <c r="H92" s="54"/>
      <c r="I92" s="55">
        <f>G92+H92</f>
        <v>0</v>
      </c>
      <c r="J92" s="53">
        <v>8871</v>
      </c>
      <c r="K92" s="54"/>
      <c r="L92" s="55">
        <f>K92+J92</f>
        <v>8871</v>
      </c>
      <c r="M92" s="53"/>
      <c r="N92" s="54"/>
      <c r="O92" s="55">
        <f>N92+M92</f>
        <v>0</v>
      </c>
      <c r="P92" s="57"/>
    </row>
    <row r="93" spans="1:16" ht="48" customHeight="1" x14ac:dyDescent="0.25">
      <c r="A93" s="51">
        <v>2224</v>
      </c>
      <c r="B93" s="88" t="s">
        <v>110</v>
      </c>
      <c r="C93" s="89">
        <f t="shared" si="22"/>
        <v>929</v>
      </c>
      <c r="D93" s="544">
        <v>764</v>
      </c>
      <c r="E93" s="545"/>
      <c r="F93" s="543">
        <f>D93+E93</f>
        <v>764</v>
      </c>
      <c r="G93" s="303"/>
      <c r="H93" s="542"/>
      <c r="I93" s="543">
        <f>G93+H93</f>
        <v>0</v>
      </c>
      <c r="J93" s="303">
        <v>165</v>
      </c>
      <c r="K93" s="542"/>
      <c r="L93" s="543">
        <f>K93+J93</f>
        <v>165</v>
      </c>
      <c r="M93" s="53"/>
      <c r="N93" s="54"/>
      <c r="O93" s="55">
        <f>N93+M93</f>
        <v>0</v>
      </c>
      <c r="P93" s="57"/>
    </row>
    <row r="94" spans="1:16" ht="24" hidden="1" customHeight="1" x14ac:dyDescent="0.25">
      <c r="A94" s="51">
        <v>2229</v>
      </c>
      <c r="B94" s="88" t="s">
        <v>111</v>
      </c>
      <c r="C94" s="89">
        <f t="shared" si="22"/>
        <v>0</v>
      </c>
      <c r="D94" s="544"/>
      <c r="E94" s="545"/>
      <c r="F94" s="543">
        <f>D94+E94</f>
        <v>0</v>
      </c>
      <c r="G94" s="303"/>
      <c r="H94" s="542"/>
      <c r="I94" s="543">
        <f>G94+H94</f>
        <v>0</v>
      </c>
      <c r="J94" s="303"/>
      <c r="K94" s="542"/>
      <c r="L94" s="543">
        <f>K94+J94</f>
        <v>0</v>
      </c>
      <c r="M94" s="53"/>
      <c r="N94" s="54"/>
      <c r="O94" s="55">
        <f>N94+M94</f>
        <v>0</v>
      </c>
      <c r="P94" s="57"/>
    </row>
    <row r="95" spans="1:16" ht="36" x14ac:dyDescent="0.25">
      <c r="A95" s="188">
        <v>2230</v>
      </c>
      <c r="B95" s="88" t="s">
        <v>112</v>
      </c>
      <c r="C95" s="89">
        <f t="shared" si="22"/>
        <v>2162</v>
      </c>
      <c r="D95" s="318">
        <f t="shared" ref="D95:O95" si="25">SUM(D96:D102)</f>
        <v>2164</v>
      </c>
      <c r="E95" s="687">
        <f t="shared" si="25"/>
        <v>-2</v>
      </c>
      <c r="F95" s="543">
        <f t="shared" si="25"/>
        <v>2162</v>
      </c>
      <c r="G95" s="318">
        <f t="shared" si="25"/>
        <v>0</v>
      </c>
      <c r="H95" s="687">
        <f t="shared" si="25"/>
        <v>0</v>
      </c>
      <c r="I95" s="543">
        <f t="shared" si="25"/>
        <v>0</v>
      </c>
      <c r="J95" s="318">
        <f t="shared" si="25"/>
        <v>0</v>
      </c>
      <c r="K95" s="687">
        <f t="shared" si="25"/>
        <v>0</v>
      </c>
      <c r="L95" s="543">
        <f t="shared" si="25"/>
        <v>0</v>
      </c>
      <c r="M95" s="189">
        <f t="shared" si="25"/>
        <v>0</v>
      </c>
      <c r="N95" s="190">
        <f t="shared" si="25"/>
        <v>0</v>
      </c>
      <c r="O95" s="55">
        <f t="shared" si="25"/>
        <v>0</v>
      </c>
      <c r="P95" s="57"/>
    </row>
    <row r="96" spans="1:16" ht="24" hidden="1" customHeight="1" x14ac:dyDescent="0.25">
      <c r="A96" s="51">
        <v>2231</v>
      </c>
      <c r="B96" s="88" t="s">
        <v>113</v>
      </c>
      <c r="C96" s="89">
        <f t="shared" si="22"/>
        <v>0</v>
      </c>
      <c r="D96" s="544"/>
      <c r="E96" s="545"/>
      <c r="F96" s="543">
        <f t="shared" ref="F96:F102" si="26">D96+E96</f>
        <v>0</v>
      </c>
      <c r="G96" s="303"/>
      <c r="H96" s="542"/>
      <c r="I96" s="543">
        <f t="shared" ref="I96:I102" si="27">G96+H96</f>
        <v>0</v>
      </c>
      <c r="J96" s="303"/>
      <c r="K96" s="542"/>
      <c r="L96" s="543">
        <f t="shared" ref="L96:L102" si="28">K96+J96</f>
        <v>0</v>
      </c>
      <c r="M96" s="53"/>
      <c r="N96" s="54"/>
      <c r="O96" s="55">
        <f t="shared" ref="O96:O102" si="29">N96+M96</f>
        <v>0</v>
      </c>
      <c r="P96" s="57"/>
    </row>
    <row r="97" spans="1:16" ht="24.75" hidden="1" customHeight="1" x14ac:dyDescent="0.25">
      <c r="A97" s="51">
        <v>2232</v>
      </c>
      <c r="B97" s="88" t="s">
        <v>114</v>
      </c>
      <c r="C97" s="89">
        <f t="shared" si="22"/>
        <v>0</v>
      </c>
      <c r="D97" s="544"/>
      <c r="E97" s="545"/>
      <c r="F97" s="543">
        <f t="shared" si="26"/>
        <v>0</v>
      </c>
      <c r="G97" s="303"/>
      <c r="H97" s="542"/>
      <c r="I97" s="543">
        <f t="shared" si="27"/>
        <v>0</v>
      </c>
      <c r="J97" s="303"/>
      <c r="K97" s="542"/>
      <c r="L97" s="543">
        <f t="shared" si="28"/>
        <v>0</v>
      </c>
      <c r="M97" s="53"/>
      <c r="N97" s="54"/>
      <c r="O97" s="55">
        <f t="shared" si="29"/>
        <v>0</v>
      </c>
      <c r="P97" s="57"/>
    </row>
    <row r="98" spans="1:16" ht="24" hidden="1" customHeight="1" x14ac:dyDescent="0.25">
      <c r="A98" s="44">
        <v>2233</v>
      </c>
      <c r="B98" s="81" t="s">
        <v>115</v>
      </c>
      <c r="C98" s="82">
        <f t="shared" si="22"/>
        <v>0</v>
      </c>
      <c r="D98" s="689"/>
      <c r="E98" s="690"/>
      <c r="F98" s="664">
        <f t="shared" si="26"/>
        <v>0</v>
      </c>
      <c r="G98" s="302"/>
      <c r="H98" s="628"/>
      <c r="I98" s="664">
        <f t="shared" si="27"/>
        <v>0</v>
      </c>
      <c r="J98" s="302"/>
      <c r="K98" s="628"/>
      <c r="L98" s="664">
        <f t="shared" si="28"/>
        <v>0</v>
      </c>
      <c r="M98" s="46"/>
      <c r="N98" s="47"/>
      <c r="O98" s="133">
        <f t="shared" si="29"/>
        <v>0</v>
      </c>
      <c r="P98" s="49"/>
    </row>
    <row r="99" spans="1:16" ht="36" hidden="1" customHeight="1" x14ac:dyDescent="0.25">
      <c r="A99" s="51">
        <v>2234</v>
      </c>
      <c r="B99" s="88" t="s">
        <v>116</v>
      </c>
      <c r="C99" s="89">
        <f t="shared" si="22"/>
        <v>0</v>
      </c>
      <c r="D99" s="544"/>
      <c r="E99" s="545"/>
      <c r="F99" s="543">
        <f t="shared" si="26"/>
        <v>0</v>
      </c>
      <c r="G99" s="303"/>
      <c r="H99" s="542"/>
      <c r="I99" s="543">
        <f t="shared" si="27"/>
        <v>0</v>
      </c>
      <c r="J99" s="303"/>
      <c r="K99" s="542"/>
      <c r="L99" s="543">
        <f t="shared" si="28"/>
        <v>0</v>
      </c>
      <c r="M99" s="53"/>
      <c r="N99" s="54"/>
      <c r="O99" s="55">
        <f t="shared" si="29"/>
        <v>0</v>
      </c>
      <c r="P99" s="57"/>
    </row>
    <row r="100" spans="1:16" ht="24" hidden="1" customHeight="1" x14ac:dyDescent="0.25">
      <c r="A100" s="51">
        <v>2235</v>
      </c>
      <c r="B100" s="88" t="s">
        <v>117</v>
      </c>
      <c r="C100" s="89">
        <f t="shared" si="22"/>
        <v>0</v>
      </c>
      <c r="D100" s="544"/>
      <c r="E100" s="545"/>
      <c r="F100" s="543">
        <f t="shared" si="26"/>
        <v>0</v>
      </c>
      <c r="G100" s="303"/>
      <c r="H100" s="542"/>
      <c r="I100" s="543">
        <f t="shared" si="27"/>
        <v>0</v>
      </c>
      <c r="J100" s="303"/>
      <c r="K100" s="542"/>
      <c r="L100" s="543">
        <f t="shared" si="28"/>
        <v>0</v>
      </c>
      <c r="M100" s="53"/>
      <c r="N100" s="54"/>
      <c r="O100" s="55">
        <f t="shared" si="29"/>
        <v>0</v>
      </c>
      <c r="P100" s="57"/>
    </row>
    <row r="101" spans="1:16" ht="12" hidden="1" customHeight="1" x14ac:dyDescent="0.25">
      <c r="A101" s="51">
        <v>2236</v>
      </c>
      <c r="B101" s="88" t="s">
        <v>118</v>
      </c>
      <c r="C101" s="89">
        <f t="shared" si="22"/>
        <v>0</v>
      </c>
      <c r="D101" s="544"/>
      <c r="E101" s="545"/>
      <c r="F101" s="543">
        <f t="shared" si="26"/>
        <v>0</v>
      </c>
      <c r="G101" s="303"/>
      <c r="H101" s="542"/>
      <c r="I101" s="543">
        <f t="shared" si="27"/>
        <v>0</v>
      </c>
      <c r="J101" s="303"/>
      <c r="K101" s="542"/>
      <c r="L101" s="543">
        <f t="shared" si="28"/>
        <v>0</v>
      </c>
      <c r="M101" s="53"/>
      <c r="N101" s="54"/>
      <c r="O101" s="55">
        <f t="shared" si="29"/>
        <v>0</v>
      </c>
      <c r="P101" s="57"/>
    </row>
    <row r="102" spans="1:16" ht="23.25" customHeight="1" x14ac:dyDescent="0.25">
      <c r="A102" s="51">
        <v>2239</v>
      </c>
      <c r="B102" s="88" t="s">
        <v>119</v>
      </c>
      <c r="C102" s="89">
        <f t="shared" si="22"/>
        <v>2162</v>
      </c>
      <c r="D102" s="194">
        <v>2164</v>
      </c>
      <c r="E102" s="195">
        <v>-2</v>
      </c>
      <c r="F102" s="55">
        <f t="shared" si="26"/>
        <v>2162</v>
      </c>
      <c r="G102" s="53"/>
      <c r="H102" s="54"/>
      <c r="I102" s="55">
        <f t="shared" si="27"/>
        <v>0</v>
      </c>
      <c r="J102" s="53"/>
      <c r="K102" s="54"/>
      <c r="L102" s="55">
        <f t="shared" si="28"/>
        <v>0</v>
      </c>
      <c r="M102" s="53"/>
      <c r="N102" s="54"/>
      <c r="O102" s="55">
        <f t="shared" si="29"/>
        <v>0</v>
      </c>
      <c r="P102" s="57" t="s">
        <v>1079</v>
      </c>
    </row>
    <row r="103" spans="1:16" ht="25.5" customHeight="1" x14ac:dyDescent="0.25">
      <c r="A103" s="188">
        <v>2240</v>
      </c>
      <c r="B103" s="88" t="s">
        <v>120</v>
      </c>
      <c r="C103" s="89">
        <f t="shared" si="22"/>
        <v>5614</v>
      </c>
      <c r="D103" s="318">
        <f t="shared" ref="D103:O103" si="30">SUM(D104:D111)</f>
        <v>5614</v>
      </c>
      <c r="E103" s="687">
        <f t="shared" si="30"/>
        <v>0</v>
      </c>
      <c r="F103" s="543">
        <f t="shared" si="30"/>
        <v>5614</v>
      </c>
      <c r="G103" s="318">
        <f t="shared" si="30"/>
        <v>0</v>
      </c>
      <c r="H103" s="687">
        <f t="shared" si="30"/>
        <v>0</v>
      </c>
      <c r="I103" s="543">
        <f t="shared" si="30"/>
        <v>0</v>
      </c>
      <c r="J103" s="318">
        <f t="shared" si="30"/>
        <v>0</v>
      </c>
      <c r="K103" s="687">
        <f t="shared" si="30"/>
        <v>0</v>
      </c>
      <c r="L103" s="543">
        <f t="shared" si="30"/>
        <v>0</v>
      </c>
      <c r="M103" s="189">
        <f t="shared" si="30"/>
        <v>0</v>
      </c>
      <c r="N103" s="190">
        <f t="shared" si="30"/>
        <v>0</v>
      </c>
      <c r="O103" s="55">
        <f t="shared" si="30"/>
        <v>0</v>
      </c>
      <c r="P103" s="57"/>
    </row>
    <row r="104" spans="1:16" ht="12" hidden="1" customHeight="1" x14ac:dyDescent="0.25">
      <c r="A104" s="51">
        <v>2241</v>
      </c>
      <c r="B104" s="88" t="s">
        <v>121</v>
      </c>
      <c r="C104" s="89">
        <f t="shared" si="22"/>
        <v>0</v>
      </c>
      <c r="D104" s="544"/>
      <c r="E104" s="545"/>
      <c r="F104" s="543">
        <f t="shared" ref="F104:F111" si="31">D104+E104</f>
        <v>0</v>
      </c>
      <c r="G104" s="303"/>
      <c r="H104" s="542"/>
      <c r="I104" s="543">
        <f t="shared" ref="I104:I111" si="32">G104+H104</f>
        <v>0</v>
      </c>
      <c r="J104" s="303"/>
      <c r="K104" s="542"/>
      <c r="L104" s="543">
        <f t="shared" ref="L104:L111" si="33">K104+J104</f>
        <v>0</v>
      </c>
      <c r="M104" s="53"/>
      <c r="N104" s="54"/>
      <c r="O104" s="55">
        <f t="shared" ref="O104:O111" si="34">N104+M104</f>
        <v>0</v>
      </c>
      <c r="P104" s="57"/>
    </row>
    <row r="105" spans="1:16" ht="24" hidden="1" customHeight="1" x14ac:dyDescent="0.25">
      <c r="A105" s="51">
        <v>2242</v>
      </c>
      <c r="B105" s="88" t="s">
        <v>122</v>
      </c>
      <c r="C105" s="89">
        <f t="shared" si="22"/>
        <v>0</v>
      </c>
      <c r="D105" s="544"/>
      <c r="E105" s="545"/>
      <c r="F105" s="543">
        <f t="shared" si="31"/>
        <v>0</v>
      </c>
      <c r="G105" s="303"/>
      <c r="H105" s="542"/>
      <c r="I105" s="543">
        <f t="shared" si="32"/>
        <v>0</v>
      </c>
      <c r="J105" s="303"/>
      <c r="K105" s="542"/>
      <c r="L105" s="543">
        <f t="shared" si="33"/>
        <v>0</v>
      </c>
      <c r="M105" s="53"/>
      <c r="N105" s="54"/>
      <c r="O105" s="55">
        <f t="shared" si="34"/>
        <v>0</v>
      </c>
      <c r="P105" s="57"/>
    </row>
    <row r="106" spans="1:16" ht="24" customHeight="1" x14ac:dyDescent="0.25">
      <c r="A106" s="51">
        <v>2243</v>
      </c>
      <c r="B106" s="88" t="s">
        <v>123</v>
      </c>
      <c r="C106" s="89">
        <f t="shared" si="22"/>
        <v>459</v>
      </c>
      <c r="D106" s="544">
        <v>459</v>
      </c>
      <c r="E106" s="545"/>
      <c r="F106" s="543">
        <f t="shared" si="31"/>
        <v>459</v>
      </c>
      <c r="G106" s="303"/>
      <c r="H106" s="542"/>
      <c r="I106" s="543">
        <f t="shared" si="32"/>
        <v>0</v>
      </c>
      <c r="J106" s="303"/>
      <c r="K106" s="542"/>
      <c r="L106" s="543">
        <f t="shared" si="33"/>
        <v>0</v>
      </c>
      <c r="M106" s="53"/>
      <c r="N106" s="54"/>
      <c r="O106" s="55">
        <f t="shared" si="34"/>
        <v>0</v>
      </c>
      <c r="P106" s="57"/>
    </row>
    <row r="107" spans="1:16" ht="12" customHeight="1" x14ac:dyDescent="0.25">
      <c r="A107" s="51">
        <v>2244</v>
      </c>
      <c r="B107" s="88" t="s">
        <v>124</v>
      </c>
      <c r="C107" s="89">
        <f t="shared" si="22"/>
        <v>4780</v>
      </c>
      <c r="D107" s="544">
        <v>4780</v>
      </c>
      <c r="E107" s="545"/>
      <c r="F107" s="543">
        <f t="shared" si="31"/>
        <v>4780</v>
      </c>
      <c r="G107" s="303"/>
      <c r="H107" s="542"/>
      <c r="I107" s="543">
        <f t="shared" si="32"/>
        <v>0</v>
      </c>
      <c r="J107" s="303"/>
      <c r="K107" s="542"/>
      <c r="L107" s="543">
        <f t="shared" si="33"/>
        <v>0</v>
      </c>
      <c r="M107" s="53"/>
      <c r="N107" s="54"/>
      <c r="O107" s="55">
        <f t="shared" si="34"/>
        <v>0</v>
      </c>
      <c r="P107" s="57"/>
    </row>
    <row r="108" spans="1:16" ht="24" hidden="1" customHeight="1" x14ac:dyDescent="0.25">
      <c r="A108" s="51">
        <v>2246</v>
      </c>
      <c r="B108" s="88" t="s">
        <v>125</v>
      </c>
      <c r="C108" s="89">
        <f t="shared" si="22"/>
        <v>0</v>
      </c>
      <c r="D108" s="544"/>
      <c r="E108" s="545"/>
      <c r="F108" s="543">
        <f t="shared" si="31"/>
        <v>0</v>
      </c>
      <c r="G108" s="303"/>
      <c r="H108" s="542"/>
      <c r="I108" s="543">
        <f t="shared" si="32"/>
        <v>0</v>
      </c>
      <c r="J108" s="303"/>
      <c r="K108" s="542"/>
      <c r="L108" s="543">
        <f t="shared" si="33"/>
        <v>0</v>
      </c>
      <c r="M108" s="53"/>
      <c r="N108" s="54"/>
      <c r="O108" s="55">
        <f t="shared" si="34"/>
        <v>0</v>
      </c>
      <c r="P108" s="57"/>
    </row>
    <row r="109" spans="1:16" ht="12" hidden="1" customHeight="1" x14ac:dyDescent="0.25">
      <c r="A109" s="51">
        <v>2247</v>
      </c>
      <c r="B109" s="88" t="s">
        <v>126</v>
      </c>
      <c r="C109" s="89">
        <f t="shared" si="22"/>
        <v>0</v>
      </c>
      <c r="D109" s="544"/>
      <c r="E109" s="545"/>
      <c r="F109" s="543">
        <f t="shared" si="31"/>
        <v>0</v>
      </c>
      <c r="G109" s="303"/>
      <c r="H109" s="542"/>
      <c r="I109" s="543">
        <f t="shared" si="32"/>
        <v>0</v>
      </c>
      <c r="J109" s="303"/>
      <c r="K109" s="542"/>
      <c r="L109" s="543">
        <f t="shared" si="33"/>
        <v>0</v>
      </c>
      <c r="M109" s="53"/>
      <c r="N109" s="54"/>
      <c r="O109" s="55">
        <f t="shared" si="34"/>
        <v>0</v>
      </c>
      <c r="P109" s="57"/>
    </row>
    <row r="110" spans="1:16" ht="24" hidden="1" customHeight="1" x14ac:dyDescent="0.25">
      <c r="A110" s="51">
        <v>2248</v>
      </c>
      <c r="B110" s="88" t="s">
        <v>127</v>
      </c>
      <c r="C110" s="89">
        <f t="shared" si="22"/>
        <v>0</v>
      </c>
      <c r="D110" s="544"/>
      <c r="E110" s="545"/>
      <c r="F110" s="543">
        <f t="shared" si="31"/>
        <v>0</v>
      </c>
      <c r="G110" s="303"/>
      <c r="H110" s="542"/>
      <c r="I110" s="543">
        <f t="shared" si="32"/>
        <v>0</v>
      </c>
      <c r="J110" s="303"/>
      <c r="K110" s="542"/>
      <c r="L110" s="543">
        <f t="shared" si="33"/>
        <v>0</v>
      </c>
      <c r="M110" s="53"/>
      <c r="N110" s="54"/>
      <c r="O110" s="55">
        <f t="shared" si="34"/>
        <v>0</v>
      </c>
      <c r="P110" s="57"/>
    </row>
    <row r="111" spans="1:16" ht="24" customHeight="1" x14ac:dyDescent="0.25">
      <c r="A111" s="51">
        <v>2249</v>
      </c>
      <c r="B111" s="88" t="s">
        <v>128</v>
      </c>
      <c r="C111" s="89">
        <f t="shared" si="22"/>
        <v>375</v>
      </c>
      <c r="D111" s="544">
        <v>375</v>
      </c>
      <c r="E111" s="545"/>
      <c r="F111" s="543">
        <f t="shared" si="31"/>
        <v>375</v>
      </c>
      <c r="G111" s="303"/>
      <c r="H111" s="542"/>
      <c r="I111" s="543">
        <f t="shared" si="32"/>
        <v>0</v>
      </c>
      <c r="J111" s="303"/>
      <c r="K111" s="542"/>
      <c r="L111" s="543">
        <f t="shared" si="33"/>
        <v>0</v>
      </c>
      <c r="M111" s="53"/>
      <c r="N111" s="54"/>
      <c r="O111" s="55">
        <f t="shared" si="34"/>
        <v>0</v>
      </c>
      <c r="P111" s="57"/>
    </row>
    <row r="112" spans="1:16" x14ac:dyDescent="0.25">
      <c r="A112" s="188">
        <v>2250</v>
      </c>
      <c r="B112" s="88" t="s">
        <v>129</v>
      </c>
      <c r="C112" s="89">
        <f t="shared" si="22"/>
        <v>2558</v>
      </c>
      <c r="D112" s="318">
        <f t="shared" ref="D112:O112" si="35">SUM(D113:D115)</f>
        <v>2558</v>
      </c>
      <c r="E112" s="687">
        <f t="shared" si="35"/>
        <v>0</v>
      </c>
      <c r="F112" s="543">
        <f t="shared" si="35"/>
        <v>2558</v>
      </c>
      <c r="G112" s="318">
        <f t="shared" si="35"/>
        <v>0</v>
      </c>
      <c r="H112" s="687">
        <f t="shared" si="35"/>
        <v>0</v>
      </c>
      <c r="I112" s="543">
        <f t="shared" si="35"/>
        <v>0</v>
      </c>
      <c r="J112" s="318">
        <f t="shared" si="35"/>
        <v>0</v>
      </c>
      <c r="K112" s="687">
        <f t="shared" si="35"/>
        <v>0</v>
      </c>
      <c r="L112" s="543">
        <f t="shared" si="35"/>
        <v>0</v>
      </c>
      <c r="M112" s="189">
        <f t="shared" si="35"/>
        <v>0</v>
      </c>
      <c r="N112" s="190">
        <f t="shared" si="35"/>
        <v>0</v>
      </c>
      <c r="O112" s="55">
        <f t="shared" si="35"/>
        <v>0</v>
      </c>
      <c r="P112" s="57"/>
    </row>
    <row r="113" spans="1:16" ht="12" customHeight="1" x14ac:dyDescent="0.25">
      <c r="A113" s="51">
        <v>2251</v>
      </c>
      <c r="B113" s="88" t="s">
        <v>130</v>
      </c>
      <c r="C113" s="89">
        <f t="shared" si="22"/>
        <v>85</v>
      </c>
      <c r="D113" s="544">
        <v>85</v>
      </c>
      <c r="E113" s="545"/>
      <c r="F113" s="543">
        <f>D113+E113</f>
        <v>85</v>
      </c>
      <c r="G113" s="303"/>
      <c r="H113" s="542"/>
      <c r="I113" s="543">
        <f>G113+H113</f>
        <v>0</v>
      </c>
      <c r="J113" s="303"/>
      <c r="K113" s="542"/>
      <c r="L113" s="543">
        <f>K113+J113</f>
        <v>0</v>
      </c>
      <c r="M113" s="53"/>
      <c r="N113" s="54"/>
      <c r="O113" s="55">
        <f>N113+M113</f>
        <v>0</v>
      </c>
      <c r="P113" s="57"/>
    </row>
    <row r="114" spans="1:16" ht="24" customHeight="1" x14ac:dyDescent="0.25">
      <c r="A114" s="51">
        <v>2252</v>
      </c>
      <c r="B114" s="88" t="s">
        <v>131</v>
      </c>
      <c r="C114" s="89">
        <f t="shared" si="22"/>
        <v>1847</v>
      </c>
      <c r="D114" s="544">
        <v>1847</v>
      </c>
      <c r="E114" s="545"/>
      <c r="F114" s="543">
        <f>D114+E114</f>
        <v>1847</v>
      </c>
      <c r="G114" s="303"/>
      <c r="H114" s="542"/>
      <c r="I114" s="543">
        <f>G114+H114</f>
        <v>0</v>
      </c>
      <c r="J114" s="303"/>
      <c r="K114" s="542"/>
      <c r="L114" s="543">
        <f>K114+J114</f>
        <v>0</v>
      </c>
      <c r="M114" s="53"/>
      <c r="N114" s="54"/>
      <c r="O114" s="55">
        <f>N114+M114</f>
        <v>0</v>
      </c>
      <c r="P114" s="57"/>
    </row>
    <row r="115" spans="1:16" ht="24" customHeight="1" x14ac:dyDescent="0.25">
      <c r="A115" s="51">
        <v>2259</v>
      </c>
      <c r="B115" s="88" t="s">
        <v>132</v>
      </c>
      <c r="C115" s="89">
        <f t="shared" si="22"/>
        <v>626</v>
      </c>
      <c r="D115" s="544">
        <v>626</v>
      </c>
      <c r="E115" s="545"/>
      <c r="F115" s="543">
        <f>D115+E115</f>
        <v>626</v>
      </c>
      <c r="G115" s="303"/>
      <c r="H115" s="542"/>
      <c r="I115" s="543">
        <f>G115+H115</f>
        <v>0</v>
      </c>
      <c r="J115" s="303"/>
      <c r="K115" s="542"/>
      <c r="L115" s="543">
        <f>K115+J115</f>
        <v>0</v>
      </c>
      <c r="M115" s="53"/>
      <c r="N115" s="54"/>
      <c r="O115" s="55">
        <f>N115+M115</f>
        <v>0</v>
      </c>
      <c r="P115" s="57"/>
    </row>
    <row r="116" spans="1:16" x14ac:dyDescent="0.25">
      <c r="A116" s="188">
        <v>2260</v>
      </c>
      <c r="B116" s="88" t="s">
        <v>133</v>
      </c>
      <c r="C116" s="89">
        <f t="shared" si="22"/>
        <v>749</v>
      </c>
      <c r="D116" s="318">
        <f t="shared" ref="D116:O116" si="36">SUM(D117:D121)</f>
        <v>26</v>
      </c>
      <c r="E116" s="687">
        <f t="shared" si="36"/>
        <v>2</v>
      </c>
      <c r="F116" s="543">
        <f t="shared" si="36"/>
        <v>28</v>
      </c>
      <c r="G116" s="318">
        <f t="shared" si="36"/>
        <v>721</v>
      </c>
      <c r="H116" s="687">
        <f t="shared" si="36"/>
        <v>0</v>
      </c>
      <c r="I116" s="543">
        <f t="shared" si="36"/>
        <v>721</v>
      </c>
      <c r="J116" s="318">
        <f t="shared" si="36"/>
        <v>0</v>
      </c>
      <c r="K116" s="687">
        <f t="shared" si="36"/>
        <v>0</v>
      </c>
      <c r="L116" s="543">
        <f t="shared" si="36"/>
        <v>0</v>
      </c>
      <c r="M116" s="189">
        <f t="shared" si="36"/>
        <v>0</v>
      </c>
      <c r="N116" s="190">
        <f t="shared" si="36"/>
        <v>0</v>
      </c>
      <c r="O116" s="55">
        <f t="shared" si="36"/>
        <v>0</v>
      </c>
      <c r="P116" s="57"/>
    </row>
    <row r="117" spans="1:16" ht="12" hidden="1" customHeight="1" x14ac:dyDescent="0.25">
      <c r="A117" s="51">
        <v>2261</v>
      </c>
      <c r="B117" s="88" t="s">
        <v>134</v>
      </c>
      <c r="C117" s="89">
        <f t="shared" si="22"/>
        <v>0</v>
      </c>
      <c r="D117" s="544"/>
      <c r="E117" s="545"/>
      <c r="F117" s="543">
        <f>D117+E117</f>
        <v>0</v>
      </c>
      <c r="G117" s="303"/>
      <c r="H117" s="542"/>
      <c r="I117" s="543">
        <f>G117+H117</f>
        <v>0</v>
      </c>
      <c r="J117" s="303"/>
      <c r="K117" s="542"/>
      <c r="L117" s="543">
        <f>K117+J117</f>
        <v>0</v>
      </c>
      <c r="M117" s="53"/>
      <c r="N117" s="54"/>
      <c r="O117" s="55">
        <f>N117+M117</f>
        <v>0</v>
      </c>
      <c r="P117" s="57"/>
    </row>
    <row r="118" spans="1:16" ht="14.25" customHeight="1" x14ac:dyDescent="0.25">
      <c r="A118" s="51">
        <v>2262</v>
      </c>
      <c r="B118" s="88" t="s">
        <v>135</v>
      </c>
      <c r="C118" s="89">
        <f t="shared" si="22"/>
        <v>721</v>
      </c>
      <c r="D118" s="194"/>
      <c r="E118" s="195"/>
      <c r="F118" s="55">
        <f>D118+E118</f>
        <v>0</v>
      </c>
      <c r="G118" s="53">
        <v>721</v>
      </c>
      <c r="H118" s="54"/>
      <c r="I118" s="55">
        <f>G118+H118</f>
        <v>721</v>
      </c>
      <c r="J118" s="53"/>
      <c r="K118" s="54"/>
      <c r="L118" s="55">
        <f>K118+J118</f>
        <v>0</v>
      </c>
      <c r="M118" s="53"/>
      <c r="N118" s="54"/>
      <c r="O118" s="55">
        <f>N118+M118</f>
        <v>0</v>
      </c>
      <c r="P118" s="845"/>
    </row>
    <row r="119" spans="1:16" ht="18.75" hidden="1" customHeight="1" x14ac:dyDescent="0.25">
      <c r="A119" s="51">
        <v>2263</v>
      </c>
      <c r="B119" s="88" t="s">
        <v>136</v>
      </c>
      <c r="C119" s="89">
        <f t="shared" si="22"/>
        <v>0</v>
      </c>
      <c r="D119" s="544"/>
      <c r="E119" s="545"/>
      <c r="F119" s="543">
        <f>D119+E119</f>
        <v>0</v>
      </c>
      <c r="G119" s="303"/>
      <c r="H119" s="542"/>
      <c r="I119" s="543">
        <f>G119+H119</f>
        <v>0</v>
      </c>
      <c r="J119" s="303"/>
      <c r="K119" s="542"/>
      <c r="L119" s="543">
        <f>K119+J119</f>
        <v>0</v>
      </c>
      <c r="M119" s="53"/>
      <c r="N119" s="54"/>
      <c r="O119" s="55">
        <f>N119+M119</f>
        <v>0</v>
      </c>
      <c r="P119" s="128"/>
    </row>
    <row r="120" spans="1:16" ht="24" hidden="1" customHeight="1" x14ac:dyDescent="0.25">
      <c r="A120" s="51">
        <v>2264</v>
      </c>
      <c r="B120" s="88" t="s">
        <v>137</v>
      </c>
      <c r="C120" s="89">
        <f t="shared" si="22"/>
        <v>0</v>
      </c>
      <c r="D120" s="544"/>
      <c r="E120" s="545"/>
      <c r="F120" s="543">
        <f>D120+E120</f>
        <v>0</v>
      </c>
      <c r="G120" s="303"/>
      <c r="H120" s="542"/>
      <c r="I120" s="543">
        <f>G120+H120</f>
        <v>0</v>
      </c>
      <c r="J120" s="303"/>
      <c r="K120" s="542"/>
      <c r="L120" s="543">
        <f>K120+J120</f>
        <v>0</v>
      </c>
      <c r="M120" s="53"/>
      <c r="N120" s="54"/>
      <c r="O120" s="55">
        <f>N120+M120</f>
        <v>0</v>
      </c>
      <c r="P120" s="57"/>
    </row>
    <row r="121" spans="1:16" ht="12.75" customHeight="1" x14ac:dyDescent="0.25">
      <c r="A121" s="51">
        <v>2269</v>
      </c>
      <c r="B121" s="88" t="s">
        <v>138</v>
      </c>
      <c r="C121" s="89">
        <f t="shared" si="22"/>
        <v>28</v>
      </c>
      <c r="D121" s="194">
        <v>26</v>
      </c>
      <c r="E121" s="195">
        <v>2</v>
      </c>
      <c r="F121" s="55">
        <f>D121+E121</f>
        <v>28</v>
      </c>
      <c r="G121" s="53"/>
      <c r="H121" s="54"/>
      <c r="I121" s="55">
        <f>G121+H121</f>
        <v>0</v>
      </c>
      <c r="J121" s="53"/>
      <c r="K121" s="54"/>
      <c r="L121" s="55">
        <f>K121+J121</f>
        <v>0</v>
      </c>
      <c r="M121" s="53"/>
      <c r="N121" s="54"/>
      <c r="O121" s="55">
        <f>N121+M121</f>
        <v>0</v>
      </c>
      <c r="P121" s="57" t="s">
        <v>1080</v>
      </c>
    </row>
    <row r="122" spans="1:16" x14ac:dyDescent="0.25">
      <c r="A122" s="188">
        <v>2270</v>
      </c>
      <c r="B122" s="88" t="s">
        <v>139</v>
      </c>
      <c r="C122" s="89">
        <f t="shared" si="22"/>
        <v>248</v>
      </c>
      <c r="D122" s="318">
        <f t="shared" ref="D122:O122" si="37">SUM(D123:D127)</f>
        <v>0</v>
      </c>
      <c r="E122" s="687">
        <f t="shared" si="37"/>
        <v>0</v>
      </c>
      <c r="F122" s="543">
        <f t="shared" si="37"/>
        <v>0</v>
      </c>
      <c r="G122" s="318">
        <f t="shared" si="37"/>
        <v>248</v>
      </c>
      <c r="H122" s="687">
        <f t="shared" si="37"/>
        <v>0</v>
      </c>
      <c r="I122" s="543">
        <f t="shared" si="37"/>
        <v>248</v>
      </c>
      <c r="J122" s="318">
        <f t="shared" si="37"/>
        <v>0</v>
      </c>
      <c r="K122" s="687">
        <f t="shared" si="37"/>
        <v>0</v>
      </c>
      <c r="L122" s="543">
        <f t="shared" si="37"/>
        <v>0</v>
      </c>
      <c r="M122" s="189">
        <f t="shared" si="37"/>
        <v>0</v>
      </c>
      <c r="N122" s="190">
        <f t="shared" si="37"/>
        <v>0</v>
      </c>
      <c r="O122" s="55">
        <f t="shared" si="37"/>
        <v>0</v>
      </c>
      <c r="P122" s="288"/>
    </row>
    <row r="123" spans="1:16" ht="12" hidden="1" customHeight="1" x14ac:dyDescent="0.25">
      <c r="A123" s="51">
        <v>2272</v>
      </c>
      <c r="B123" s="199" t="s">
        <v>140</v>
      </c>
      <c r="C123" s="89">
        <f t="shared" si="22"/>
        <v>0</v>
      </c>
      <c r="D123" s="544"/>
      <c r="E123" s="545"/>
      <c r="F123" s="543">
        <f>D123+E123</f>
        <v>0</v>
      </c>
      <c r="G123" s="303"/>
      <c r="H123" s="542"/>
      <c r="I123" s="543">
        <f>G123+H123</f>
        <v>0</v>
      </c>
      <c r="J123" s="303"/>
      <c r="K123" s="542"/>
      <c r="L123" s="543">
        <f>K123+J123</f>
        <v>0</v>
      </c>
      <c r="M123" s="53"/>
      <c r="N123" s="54"/>
      <c r="O123" s="55">
        <f>N123+M123</f>
        <v>0</v>
      </c>
      <c r="P123" s="57"/>
    </row>
    <row r="124" spans="1:16" ht="24" hidden="1" customHeight="1" x14ac:dyDescent="0.25">
      <c r="A124" s="51">
        <v>2274</v>
      </c>
      <c r="B124" s="200" t="s">
        <v>141</v>
      </c>
      <c r="C124" s="89">
        <f t="shared" si="22"/>
        <v>0</v>
      </c>
      <c r="D124" s="544"/>
      <c r="E124" s="545"/>
      <c r="F124" s="543">
        <f>D124+E124</f>
        <v>0</v>
      </c>
      <c r="G124" s="303"/>
      <c r="H124" s="542"/>
      <c r="I124" s="543">
        <f>G124+H124</f>
        <v>0</v>
      </c>
      <c r="J124" s="303"/>
      <c r="K124" s="542"/>
      <c r="L124" s="543">
        <f>K124+J124</f>
        <v>0</v>
      </c>
      <c r="M124" s="53"/>
      <c r="N124" s="54"/>
      <c r="O124" s="55">
        <f>N124+M124</f>
        <v>0</v>
      </c>
      <c r="P124" s="57"/>
    </row>
    <row r="125" spans="1:16" ht="24" hidden="1" customHeight="1" x14ac:dyDescent="0.25">
      <c r="A125" s="51">
        <v>2275</v>
      </c>
      <c r="B125" s="88" t="s">
        <v>142</v>
      </c>
      <c r="C125" s="89">
        <f t="shared" si="22"/>
        <v>0</v>
      </c>
      <c r="D125" s="544"/>
      <c r="E125" s="545"/>
      <c r="F125" s="543">
        <f>D125+E125</f>
        <v>0</v>
      </c>
      <c r="G125" s="303"/>
      <c r="H125" s="542"/>
      <c r="I125" s="543">
        <f>G125+H125</f>
        <v>0</v>
      </c>
      <c r="J125" s="303"/>
      <c r="K125" s="542"/>
      <c r="L125" s="543">
        <f>K125+J125</f>
        <v>0</v>
      </c>
      <c r="M125" s="53"/>
      <c r="N125" s="54"/>
      <c r="O125" s="55">
        <f>N125+M125</f>
        <v>0</v>
      </c>
      <c r="P125" s="57"/>
    </row>
    <row r="126" spans="1:16" ht="36" hidden="1" customHeight="1" x14ac:dyDescent="0.25">
      <c r="A126" s="51">
        <v>2276</v>
      </c>
      <c r="B126" s="88" t="s">
        <v>143</v>
      </c>
      <c r="C126" s="89">
        <f t="shared" si="22"/>
        <v>0</v>
      </c>
      <c r="D126" s="194"/>
      <c r="E126" s="195"/>
      <c r="F126" s="55">
        <f>D126+E126</f>
        <v>0</v>
      </c>
      <c r="G126" s="53"/>
      <c r="H126" s="54"/>
      <c r="I126" s="55">
        <f>G126+H126</f>
        <v>0</v>
      </c>
      <c r="J126" s="53"/>
      <c r="K126" s="54"/>
      <c r="L126" s="55">
        <f>K126+J126</f>
        <v>0</v>
      </c>
      <c r="M126" s="53"/>
      <c r="N126" s="54"/>
      <c r="O126" s="55">
        <f>N126+M126</f>
        <v>0</v>
      </c>
      <c r="P126" s="49"/>
    </row>
    <row r="127" spans="1:16" ht="27.75" customHeight="1" x14ac:dyDescent="0.25">
      <c r="A127" s="51">
        <v>2279</v>
      </c>
      <c r="B127" s="88" t="s">
        <v>144</v>
      </c>
      <c r="C127" s="89">
        <f t="shared" si="22"/>
        <v>248</v>
      </c>
      <c r="D127" s="194"/>
      <c r="E127" s="195"/>
      <c r="F127" s="55">
        <f>D127+E127</f>
        <v>0</v>
      </c>
      <c r="G127" s="53">
        <v>248</v>
      </c>
      <c r="H127" s="54"/>
      <c r="I127" s="55">
        <f>G127+H127</f>
        <v>248</v>
      </c>
      <c r="J127" s="53"/>
      <c r="K127" s="54"/>
      <c r="L127" s="55">
        <f>K127+J127</f>
        <v>0</v>
      </c>
      <c r="M127" s="53"/>
      <c r="N127" s="54"/>
      <c r="O127" s="55">
        <f>N127+M127</f>
        <v>0</v>
      </c>
      <c r="P127" s="846"/>
    </row>
    <row r="128" spans="1:16" ht="48" hidden="1" x14ac:dyDescent="0.25">
      <c r="A128" s="293">
        <v>2280</v>
      </c>
      <c r="B128" s="81" t="s">
        <v>145</v>
      </c>
      <c r="C128" s="82">
        <f t="shared" si="22"/>
        <v>0</v>
      </c>
      <c r="D128" s="319">
        <f t="shared" ref="D128:O128" si="38">SUM(D129)</f>
        <v>0</v>
      </c>
      <c r="E128" s="688">
        <f t="shared" si="38"/>
        <v>0</v>
      </c>
      <c r="F128" s="664">
        <f t="shared" si="38"/>
        <v>0</v>
      </c>
      <c r="G128" s="319">
        <f t="shared" si="38"/>
        <v>0</v>
      </c>
      <c r="H128" s="688">
        <f t="shared" si="38"/>
        <v>0</v>
      </c>
      <c r="I128" s="664">
        <f t="shared" si="38"/>
        <v>0</v>
      </c>
      <c r="J128" s="319">
        <f t="shared" si="38"/>
        <v>0</v>
      </c>
      <c r="K128" s="688">
        <f t="shared" si="38"/>
        <v>0</v>
      </c>
      <c r="L128" s="664">
        <f t="shared" si="38"/>
        <v>0</v>
      </c>
      <c r="M128" s="192">
        <f t="shared" si="38"/>
        <v>0</v>
      </c>
      <c r="N128" s="193">
        <f t="shared" si="38"/>
        <v>0</v>
      </c>
      <c r="O128" s="133">
        <f t="shared" si="38"/>
        <v>0</v>
      </c>
      <c r="P128" s="49"/>
    </row>
    <row r="129" spans="1:16" ht="24" hidden="1" customHeight="1" x14ac:dyDescent="0.25">
      <c r="A129" s="51">
        <v>2283</v>
      </c>
      <c r="B129" s="88" t="s">
        <v>146</v>
      </c>
      <c r="C129" s="89">
        <f t="shared" si="22"/>
        <v>0</v>
      </c>
      <c r="D129" s="544"/>
      <c r="E129" s="545"/>
      <c r="F129" s="543">
        <f>D129+E129</f>
        <v>0</v>
      </c>
      <c r="G129" s="303"/>
      <c r="H129" s="542"/>
      <c r="I129" s="543">
        <f>G129+H129</f>
        <v>0</v>
      </c>
      <c r="J129" s="303"/>
      <c r="K129" s="542"/>
      <c r="L129" s="543">
        <f>K129+J129</f>
        <v>0</v>
      </c>
      <c r="M129" s="53"/>
      <c r="N129" s="54"/>
      <c r="O129" s="55">
        <f>N129+M129</f>
        <v>0</v>
      </c>
      <c r="P129" s="57"/>
    </row>
    <row r="130" spans="1:16" ht="38.25" customHeight="1" x14ac:dyDescent="0.25">
      <c r="A130" s="68">
        <v>2300</v>
      </c>
      <c r="B130" s="182" t="s">
        <v>147</v>
      </c>
      <c r="C130" s="69">
        <f t="shared" si="22"/>
        <v>15970</v>
      </c>
      <c r="D130" s="316">
        <f t="shared" ref="D130:O130" si="39">SUM(D131,D136,D140,D141,D144,D151,D159,D160,D163)</f>
        <v>14970</v>
      </c>
      <c r="E130" s="685">
        <f t="shared" si="39"/>
        <v>0</v>
      </c>
      <c r="F130" s="638">
        <f t="shared" si="39"/>
        <v>14970</v>
      </c>
      <c r="G130" s="316">
        <f t="shared" si="39"/>
        <v>1000</v>
      </c>
      <c r="H130" s="685">
        <f t="shared" si="39"/>
        <v>0</v>
      </c>
      <c r="I130" s="638">
        <f t="shared" si="39"/>
        <v>1000</v>
      </c>
      <c r="J130" s="316">
        <f t="shared" si="39"/>
        <v>0</v>
      </c>
      <c r="K130" s="685">
        <f t="shared" si="39"/>
        <v>0</v>
      </c>
      <c r="L130" s="638">
        <f t="shared" si="39"/>
        <v>0</v>
      </c>
      <c r="M130" s="183">
        <f t="shared" si="39"/>
        <v>0</v>
      </c>
      <c r="N130" s="184">
        <f t="shared" si="39"/>
        <v>0</v>
      </c>
      <c r="O130" s="72">
        <f t="shared" si="39"/>
        <v>0</v>
      </c>
      <c r="P130" s="76"/>
    </row>
    <row r="131" spans="1:16" ht="24" x14ac:dyDescent="0.25">
      <c r="A131" s="293">
        <v>2310</v>
      </c>
      <c r="B131" s="81" t="s">
        <v>148</v>
      </c>
      <c r="C131" s="82">
        <f t="shared" si="22"/>
        <v>4767</v>
      </c>
      <c r="D131" s="319">
        <f t="shared" ref="D131:O131" si="40">SUM(D132:D135)</f>
        <v>4767</v>
      </c>
      <c r="E131" s="688">
        <f t="shared" si="40"/>
        <v>0</v>
      </c>
      <c r="F131" s="664">
        <f t="shared" si="40"/>
        <v>4767</v>
      </c>
      <c r="G131" s="319">
        <f t="shared" si="40"/>
        <v>0</v>
      </c>
      <c r="H131" s="688">
        <f t="shared" si="40"/>
        <v>0</v>
      </c>
      <c r="I131" s="664">
        <f t="shared" si="40"/>
        <v>0</v>
      </c>
      <c r="J131" s="319">
        <f t="shared" si="40"/>
        <v>0</v>
      </c>
      <c r="K131" s="688">
        <f t="shared" si="40"/>
        <v>0</v>
      </c>
      <c r="L131" s="664">
        <f t="shared" si="40"/>
        <v>0</v>
      </c>
      <c r="M131" s="192">
        <f t="shared" si="40"/>
        <v>0</v>
      </c>
      <c r="N131" s="193">
        <f t="shared" si="40"/>
        <v>0</v>
      </c>
      <c r="O131" s="133">
        <f t="shared" si="40"/>
        <v>0</v>
      </c>
      <c r="P131" s="49"/>
    </row>
    <row r="132" spans="1:16" ht="12" customHeight="1" x14ac:dyDescent="0.25">
      <c r="A132" s="51">
        <v>2311</v>
      </c>
      <c r="B132" s="88" t="s">
        <v>149</v>
      </c>
      <c r="C132" s="89">
        <f t="shared" si="22"/>
        <v>1345</v>
      </c>
      <c r="D132" s="544">
        <v>1345</v>
      </c>
      <c r="E132" s="545"/>
      <c r="F132" s="543">
        <f>D132+E132</f>
        <v>1345</v>
      </c>
      <c r="G132" s="303"/>
      <c r="H132" s="542"/>
      <c r="I132" s="543">
        <f>G132+H132</f>
        <v>0</v>
      </c>
      <c r="J132" s="303"/>
      <c r="K132" s="542"/>
      <c r="L132" s="543">
        <f>K132+J132</f>
        <v>0</v>
      </c>
      <c r="M132" s="53"/>
      <c r="N132" s="54"/>
      <c r="O132" s="55">
        <f>N132+M132</f>
        <v>0</v>
      </c>
      <c r="P132" s="57"/>
    </row>
    <row r="133" spans="1:16" ht="12" customHeight="1" x14ac:dyDescent="0.25">
      <c r="A133" s="51">
        <v>2312</v>
      </c>
      <c r="B133" s="88" t="s">
        <v>150</v>
      </c>
      <c r="C133" s="89">
        <f t="shared" si="22"/>
        <v>2972</v>
      </c>
      <c r="D133" s="544">
        <v>2972</v>
      </c>
      <c r="E133" s="545"/>
      <c r="F133" s="543">
        <f>D133+E133</f>
        <v>2972</v>
      </c>
      <c r="G133" s="303"/>
      <c r="H133" s="542"/>
      <c r="I133" s="543">
        <f>G133+H133</f>
        <v>0</v>
      </c>
      <c r="J133" s="303"/>
      <c r="K133" s="542"/>
      <c r="L133" s="543">
        <f>K133+J133</f>
        <v>0</v>
      </c>
      <c r="M133" s="53"/>
      <c r="N133" s="54"/>
      <c r="O133" s="55">
        <f>N133+M133</f>
        <v>0</v>
      </c>
      <c r="P133" s="57"/>
    </row>
    <row r="134" spans="1:16" ht="12" hidden="1" customHeight="1" x14ac:dyDescent="0.25">
      <c r="A134" s="51">
        <v>2313</v>
      </c>
      <c r="B134" s="88" t="s">
        <v>151</v>
      </c>
      <c r="C134" s="89">
        <f t="shared" si="22"/>
        <v>0</v>
      </c>
      <c r="D134" s="544"/>
      <c r="E134" s="545"/>
      <c r="F134" s="543">
        <f>D134+E134</f>
        <v>0</v>
      </c>
      <c r="G134" s="303"/>
      <c r="H134" s="542"/>
      <c r="I134" s="543">
        <f>G134+H134</f>
        <v>0</v>
      </c>
      <c r="J134" s="303"/>
      <c r="K134" s="542"/>
      <c r="L134" s="543">
        <f>K134+J134</f>
        <v>0</v>
      </c>
      <c r="M134" s="53"/>
      <c r="N134" s="54"/>
      <c r="O134" s="55">
        <f>N134+M134</f>
        <v>0</v>
      </c>
      <c r="P134" s="57"/>
    </row>
    <row r="135" spans="1:16" ht="36" customHeight="1" x14ac:dyDescent="0.25">
      <c r="A135" s="51">
        <v>2314</v>
      </c>
      <c r="B135" s="88" t="s">
        <v>152</v>
      </c>
      <c r="C135" s="89">
        <f t="shared" si="22"/>
        <v>450</v>
      </c>
      <c r="D135" s="544">
        <v>450</v>
      </c>
      <c r="E135" s="545"/>
      <c r="F135" s="543">
        <f>D135+E135</f>
        <v>450</v>
      </c>
      <c r="G135" s="303"/>
      <c r="H135" s="542"/>
      <c r="I135" s="543">
        <f>G135+H135</f>
        <v>0</v>
      </c>
      <c r="J135" s="303"/>
      <c r="K135" s="542"/>
      <c r="L135" s="543">
        <f>K135+J135</f>
        <v>0</v>
      </c>
      <c r="M135" s="53"/>
      <c r="N135" s="54"/>
      <c r="O135" s="55">
        <f>N135+M135</f>
        <v>0</v>
      </c>
      <c r="P135" s="57"/>
    </row>
    <row r="136" spans="1:16" hidden="1" x14ac:dyDescent="0.25">
      <c r="A136" s="188">
        <v>2320</v>
      </c>
      <c r="B136" s="88" t="s">
        <v>153</v>
      </c>
      <c r="C136" s="89">
        <f t="shared" si="22"/>
        <v>0</v>
      </c>
      <c r="D136" s="318">
        <f t="shared" ref="D136:O136" si="41">SUM(D137:D139)</f>
        <v>0</v>
      </c>
      <c r="E136" s="687">
        <f t="shared" si="41"/>
        <v>0</v>
      </c>
      <c r="F136" s="543">
        <f t="shared" si="41"/>
        <v>0</v>
      </c>
      <c r="G136" s="318">
        <f t="shared" si="41"/>
        <v>0</v>
      </c>
      <c r="H136" s="687">
        <f t="shared" si="41"/>
        <v>0</v>
      </c>
      <c r="I136" s="543">
        <f t="shared" si="41"/>
        <v>0</v>
      </c>
      <c r="J136" s="318">
        <f t="shared" si="41"/>
        <v>0</v>
      </c>
      <c r="K136" s="687">
        <f t="shared" si="41"/>
        <v>0</v>
      </c>
      <c r="L136" s="543">
        <f t="shared" si="41"/>
        <v>0</v>
      </c>
      <c r="M136" s="189">
        <f t="shared" si="41"/>
        <v>0</v>
      </c>
      <c r="N136" s="190">
        <f t="shared" si="41"/>
        <v>0</v>
      </c>
      <c r="O136" s="55">
        <f t="shared" si="41"/>
        <v>0</v>
      </c>
      <c r="P136" s="57"/>
    </row>
    <row r="137" spans="1:16" ht="12" hidden="1" customHeight="1" x14ac:dyDescent="0.25">
      <c r="A137" s="51">
        <v>2321</v>
      </c>
      <c r="B137" s="88" t="s">
        <v>154</v>
      </c>
      <c r="C137" s="89">
        <f t="shared" si="22"/>
        <v>0</v>
      </c>
      <c r="D137" s="544"/>
      <c r="E137" s="545"/>
      <c r="F137" s="543">
        <f>D137+E137</f>
        <v>0</v>
      </c>
      <c r="G137" s="303"/>
      <c r="H137" s="542"/>
      <c r="I137" s="543">
        <f>G137+H137</f>
        <v>0</v>
      </c>
      <c r="J137" s="303"/>
      <c r="K137" s="542"/>
      <c r="L137" s="543">
        <f>K137+J137</f>
        <v>0</v>
      </c>
      <c r="M137" s="53"/>
      <c r="N137" s="54"/>
      <c r="O137" s="55">
        <f>N137+M137</f>
        <v>0</v>
      </c>
      <c r="P137" s="57"/>
    </row>
    <row r="138" spans="1:16" ht="12" hidden="1" customHeight="1" x14ac:dyDescent="0.25">
      <c r="A138" s="51">
        <v>2322</v>
      </c>
      <c r="B138" s="88" t="s">
        <v>155</v>
      </c>
      <c r="C138" s="89">
        <f t="shared" si="22"/>
        <v>0</v>
      </c>
      <c r="D138" s="544"/>
      <c r="E138" s="545"/>
      <c r="F138" s="543">
        <f>D138+E138</f>
        <v>0</v>
      </c>
      <c r="G138" s="303"/>
      <c r="H138" s="542"/>
      <c r="I138" s="543">
        <f>G138+H138</f>
        <v>0</v>
      </c>
      <c r="J138" s="303"/>
      <c r="K138" s="542"/>
      <c r="L138" s="543">
        <f>K138+J138</f>
        <v>0</v>
      </c>
      <c r="M138" s="53"/>
      <c r="N138" s="54"/>
      <c r="O138" s="55">
        <f>N138+M138</f>
        <v>0</v>
      </c>
      <c r="P138" s="57"/>
    </row>
    <row r="139" spans="1:16" ht="10.5" hidden="1" customHeight="1" x14ac:dyDescent="0.25">
      <c r="A139" s="51">
        <v>2329</v>
      </c>
      <c r="B139" s="88" t="s">
        <v>156</v>
      </c>
      <c r="C139" s="89">
        <f t="shared" si="22"/>
        <v>0</v>
      </c>
      <c r="D139" s="544"/>
      <c r="E139" s="545"/>
      <c r="F139" s="543">
        <f>D139+E139</f>
        <v>0</v>
      </c>
      <c r="G139" s="303"/>
      <c r="H139" s="542"/>
      <c r="I139" s="543">
        <f>G139+H139</f>
        <v>0</v>
      </c>
      <c r="J139" s="303"/>
      <c r="K139" s="542"/>
      <c r="L139" s="543">
        <f>K139+J139</f>
        <v>0</v>
      </c>
      <c r="M139" s="53"/>
      <c r="N139" s="54"/>
      <c r="O139" s="55">
        <f>N139+M139</f>
        <v>0</v>
      </c>
      <c r="P139" s="57"/>
    </row>
    <row r="140" spans="1:16" ht="12" hidden="1" customHeight="1" x14ac:dyDescent="0.25">
      <c r="A140" s="188">
        <v>2330</v>
      </c>
      <c r="B140" s="88" t="s">
        <v>157</v>
      </c>
      <c r="C140" s="89">
        <f t="shared" si="22"/>
        <v>0</v>
      </c>
      <c r="D140" s="544"/>
      <c r="E140" s="545"/>
      <c r="F140" s="543">
        <f>D140+E140</f>
        <v>0</v>
      </c>
      <c r="G140" s="303"/>
      <c r="H140" s="542"/>
      <c r="I140" s="543">
        <f>G140+H140</f>
        <v>0</v>
      </c>
      <c r="J140" s="303"/>
      <c r="K140" s="542"/>
      <c r="L140" s="543">
        <f>K140+J140</f>
        <v>0</v>
      </c>
      <c r="M140" s="53"/>
      <c r="N140" s="54"/>
      <c r="O140" s="55">
        <f>N140+M140</f>
        <v>0</v>
      </c>
      <c r="P140" s="57"/>
    </row>
    <row r="141" spans="1:16" ht="48" x14ac:dyDescent="0.25">
      <c r="A141" s="188">
        <v>2340</v>
      </c>
      <c r="B141" s="88" t="s">
        <v>158</v>
      </c>
      <c r="C141" s="89">
        <f t="shared" si="22"/>
        <v>186</v>
      </c>
      <c r="D141" s="318">
        <f t="shared" ref="D141:O141" si="42">SUM(D142:D143)</f>
        <v>186</v>
      </c>
      <c r="E141" s="687">
        <f t="shared" si="42"/>
        <v>0</v>
      </c>
      <c r="F141" s="543">
        <f t="shared" si="42"/>
        <v>186</v>
      </c>
      <c r="G141" s="318">
        <f t="shared" si="42"/>
        <v>0</v>
      </c>
      <c r="H141" s="687">
        <f t="shared" si="42"/>
        <v>0</v>
      </c>
      <c r="I141" s="543">
        <f t="shared" si="42"/>
        <v>0</v>
      </c>
      <c r="J141" s="318">
        <f t="shared" si="42"/>
        <v>0</v>
      </c>
      <c r="K141" s="687">
        <f t="shared" si="42"/>
        <v>0</v>
      </c>
      <c r="L141" s="543">
        <f t="shared" si="42"/>
        <v>0</v>
      </c>
      <c r="M141" s="189">
        <f t="shared" si="42"/>
        <v>0</v>
      </c>
      <c r="N141" s="190">
        <f t="shared" si="42"/>
        <v>0</v>
      </c>
      <c r="O141" s="55">
        <f t="shared" si="42"/>
        <v>0</v>
      </c>
      <c r="P141" s="57"/>
    </row>
    <row r="142" spans="1:16" ht="12" customHeight="1" x14ac:dyDescent="0.25">
      <c r="A142" s="51">
        <v>2341</v>
      </c>
      <c r="B142" s="88" t="s">
        <v>159</v>
      </c>
      <c r="C142" s="89">
        <f t="shared" si="22"/>
        <v>186</v>
      </c>
      <c r="D142" s="544">
        <v>186</v>
      </c>
      <c r="E142" s="545"/>
      <c r="F142" s="543">
        <f>D142+E142</f>
        <v>186</v>
      </c>
      <c r="G142" s="303"/>
      <c r="H142" s="542"/>
      <c r="I142" s="543">
        <f>G142+H142</f>
        <v>0</v>
      </c>
      <c r="J142" s="303"/>
      <c r="K142" s="542"/>
      <c r="L142" s="543">
        <f>K142+J142</f>
        <v>0</v>
      </c>
      <c r="M142" s="53"/>
      <c r="N142" s="54"/>
      <c r="O142" s="55">
        <f>N142+M142</f>
        <v>0</v>
      </c>
      <c r="P142" s="57"/>
    </row>
    <row r="143" spans="1:16" ht="24" hidden="1" customHeight="1" x14ac:dyDescent="0.25">
      <c r="A143" s="51">
        <v>2344</v>
      </c>
      <c r="B143" s="88" t="s">
        <v>160</v>
      </c>
      <c r="C143" s="89">
        <f t="shared" si="22"/>
        <v>0</v>
      </c>
      <c r="D143" s="544"/>
      <c r="E143" s="545"/>
      <c r="F143" s="543">
        <f>D143+E143</f>
        <v>0</v>
      </c>
      <c r="G143" s="303"/>
      <c r="H143" s="542"/>
      <c r="I143" s="543">
        <f>G143+H143</f>
        <v>0</v>
      </c>
      <c r="J143" s="303"/>
      <c r="K143" s="542"/>
      <c r="L143" s="543">
        <f>K143+J143</f>
        <v>0</v>
      </c>
      <c r="M143" s="53"/>
      <c r="N143" s="54"/>
      <c r="O143" s="55">
        <f>N143+M143</f>
        <v>0</v>
      </c>
      <c r="P143" s="57"/>
    </row>
    <row r="144" spans="1:16" ht="24" x14ac:dyDescent="0.25">
      <c r="A144" s="185">
        <v>2350</v>
      </c>
      <c r="B144" s="137" t="s">
        <v>161</v>
      </c>
      <c r="C144" s="142">
        <f t="shared" si="22"/>
        <v>4678</v>
      </c>
      <c r="D144" s="317">
        <f t="shared" ref="D144:O144" si="43">SUM(D145:D150)</f>
        <v>4678</v>
      </c>
      <c r="E144" s="686">
        <f t="shared" si="43"/>
        <v>0</v>
      </c>
      <c r="F144" s="667">
        <f t="shared" si="43"/>
        <v>4678</v>
      </c>
      <c r="G144" s="317">
        <f t="shared" si="43"/>
        <v>0</v>
      </c>
      <c r="H144" s="686">
        <f t="shared" si="43"/>
        <v>0</v>
      </c>
      <c r="I144" s="667">
        <f t="shared" si="43"/>
        <v>0</v>
      </c>
      <c r="J144" s="317">
        <f t="shared" si="43"/>
        <v>0</v>
      </c>
      <c r="K144" s="686">
        <f t="shared" si="43"/>
        <v>0</v>
      </c>
      <c r="L144" s="667">
        <f t="shared" si="43"/>
        <v>0</v>
      </c>
      <c r="M144" s="186">
        <f t="shared" si="43"/>
        <v>0</v>
      </c>
      <c r="N144" s="187">
        <f t="shared" si="43"/>
        <v>0</v>
      </c>
      <c r="O144" s="140">
        <f t="shared" si="43"/>
        <v>0</v>
      </c>
      <c r="P144" s="128"/>
    </row>
    <row r="145" spans="1:16" ht="12" customHeight="1" x14ac:dyDescent="0.25">
      <c r="A145" s="44">
        <v>2351</v>
      </c>
      <c r="B145" s="81" t="s">
        <v>162</v>
      </c>
      <c r="C145" s="82">
        <f t="shared" si="22"/>
        <v>1920</v>
      </c>
      <c r="D145" s="689">
        <v>1920</v>
      </c>
      <c r="E145" s="690"/>
      <c r="F145" s="664">
        <f t="shared" ref="F145:F150" si="44">D145+E145</f>
        <v>1920</v>
      </c>
      <c r="G145" s="302"/>
      <c r="H145" s="628"/>
      <c r="I145" s="664">
        <f t="shared" ref="I145:I150" si="45">G145+H145</f>
        <v>0</v>
      </c>
      <c r="J145" s="302"/>
      <c r="K145" s="628"/>
      <c r="L145" s="664">
        <f t="shared" ref="L145:L150" si="46">K145+J145</f>
        <v>0</v>
      </c>
      <c r="M145" s="46"/>
      <c r="N145" s="47"/>
      <c r="O145" s="133">
        <f t="shared" ref="O145:O150" si="47">N145+M145</f>
        <v>0</v>
      </c>
      <c r="P145" s="49"/>
    </row>
    <row r="146" spans="1:16" ht="12" customHeight="1" x14ac:dyDescent="0.25">
      <c r="A146" s="51">
        <v>2352</v>
      </c>
      <c r="B146" s="88" t="s">
        <v>163</v>
      </c>
      <c r="C146" s="89">
        <f t="shared" si="22"/>
        <v>2458</v>
      </c>
      <c r="D146" s="544">
        <v>2458</v>
      </c>
      <c r="E146" s="545"/>
      <c r="F146" s="543">
        <f t="shared" si="44"/>
        <v>2458</v>
      </c>
      <c r="G146" s="303"/>
      <c r="H146" s="542"/>
      <c r="I146" s="543">
        <f t="shared" si="45"/>
        <v>0</v>
      </c>
      <c r="J146" s="303"/>
      <c r="K146" s="542"/>
      <c r="L146" s="543">
        <f t="shared" si="46"/>
        <v>0</v>
      </c>
      <c r="M146" s="53"/>
      <c r="N146" s="54"/>
      <c r="O146" s="55">
        <f t="shared" si="47"/>
        <v>0</v>
      </c>
      <c r="P146" s="57"/>
    </row>
    <row r="147" spans="1:16" ht="24" hidden="1" customHeight="1" x14ac:dyDescent="0.25">
      <c r="A147" s="51">
        <v>2353</v>
      </c>
      <c r="B147" s="88" t="s">
        <v>164</v>
      </c>
      <c r="C147" s="89">
        <f t="shared" si="22"/>
        <v>0</v>
      </c>
      <c r="D147" s="544"/>
      <c r="E147" s="545"/>
      <c r="F147" s="543">
        <f t="shared" si="44"/>
        <v>0</v>
      </c>
      <c r="G147" s="303"/>
      <c r="H147" s="542"/>
      <c r="I147" s="543">
        <f t="shared" si="45"/>
        <v>0</v>
      </c>
      <c r="J147" s="303"/>
      <c r="K147" s="542"/>
      <c r="L147" s="543">
        <f t="shared" si="46"/>
        <v>0</v>
      </c>
      <c r="M147" s="53"/>
      <c r="N147" s="54"/>
      <c r="O147" s="55">
        <f t="shared" si="47"/>
        <v>0</v>
      </c>
      <c r="P147" s="57"/>
    </row>
    <row r="148" spans="1:16" ht="24" hidden="1" customHeight="1" x14ac:dyDescent="0.25">
      <c r="A148" s="51">
        <v>2354</v>
      </c>
      <c r="B148" s="88" t="s">
        <v>165</v>
      </c>
      <c r="C148" s="89">
        <f t="shared" ref="C148:C211" si="48">F148+I148+L148+O148</f>
        <v>0</v>
      </c>
      <c r="D148" s="544"/>
      <c r="E148" s="545"/>
      <c r="F148" s="543">
        <f t="shared" si="44"/>
        <v>0</v>
      </c>
      <c r="G148" s="303"/>
      <c r="H148" s="542"/>
      <c r="I148" s="543">
        <f t="shared" si="45"/>
        <v>0</v>
      </c>
      <c r="J148" s="303"/>
      <c r="K148" s="542"/>
      <c r="L148" s="543">
        <f t="shared" si="46"/>
        <v>0</v>
      </c>
      <c r="M148" s="53"/>
      <c r="N148" s="54"/>
      <c r="O148" s="55">
        <f t="shared" si="47"/>
        <v>0</v>
      </c>
      <c r="P148" s="57"/>
    </row>
    <row r="149" spans="1:16" ht="24" customHeight="1" x14ac:dyDescent="0.25">
      <c r="A149" s="51">
        <v>2355</v>
      </c>
      <c r="B149" s="88" t="s">
        <v>166</v>
      </c>
      <c r="C149" s="89">
        <f t="shared" si="48"/>
        <v>300</v>
      </c>
      <c r="D149" s="544">
        <v>300</v>
      </c>
      <c r="E149" s="545"/>
      <c r="F149" s="543">
        <f t="shared" si="44"/>
        <v>300</v>
      </c>
      <c r="G149" s="303"/>
      <c r="H149" s="542"/>
      <c r="I149" s="543">
        <f t="shared" si="45"/>
        <v>0</v>
      </c>
      <c r="J149" s="303"/>
      <c r="K149" s="542"/>
      <c r="L149" s="543">
        <f t="shared" si="46"/>
        <v>0</v>
      </c>
      <c r="M149" s="53"/>
      <c r="N149" s="54"/>
      <c r="O149" s="55">
        <f t="shared" si="47"/>
        <v>0</v>
      </c>
      <c r="P149" s="57"/>
    </row>
    <row r="150" spans="1:16" ht="24" hidden="1" customHeight="1" x14ac:dyDescent="0.25">
      <c r="A150" s="51">
        <v>2359</v>
      </c>
      <c r="B150" s="88" t="s">
        <v>167</v>
      </c>
      <c r="C150" s="89">
        <f t="shared" si="48"/>
        <v>0</v>
      </c>
      <c r="D150" s="544"/>
      <c r="E150" s="545"/>
      <c r="F150" s="543">
        <f t="shared" si="44"/>
        <v>0</v>
      </c>
      <c r="G150" s="303"/>
      <c r="H150" s="542"/>
      <c r="I150" s="543">
        <f t="shared" si="45"/>
        <v>0</v>
      </c>
      <c r="J150" s="303"/>
      <c r="K150" s="542"/>
      <c r="L150" s="543">
        <f t="shared" si="46"/>
        <v>0</v>
      </c>
      <c r="M150" s="53"/>
      <c r="N150" s="54"/>
      <c r="O150" s="55">
        <f t="shared" si="47"/>
        <v>0</v>
      </c>
      <c r="P150" s="57"/>
    </row>
    <row r="151" spans="1:16" ht="24.75" customHeight="1" x14ac:dyDescent="0.25">
      <c r="A151" s="188">
        <v>2360</v>
      </c>
      <c r="B151" s="88" t="s">
        <v>168</v>
      </c>
      <c r="C151" s="89">
        <f t="shared" si="48"/>
        <v>225</v>
      </c>
      <c r="D151" s="318">
        <f t="shared" ref="D151:O151" si="49">SUM(D152:D158)</f>
        <v>225</v>
      </c>
      <c r="E151" s="687">
        <f t="shared" si="49"/>
        <v>0</v>
      </c>
      <c r="F151" s="543">
        <f t="shared" si="49"/>
        <v>225</v>
      </c>
      <c r="G151" s="318">
        <f t="shared" si="49"/>
        <v>0</v>
      </c>
      <c r="H151" s="687">
        <f t="shared" si="49"/>
        <v>0</v>
      </c>
      <c r="I151" s="543">
        <f t="shared" si="49"/>
        <v>0</v>
      </c>
      <c r="J151" s="318">
        <f t="shared" si="49"/>
        <v>0</v>
      </c>
      <c r="K151" s="687">
        <f t="shared" si="49"/>
        <v>0</v>
      </c>
      <c r="L151" s="543">
        <f t="shared" si="49"/>
        <v>0</v>
      </c>
      <c r="M151" s="189">
        <f t="shared" si="49"/>
        <v>0</v>
      </c>
      <c r="N151" s="190">
        <f t="shared" si="49"/>
        <v>0</v>
      </c>
      <c r="O151" s="55">
        <f t="shared" si="49"/>
        <v>0</v>
      </c>
      <c r="P151" s="57"/>
    </row>
    <row r="152" spans="1:16" ht="12" customHeight="1" x14ac:dyDescent="0.25">
      <c r="A152" s="50">
        <v>2361</v>
      </c>
      <c r="B152" s="88" t="s">
        <v>169</v>
      </c>
      <c r="C152" s="89">
        <f t="shared" si="48"/>
        <v>225</v>
      </c>
      <c r="D152" s="544">
        <v>225</v>
      </c>
      <c r="E152" s="545"/>
      <c r="F152" s="543">
        <f t="shared" ref="F152:F159" si="50">D152+E152</f>
        <v>225</v>
      </c>
      <c r="G152" s="303"/>
      <c r="H152" s="542"/>
      <c r="I152" s="543">
        <f t="shared" ref="I152:I159" si="51">G152+H152</f>
        <v>0</v>
      </c>
      <c r="J152" s="303"/>
      <c r="K152" s="542"/>
      <c r="L152" s="543">
        <f t="shared" ref="L152:L159" si="52">K152+J152</f>
        <v>0</v>
      </c>
      <c r="M152" s="53"/>
      <c r="N152" s="54"/>
      <c r="O152" s="55">
        <f t="shared" ref="O152:O159" si="53">N152+M152</f>
        <v>0</v>
      </c>
      <c r="P152" s="57"/>
    </row>
    <row r="153" spans="1:16" ht="24" hidden="1" customHeight="1" x14ac:dyDescent="0.25">
      <c r="A153" s="50">
        <v>2362</v>
      </c>
      <c r="B153" s="88" t="s">
        <v>170</v>
      </c>
      <c r="C153" s="89">
        <f t="shared" si="48"/>
        <v>0</v>
      </c>
      <c r="D153" s="544"/>
      <c r="E153" s="545"/>
      <c r="F153" s="543">
        <f t="shared" si="50"/>
        <v>0</v>
      </c>
      <c r="G153" s="303"/>
      <c r="H153" s="542"/>
      <c r="I153" s="543">
        <f t="shared" si="51"/>
        <v>0</v>
      </c>
      <c r="J153" s="303"/>
      <c r="K153" s="542"/>
      <c r="L153" s="543">
        <f t="shared" si="52"/>
        <v>0</v>
      </c>
      <c r="M153" s="53"/>
      <c r="N153" s="54"/>
      <c r="O153" s="55">
        <f t="shared" si="53"/>
        <v>0</v>
      </c>
      <c r="P153" s="57"/>
    </row>
    <row r="154" spans="1:16" ht="12" hidden="1" customHeight="1" x14ac:dyDescent="0.25">
      <c r="A154" s="50">
        <v>2363</v>
      </c>
      <c r="B154" s="88" t="s">
        <v>171</v>
      </c>
      <c r="C154" s="89">
        <f t="shared" si="48"/>
        <v>0</v>
      </c>
      <c r="D154" s="544"/>
      <c r="E154" s="545"/>
      <c r="F154" s="543">
        <f t="shared" si="50"/>
        <v>0</v>
      </c>
      <c r="G154" s="303"/>
      <c r="H154" s="542"/>
      <c r="I154" s="543">
        <f t="shared" si="51"/>
        <v>0</v>
      </c>
      <c r="J154" s="303"/>
      <c r="K154" s="542"/>
      <c r="L154" s="543">
        <f t="shared" si="52"/>
        <v>0</v>
      </c>
      <c r="M154" s="53"/>
      <c r="N154" s="54"/>
      <c r="O154" s="55">
        <f t="shared" si="53"/>
        <v>0</v>
      </c>
      <c r="P154" s="57"/>
    </row>
    <row r="155" spans="1:16" ht="12" hidden="1" customHeight="1" x14ac:dyDescent="0.25">
      <c r="A155" s="50">
        <v>2364</v>
      </c>
      <c r="B155" s="88" t="s">
        <v>172</v>
      </c>
      <c r="C155" s="89">
        <f t="shared" si="48"/>
        <v>0</v>
      </c>
      <c r="D155" s="544"/>
      <c r="E155" s="545"/>
      <c r="F155" s="543">
        <f t="shared" si="50"/>
        <v>0</v>
      </c>
      <c r="G155" s="303"/>
      <c r="H155" s="542"/>
      <c r="I155" s="543">
        <f t="shared" si="51"/>
        <v>0</v>
      </c>
      <c r="J155" s="303"/>
      <c r="K155" s="542"/>
      <c r="L155" s="543">
        <f t="shared" si="52"/>
        <v>0</v>
      </c>
      <c r="M155" s="53"/>
      <c r="N155" s="54"/>
      <c r="O155" s="55">
        <f t="shared" si="53"/>
        <v>0</v>
      </c>
      <c r="P155" s="57"/>
    </row>
    <row r="156" spans="1:16" ht="12.75" hidden="1" customHeight="1" x14ac:dyDescent="0.25">
      <c r="A156" s="50">
        <v>2365</v>
      </c>
      <c r="B156" s="88" t="s">
        <v>173</v>
      </c>
      <c r="C156" s="89">
        <f t="shared" si="48"/>
        <v>0</v>
      </c>
      <c r="D156" s="544"/>
      <c r="E156" s="545"/>
      <c r="F156" s="543">
        <f t="shared" si="50"/>
        <v>0</v>
      </c>
      <c r="G156" s="303"/>
      <c r="H156" s="542"/>
      <c r="I156" s="543">
        <f t="shared" si="51"/>
        <v>0</v>
      </c>
      <c r="J156" s="303"/>
      <c r="K156" s="542"/>
      <c r="L156" s="543">
        <f t="shared" si="52"/>
        <v>0</v>
      </c>
      <c r="M156" s="53"/>
      <c r="N156" s="54"/>
      <c r="O156" s="55">
        <f t="shared" si="53"/>
        <v>0</v>
      </c>
      <c r="P156" s="57"/>
    </row>
    <row r="157" spans="1:16" ht="36" hidden="1" customHeight="1" x14ac:dyDescent="0.25">
      <c r="A157" s="50">
        <v>2366</v>
      </c>
      <c r="B157" s="88" t="s">
        <v>174</v>
      </c>
      <c r="C157" s="89">
        <f t="shared" si="48"/>
        <v>0</v>
      </c>
      <c r="D157" s="544"/>
      <c r="E157" s="545"/>
      <c r="F157" s="543">
        <f t="shared" si="50"/>
        <v>0</v>
      </c>
      <c r="G157" s="303"/>
      <c r="H157" s="542"/>
      <c r="I157" s="543">
        <f t="shared" si="51"/>
        <v>0</v>
      </c>
      <c r="J157" s="303"/>
      <c r="K157" s="542"/>
      <c r="L157" s="543">
        <f t="shared" si="52"/>
        <v>0</v>
      </c>
      <c r="M157" s="53"/>
      <c r="N157" s="54"/>
      <c r="O157" s="55">
        <f t="shared" si="53"/>
        <v>0</v>
      </c>
      <c r="P157" s="57"/>
    </row>
    <row r="158" spans="1:16" ht="48" hidden="1" customHeight="1" x14ac:dyDescent="0.25">
      <c r="A158" s="50">
        <v>2369</v>
      </c>
      <c r="B158" s="88" t="s">
        <v>175</v>
      </c>
      <c r="C158" s="89">
        <f t="shared" si="48"/>
        <v>0</v>
      </c>
      <c r="D158" s="544"/>
      <c r="E158" s="545"/>
      <c r="F158" s="543">
        <f t="shared" si="50"/>
        <v>0</v>
      </c>
      <c r="G158" s="303"/>
      <c r="H158" s="542"/>
      <c r="I158" s="543">
        <f t="shared" si="51"/>
        <v>0</v>
      </c>
      <c r="J158" s="303"/>
      <c r="K158" s="542"/>
      <c r="L158" s="543">
        <f t="shared" si="52"/>
        <v>0</v>
      </c>
      <c r="M158" s="53"/>
      <c r="N158" s="54"/>
      <c r="O158" s="55">
        <f t="shared" si="53"/>
        <v>0</v>
      </c>
      <c r="P158" s="57"/>
    </row>
    <row r="159" spans="1:16" ht="12" customHeight="1" x14ac:dyDescent="0.25">
      <c r="A159" s="185">
        <v>2370</v>
      </c>
      <c r="B159" s="137" t="s">
        <v>176</v>
      </c>
      <c r="C159" s="142">
        <f t="shared" si="48"/>
        <v>6114</v>
      </c>
      <c r="D159" s="691">
        <v>5114</v>
      </c>
      <c r="E159" s="692"/>
      <c r="F159" s="667">
        <f t="shared" si="50"/>
        <v>5114</v>
      </c>
      <c r="G159" s="312">
        <v>1000</v>
      </c>
      <c r="H159" s="666"/>
      <c r="I159" s="667">
        <f t="shared" si="51"/>
        <v>1000</v>
      </c>
      <c r="J159" s="312"/>
      <c r="K159" s="666"/>
      <c r="L159" s="667">
        <f t="shared" si="52"/>
        <v>0</v>
      </c>
      <c r="M159" s="143"/>
      <c r="N159" s="144"/>
      <c r="O159" s="140">
        <f t="shared" si="53"/>
        <v>0</v>
      </c>
      <c r="P159" s="128"/>
    </row>
    <row r="160" spans="1:16" hidden="1" x14ac:dyDescent="0.25">
      <c r="A160" s="185">
        <v>2380</v>
      </c>
      <c r="B160" s="137" t="s">
        <v>177</v>
      </c>
      <c r="C160" s="142">
        <f t="shared" si="48"/>
        <v>0</v>
      </c>
      <c r="D160" s="317">
        <f t="shared" ref="D160:O160" si="54">SUM(D161:D162)</f>
        <v>0</v>
      </c>
      <c r="E160" s="686">
        <f t="shared" si="54"/>
        <v>0</v>
      </c>
      <c r="F160" s="667">
        <f t="shared" si="54"/>
        <v>0</v>
      </c>
      <c r="G160" s="317">
        <f t="shared" si="54"/>
        <v>0</v>
      </c>
      <c r="H160" s="686">
        <f t="shared" si="54"/>
        <v>0</v>
      </c>
      <c r="I160" s="667">
        <f t="shared" si="54"/>
        <v>0</v>
      </c>
      <c r="J160" s="317">
        <f t="shared" si="54"/>
        <v>0</v>
      </c>
      <c r="K160" s="686">
        <f t="shared" si="54"/>
        <v>0</v>
      </c>
      <c r="L160" s="667">
        <f t="shared" si="54"/>
        <v>0</v>
      </c>
      <c r="M160" s="186">
        <f t="shared" si="54"/>
        <v>0</v>
      </c>
      <c r="N160" s="187">
        <f t="shared" si="54"/>
        <v>0</v>
      </c>
      <c r="O160" s="140">
        <f t="shared" si="54"/>
        <v>0</v>
      </c>
      <c r="P160" s="128"/>
    </row>
    <row r="161" spans="1:16" ht="12" hidden="1" customHeight="1" x14ac:dyDescent="0.25">
      <c r="A161" s="43">
        <v>2381</v>
      </c>
      <c r="B161" s="81" t="s">
        <v>178</v>
      </c>
      <c r="C161" s="82">
        <f t="shared" si="48"/>
        <v>0</v>
      </c>
      <c r="D161" s="689"/>
      <c r="E161" s="690"/>
      <c r="F161" s="664">
        <f>D161+E161</f>
        <v>0</v>
      </c>
      <c r="G161" s="302"/>
      <c r="H161" s="628"/>
      <c r="I161" s="664">
        <f>G161+H161</f>
        <v>0</v>
      </c>
      <c r="J161" s="302"/>
      <c r="K161" s="628"/>
      <c r="L161" s="664">
        <f>K161+J161</f>
        <v>0</v>
      </c>
      <c r="M161" s="46"/>
      <c r="N161" s="47"/>
      <c r="O161" s="133">
        <f>N161+M161</f>
        <v>0</v>
      </c>
      <c r="P161" s="49"/>
    </row>
    <row r="162" spans="1:16" ht="24" hidden="1" customHeight="1" x14ac:dyDescent="0.25">
      <c r="A162" s="50">
        <v>2389</v>
      </c>
      <c r="B162" s="88" t="s">
        <v>179</v>
      </c>
      <c r="C162" s="89">
        <f t="shared" si="48"/>
        <v>0</v>
      </c>
      <c r="D162" s="544"/>
      <c r="E162" s="545"/>
      <c r="F162" s="543">
        <f>D162+E162</f>
        <v>0</v>
      </c>
      <c r="G162" s="303"/>
      <c r="H162" s="542"/>
      <c r="I162" s="543">
        <f>G162+H162</f>
        <v>0</v>
      </c>
      <c r="J162" s="303"/>
      <c r="K162" s="542"/>
      <c r="L162" s="543">
        <f>K162+J162</f>
        <v>0</v>
      </c>
      <c r="M162" s="53"/>
      <c r="N162" s="54"/>
      <c r="O162" s="55">
        <f>N162+M162</f>
        <v>0</v>
      </c>
      <c r="P162" s="57"/>
    </row>
    <row r="163" spans="1:16" ht="12" hidden="1" customHeight="1" x14ac:dyDescent="0.25">
      <c r="A163" s="185">
        <v>2390</v>
      </c>
      <c r="B163" s="137" t="s">
        <v>180</v>
      </c>
      <c r="C163" s="142">
        <f t="shared" si="48"/>
        <v>0</v>
      </c>
      <c r="D163" s="691"/>
      <c r="E163" s="692"/>
      <c r="F163" s="667">
        <f>D163+E163</f>
        <v>0</v>
      </c>
      <c r="G163" s="312"/>
      <c r="H163" s="666"/>
      <c r="I163" s="667">
        <f>G163+H163</f>
        <v>0</v>
      </c>
      <c r="J163" s="312"/>
      <c r="K163" s="666"/>
      <c r="L163" s="667">
        <f>K163+J163</f>
        <v>0</v>
      </c>
      <c r="M163" s="143"/>
      <c r="N163" s="144"/>
      <c r="O163" s="140">
        <f>N163+M163</f>
        <v>0</v>
      </c>
      <c r="P163" s="128"/>
    </row>
    <row r="164" spans="1:16" ht="12" hidden="1" customHeight="1" x14ac:dyDescent="0.25">
      <c r="A164" s="68">
        <v>2400</v>
      </c>
      <c r="B164" s="182" t="s">
        <v>181</v>
      </c>
      <c r="C164" s="69">
        <f t="shared" si="48"/>
        <v>0</v>
      </c>
      <c r="D164" s="330"/>
      <c r="E164" s="693"/>
      <c r="F164" s="638">
        <f>D164+E164</f>
        <v>0</v>
      </c>
      <c r="G164" s="320"/>
      <c r="H164" s="637"/>
      <c r="I164" s="638">
        <f>G164+H164</f>
        <v>0</v>
      </c>
      <c r="J164" s="320"/>
      <c r="K164" s="637"/>
      <c r="L164" s="638">
        <f>K164+J164</f>
        <v>0</v>
      </c>
      <c r="M164" s="70"/>
      <c r="N164" s="71"/>
      <c r="O164" s="72">
        <f>N164+M164</f>
        <v>0</v>
      </c>
      <c r="P164" s="76"/>
    </row>
    <row r="165" spans="1:16" ht="24" hidden="1" x14ac:dyDescent="0.25">
      <c r="A165" s="68">
        <v>2500</v>
      </c>
      <c r="B165" s="182" t="s">
        <v>182</v>
      </c>
      <c r="C165" s="69">
        <f t="shared" si="48"/>
        <v>0</v>
      </c>
      <c r="D165" s="316">
        <f>SUM(D166,D171)</f>
        <v>0</v>
      </c>
      <c r="E165" s="685">
        <f>SUM(E166,E171)</f>
        <v>0</v>
      </c>
      <c r="F165" s="638">
        <f>SUM(F166,F171)</f>
        <v>0</v>
      </c>
      <c r="G165" s="316">
        <f t="shared" ref="G165:M165" si="55">SUM(G166,G171)</f>
        <v>0</v>
      </c>
      <c r="H165" s="685">
        <f>SUM(H166,H171)</f>
        <v>0</v>
      </c>
      <c r="I165" s="638">
        <f>SUM(I166,I171)</f>
        <v>0</v>
      </c>
      <c r="J165" s="316">
        <f t="shared" si="55"/>
        <v>0</v>
      </c>
      <c r="K165" s="685">
        <f>SUM(K166,K171)</f>
        <v>0</v>
      </c>
      <c r="L165" s="638">
        <f>SUM(L166,L171)</f>
        <v>0</v>
      </c>
      <c r="M165" s="183">
        <f t="shared" si="55"/>
        <v>0</v>
      </c>
      <c r="N165" s="184">
        <f>SUM(N166,N171)</f>
        <v>0</v>
      </c>
      <c r="O165" s="72">
        <f>SUM(O166,O171)</f>
        <v>0</v>
      </c>
      <c r="P165" s="76"/>
    </row>
    <row r="166" spans="1:16" ht="16.5" hidden="1" customHeight="1" x14ac:dyDescent="0.25">
      <c r="A166" s="293">
        <v>2510</v>
      </c>
      <c r="B166" s="81" t="s">
        <v>183</v>
      </c>
      <c r="C166" s="82">
        <f t="shared" si="48"/>
        <v>0</v>
      </c>
      <c r="D166" s="319">
        <f>SUM(D167:D170)</f>
        <v>0</v>
      </c>
      <c r="E166" s="688">
        <f>SUM(E167:E170)</f>
        <v>0</v>
      </c>
      <c r="F166" s="664">
        <f>SUM(F167:F170)</f>
        <v>0</v>
      </c>
      <c r="G166" s="319">
        <f t="shared" ref="G166:M166" si="56">SUM(G167:G170)</f>
        <v>0</v>
      </c>
      <c r="H166" s="688">
        <f>SUM(H167:H170)</f>
        <v>0</v>
      </c>
      <c r="I166" s="664">
        <f>SUM(I167:I170)</f>
        <v>0</v>
      </c>
      <c r="J166" s="319">
        <f t="shared" si="56"/>
        <v>0</v>
      </c>
      <c r="K166" s="688">
        <f>SUM(K167:K170)</f>
        <v>0</v>
      </c>
      <c r="L166" s="664">
        <f>SUM(L167:L170)</f>
        <v>0</v>
      </c>
      <c r="M166" s="192">
        <f t="shared" si="56"/>
        <v>0</v>
      </c>
      <c r="N166" s="193">
        <f>SUM(N167:N170)</f>
        <v>0</v>
      </c>
      <c r="O166" s="133">
        <f>SUM(O167:O170)</f>
        <v>0</v>
      </c>
      <c r="P166" s="49"/>
    </row>
    <row r="167" spans="1:16" ht="24" hidden="1" customHeight="1" x14ac:dyDescent="0.25">
      <c r="A167" s="51">
        <v>2512</v>
      </c>
      <c r="B167" s="88" t="s">
        <v>184</v>
      </c>
      <c r="C167" s="89">
        <f t="shared" si="48"/>
        <v>0</v>
      </c>
      <c r="D167" s="544"/>
      <c r="E167" s="545"/>
      <c r="F167" s="543">
        <f t="shared" ref="F167:F172" si="57">D167+E167</f>
        <v>0</v>
      </c>
      <c r="G167" s="303"/>
      <c r="H167" s="542"/>
      <c r="I167" s="543">
        <f t="shared" ref="I167:I172" si="58">G167+H167</f>
        <v>0</v>
      </c>
      <c r="J167" s="303"/>
      <c r="K167" s="542"/>
      <c r="L167" s="543">
        <f t="shared" ref="L167:L172" si="59">K167+J167</f>
        <v>0</v>
      </c>
      <c r="M167" s="53"/>
      <c r="N167" s="54"/>
      <c r="O167" s="55">
        <f t="shared" ref="O167:O172" si="60">N167+M167</f>
        <v>0</v>
      </c>
      <c r="P167" s="57"/>
    </row>
    <row r="168" spans="1:16" ht="36" hidden="1" customHeight="1" x14ac:dyDescent="0.25">
      <c r="A168" s="51">
        <v>2513</v>
      </c>
      <c r="B168" s="88" t="s">
        <v>185</v>
      </c>
      <c r="C168" s="89">
        <f t="shared" si="48"/>
        <v>0</v>
      </c>
      <c r="D168" s="544"/>
      <c r="E168" s="545"/>
      <c r="F168" s="543">
        <f t="shared" si="57"/>
        <v>0</v>
      </c>
      <c r="G168" s="303"/>
      <c r="H168" s="542"/>
      <c r="I168" s="543">
        <f t="shared" si="58"/>
        <v>0</v>
      </c>
      <c r="J168" s="303"/>
      <c r="K168" s="542"/>
      <c r="L168" s="543">
        <f t="shared" si="59"/>
        <v>0</v>
      </c>
      <c r="M168" s="53"/>
      <c r="N168" s="54"/>
      <c r="O168" s="55">
        <f t="shared" si="60"/>
        <v>0</v>
      </c>
      <c r="P168" s="57"/>
    </row>
    <row r="169" spans="1:16" ht="24" hidden="1" customHeight="1" x14ac:dyDescent="0.25">
      <c r="A169" s="51">
        <v>2515</v>
      </c>
      <c r="B169" s="88" t="s">
        <v>186</v>
      </c>
      <c r="C169" s="89">
        <f t="shared" si="48"/>
        <v>0</v>
      </c>
      <c r="D169" s="544"/>
      <c r="E169" s="545"/>
      <c r="F169" s="543">
        <f t="shared" si="57"/>
        <v>0</v>
      </c>
      <c r="G169" s="303"/>
      <c r="H169" s="542"/>
      <c r="I169" s="543">
        <f t="shared" si="58"/>
        <v>0</v>
      </c>
      <c r="J169" s="303"/>
      <c r="K169" s="542"/>
      <c r="L169" s="543">
        <f t="shared" si="59"/>
        <v>0</v>
      </c>
      <c r="M169" s="53"/>
      <c r="N169" s="54"/>
      <c r="O169" s="55">
        <f t="shared" si="60"/>
        <v>0</v>
      </c>
      <c r="P169" s="57"/>
    </row>
    <row r="170" spans="1:16" ht="24" hidden="1" customHeight="1" x14ac:dyDescent="0.25">
      <c r="A170" s="51">
        <v>2519</v>
      </c>
      <c r="B170" s="88" t="s">
        <v>187</v>
      </c>
      <c r="C170" s="89">
        <f t="shared" si="48"/>
        <v>0</v>
      </c>
      <c r="D170" s="544"/>
      <c r="E170" s="545"/>
      <c r="F170" s="543">
        <f t="shared" si="57"/>
        <v>0</v>
      </c>
      <c r="G170" s="303"/>
      <c r="H170" s="542"/>
      <c r="I170" s="543">
        <f t="shared" si="58"/>
        <v>0</v>
      </c>
      <c r="J170" s="303"/>
      <c r="K170" s="542"/>
      <c r="L170" s="543">
        <f t="shared" si="59"/>
        <v>0</v>
      </c>
      <c r="M170" s="53"/>
      <c r="N170" s="54"/>
      <c r="O170" s="55">
        <f t="shared" si="60"/>
        <v>0</v>
      </c>
      <c r="P170" s="57"/>
    </row>
    <row r="171" spans="1:16" ht="24" hidden="1" customHeight="1" x14ac:dyDescent="0.25">
      <c r="A171" s="188">
        <v>2520</v>
      </c>
      <c r="B171" s="88" t="s">
        <v>188</v>
      </c>
      <c r="C171" s="89">
        <f t="shared" si="48"/>
        <v>0</v>
      </c>
      <c r="D171" s="544"/>
      <c r="E171" s="545"/>
      <c r="F171" s="543">
        <f t="shared" si="57"/>
        <v>0</v>
      </c>
      <c r="G171" s="303"/>
      <c r="H171" s="542"/>
      <c r="I171" s="543">
        <f t="shared" si="58"/>
        <v>0</v>
      </c>
      <c r="J171" s="303"/>
      <c r="K171" s="542"/>
      <c r="L171" s="543">
        <f t="shared" si="59"/>
        <v>0</v>
      </c>
      <c r="M171" s="53"/>
      <c r="N171" s="54"/>
      <c r="O171" s="55">
        <f t="shared" si="60"/>
        <v>0</v>
      </c>
      <c r="P171" s="57"/>
    </row>
    <row r="172" spans="1:16" s="206" customFormat="1" ht="36" hidden="1" customHeight="1" x14ac:dyDescent="0.25">
      <c r="A172" s="23">
        <v>2800</v>
      </c>
      <c r="B172" s="81" t="s">
        <v>189</v>
      </c>
      <c r="C172" s="82">
        <f t="shared" si="48"/>
        <v>0</v>
      </c>
      <c r="D172" s="302"/>
      <c r="E172" s="628"/>
      <c r="F172" s="664">
        <f t="shared" si="57"/>
        <v>0</v>
      </c>
      <c r="G172" s="302"/>
      <c r="H172" s="628"/>
      <c r="I172" s="664">
        <f t="shared" si="58"/>
        <v>0</v>
      </c>
      <c r="J172" s="302"/>
      <c r="K172" s="628"/>
      <c r="L172" s="664">
        <f t="shared" si="59"/>
        <v>0</v>
      </c>
      <c r="M172" s="46"/>
      <c r="N172" s="47"/>
      <c r="O172" s="133">
        <f t="shared" si="60"/>
        <v>0</v>
      </c>
      <c r="P172" s="49"/>
    </row>
    <row r="173" spans="1:16" hidden="1" x14ac:dyDescent="0.25">
      <c r="A173" s="176">
        <v>3000</v>
      </c>
      <c r="B173" s="176" t="s">
        <v>190</v>
      </c>
      <c r="C173" s="177">
        <f t="shared" si="48"/>
        <v>0</v>
      </c>
      <c r="D173" s="842">
        <f t="shared" ref="D173:O173" si="61">SUM(D174,D184)</f>
        <v>0</v>
      </c>
      <c r="E173" s="843">
        <f t="shared" si="61"/>
        <v>0</v>
      </c>
      <c r="F173" s="844">
        <f t="shared" si="61"/>
        <v>0</v>
      </c>
      <c r="G173" s="842">
        <f t="shared" si="61"/>
        <v>0</v>
      </c>
      <c r="H173" s="843">
        <f t="shared" si="61"/>
        <v>0</v>
      </c>
      <c r="I173" s="844">
        <f t="shared" si="61"/>
        <v>0</v>
      </c>
      <c r="J173" s="842">
        <f t="shared" si="61"/>
        <v>0</v>
      </c>
      <c r="K173" s="843">
        <f t="shared" si="61"/>
        <v>0</v>
      </c>
      <c r="L173" s="844">
        <f t="shared" si="61"/>
        <v>0</v>
      </c>
      <c r="M173" s="178">
        <f t="shared" si="61"/>
        <v>0</v>
      </c>
      <c r="N173" s="179">
        <f t="shared" si="61"/>
        <v>0</v>
      </c>
      <c r="O173" s="180">
        <f t="shared" si="61"/>
        <v>0</v>
      </c>
      <c r="P173" s="181"/>
    </row>
    <row r="174" spans="1:16" ht="24" hidden="1" x14ac:dyDescent="0.25">
      <c r="A174" s="68">
        <v>3200</v>
      </c>
      <c r="B174" s="207" t="s">
        <v>191</v>
      </c>
      <c r="C174" s="69">
        <f t="shared" si="48"/>
        <v>0</v>
      </c>
      <c r="D174" s="316">
        <f>SUM(D175,D179)</f>
        <v>0</v>
      </c>
      <c r="E174" s="685">
        <f>SUM(E175,E179)</f>
        <v>0</v>
      </c>
      <c r="F174" s="638">
        <f>SUM(F175,F179)</f>
        <v>0</v>
      </c>
      <c r="G174" s="316">
        <f t="shared" ref="G174:M174" si="62">SUM(G175,G179)</f>
        <v>0</v>
      </c>
      <c r="H174" s="685">
        <f>SUM(H175,H179)</f>
        <v>0</v>
      </c>
      <c r="I174" s="638">
        <f>SUM(I175,I179)</f>
        <v>0</v>
      </c>
      <c r="J174" s="316">
        <f t="shared" si="62"/>
        <v>0</v>
      </c>
      <c r="K174" s="685">
        <f>SUM(K175,K179)</f>
        <v>0</v>
      </c>
      <c r="L174" s="638">
        <f>SUM(L175,L179)</f>
        <v>0</v>
      </c>
      <c r="M174" s="183">
        <f t="shared" si="62"/>
        <v>0</v>
      </c>
      <c r="N174" s="184">
        <f>SUM(N175,N179)</f>
        <v>0</v>
      </c>
      <c r="O174" s="72">
        <f>SUM(O175,O179)</f>
        <v>0</v>
      </c>
      <c r="P174" s="76"/>
    </row>
    <row r="175" spans="1:16" ht="36" hidden="1" x14ac:dyDescent="0.25">
      <c r="A175" s="293">
        <v>3260</v>
      </c>
      <c r="B175" s="81" t="s">
        <v>192</v>
      </c>
      <c r="C175" s="82">
        <f t="shared" si="48"/>
        <v>0</v>
      </c>
      <c r="D175" s="319">
        <f t="shared" ref="D175:O175" si="63">SUM(D176:D178)</f>
        <v>0</v>
      </c>
      <c r="E175" s="688">
        <f t="shared" si="63"/>
        <v>0</v>
      </c>
      <c r="F175" s="664">
        <f t="shared" si="63"/>
        <v>0</v>
      </c>
      <c r="G175" s="319">
        <f t="shared" si="63"/>
        <v>0</v>
      </c>
      <c r="H175" s="688">
        <f t="shared" si="63"/>
        <v>0</v>
      </c>
      <c r="I175" s="664">
        <f t="shared" si="63"/>
        <v>0</v>
      </c>
      <c r="J175" s="319">
        <f t="shared" si="63"/>
        <v>0</v>
      </c>
      <c r="K175" s="688">
        <f t="shared" si="63"/>
        <v>0</v>
      </c>
      <c r="L175" s="664">
        <f t="shared" si="63"/>
        <v>0</v>
      </c>
      <c r="M175" s="192">
        <f t="shared" si="63"/>
        <v>0</v>
      </c>
      <c r="N175" s="193">
        <f t="shared" si="63"/>
        <v>0</v>
      </c>
      <c r="O175" s="133">
        <f t="shared" si="63"/>
        <v>0</v>
      </c>
      <c r="P175" s="49"/>
    </row>
    <row r="176" spans="1:16" ht="24" hidden="1" customHeight="1" x14ac:dyDescent="0.25">
      <c r="A176" s="51">
        <v>3261</v>
      </c>
      <c r="B176" s="88" t="s">
        <v>193</v>
      </c>
      <c r="C176" s="89">
        <f t="shared" si="48"/>
        <v>0</v>
      </c>
      <c r="D176" s="544"/>
      <c r="E176" s="545"/>
      <c r="F176" s="543">
        <f>D176+E176</f>
        <v>0</v>
      </c>
      <c r="G176" s="303"/>
      <c r="H176" s="542"/>
      <c r="I176" s="543">
        <f>G176+H176</f>
        <v>0</v>
      </c>
      <c r="J176" s="303"/>
      <c r="K176" s="542"/>
      <c r="L176" s="543">
        <f>K176+J176</f>
        <v>0</v>
      </c>
      <c r="M176" s="53"/>
      <c r="N176" s="54"/>
      <c r="O176" s="55">
        <f>N176+M176</f>
        <v>0</v>
      </c>
      <c r="P176" s="57"/>
    </row>
    <row r="177" spans="1:16" ht="36" hidden="1" customHeight="1" x14ac:dyDescent="0.25">
      <c r="A177" s="51">
        <v>3262</v>
      </c>
      <c r="B177" s="88" t="s">
        <v>194</v>
      </c>
      <c r="C177" s="89">
        <f t="shared" si="48"/>
        <v>0</v>
      </c>
      <c r="D177" s="544"/>
      <c r="E177" s="545"/>
      <c r="F177" s="543">
        <f>D177+E177</f>
        <v>0</v>
      </c>
      <c r="G177" s="303"/>
      <c r="H177" s="542"/>
      <c r="I177" s="543">
        <f>G177+H177</f>
        <v>0</v>
      </c>
      <c r="J177" s="303"/>
      <c r="K177" s="542"/>
      <c r="L177" s="543">
        <f>K177+J177</f>
        <v>0</v>
      </c>
      <c r="M177" s="53"/>
      <c r="N177" s="54"/>
      <c r="O177" s="55">
        <f>N177+M177</f>
        <v>0</v>
      </c>
      <c r="P177" s="57"/>
    </row>
    <row r="178" spans="1:16" ht="24" hidden="1" customHeight="1" x14ac:dyDescent="0.25">
      <c r="A178" s="51">
        <v>3263</v>
      </c>
      <c r="B178" s="88" t="s">
        <v>195</v>
      </c>
      <c r="C178" s="89">
        <f t="shared" si="48"/>
        <v>0</v>
      </c>
      <c r="D178" s="544"/>
      <c r="E178" s="545"/>
      <c r="F178" s="543">
        <f>D178+E178</f>
        <v>0</v>
      </c>
      <c r="G178" s="303"/>
      <c r="H178" s="542"/>
      <c r="I178" s="543">
        <f>G178+H178</f>
        <v>0</v>
      </c>
      <c r="J178" s="303"/>
      <c r="K178" s="542"/>
      <c r="L178" s="543">
        <f>K178+J178</f>
        <v>0</v>
      </c>
      <c r="M178" s="53"/>
      <c r="N178" s="54"/>
      <c r="O178" s="55">
        <f>N178+M178</f>
        <v>0</v>
      </c>
      <c r="P178" s="57"/>
    </row>
    <row r="179" spans="1:16" ht="84" hidden="1" x14ac:dyDescent="0.25">
      <c r="A179" s="293">
        <v>3290</v>
      </c>
      <c r="B179" s="81" t="s">
        <v>196</v>
      </c>
      <c r="C179" s="208">
        <f t="shared" si="48"/>
        <v>0</v>
      </c>
      <c r="D179" s="319">
        <f>SUM(D180:D183)</f>
        <v>0</v>
      </c>
      <c r="E179" s="688">
        <f>SUM(E180:E183)</f>
        <v>0</v>
      </c>
      <c r="F179" s="664">
        <f>SUM(F180:F183)</f>
        <v>0</v>
      </c>
      <c r="G179" s="319">
        <f t="shared" ref="G179:M179" si="64">SUM(G180:G183)</f>
        <v>0</v>
      </c>
      <c r="H179" s="688">
        <f>SUM(H180:H183)</f>
        <v>0</v>
      </c>
      <c r="I179" s="664">
        <f>SUM(I180:I183)</f>
        <v>0</v>
      </c>
      <c r="J179" s="319">
        <f t="shared" si="64"/>
        <v>0</v>
      </c>
      <c r="K179" s="688">
        <f>SUM(K180:K183)</f>
        <v>0</v>
      </c>
      <c r="L179" s="664">
        <f>SUM(L180:L183)</f>
        <v>0</v>
      </c>
      <c r="M179" s="192">
        <f t="shared" si="64"/>
        <v>0</v>
      </c>
      <c r="N179" s="193">
        <f>SUM(N180:N183)</f>
        <v>0</v>
      </c>
      <c r="O179" s="133">
        <f>SUM(O180:O183)</f>
        <v>0</v>
      </c>
      <c r="P179" s="49"/>
    </row>
    <row r="180" spans="1:16" ht="72" hidden="1" customHeight="1" x14ac:dyDescent="0.25">
      <c r="A180" s="51">
        <v>3291</v>
      </c>
      <c r="B180" s="88" t="s">
        <v>197</v>
      </c>
      <c r="C180" s="89">
        <f t="shared" si="48"/>
        <v>0</v>
      </c>
      <c r="D180" s="544"/>
      <c r="E180" s="545"/>
      <c r="F180" s="543">
        <f>D180+E180</f>
        <v>0</v>
      </c>
      <c r="G180" s="303"/>
      <c r="H180" s="542"/>
      <c r="I180" s="543">
        <f>G180+H180</f>
        <v>0</v>
      </c>
      <c r="J180" s="303"/>
      <c r="K180" s="542"/>
      <c r="L180" s="543">
        <f>K180+J180</f>
        <v>0</v>
      </c>
      <c r="M180" s="53"/>
      <c r="N180" s="54"/>
      <c r="O180" s="55">
        <f>N180+M180</f>
        <v>0</v>
      </c>
      <c r="P180" s="57"/>
    </row>
    <row r="181" spans="1:16" ht="72" hidden="1" customHeight="1" x14ac:dyDescent="0.25">
      <c r="A181" s="51">
        <v>3292</v>
      </c>
      <c r="B181" s="88" t="s">
        <v>198</v>
      </c>
      <c r="C181" s="89">
        <f t="shared" si="48"/>
        <v>0</v>
      </c>
      <c r="D181" s="544"/>
      <c r="E181" s="545"/>
      <c r="F181" s="543">
        <f>D181+E181</f>
        <v>0</v>
      </c>
      <c r="G181" s="303"/>
      <c r="H181" s="542"/>
      <c r="I181" s="543">
        <f>G181+H181</f>
        <v>0</v>
      </c>
      <c r="J181" s="303"/>
      <c r="K181" s="542"/>
      <c r="L181" s="543">
        <f>K181+J181</f>
        <v>0</v>
      </c>
      <c r="M181" s="53"/>
      <c r="N181" s="54"/>
      <c r="O181" s="55">
        <f>N181+M181</f>
        <v>0</v>
      </c>
      <c r="P181" s="57"/>
    </row>
    <row r="182" spans="1:16" ht="72" hidden="1" customHeight="1" x14ac:dyDescent="0.25">
      <c r="A182" s="51">
        <v>3293</v>
      </c>
      <c r="B182" s="88" t="s">
        <v>199</v>
      </c>
      <c r="C182" s="89">
        <f t="shared" si="48"/>
        <v>0</v>
      </c>
      <c r="D182" s="544"/>
      <c r="E182" s="545"/>
      <c r="F182" s="543">
        <f>D182+E182</f>
        <v>0</v>
      </c>
      <c r="G182" s="303"/>
      <c r="H182" s="542"/>
      <c r="I182" s="543">
        <f>G182+H182</f>
        <v>0</v>
      </c>
      <c r="J182" s="303"/>
      <c r="K182" s="542"/>
      <c r="L182" s="543">
        <f>K182+J182</f>
        <v>0</v>
      </c>
      <c r="M182" s="53"/>
      <c r="N182" s="54"/>
      <c r="O182" s="55">
        <f>N182+M182</f>
        <v>0</v>
      </c>
      <c r="P182" s="57"/>
    </row>
    <row r="183" spans="1:16" ht="60" hidden="1" customHeight="1" x14ac:dyDescent="0.25">
      <c r="A183" s="209">
        <v>3294</v>
      </c>
      <c r="B183" s="88" t="s">
        <v>200</v>
      </c>
      <c r="C183" s="208">
        <f t="shared" si="48"/>
        <v>0</v>
      </c>
      <c r="D183" s="694"/>
      <c r="E183" s="695"/>
      <c r="F183" s="696">
        <f>D183+E183</f>
        <v>0</v>
      </c>
      <c r="G183" s="321"/>
      <c r="H183" s="697"/>
      <c r="I183" s="696">
        <f>G183+H183</f>
        <v>0</v>
      </c>
      <c r="J183" s="321"/>
      <c r="K183" s="697"/>
      <c r="L183" s="696">
        <f>K183+J183</f>
        <v>0</v>
      </c>
      <c r="M183" s="213"/>
      <c r="N183" s="214"/>
      <c r="O183" s="212">
        <f>N183+M183</f>
        <v>0</v>
      </c>
      <c r="P183" s="215"/>
    </row>
    <row r="184" spans="1:16" ht="48" hidden="1" x14ac:dyDescent="0.25">
      <c r="A184" s="216">
        <v>3300</v>
      </c>
      <c r="B184" s="207" t="s">
        <v>201</v>
      </c>
      <c r="C184" s="217">
        <f t="shared" si="48"/>
        <v>0</v>
      </c>
      <c r="D184" s="322">
        <f>SUM(D185:D186)</f>
        <v>0</v>
      </c>
      <c r="E184" s="698">
        <f>SUM(E185:E186)</f>
        <v>0</v>
      </c>
      <c r="F184" s="699">
        <f>SUM(F185:F186)</f>
        <v>0</v>
      </c>
      <c r="G184" s="322">
        <f t="shared" ref="G184:M184" si="65">SUM(G185:G186)</f>
        <v>0</v>
      </c>
      <c r="H184" s="698">
        <f>SUM(H185:H186)</f>
        <v>0</v>
      </c>
      <c r="I184" s="699">
        <f>SUM(I185:I186)</f>
        <v>0</v>
      </c>
      <c r="J184" s="322">
        <f t="shared" si="65"/>
        <v>0</v>
      </c>
      <c r="K184" s="698">
        <f>SUM(K185:K186)</f>
        <v>0</v>
      </c>
      <c r="L184" s="699">
        <f>SUM(L185:L186)</f>
        <v>0</v>
      </c>
      <c r="M184" s="218">
        <f t="shared" si="65"/>
        <v>0</v>
      </c>
      <c r="N184" s="219">
        <f>SUM(N185:N186)</f>
        <v>0</v>
      </c>
      <c r="O184" s="220">
        <f>SUM(O185:O186)</f>
        <v>0</v>
      </c>
      <c r="P184" s="221"/>
    </row>
    <row r="185" spans="1:16" ht="48" hidden="1" customHeight="1" x14ac:dyDescent="0.25">
      <c r="A185" s="136">
        <v>3310</v>
      </c>
      <c r="B185" s="137" t="s">
        <v>202</v>
      </c>
      <c r="C185" s="142">
        <f t="shared" si="48"/>
        <v>0</v>
      </c>
      <c r="D185" s="691"/>
      <c r="E185" s="692"/>
      <c r="F185" s="667">
        <f>D185+E185</f>
        <v>0</v>
      </c>
      <c r="G185" s="312"/>
      <c r="H185" s="666"/>
      <c r="I185" s="667">
        <f>G185+H185</f>
        <v>0</v>
      </c>
      <c r="J185" s="312"/>
      <c r="K185" s="666"/>
      <c r="L185" s="667">
        <f>K185+J185</f>
        <v>0</v>
      </c>
      <c r="M185" s="143"/>
      <c r="N185" s="144"/>
      <c r="O185" s="140">
        <f>N185+M185</f>
        <v>0</v>
      </c>
      <c r="P185" s="128"/>
    </row>
    <row r="186" spans="1:16" ht="48.75" hidden="1" customHeight="1" x14ac:dyDescent="0.25">
      <c r="A186" s="44">
        <v>3320</v>
      </c>
      <c r="B186" s="81" t="s">
        <v>203</v>
      </c>
      <c r="C186" s="82">
        <f t="shared" si="48"/>
        <v>0</v>
      </c>
      <c r="D186" s="689"/>
      <c r="E186" s="690"/>
      <c r="F186" s="664">
        <f>D186+E186</f>
        <v>0</v>
      </c>
      <c r="G186" s="302"/>
      <c r="H186" s="628"/>
      <c r="I186" s="664">
        <f>G186+H186</f>
        <v>0</v>
      </c>
      <c r="J186" s="302"/>
      <c r="K186" s="628"/>
      <c r="L186" s="664">
        <f>K186+J186</f>
        <v>0</v>
      </c>
      <c r="M186" s="46"/>
      <c r="N186" s="47"/>
      <c r="O186" s="133">
        <f>N186+M186</f>
        <v>0</v>
      </c>
      <c r="P186" s="49"/>
    </row>
    <row r="187" spans="1:16" hidden="1" x14ac:dyDescent="0.25">
      <c r="A187" s="222">
        <v>4000</v>
      </c>
      <c r="B187" s="176" t="s">
        <v>204</v>
      </c>
      <c r="C187" s="177">
        <f t="shared" si="48"/>
        <v>0</v>
      </c>
      <c r="D187" s="842">
        <f t="shared" ref="D187:O187" si="66">SUM(D188,D191)</f>
        <v>0</v>
      </c>
      <c r="E187" s="843">
        <f t="shared" si="66"/>
        <v>0</v>
      </c>
      <c r="F187" s="844">
        <f t="shared" si="66"/>
        <v>0</v>
      </c>
      <c r="G187" s="842">
        <f t="shared" si="66"/>
        <v>0</v>
      </c>
      <c r="H187" s="843">
        <f t="shared" si="66"/>
        <v>0</v>
      </c>
      <c r="I187" s="844">
        <f t="shared" si="66"/>
        <v>0</v>
      </c>
      <c r="J187" s="842">
        <f t="shared" si="66"/>
        <v>0</v>
      </c>
      <c r="K187" s="843">
        <f t="shared" si="66"/>
        <v>0</v>
      </c>
      <c r="L187" s="844">
        <f t="shared" si="66"/>
        <v>0</v>
      </c>
      <c r="M187" s="178">
        <f t="shared" si="66"/>
        <v>0</v>
      </c>
      <c r="N187" s="179">
        <f t="shared" si="66"/>
        <v>0</v>
      </c>
      <c r="O187" s="180">
        <f t="shared" si="66"/>
        <v>0</v>
      </c>
      <c r="P187" s="181"/>
    </row>
    <row r="188" spans="1:16" ht="24" hidden="1" x14ac:dyDescent="0.25">
      <c r="A188" s="223">
        <v>4200</v>
      </c>
      <c r="B188" s="182" t="s">
        <v>205</v>
      </c>
      <c r="C188" s="69">
        <f t="shared" si="48"/>
        <v>0</v>
      </c>
      <c r="D188" s="316">
        <f t="shared" ref="D188:O188" si="67">SUM(D189,D190)</f>
        <v>0</v>
      </c>
      <c r="E188" s="685">
        <f t="shared" si="67"/>
        <v>0</v>
      </c>
      <c r="F188" s="638">
        <f t="shared" si="67"/>
        <v>0</v>
      </c>
      <c r="G188" s="316">
        <f t="shared" si="67"/>
        <v>0</v>
      </c>
      <c r="H188" s="685">
        <f t="shared" si="67"/>
        <v>0</v>
      </c>
      <c r="I188" s="638">
        <f t="shared" si="67"/>
        <v>0</v>
      </c>
      <c r="J188" s="316">
        <f t="shared" si="67"/>
        <v>0</v>
      </c>
      <c r="K188" s="685">
        <f t="shared" si="67"/>
        <v>0</v>
      </c>
      <c r="L188" s="638">
        <f t="shared" si="67"/>
        <v>0</v>
      </c>
      <c r="M188" s="183">
        <f t="shared" si="67"/>
        <v>0</v>
      </c>
      <c r="N188" s="184">
        <f t="shared" si="67"/>
        <v>0</v>
      </c>
      <c r="O188" s="72">
        <f t="shared" si="67"/>
        <v>0</v>
      </c>
      <c r="P188" s="76"/>
    </row>
    <row r="189" spans="1:16" ht="36" hidden="1" customHeight="1" x14ac:dyDescent="0.25">
      <c r="A189" s="293">
        <v>4240</v>
      </c>
      <c r="B189" s="81" t="s">
        <v>206</v>
      </c>
      <c r="C189" s="82">
        <f t="shared" si="48"/>
        <v>0</v>
      </c>
      <c r="D189" s="689"/>
      <c r="E189" s="690"/>
      <c r="F189" s="664">
        <f>D189+E189</f>
        <v>0</v>
      </c>
      <c r="G189" s="302"/>
      <c r="H189" s="628"/>
      <c r="I189" s="664">
        <f>G189+H189</f>
        <v>0</v>
      </c>
      <c r="J189" s="302"/>
      <c r="K189" s="628"/>
      <c r="L189" s="664">
        <f>K189+J189</f>
        <v>0</v>
      </c>
      <c r="M189" s="46"/>
      <c r="N189" s="47"/>
      <c r="O189" s="133">
        <f>N189+M189</f>
        <v>0</v>
      </c>
      <c r="P189" s="49"/>
    </row>
    <row r="190" spans="1:16" ht="24" hidden="1" customHeight="1" x14ac:dyDescent="0.25">
      <c r="A190" s="188">
        <v>4250</v>
      </c>
      <c r="B190" s="88" t="s">
        <v>207</v>
      </c>
      <c r="C190" s="89">
        <f t="shared" si="48"/>
        <v>0</v>
      </c>
      <c r="D190" s="544"/>
      <c r="E190" s="545"/>
      <c r="F190" s="543">
        <f>D190+E190</f>
        <v>0</v>
      </c>
      <c r="G190" s="303"/>
      <c r="H190" s="542"/>
      <c r="I190" s="543">
        <f>G190+H190</f>
        <v>0</v>
      </c>
      <c r="J190" s="303"/>
      <c r="K190" s="542"/>
      <c r="L190" s="543">
        <f>K190+J190</f>
        <v>0</v>
      </c>
      <c r="M190" s="53"/>
      <c r="N190" s="54"/>
      <c r="O190" s="55">
        <f>N190+M190</f>
        <v>0</v>
      </c>
      <c r="P190" s="57"/>
    </row>
    <row r="191" spans="1:16" hidden="1" x14ac:dyDescent="0.25">
      <c r="A191" s="68">
        <v>4300</v>
      </c>
      <c r="B191" s="182" t="s">
        <v>208</v>
      </c>
      <c r="C191" s="69">
        <f t="shared" si="48"/>
        <v>0</v>
      </c>
      <c r="D191" s="316">
        <f t="shared" ref="D191:O191" si="68">SUM(D192)</f>
        <v>0</v>
      </c>
      <c r="E191" s="685">
        <f t="shared" si="68"/>
        <v>0</v>
      </c>
      <c r="F191" s="638">
        <f t="shared" si="68"/>
        <v>0</v>
      </c>
      <c r="G191" s="316">
        <f t="shared" si="68"/>
        <v>0</v>
      </c>
      <c r="H191" s="685">
        <f t="shared" si="68"/>
        <v>0</v>
      </c>
      <c r="I191" s="638">
        <f t="shared" si="68"/>
        <v>0</v>
      </c>
      <c r="J191" s="316">
        <f t="shared" si="68"/>
        <v>0</v>
      </c>
      <c r="K191" s="685">
        <f t="shared" si="68"/>
        <v>0</v>
      </c>
      <c r="L191" s="638">
        <f t="shared" si="68"/>
        <v>0</v>
      </c>
      <c r="M191" s="183">
        <f t="shared" si="68"/>
        <v>0</v>
      </c>
      <c r="N191" s="184">
        <f t="shared" si="68"/>
        <v>0</v>
      </c>
      <c r="O191" s="72">
        <f t="shared" si="68"/>
        <v>0</v>
      </c>
      <c r="P191" s="76"/>
    </row>
    <row r="192" spans="1:16" ht="24" hidden="1" x14ac:dyDescent="0.25">
      <c r="A192" s="293">
        <v>4310</v>
      </c>
      <c r="B192" s="81" t="s">
        <v>209</v>
      </c>
      <c r="C192" s="82">
        <f t="shared" si="48"/>
        <v>0</v>
      </c>
      <c r="D192" s="319">
        <f t="shared" ref="D192:O192" si="69">SUM(D193:D193)</f>
        <v>0</v>
      </c>
      <c r="E192" s="688">
        <f t="shared" si="69"/>
        <v>0</v>
      </c>
      <c r="F192" s="664">
        <f t="shared" si="69"/>
        <v>0</v>
      </c>
      <c r="G192" s="319">
        <f t="shared" si="69"/>
        <v>0</v>
      </c>
      <c r="H192" s="688">
        <f t="shared" si="69"/>
        <v>0</v>
      </c>
      <c r="I192" s="664">
        <f t="shared" si="69"/>
        <v>0</v>
      </c>
      <c r="J192" s="319">
        <f t="shared" si="69"/>
        <v>0</v>
      </c>
      <c r="K192" s="688">
        <f t="shared" si="69"/>
        <v>0</v>
      </c>
      <c r="L192" s="664">
        <f t="shared" si="69"/>
        <v>0</v>
      </c>
      <c r="M192" s="192">
        <f t="shared" si="69"/>
        <v>0</v>
      </c>
      <c r="N192" s="193">
        <f t="shared" si="69"/>
        <v>0</v>
      </c>
      <c r="O192" s="133">
        <f t="shared" si="69"/>
        <v>0</v>
      </c>
      <c r="P192" s="49"/>
    </row>
    <row r="193" spans="1:16" ht="36" hidden="1" customHeight="1" x14ac:dyDescent="0.25">
      <c r="A193" s="51">
        <v>4311</v>
      </c>
      <c r="B193" s="88" t="s">
        <v>210</v>
      </c>
      <c r="C193" s="89">
        <f t="shared" si="48"/>
        <v>0</v>
      </c>
      <c r="D193" s="544"/>
      <c r="E193" s="545"/>
      <c r="F193" s="543">
        <f>D193+E193</f>
        <v>0</v>
      </c>
      <c r="G193" s="303"/>
      <c r="H193" s="542"/>
      <c r="I193" s="543">
        <f>G193+H193</f>
        <v>0</v>
      </c>
      <c r="J193" s="303"/>
      <c r="K193" s="542"/>
      <c r="L193" s="543">
        <f>K193+J193</f>
        <v>0</v>
      </c>
      <c r="M193" s="53"/>
      <c r="N193" s="54"/>
      <c r="O193" s="55">
        <f>N193+M193</f>
        <v>0</v>
      </c>
      <c r="P193" s="57"/>
    </row>
    <row r="194" spans="1:16" s="28" customFormat="1" ht="15.75" customHeight="1" x14ac:dyDescent="0.25">
      <c r="A194" s="224"/>
      <c r="B194" s="23" t="s">
        <v>211</v>
      </c>
      <c r="C194" s="171">
        <f t="shared" si="48"/>
        <v>3885</v>
      </c>
      <c r="D194" s="314">
        <f t="shared" ref="D194:O194" si="70">SUM(D195,D230,D269,D283)</f>
        <v>1000</v>
      </c>
      <c r="E194" s="678">
        <f t="shared" si="70"/>
        <v>0</v>
      </c>
      <c r="F194" s="670">
        <f t="shared" si="70"/>
        <v>1000</v>
      </c>
      <c r="G194" s="314">
        <f t="shared" si="70"/>
        <v>2190</v>
      </c>
      <c r="H194" s="678">
        <f t="shared" si="70"/>
        <v>0</v>
      </c>
      <c r="I194" s="670">
        <f t="shared" si="70"/>
        <v>2190</v>
      </c>
      <c r="J194" s="314">
        <f t="shared" si="70"/>
        <v>695</v>
      </c>
      <c r="K194" s="678">
        <f t="shared" si="70"/>
        <v>0</v>
      </c>
      <c r="L194" s="670">
        <f t="shared" si="70"/>
        <v>695</v>
      </c>
      <c r="M194" s="172">
        <f t="shared" si="70"/>
        <v>0</v>
      </c>
      <c r="N194" s="173">
        <f t="shared" si="70"/>
        <v>0</v>
      </c>
      <c r="O194" s="174">
        <f t="shared" si="70"/>
        <v>0</v>
      </c>
      <c r="P194" s="175"/>
    </row>
    <row r="195" spans="1:16" x14ac:dyDescent="0.25">
      <c r="A195" s="176">
        <v>5000</v>
      </c>
      <c r="B195" s="176" t="s">
        <v>212</v>
      </c>
      <c r="C195" s="177">
        <f t="shared" si="48"/>
        <v>3885</v>
      </c>
      <c r="D195" s="842">
        <f t="shared" ref="D195:O195" si="71">D196+D204</f>
        <v>1000</v>
      </c>
      <c r="E195" s="843">
        <f t="shared" si="71"/>
        <v>0</v>
      </c>
      <c r="F195" s="844">
        <f t="shared" si="71"/>
        <v>1000</v>
      </c>
      <c r="G195" s="842">
        <f t="shared" si="71"/>
        <v>2190</v>
      </c>
      <c r="H195" s="843">
        <f t="shared" si="71"/>
        <v>0</v>
      </c>
      <c r="I195" s="844">
        <f t="shared" si="71"/>
        <v>2190</v>
      </c>
      <c r="J195" s="842">
        <f t="shared" si="71"/>
        <v>695</v>
      </c>
      <c r="K195" s="843">
        <f t="shared" si="71"/>
        <v>0</v>
      </c>
      <c r="L195" s="844">
        <f t="shared" si="71"/>
        <v>695</v>
      </c>
      <c r="M195" s="178">
        <f t="shared" si="71"/>
        <v>0</v>
      </c>
      <c r="N195" s="179">
        <f t="shared" si="71"/>
        <v>0</v>
      </c>
      <c r="O195" s="180">
        <f t="shared" si="71"/>
        <v>0</v>
      </c>
      <c r="P195" s="181"/>
    </row>
    <row r="196" spans="1:16" hidden="1" x14ac:dyDescent="0.25">
      <c r="A196" s="68">
        <v>5100</v>
      </c>
      <c r="B196" s="182" t="s">
        <v>213</v>
      </c>
      <c r="C196" s="69">
        <f t="shared" si="48"/>
        <v>0</v>
      </c>
      <c r="D196" s="316">
        <f t="shared" ref="D196:O196" si="72">D197+D198+D201+D202+D203</f>
        <v>0</v>
      </c>
      <c r="E196" s="685">
        <f t="shared" si="72"/>
        <v>0</v>
      </c>
      <c r="F196" s="638">
        <f t="shared" si="72"/>
        <v>0</v>
      </c>
      <c r="G196" s="316">
        <f t="shared" si="72"/>
        <v>0</v>
      </c>
      <c r="H196" s="685">
        <f t="shared" si="72"/>
        <v>0</v>
      </c>
      <c r="I196" s="638">
        <f t="shared" si="72"/>
        <v>0</v>
      </c>
      <c r="J196" s="316">
        <f t="shared" si="72"/>
        <v>0</v>
      </c>
      <c r="K196" s="685">
        <f t="shared" si="72"/>
        <v>0</v>
      </c>
      <c r="L196" s="638">
        <f t="shared" si="72"/>
        <v>0</v>
      </c>
      <c r="M196" s="183">
        <f t="shared" si="72"/>
        <v>0</v>
      </c>
      <c r="N196" s="184">
        <f t="shared" si="72"/>
        <v>0</v>
      </c>
      <c r="O196" s="72">
        <f t="shared" si="72"/>
        <v>0</v>
      </c>
      <c r="P196" s="76"/>
    </row>
    <row r="197" spans="1:16" ht="12" hidden="1" customHeight="1" x14ac:dyDescent="0.25">
      <c r="A197" s="293">
        <v>5110</v>
      </c>
      <c r="B197" s="81" t="s">
        <v>214</v>
      </c>
      <c r="C197" s="82">
        <f t="shared" si="48"/>
        <v>0</v>
      </c>
      <c r="D197" s="689"/>
      <c r="E197" s="690"/>
      <c r="F197" s="664">
        <f>D197+E197</f>
        <v>0</v>
      </c>
      <c r="G197" s="302"/>
      <c r="H197" s="628"/>
      <c r="I197" s="664">
        <f>G197+H197</f>
        <v>0</v>
      </c>
      <c r="J197" s="302"/>
      <c r="K197" s="628"/>
      <c r="L197" s="664">
        <f>K197+J197</f>
        <v>0</v>
      </c>
      <c r="M197" s="46"/>
      <c r="N197" s="47"/>
      <c r="O197" s="133">
        <f>N197+M197</f>
        <v>0</v>
      </c>
      <c r="P197" s="49"/>
    </row>
    <row r="198" spans="1:16" ht="24" hidden="1" x14ac:dyDescent="0.25">
      <c r="A198" s="188">
        <v>5120</v>
      </c>
      <c r="B198" s="88" t="s">
        <v>215</v>
      </c>
      <c r="C198" s="89">
        <f t="shared" si="48"/>
        <v>0</v>
      </c>
      <c r="D198" s="318">
        <f t="shared" ref="D198:O198" si="73">D199+D200</f>
        <v>0</v>
      </c>
      <c r="E198" s="687">
        <f t="shared" si="73"/>
        <v>0</v>
      </c>
      <c r="F198" s="543">
        <f t="shared" si="73"/>
        <v>0</v>
      </c>
      <c r="G198" s="318">
        <f t="shared" si="73"/>
        <v>0</v>
      </c>
      <c r="H198" s="687">
        <f t="shared" si="73"/>
        <v>0</v>
      </c>
      <c r="I198" s="543">
        <f t="shared" si="73"/>
        <v>0</v>
      </c>
      <c r="J198" s="318">
        <f t="shared" si="73"/>
        <v>0</v>
      </c>
      <c r="K198" s="687">
        <f t="shared" si="73"/>
        <v>0</v>
      </c>
      <c r="L198" s="543">
        <f t="shared" si="73"/>
        <v>0</v>
      </c>
      <c r="M198" s="189">
        <f t="shared" si="73"/>
        <v>0</v>
      </c>
      <c r="N198" s="190">
        <f t="shared" si="73"/>
        <v>0</v>
      </c>
      <c r="O198" s="55">
        <f t="shared" si="73"/>
        <v>0</v>
      </c>
      <c r="P198" s="57"/>
    </row>
    <row r="199" spans="1:16" ht="12" hidden="1" customHeight="1" x14ac:dyDescent="0.25">
      <c r="A199" s="51">
        <v>5121</v>
      </c>
      <c r="B199" s="88" t="s">
        <v>216</v>
      </c>
      <c r="C199" s="89">
        <f t="shared" si="48"/>
        <v>0</v>
      </c>
      <c r="D199" s="544"/>
      <c r="E199" s="545"/>
      <c r="F199" s="543">
        <f>D199+E199</f>
        <v>0</v>
      </c>
      <c r="G199" s="303"/>
      <c r="H199" s="542"/>
      <c r="I199" s="543">
        <f>G199+H199</f>
        <v>0</v>
      </c>
      <c r="J199" s="303"/>
      <c r="K199" s="542"/>
      <c r="L199" s="543">
        <f>K199+J199</f>
        <v>0</v>
      </c>
      <c r="M199" s="53"/>
      <c r="N199" s="54"/>
      <c r="O199" s="55">
        <f>N199+M199</f>
        <v>0</v>
      </c>
      <c r="P199" s="57"/>
    </row>
    <row r="200" spans="1:16" ht="24" hidden="1" customHeight="1" x14ac:dyDescent="0.25">
      <c r="A200" s="51">
        <v>5129</v>
      </c>
      <c r="B200" s="88" t="s">
        <v>217</v>
      </c>
      <c r="C200" s="89">
        <f t="shared" si="48"/>
        <v>0</v>
      </c>
      <c r="D200" s="544"/>
      <c r="E200" s="545"/>
      <c r="F200" s="543">
        <f>D200+E200</f>
        <v>0</v>
      </c>
      <c r="G200" s="303"/>
      <c r="H200" s="542"/>
      <c r="I200" s="543">
        <f>G200+H200</f>
        <v>0</v>
      </c>
      <c r="J200" s="303"/>
      <c r="K200" s="542"/>
      <c r="L200" s="543">
        <f>K200+J200</f>
        <v>0</v>
      </c>
      <c r="M200" s="53"/>
      <c r="N200" s="54"/>
      <c r="O200" s="55">
        <f>N200+M200</f>
        <v>0</v>
      </c>
      <c r="P200" s="57"/>
    </row>
    <row r="201" spans="1:16" ht="12" hidden="1" customHeight="1" x14ac:dyDescent="0.25">
      <c r="A201" s="188">
        <v>5130</v>
      </c>
      <c r="B201" s="88" t="s">
        <v>218</v>
      </c>
      <c r="C201" s="89">
        <f t="shared" si="48"/>
        <v>0</v>
      </c>
      <c r="D201" s="544"/>
      <c r="E201" s="545"/>
      <c r="F201" s="543">
        <f>D201+E201</f>
        <v>0</v>
      </c>
      <c r="G201" s="303"/>
      <c r="H201" s="542"/>
      <c r="I201" s="543">
        <f>G201+H201</f>
        <v>0</v>
      </c>
      <c r="J201" s="303"/>
      <c r="K201" s="542"/>
      <c r="L201" s="543">
        <f>K201+J201</f>
        <v>0</v>
      </c>
      <c r="M201" s="53"/>
      <c r="N201" s="54"/>
      <c r="O201" s="55">
        <f>N201+M201</f>
        <v>0</v>
      </c>
      <c r="P201" s="57"/>
    </row>
    <row r="202" spans="1:16" ht="12" hidden="1" customHeight="1" x14ac:dyDescent="0.25">
      <c r="A202" s="188">
        <v>5140</v>
      </c>
      <c r="B202" s="88" t="s">
        <v>219</v>
      </c>
      <c r="C202" s="89">
        <f t="shared" si="48"/>
        <v>0</v>
      </c>
      <c r="D202" s="544"/>
      <c r="E202" s="545"/>
      <c r="F202" s="543">
        <f>D202+E202</f>
        <v>0</v>
      </c>
      <c r="G202" s="303"/>
      <c r="H202" s="542"/>
      <c r="I202" s="543">
        <f>G202+H202</f>
        <v>0</v>
      </c>
      <c r="J202" s="303"/>
      <c r="K202" s="542"/>
      <c r="L202" s="543">
        <f>K202+J202</f>
        <v>0</v>
      </c>
      <c r="M202" s="53"/>
      <c r="N202" s="54"/>
      <c r="O202" s="55">
        <f>N202+M202</f>
        <v>0</v>
      </c>
      <c r="P202" s="57"/>
    </row>
    <row r="203" spans="1:16" ht="24" hidden="1" customHeight="1" x14ac:dyDescent="0.25">
      <c r="A203" s="188">
        <v>5170</v>
      </c>
      <c r="B203" s="88" t="s">
        <v>220</v>
      </c>
      <c r="C203" s="89">
        <f t="shared" si="48"/>
        <v>0</v>
      </c>
      <c r="D203" s="544"/>
      <c r="E203" s="545"/>
      <c r="F203" s="543">
        <f>D203+E203</f>
        <v>0</v>
      </c>
      <c r="G203" s="303"/>
      <c r="H203" s="542"/>
      <c r="I203" s="543">
        <f>G203+H203</f>
        <v>0</v>
      </c>
      <c r="J203" s="303"/>
      <c r="K203" s="542"/>
      <c r="L203" s="543">
        <f>K203+J203</f>
        <v>0</v>
      </c>
      <c r="M203" s="53"/>
      <c r="N203" s="54"/>
      <c r="O203" s="55">
        <f>N203+M203</f>
        <v>0</v>
      </c>
      <c r="P203" s="57"/>
    </row>
    <row r="204" spans="1:16" x14ac:dyDescent="0.25">
      <c r="A204" s="68">
        <v>5200</v>
      </c>
      <c r="B204" s="182" t="s">
        <v>221</v>
      </c>
      <c r="C204" s="69">
        <f t="shared" si="48"/>
        <v>3885</v>
      </c>
      <c r="D204" s="316">
        <f t="shared" ref="D204:O204" si="74">D205+D215+D216+D225+D226+D227+D229</f>
        <v>1000</v>
      </c>
      <c r="E204" s="685">
        <f t="shared" si="74"/>
        <v>0</v>
      </c>
      <c r="F204" s="638">
        <f t="shared" si="74"/>
        <v>1000</v>
      </c>
      <c r="G204" s="316">
        <f t="shared" si="74"/>
        <v>2190</v>
      </c>
      <c r="H204" s="685">
        <f t="shared" si="74"/>
        <v>0</v>
      </c>
      <c r="I204" s="638">
        <f t="shared" si="74"/>
        <v>2190</v>
      </c>
      <c r="J204" s="316">
        <f t="shared" si="74"/>
        <v>695</v>
      </c>
      <c r="K204" s="685">
        <f t="shared" si="74"/>
        <v>0</v>
      </c>
      <c r="L204" s="638">
        <f t="shared" si="74"/>
        <v>695</v>
      </c>
      <c r="M204" s="183">
        <f t="shared" si="74"/>
        <v>0</v>
      </c>
      <c r="N204" s="184">
        <f t="shared" si="74"/>
        <v>0</v>
      </c>
      <c r="O204" s="72">
        <f t="shared" si="74"/>
        <v>0</v>
      </c>
      <c r="P204" s="76"/>
    </row>
    <row r="205" spans="1:16" hidden="1" x14ac:dyDescent="0.25">
      <c r="A205" s="185">
        <v>5210</v>
      </c>
      <c r="B205" s="137" t="s">
        <v>222</v>
      </c>
      <c r="C205" s="142">
        <f t="shared" si="48"/>
        <v>0</v>
      </c>
      <c r="D205" s="317">
        <f t="shared" ref="D205:O205" si="75">SUM(D206:D214)</f>
        <v>0</v>
      </c>
      <c r="E205" s="686">
        <f t="shared" si="75"/>
        <v>0</v>
      </c>
      <c r="F205" s="667">
        <f t="shared" si="75"/>
        <v>0</v>
      </c>
      <c r="G205" s="317">
        <f t="shared" si="75"/>
        <v>0</v>
      </c>
      <c r="H205" s="686">
        <f t="shared" si="75"/>
        <v>0</v>
      </c>
      <c r="I205" s="667">
        <f t="shared" si="75"/>
        <v>0</v>
      </c>
      <c r="J205" s="317">
        <f t="shared" si="75"/>
        <v>0</v>
      </c>
      <c r="K205" s="686">
        <f t="shared" si="75"/>
        <v>0</v>
      </c>
      <c r="L205" s="667">
        <f t="shared" si="75"/>
        <v>0</v>
      </c>
      <c r="M205" s="186">
        <f t="shared" si="75"/>
        <v>0</v>
      </c>
      <c r="N205" s="187">
        <f t="shared" si="75"/>
        <v>0</v>
      </c>
      <c r="O205" s="140">
        <f t="shared" si="75"/>
        <v>0</v>
      </c>
      <c r="P205" s="128"/>
    </row>
    <row r="206" spans="1:16" ht="12" hidden="1" customHeight="1" x14ac:dyDescent="0.25">
      <c r="A206" s="44">
        <v>5211</v>
      </c>
      <c r="B206" s="81" t="s">
        <v>223</v>
      </c>
      <c r="C206" s="82">
        <f t="shared" si="48"/>
        <v>0</v>
      </c>
      <c r="D206" s="689"/>
      <c r="E206" s="690"/>
      <c r="F206" s="664">
        <f t="shared" ref="F206:F215" si="76">D206+E206</f>
        <v>0</v>
      </c>
      <c r="G206" s="302"/>
      <c r="H206" s="628"/>
      <c r="I206" s="664">
        <f t="shared" ref="I206:I215" si="77">G206+H206</f>
        <v>0</v>
      </c>
      <c r="J206" s="302"/>
      <c r="K206" s="628"/>
      <c r="L206" s="664">
        <f t="shared" ref="L206:L215" si="78">K206+J206</f>
        <v>0</v>
      </c>
      <c r="M206" s="46"/>
      <c r="N206" s="47"/>
      <c r="O206" s="133">
        <f t="shared" ref="O206:O215" si="79">N206+M206</f>
        <v>0</v>
      </c>
      <c r="P206" s="49"/>
    </row>
    <row r="207" spans="1:16" ht="12" hidden="1" customHeight="1" x14ac:dyDescent="0.25">
      <c r="A207" s="51">
        <v>5212</v>
      </c>
      <c r="B207" s="88" t="s">
        <v>224</v>
      </c>
      <c r="C207" s="89">
        <f t="shared" si="48"/>
        <v>0</v>
      </c>
      <c r="D207" s="544"/>
      <c r="E207" s="545"/>
      <c r="F207" s="543">
        <f t="shared" si="76"/>
        <v>0</v>
      </c>
      <c r="G207" s="303"/>
      <c r="H207" s="542"/>
      <c r="I207" s="543">
        <f t="shared" si="77"/>
        <v>0</v>
      </c>
      <c r="J207" s="303"/>
      <c r="K207" s="542"/>
      <c r="L207" s="543">
        <f t="shared" si="78"/>
        <v>0</v>
      </c>
      <c r="M207" s="53"/>
      <c r="N207" s="54"/>
      <c r="O207" s="55">
        <f t="shared" si="79"/>
        <v>0</v>
      </c>
      <c r="P207" s="57"/>
    </row>
    <row r="208" spans="1:16" ht="12" hidden="1" customHeight="1" x14ac:dyDescent="0.25">
      <c r="A208" s="51">
        <v>5213</v>
      </c>
      <c r="B208" s="88" t="s">
        <v>225</v>
      </c>
      <c r="C208" s="89">
        <f t="shared" si="48"/>
        <v>0</v>
      </c>
      <c r="D208" s="544"/>
      <c r="E208" s="545"/>
      <c r="F208" s="543">
        <f t="shared" si="76"/>
        <v>0</v>
      </c>
      <c r="G208" s="303"/>
      <c r="H208" s="542"/>
      <c r="I208" s="543">
        <f t="shared" si="77"/>
        <v>0</v>
      </c>
      <c r="J208" s="303"/>
      <c r="K208" s="542"/>
      <c r="L208" s="543">
        <f t="shared" si="78"/>
        <v>0</v>
      </c>
      <c r="M208" s="53"/>
      <c r="N208" s="54"/>
      <c r="O208" s="55">
        <f t="shared" si="79"/>
        <v>0</v>
      </c>
      <c r="P208" s="57"/>
    </row>
    <row r="209" spans="1:16" ht="12" hidden="1" customHeight="1" x14ac:dyDescent="0.25">
      <c r="A209" s="51">
        <v>5214</v>
      </c>
      <c r="B209" s="88" t="s">
        <v>226</v>
      </c>
      <c r="C209" s="89">
        <f t="shared" si="48"/>
        <v>0</v>
      </c>
      <c r="D209" s="544"/>
      <c r="E209" s="545"/>
      <c r="F209" s="543">
        <f t="shared" si="76"/>
        <v>0</v>
      </c>
      <c r="G209" s="303"/>
      <c r="H209" s="542"/>
      <c r="I209" s="543">
        <f t="shared" si="77"/>
        <v>0</v>
      </c>
      <c r="J209" s="303"/>
      <c r="K209" s="542"/>
      <c r="L209" s="543">
        <f t="shared" si="78"/>
        <v>0</v>
      </c>
      <c r="M209" s="53"/>
      <c r="N209" s="54"/>
      <c r="O209" s="55">
        <f t="shared" si="79"/>
        <v>0</v>
      </c>
      <c r="P209" s="57"/>
    </row>
    <row r="210" spans="1:16" ht="12" hidden="1" customHeight="1" x14ac:dyDescent="0.25">
      <c r="A210" s="51">
        <v>5215</v>
      </c>
      <c r="B210" s="88" t="s">
        <v>227</v>
      </c>
      <c r="C210" s="89">
        <f t="shared" si="48"/>
        <v>0</v>
      </c>
      <c r="D210" s="544"/>
      <c r="E210" s="545"/>
      <c r="F210" s="543">
        <f t="shared" si="76"/>
        <v>0</v>
      </c>
      <c r="G210" s="303"/>
      <c r="H210" s="542"/>
      <c r="I210" s="543">
        <f t="shared" si="77"/>
        <v>0</v>
      </c>
      <c r="J210" s="303"/>
      <c r="K210" s="542"/>
      <c r="L210" s="543">
        <f t="shared" si="78"/>
        <v>0</v>
      </c>
      <c r="M210" s="53"/>
      <c r="N210" s="54"/>
      <c r="O210" s="55">
        <f t="shared" si="79"/>
        <v>0</v>
      </c>
      <c r="P210" s="57"/>
    </row>
    <row r="211" spans="1:16" ht="14.25" hidden="1" customHeight="1" x14ac:dyDescent="0.25">
      <c r="A211" s="51">
        <v>5216</v>
      </c>
      <c r="B211" s="88" t="s">
        <v>228</v>
      </c>
      <c r="C211" s="89">
        <f t="shared" si="48"/>
        <v>0</v>
      </c>
      <c r="D211" s="544"/>
      <c r="E211" s="545"/>
      <c r="F211" s="543">
        <f t="shared" si="76"/>
        <v>0</v>
      </c>
      <c r="G211" s="303"/>
      <c r="H211" s="542"/>
      <c r="I211" s="543">
        <f t="shared" si="77"/>
        <v>0</v>
      </c>
      <c r="J211" s="303"/>
      <c r="K211" s="542"/>
      <c r="L211" s="543">
        <f t="shared" si="78"/>
        <v>0</v>
      </c>
      <c r="M211" s="53"/>
      <c r="N211" s="54"/>
      <c r="O211" s="55">
        <f t="shared" si="79"/>
        <v>0</v>
      </c>
      <c r="P211" s="57"/>
    </row>
    <row r="212" spans="1:16" ht="12" hidden="1" customHeight="1" x14ac:dyDescent="0.25">
      <c r="A212" s="51">
        <v>5217</v>
      </c>
      <c r="B212" s="88" t="s">
        <v>229</v>
      </c>
      <c r="C212" s="89">
        <f t="shared" ref="C212:C275" si="80">F212+I212+L212+O212</f>
        <v>0</v>
      </c>
      <c r="D212" s="544"/>
      <c r="E212" s="545"/>
      <c r="F212" s="543">
        <f t="shared" si="76"/>
        <v>0</v>
      </c>
      <c r="G212" s="303"/>
      <c r="H212" s="542"/>
      <c r="I212" s="543">
        <f t="shared" si="77"/>
        <v>0</v>
      </c>
      <c r="J212" s="303"/>
      <c r="K212" s="542"/>
      <c r="L212" s="543">
        <f t="shared" si="78"/>
        <v>0</v>
      </c>
      <c r="M212" s="53"/>
      <c r="N212" s="54"/>
      <c r="O212" s="55">
        <f t="shared" si="79"/>
        <v>0</v>
      </c>
      <c r="P212" s="57"/>
    </row>
    <row r="213" spans="1:16" ht="12" hidden="1" customHeight="1" x14ac:dyDescent="0.25">
      <c r="A213" s="51">
        <v>5218</v>
      </c>
      <c r="B213" s="88" t="s">
        <v>230</v>
      </c>
      <c r="C213" s="89">
        <f t="shared" si="80"/>
        <v>0</v>
      </c>
      <c r="D213" s="544"/>
      <c r="E213" s="545"/>
      <c r="F213" s="543">
        <f t="shared" si="76"/>
        <v>0</v>
      </c>
      <c r="G213" s="303"/>
      <c r="H213" s="542"/>
      <c r="I213" s="543">
        <f t="shared" si="77"/>
        <v>0</v>
      </c>
      <c r="J213" s="303"/>
      <c r="K213" s="542"/>
      <c r="L213" s="543">
        <f t="shared" si="78"/>
        <v>0</v>
      </c>
      <c r="M213" s="53"/>
      <c r="N213" s="54"/>
      <c r="O213" s="55">
        <f t="shared" si="79"/>
        <v>0</v>
      </c>
      <c r="P213" s="57"/>
    </row>
    <row r="214" spans="1:16" ht="12" hidden="1" customHeight="1" x14ac:dyDescent="0.25">
      <c r="A214" s="51">
        <v>5219</v>
      </c>
      <c r="B214" s="88" t="s">
        <v>231</v>
      </c>
      <c r="C214" s="89">
        <f t="shared" si="80"/>
        <v>0</v>
      </c>
      <c r="D214" s="544"/>
      <c r="E214" s="545"/>
      <c r="F214" s="543">
        <f t="shared" si="76"/>
        <v>0</v>
      </c>
      <c r="G214" s="303"/>
      <c r="H214" s="542"/>
      <c r="I214" s="543">
        <f t="shared" si="77"/>
        <v>0</v>
      </c>
      <c r="J214" s="303"/>
      <c r="K214" s="542"/>
      <c r="L214" s="543">
        <f t="shared" si="78"/>
        <v>0</v>
      </c>
      <c r="M214" s="53"/>
      <c r="N214" s="54"/>
      <c r="O214" s="55">
        <f t="shared" si="79"/>
        <v>0</v>
      </c>
      <c r="P214" s="57"/>
    </row>
    <row r="215" spans="1:16" ht="13.5" hidden="1" customHeight="1" x14ac:dyDescent="0.25">
      <c r="A215" s="188">
        <v>5220</v>
      </c>
      <c r="B215" s="88" t="s">
        <v>232</v>
      </c>
      <c r="C215" s="89">
        <f t="shared" si="80"/>
        <v>0</v>
      </c>
      <c r="D215" s="544"/>
      <c r="E215" s="545"/>
      <c r="F215" s="543">
        <f t="shared" si="76"/>
        <v>0</v>
      </c>
      <c r="G215" s="303"/>
      <c r="H215" s="542"/>
      <c r="I215" s="543">
        <f t="shared" si="77"/>
        <v>0</v>
      </c>
      <c r="J215" s="303"/>
      <c r="K215" s="542"/>
      <c r="L215" s="543">
        <f t="shared" si="78"/>
        <v>0</v>
      </c>
      <c r="M215" s="53"/>
      <c r="N215" s="54"/>
      <c r="O215" s="55">
        <f t="shared" si="79"/>
        <v>0</v>
      </c>
      <c r="P215" s="57"/>
    </row>
    <row r="216" spans="1:16" x14ac:dyDescent="0.25">
      <c r="A216" s="188">
        <v>5230</v>
      </c>
      <c r="B216" s="88" t="s">
        <v>233</v>
      </c>
      <c r="C216" s="89">
        <f t="shared" si="80"/>
        <v>3885</v>
      </c>
      <c r="D216" s="318">
        <f t="shared" ref="D216:O216" si="81">SUM(D217:D224)</f>
        <v>1000</v>
      </c>
      <c r="E216" s="687">
        <f t="shared" si="81"/>
        <v>0</v>
      </c>
      <c r="F216" s="543">
        <f t="shared" si="81"/>
        <v>1000</v>
      </c>
      <c r="G216" s="318">
        <f t="shared" si="81"/>
        <v>2190</v>
      </c>
      <c r="H216" s="687">
        <f t="shared" si="81"/>
        <v>0</v>
      </c>
      <c r="I216" s="543">
        <f t="shared" si="81"/>
        <v>2190</v>
      </c>
      <c r="J216" s="318">
        <f t="shared" si="81"/>
        <v>695</v>
      </c>
      <c r="K216" s="687">
        <f t="shared" si="81"/>
        <v>0</v>
      </c>
      <c r="L216" s="543">
        <f t="shared" si="81"/>
        <v>695</v>
      </c>
      <c r="M216" s="189">
        <f t="shared" si="81"/>
        <v>0</v>
      </c>
      <c r="N216" s="190">
        <f t="shared" si="81"/>
        <v>0</v>
      </c>
      <c r="O216" s="55">
        <f t="shared" si="81"/>
        <v>0</v>
      </c>
      <c r="P216" s="57"/>
    </row>
    <row r="217" spans="1:16" ht="12" hidden="1" customHeight="1" x14ac:dyDescent="0.25">
      <c r="A217" s="51">
        <v>5231</v>
      </c>
      <c r="B217" s="88" t="s">
        <v>234</v>
      </c>
      <c r="C217" s="89">
        <f t="shared" si="80"/>
        <v>0</v>
      </c>
      <c r="D217" s="544"/>
      <c r="E217" s="545"/>
      <c r="F217" s="543">
        <f t="shared" ref="F217:F226" si="82">D217+E217</f>
        <v>0</v>
      </c>
      <c r="G217" s="303"/>
      <c r="H217" s="542"/>
      <c r="I217" s="543">
        <f t="shared" ref="I217:I226" si="83">G217+H217</f>
        <v>0</v>
      </c>
      <c r="J217" s="303"/>
      <c r="K217" s="542"/>
      <c r="L217" s="543">
        <f t="shared" ref="L217:L226" si="84">K217+J217</f>
        <v>0</v>
      </c>
      <c r="M217" s="53"/>
      <c r="N217" s="54"/>
      <c r="O217" s="55">
        <f t="shared" ref="O217:O226" si="85">N217+M217</f>
        <v>0</v>
      </c>
      <c r="P217" s="57"/>
    </row>
    <row r="218" spans="1:16" ht="12" hidden="1" customHeight="1" x14ac:dyDescent="0.25">
      <c r="A218" s="51">
        <v>5232</v>
      </c>
      <c r="B218" s="88" t="s">
        <v>235</v>
      </c>
      <c r="C218" s="89">
        <f t="shared" si="80"/>
        <v>0</v>
      </c>
      <c r="D218" s="544"/>
      <c r="E218" s="545"/>
      <c r="F218" s="543">
        <f t="shared" si="82"/>
        <v>0</v>
      </c>
      <c r="G218" s="303"/>
      <c r="H218" s="542"/>
      <c r="I218" s="543">
        <f t="shared" si="83"/>
        <v>0</v>
      </c>
      <c r="J218" s="303"/>
      <c r="K218" s="542"/>
      <c r="L218" s="543">
        <f t="shared" si="84"/>
        <v>0</v>
      </c>
      <c r="M218" s="53"/>
      <c r="N218" s="54"/>
      <c r="O218" s="55">
        <f t="shared" si="85"/>
        <v>0</v>
      </c>
      <c r="P218" s="57"/>
    </row>
    <row r="219" spans="1:16" ht="12" customHeight="1" x14ac:dyDescent="0.25">
      <c r="A219" s="51">
        <v>5233</v>
      </c>
      <c r="B219" s="88" t="s">
        <v>236</v>
      </c>
      <c r="C219" s="89">
        <f t="shared" si="80"/>
        <v>3190</v>
      </c>
      <c r="D219" s="544">
        <v>1000</v>
      </c>
      <c r="E219" s="545"/>
      <c r="F219" s="543">
        <f t="shared" si="82"/>
        <v>1000</v>
      </c>
      <c r="G219" s="303">
        <v>2190</v>
      </c>
      <c r="H219" s="542"/>
      <c r="I219" s="543">
        <f t="shared" si="83"/>
        <v>2190</v>
      </c>
      <c r="J219" s="303"/>
      <c r="K219" s="542"/>
      <c r="L219" s="543">
        <f t="shared" si="84"/>
        <v>0</v>
      </c>
      <c r="M219" s="53"/>
      <c r="N219" s="54"/>
      <c r="O219" s="55">
        <f t="shared" si="85"/>
        <v>0</v>
      </c>
      <c r="P219" s="57"/>
    </row>
    <row r="220" spans="1:16" ht="24" hidden="1" customHeight="1" x14ac:dyDescent="0.25">
      <c r="A220" s="51">
        <v>5234</v>
      </c>
      <c r="B220" s="88" t="s">
        <v>237</v>
      </c>
      <c r="C220" s="89">
        <f t="shared" si="80"/>
        <v>0</v>
      </c>
      <c r="D220" s="544"/>
      <c r="E220" s="545"/>
      <c r="F220" s="543">
        <f t="shared" si="82"/>
        <v>0</v>
      </c>
      <c r="G220" s="303"/>
      <c r="H220" s="542"/>
      <c r="I220" s="543">
        <f t="shared" si="83"/>
        <v>0</v>
      </c>
      <c r="J220" s="303"/>
      <c r="K220" s="542"/>
      <c r="L220" s="543">
        <f t="shared" si="84"/>
        <v>0</v>
      </c>
      <c r="M220" s="53"/>
      <c r="N220" s="54"/>
      <c r="O220" s="55">
        <f t="shared" si="85"/>
        <v>0</v>
      </c>
      <c r="P220" s="57"/>
    </row>
    <row r="221" spans="1:16" ht="14.25" hidden="1" customHeight="1" x14ac:dyDescent="0.25">
      <c r="A221" s="51">
        <v>5236</v>
      </c>
      <c r="B221" s="88" t="s">
        <v>238</v>
      </c>
      <c r="C221" s="89">
        <f t="shared" si="80"/>
        <v>0</v>
      </c>
      <c r="D221" s="544"/>
      <c r="E221" s="545"/>
      <c r="F221" s="543">
        <f t="shared" si="82"/>
        <v>0</v>
      </c>
      <c r="G221" s="303"/>
      <c r="H221" s="542"/>
      <c r="I221" s="543">
        <f t="shared" si="83"/>
        <v>0</v>
      </c>
      <c r="J221" s="303"/>
      <c r="K221" s="542"/>
      <c r="L221" s="543">
        <f t="shared" si="84"/>
        <v>0</v>
      </c>
      <c r="M221" s="53"/>
      <c r="N221" s="54"/>
      <c r="O221" s="55">
        <f t="shared" si="85"/>
        <v>0</v>
      </c>
      <c r="P221" s="57"/>
    </row>
    <row r="222" spans="1:16" ht="14.25" hidden="1" customHeight="1" x14ac:dyDescent="0.25">
      <c r="A222" s="51">
        <v>5237</v>
      </c>
      <c r="B222" s="88" t="s">
        <v>239</v>
      </c>
      <c r="C222" s="89">
        <f t="shared" si="80"/>
        <v>0</v>
      </c>
      <c r="D222" s="544"/>
      <c r="E222" s="545"/>
      <c r="F222" s="543">
        <f t="shared" si="82"/>
        <v>0</v>
      </c>
      <c r="G222" s="303"/>
      <c r="H222" s="542"/>
      <c r="I222" s="543">
        <f t="shared" si="83"/>
        <v>0</v>
      </c>
      <c r="J222" s="303"/>
      <c r="K222" s="542"/>
      <c r="L222" s="543">
        <f t="shared" si="84"/>
        <v>0</v>
      </c>
      <c r="M222" s="53"/>
      <c r="N222" s="54"/>
      <c r="O222" s="55">
        <f t="shared" si="85"/>
        <v>0</v>
      </c>
      <c r="P222" s="57"/>
    </row>
    <row r="223" spans="1:16" ht="24" customHeight="1" x14ac:dyDescent="0.25">
      <c r="A223" s="51">
        <v>5238</v>
      </c>
      <c r="B223" s="88" t="s">
        <v>240</v>
      </c>
      <c r="C223" s="89">
        <f t="shared" si="80"/>
        <v>695</v>
      </c>
      <c r="D223" s="194"/>
      <c r="E223" s="195"/>
      <c r="F223" s="55">
        <f t="shared" si="82"/>
        <v>0</v>
      </c>
      <c r="G223" s="53"/>
      <c r="H223" s="54"/>
      <c r="I223" s="55">
        <f t="shared" si="83"/>
        <v>0</v>
      </c>
      <c r="J223" s="53">
        <v>695</v>
      </c>
      <c r="K223" s="54"/>
      <c r="L223" s="55">
        <f t="shared" si="84"/>
        <v>695</v>
      </c>
      <c r="M223" s="53"/>
      <c r="N223" s="54"/>
      <c r="O223" s="55">
        <f t="shared" si="85"/>
        <v>0</v>
      </c>
      <c r="P223" s="57"/>
    </row>
    <row r="224" spans="1:16" ht="24" hidden="1" customHeight="1" x14ac:dyDescent="0.25">
      <c r="A224" s="51">
        <v>5239</v>
      </c>
      <c r="B224" s="88" t="s">
        <v>241</v>
      </c>
      <c r="C224" s="89">
        <f t="shared" si="80"/>
        <v>0</v>
      </c>
      <c r="D224" s="544"/>
      <c r="E224" s="545"/>
      <c r="F224" s="543">
        <f t="shared" si="82"/>
        <v>0</v>
      </c>
      <c r="G224" s="303"/>
      <c r="H224" s="542"/>
      <c r="I224" s="543">
        <f t="shared" si="83"/>
        <v>0</v>
      </c>
      <c r="J224" s="303"/>
      <c r="K224" s="542"/>
      <c r="L224" s="543">
        <f t="shared" si="84"/>
        <v>0</v>
      </c>
      <c r="M224" s="53"/>
      <c r="N224" s="54"/>
      <c r="O224" s="55">
        <f t="shared" si="85"/>
        <v>0</v>
      </c>
      <c r="P224" s="57"/>
    </row>
    <row r="225" spans="1:16" ht="24" hidden="1" customHeight="1" x14ac:dyDescent="0.25">
      <c r="A225" s="188">
        <v>5240</v>
      </c>
      <c r="B225" s="88" t="s">
        <v>242</v>
      </c>
      <c r="C225" s="89">
        <f t="shared" si="80"/>
        <v>0</v>
      </c>
      <c r="D225" s="544"/>
      <c r="E225" s="545"/>
      <c r="F225" s="543">
        <f t="shared" si="82"/>
        <v>0</v>
      </c>
      <c r="G225" s="303"/>
      <c r="H225" s="542"/>
      <c r="I225" s="543">
        <f t="shared" si="83"/>
        <v>0</v>
      </c>
      <c r="J225" s="303"/>
      <c r="K225" s="542"/>
      <c r="L225" s="543">
        <f t="shared" si="84"/>
        <v>0</v>
      </c>
      <c r="M225" s="53"/>
      <c r="N225" s="54"/>
      <c r="O225" s="55">
        <f t="shared" si="85"/>
        <v>0</v>
      </c>
      <c r="P225" s="57"/>
    </row>
    <row r="226" spans="1:16" ht="12" hidden="1" customHeight="1" x14ac:dyDescent="0.25">
      <c r="A226" s="188">
        <v>5250</v>
      </c>
      <c r="B226" s="88" t="s">
        <v>243</v>
      </c>
      <c r="C226" s="89">
        <f t="shared" si="80"/>
        <v>0</v>
      </c>
      <c r="D226" s="544"/>
      <c r="E226" s="545"/>
      <c r="F226" s="543">
        <f t="shared" si="82"/>
        <v>0</v>
      </c>
      <c r="G226" s="303"/>
      <c r="H226" s="542"/>
      <c r="I226" s="543">
        <f t="shared" si="83"/>
        <v>0</v>
      </c>
      <c r="J226" s="303"/>
      <c r="K226" s="542"/>
      <c r="L226" s="543">
        <f t="shared" si="84"/>
        <v>0</v>
      </c>
      <c r="M226" s="53"/>
      <c r="N226" s="54"/>
      <c r="O226" s="55">
        <f t="shared" si="85"/>
        <v>0</v>
      </c>
      <c r="P226" s="57"/>
    </row>
    <row r="227" spans="1:16" hidden="1" x14ac:dyDescent="0.25">
      <c r="A227" s="188">
        <v>5260</v>
      </c>
      <c r="B227" s="88" t="s">
        <v>244</v>
      </c>
      <c r="C227" s="89">
        <f t="shared" si="80"/>
        <v>0</v>
      </c>
      <c r="D227" s="318">
        <f t="shared" ref="D227:O227" si="86">SUM(D228)</f>
        <v>0</v>
      </c>
      <c r="E227" s="687">
        <f t="shared" si="86"/>
        <v>0</v>
      </c>
      <c r="F227" s="543">
        <f t="shared" si="86"/>
        <v>0</v>
      </c>
      <c r="G227" s="318">
        <f t="shared" si="86"/>
        <v>0</v>
      </c>
      <c r="H227" s="687">
        <f t="shared" si="86"/>
        <v>0</v>
      </c>
      <c r="I227" s="543">
        <f t="shared" si="86"/>
        <v>0</v>
      </c>
      <c r="J227" s="318">
        <f t="shared" si="86"/>
        <v>0</v>
      </c>
      <c r="K227" s="687">
        <f t="shared" si="86"/>
        <v>0</v>
      </c>
      <c r="L227" s="543">
        <f t="shared" si="86"/>
        <v>0</v>
      </c>
      <c r="M227" s="189">
        <f t="shared" si="86"/>
        <v>0</v>
      </c>
      <c r="N227" s="190">
        <f t="shared" si="86"/>
        <v>0</v>
      </c>
      <c r="O227" s="55">
        <f t="shared" si="86"/>
        <v>0</v>
      </c>
      <c r="P227" s="57"/>
    </row>
    <row r="228" spans="1:16" ht="24" hidden="1" customHeight="1" x14ac:dyDescent="0.25">
      <c r="A228" s="51">
        <v>5269</v>
      </c>
      <c r="B228" s="88" t="s">
        <v>245</v>
      </c>
      <c r="C228" s="89">
        <f t="shared" si="80"/>
        <v>0</v>
      </c>
      <c r="D228" s="544"/>
      <c r="E228" s="545"/>
      <c r="F228" s="543">
        <f>D228+E228</f>
        <v>0</v>
      </c>
      <c r="G228" s="303"/>
      <c r="H228" s="542"/>
      <c r="I228" s="543">
        <f>G228+H228</f>
        <v>0</v>
      </c>
      <c r="J228" s="303"/>
      <c r="K228" s="542"/>
      <c r="L228" s="543">
        <f>K228+J228</f>
        <v>0</v>
      </c>
      <c r="M228" s="53"/>
      <c r="N228" s="54"/>
      <c r="O228" s="55">
        <f>N228+M228</f>
        <v>0</v>
      </c>
      <c r="P228" s="57"/>
    </row>
    <row r="229" spans="1:16" ht="24" hidden="1" customHeight="1" x14ac:dyDescent="0.25">
      <c r="A229" s="185">
        <v>5270</v>
      </c>
      <c r="B229" s="137" t="s">
        <v>246</v>
      </c>
      <c r="C229" s="142">
        <f t="shared" si="80"/>
        <v>0</v>
      </c>
      <c r="D229" s="691"/>
      <c r="E229" s="692"/>
      <c r="F229" s="667">
        <f>D229+E229</f>
        <v>0</v>
      </c>
      <c r="G229" s="312"/>
      <c r="H229" s="666"/>
      <c r="I229" s="667">
        <f>G229+H229</f>
        <v>0</v>
      </c>
      <c r="J229" s="312"/>
      <c r="K229" s="666"/>
      <c r="L229" s="667">
        <f>K229+J229</f>
        <v>0</v>
      </c>
      <c r="M229" s="143"/>
      <c r="N229" s="144"/>
      <c r="O229" s="140">
        <f>N229+M229</f>
        <v>0</v>
      </c>
      <c r="P229" s="128"/>
    </row>
    <row r="230" spans="1:16" hidden="1" x14ac:dyDescent="0.25">
      <c r="A230" s="176">
        <v>6000</v>
      </c>
      <c r="B230" s="176" t="s">
        <v>247</v>
      </c>
      <c r="C230" s="847">
        <f t="shared" si="80"/>
        <v>0</v>
      </c>
      <c r="D230" s="842">
        <f t="shared" ref="D230:O230" si="87">D231+D251+D259</f>
        <v>0</v>
      </c>
      <c r="E230" s="843">
        <f t="shared" si="87"/>
        <v>0</v>
      </c>
      <c r="F230" s="844">
        <f t="shared" si="87"/>
        <v>0</v>
      </c>
      <c r="G230" s="842">
        <f t="shared" si="87"/>
        <v>0</v>
      </c>
      <c r="H230" s="843">
        <f t="shared" si="87"/>
        <v>0</v>
      </c>
      <c r="I230" s="844">
        <f t="shared" si="87"/>
        <v>0</v>
      </c>
      <c r="J230" s="842">
        <f t="shared" si="87"/>
        <v>0</v>
      </c>
      <c r="K230" s="843">
        <f t="shared" si="87"/>
        <v>0</v>
      </c>
      <c r="L230" s="844">
        <f t="shared" si="87"/>
        <v>0</v>
      </c>
      <c r="M230" s="842">
        <f t="shared" si="87"/>
        <v>0</v>
      </c>
      <c r="N230" s="179">
        <f t="shared" si="87"/>
        <v>0</v>
      </c>
      <c r="O230" s="180">
        <f t="shared" si="87"/>
        <v>0</v>
      </c>
      <c r="P230" s="181"/>
    </row>
    <row r="231" spans="1:16" ht="14.25" hidden="1" customHeight="1" x14ac:dyDescent="0.25">
      <c r="A231" s="216">
        <v>6200</v>
      </c>
      <c r="B231" s="207" t="s">
        <v>248</v>
      </c>
      <c r="C231" s="217">
        <f t="shared" si="80"/>
        <v>0</v>
      </c>
      <c r="D231" s="322">
        <f t="shared" ref="D231:O231" si="88">SUM(D232,D233,D235,D238,D244,D245,D246)</f>
        <v>0</v>
      </c>
      <c r="E231" s="698">
        <f t="shared" si="88"/>
        <v>0</v>
      </c>
      <c r="F231" s="699">
        <f t="shared" si="88"/>
        <v>0</v>
      </c>
      <c r="G231" s="322">
        <f t="shared" si="88"/>
        <v>0</v>
      </c>
      <c r="H231" s="698">
        <f t="shared" si="88"/>
        <v>0</v>
      </c>
      <c r="I231" s="699">
        <f t="shared" si="88"/>
        <v>0</v>
      </c>
      <c r="J231" s="322">
        <f t="shared" si="88"/>
        <v>0</v>
      </c>
      <c r="K231" s="698">
        <f t="shared" si="88"/>
        <v>0</v>
      </c>
      <c r="L231" s="699">
        <f t="shared" si="88"/>
        <v>0</v>
      </c>
      <c r="M231" s="218">
        <f t="shared" si="88"/>
        <v>0</v>
      </c>
      <c r="N231" s="219">
        <f t="shared" si="88"/>
        <v>0</v>
      </c>
      <c r="O231" s="220">
        <f t="shared" si="88"/>
        <v>0</v>
      </c>
      <c r="P231" s="221"/>
    </row>
    <row r="232" spans="1:16" ht="24" hidden="1" customHeight="1" x14ac:dyDescent="0.25">
      <c r="A232" s="293">
        <v>6220</v>
      </c>
      <c r="B232" s="81" t="s">
        <v>249</v>
      </c>
      <c r="C232" s="82">
        <f t="shared" si="80"/>
        <v>0</v>
      </c>
      <c r="D232" s="689"/>
      <c r="E232" s="690"/>
      <c r="F232" s="664">
        <f>D232+E232</f>
        <v>0</v>
      </c>
      <c r="G232" s="302"/>
      <c r="H232" s="628"/>
      <c r="I232" s="664">
        <f>G232+H232</f>
        <v>0</v>
      </c>
      <c r="J232" s="302"/>
      <c r="K232" s="628"/>
      <c r="L232" s="664">
        <f>K232+J232</f>
        <v>0</v>
      </c>
      <c r="M232" s="46"/>
      <c r="N232" s="47"/>
      <c r="O232" s="133">
        <f>N232+M232</f>
        <v>0</v>
      </c>
      <c r="P232" s="49"/>
    </row>
    <row r="233" spans="1:16" hidden="1" x14ac:dyDescent="0.25">
      <c r="A233" s="188">
        <v>6230</v>
      </c>
      <c r="B233" s="88" t="s">
        <v>250</v>
      </c>
      <c r="C233" s="89">
        <f t="shared" si="80"/>
        <v>0</v>
      </c>
      <c r="D233" s="318">
        <f t="shared" ref="D233:O233" si="89">SUM(D234)</f>
        <v>0</v>
      </c>
      <c r="E233" s="687">
        <f t="shared" si="89"/>
        <v>0</v>
      </c>
      <c r="F233" s="543">
        <f t="shared" si="89"/>
        <v>0</v>
      </c>
      <c r="G233" s="318">
        <f t="shared" si="89"/>
        <v>0</v>
      </c>
      <c r="H233" s="687">
        <f t="shared" si="89"/>
        <v>0</v>
      </c>
      <c r="I233" s="543">
        <f t="shared" si="89"/>
        <v>0</v>
      </c>
      <c r="J233" s="318">
        <f t="shared" si="89"/>
        <v>0</v>
      </c>
      <c r="K233" s="687">
        <f t="shared" si="89"/>
        <v>0</v>
      </c>
      <c r="L233" s="543">
        <f t="shared" si="89"/>
        <v>0</v>
      </c>
      <c r="M233" s="189">
        <f t="shared" si="89"/>
        <v>0</v>
      </c>
      <c r="N233" s="190">
        <f t="shared" si="89"/>
        <v>0</v>
      </c>
      <c r="O233" s="55">
        <f t="shared" si="89"/>
        <v>0</v>
      </c>
      <c r="P233" s="57"/>
    </row>
    <row r="234" spans="1:16" ht="24" hidden="1" customHeight="1" x14ac:dyDescent="0.25">
      <c r="A234" s="51">
        <v>6239</v>
      </c>
      <c r="B234" s="81" t="s">
        <v>251</v>
      </c>
      <c r="C234" s="89">
        <f t="shared" si="80"/>
        <v>0</v>
      </c>
      <c r="D234" s="689"/>
      <c r="E234" s="690"/>
      <c r="F234" s="664">
        <f>D234+E234</f>
        <v>0</v>
      </c>
      <c r="G234" s="302"/>
      <c r="H234" s="628"/>
      <c r="I234" s="664">
        <f>G234+H234</f>
        <v>0</v>
      </c>
      <c r="J234" s="302"/>
      <c r="K234" s="628"/>
      <c r="L234" s="664">
        <f>K234+J234</f>
        <v>0</v>
      </c>
      <c r="M234" s="46"/>
      <c r="N234" s="47"/>
      <c r="O234" s="133">
        <f>N234+M234</f>
        <v>0</v>
      </c>
      <c r="P234" s="49"/>
    </row>
    <row r="235" spans="1:16" ht="24" hidden="1" x14ac:dyDescent="0.25">
      <c r="A235" s="188">
        <v>6240</v>
      </c>
      <c r="B235" s="88" t="s">
        <v>252</v>
      </c>
      <c r="C235" s="89">
        <f t="shared" si="80"/>
        <v>0</v>
      </c>
      <c r="D235" s="318">
        <f t="shared" ref="D235:O235" si="90">SUM(D236:D237)</f>
        <v>0</v>
      </c>
      <c r="E235" s="687">
        <f t="shared" si="90"/>
        <v>0</v>
      </c>
      <c r="F235" s="543">
        <f t="shared" si="90"/>
        <v>0</v>
      </c>
      <c r="G235" s="318">
        <f t="shared" si="90"/>
        <v>0</v>
      </c>
      <c r="H235" s="687">
        <f t="shared" si="90"/>
        <v>0</v>
      </c>
      <c r="I235" s="543">
        <f t="shared" si="90"/>
        <v>0</v>
      </c>
      <c r="J235" s="318">
        <f t="shared" si="90"/>
        <v>0</v>
      </c>
      <c r="K235" s="687">
        <f t="shared" si="90"/>
        <v>0</v>
      </c>
      <c r="L235" s="543">
        <f t="shared" si="90"/>
        <v>0</v>
      </c>
      <c r="M235" s="189">
        <f t="shared" si="90"/>
        <v>0</v>
      </c>
      <c r="N235" s="190">
        <f t="shared" si="90"/>
        <v>0</v>
      </c>
      <c r="O235" s="55">
        <f t="shared" si="90"/>
        <v>0</v>
      </c>
      <c r="P235" s="57"/>
    </row>
    <row r="236" spans="1:16" ht="12" hidden="1" customHeight="1" x14ac:dyDescent="0.25">
      <c r="A236" s="51">
        <v>6241</v>
      </c>
      <c r="B236" s="88" t="s">
        <v>253</v>
      </c>
      <c r="C236" s="89">
        <f t="shared" si="80"/>
        <v>0</v>
      </c>
      <c r="D236" s="544"/>
      <c r="E236" s="545"/>
      <c r="F236" s="543">
        <f>D236+E236</f>
        <v>0</v>
      </c>
      <c r="G236" s="303"/>
      <c r="H236" s="542"/>
      <c r="I236" s="543">
        <f>G236+H236</f>
        <v>0</v>
      </c>
      <c r="J236" s="303"/>
      <c r="K236" s="542"/>
      <c r="L236" s="543">
        <f>K236+J236</f>
        <v>0</v>
      </c>
      <c r="M236" s="53"/>
      <c r="N236" s="54"/>
      <c r="O236" s="55">
        <f>N236+M236</f>
        <v>0</v>
      </c>
      <c r="P236" s="57"/>
    </row>
    <row r="237" spans="1:16" ht="12" hidden="1" customHeight="1" x14ac:dyDescent="0.25">
      <c r="A237" s="51">
        <v>6242</v>
      </c>
      <c r="B237" s="88" t="s">
        <v>254</v>
      </c>
      <c r="C237" s="89">
        <f t="shared" si="80"/>
        <v>0</v>
      </c>
      <c r="D237" s="544"/>
      <c r="E237" s="545"/>
      <c r="F237" s="543">
        <f>D237+E237</f>
        <v>0</v>
      </c>
      <c r="G237" s="303"/>
      <c r="H237" s="542"/>
      <c r="I237" s="543">
        <f>G237+H237</f>
        <v>0</v>
      </c>
      <c r="J237" s="303"/>
      <c r="K237" s="542"/>
      <c r="L237" s="543">
        <f>K237+J237</f>
        <v>0</v>
      </c>
      <c r="M237" s="53"/>
      <c r="N237" s="54"/>
      <c r="O237" s="55">
        <f>N237+M237</f>
        <v>0</v>
      </c>
      <c r="P237" s="57"/>
    </row>
    <row r="238" spans="1:16" ht="25.5" hidden="1" customHeight="1" x14ac:dyDescent="0.25">
      <c r="A238" s="188">
        <v>6250</v>
      </c>
      <c r="B238" s="88" t="s">
        <v>255</v>
      </c>
      <c r="C238" s="89">
        <f t="shared" si="80"/>
        <v>0</v>
      </c>
      <c r="D238" s="318">
        <f t="shared" ref="D238:O238" si="91">SUM(D239:D243)</f>
        <v>0</v>
      </c>
      <c r="E238" s="687">
        <f t="shared" si="91"/>
        <v>0</v>
      </c>
      <c r="F238" s="543">
        <f t="shared" si="91"/>
        <v>0</v>
      </c>
      <c r="G238" s="318">
        <f t="shared" si="91"/>
        <v>0</v>
      </c>
      <c r="H238" s="687">
        <f t="shared" si="91"/>
        <v>0</v>
      </c>
      <c r="I238" s="543">
        <f t="shared" si="91"/>
        <v>0</v>
      </c>
      <c r="J238" s="318">
        <f t="shared" si="91"/>
        <v>0</v>
      </c>
      <c r="K238" s="687">
        <f t="shared" si="91"/>
        <v>0</v>
      </c>
      <c r="L238" s="543">
        <f t="shared" si="91"/>
        <v>0</v>
      </c>
      <c r="M238" s="189">
        <f t="shared" si="91"/>
        <v>0</v>
      </c>
      <c r="N238" s="190">
        <f t="shared" si="91"/>
        <v>0</v>
      </c>
      <c r="O238" s="55">
        <f t="shared" si="91"/>
        <v>0</v>
      </c>
      <c r="P238" s="57"/>
    </row>
    <row r="239" spans="1:16" ht="14.25" hidden="1" customHeight="1" x14ac:dyDescent="0.25">
      <c r="A239" s="51">
        <v>6252</v>
      </c>
      <c r="B239" s="88" t="s">
        <v>256</v>
      </c>
      <c r="C239" s="89">
        <f t="shared" si="80"/>
        <v>0</v>
      </c>
      <c r="D239" s="544"/>
      <c r="E239" s="545"/>
      <c r="F239" s="543">
        <f t="shared" ref="F239:F245" si="92">D239+E239</f>
        <v>0</v>
      </c>
      <c r="G239" s="303"/>
      <c r="H239" s="542"/>
      <c r="I239" s="543">
        <f t="shared" ref="I239:I245" si="93">G239+H239</f>
        <v>0</v>
      </c>
      <c r="J239" s="303"/>
      <c r="K239" s="542"/>
      <c r="L239" s="543">
        <f t="shared" ref="L239:L245" si="94">K239+J239</f>
        <v>0</v>
      </c>
      <c r="M239" s="53"/>
      <c r="N239" s="54"/>
      <c r="O239" s="55">
        <f t="shared" ref="O239:O245" si="95">N239+M239</f>
        <v>0</v>
      </c>
      <c r="P239" s="57"/>
    </row>
    <row r="240" spans="1:16" ht="14.25" hidden="1" customHeight="1" x14ac:dyDescent="0.25">
      <c r="A240" s="51">
        <v>6253</v>
      </c>
      <c r="B240" s="88" t="s">
        <v>257</v>
      </c>
      <c r="C240" s="89">
        <f t="shared" si="80"/>
        <v>0</v>
      </c>
      <c r="D240" s="544"/>
      <c r="E240" s="545"/>
      <c r="F240" s="543">
        <f t="shared" si="92"/>
        <v>0</v>
      </c>
      <c r="G240" s="303"/>
      <c r="H240" s="542"/>
      <c r="I240" s="543">
        <f t="shared" si="93"/>
        <v>0</v>
      </c>
      <c r="J240" s="303"/>
      <c r="K240" s="542"/>
      <c r="L240" s="543">
        <f t="shared" si="94"/>
        <v>0</v>
      </c>
      <c r="M240" s="53"/>
      <c r="N240" s="54"/>
      <c r="O240" s="55">
        <f t="shared" si="95"/>
        <v>0</v>
      </c>
      <c r="P240" s="57"/>
    </row>
    <row r="241" spans="1:16" ht="24" hidden="1" customHeight="1" x14ac:dyDescent="0.25">
      <c r="A241" s="51">
        <v>6254</v>
      </c>
      <c r="B241" s="88" t="s">
        <v>258</v>
      </c>
      <c r="C241" s="89">
        <f t="shared" si="80"/>
        <v>0</v>
      </c>
      <c r="D241" s="544"/>
      <c r="E241" s="545"/>
      <c r="F241" s="543">
        <f t="shared" si="92"/>
        <v>0</v>
      </c>
      <c r="G241" s="303"/>
      <c r="H241" s="542"/>
      <c r="I241" s="543">
        <f t="shared" si="93"/>
        <v>0</v>
      </c>
      <c r="J241" s="303"/>
      <c r="K241" s="542"/>
      <c r="L241" s="543">
        <f t="shared" si="94"/>
        <v>0</v>
      </c>
      <c r="M241" s="53"/>
      <c r="N241" s="54"/>
      <c r="O241" s="55">
        <f t="shared" si="95"/>
        <v>0</v>
      </c>
      <c r="P241" s="57"/>
    </row>
    <row r="242" spans="1:16" ht="24" hidden="1" customHeight="1" x14ac:dyDescent="0.25">
      <c r="A242" s="51">
        <v>6255</v>
      </c>
      <c r="B242" s="88" t="s">
        <v>259</v>
      </c>
      <c r="C242" s="89">
        <f t="shared" si="80"/>
        <v>0</v>
      </c>
      <c r="D242" s="544"/>
      <c r="E242" s="545"/>
      <c r="F242" s="543">
        <f t="shared" si="92"/>
        <v>0</v>
      </c>
      <c r="G242" s="303"/>
      <c r="H242" s="542"/>
      <c r="I242" s="543">
        <f t="shared" si="93"/>
        <v>0</v>
      </c>
      <c r="J242" s="303"/>
      <c r="K242" s="542"/>
      <c r="L242" s="543">
        <f t="shared" si="94"/>
        <v>0</v>
      </c>
      <c r="M242" s="53"/>
      <c r="N242" s="54"/>
      <c r="O242" s="55">
        <f t="shared" si="95"/>
        <v>0</v>
      </c>
      <c r="P242" s="57"/>
    </row>
    <row r="243" spans="1:16" ht="12" hidden="1" customHeight="1" x14ac:dyDescent="0.25">
      <c r="A243" s="51">
        <v>6259</v>
      </c>
      <c r="B243" s="88" t="s">
        <v>260</v>
      </c>
      <c r="C243" s="89">
        <f t="shared" si="80"/>
        <v>0</v>
      </c>
      <c r="D243" s="544"/>
      <c r="E243" s="545"/>
      <c r="F243" s="543">
        <f t="shared" si="92"/>
        <v>0</v>
      </c>
      <c r="G243" s="303"/>
      <c r="H243" s="542"/>
      <c r="I243" s="543">
        <f t="shared" si="93"/>
        <v>0</v>
      </c>
      <c r="J243" s="303"/>
      <c r="K243" s="542"/>
      <c r="L243" s="543">
        <f t="shared" si="94"/>
        <v>0</v>
      </c>
      <c r="M243" s="53"/>
      <c r="N243" s="54"/>
      <c r="O243" s="55">
        <f t="shared" si="95"/>
        <v>0</v>
      </c>
      <c r="P243" s="57"/>
    </row>
    <row r="244" spans="1:16" ht="24" hidden="1" customHeight="1" x14ac:dyDescent="0.25">
      <c r="A244" s="188">
        <v>6260</v>
      </c>
      <c r="B244" s="88" t="s">
        <v>261</v>
      </c>
      <c r="C244" s="89">
        <f t="shared" si="80"/>
        <v>0</v>
      </c>
      <c r="D244" s="544"/>
      <c r="E244" s="545"/>
      <c r="F244" s="543">
        <f t="shared" si="92"/>
        <v>0</v>
      </c>
      <c r="G244" s="303"/>
      <c r="H244" s="542"/>
      <c r="I244" s="543">
        <f t="shared" si="93"/>
        <v>0</v>
      </c>
      <c r="J244" s="303"/>
      <c r="K244" s="542"/>
      <c r="L244" s="543">
        <f t="shared" si="94"/>
        <v>0</v>
      </c>
      <c r="M244" s="53"/>
      <c r="N244" s="54"/>
      <c r="O244" s="55">
        <f t="shared" si="95"/>
        <v>0</v>
      </c>
      <c r="P244" s="57"/>
    </row>
    <row r="245" spans="1:16" ht="12" hidden="1" customHeight="1" x14ac:dyDescent="0.25">
      <c r="A245" s="188">
        <v>6270</v>
      </c>
      <c r="B245" s="88" t="s">
        <v>262</v>
      </c>
      <c r="C245" s="89">
        <f t="shared" si="80"/>
        <v>0</v>
      </c>
      <c r="D245" s="544"/>
      <c r="E245" s="545"/>
      <c r="F245" s="543">
        <f t="shared" si="92"/>
        <v>0</v>
      </c>
      <c r="G245" s="303"/>
      <c r="H245" s="542"/>
      <c r="I245" s="543">
        <f t="shared" si="93"/>
        <v>0</v>
      </c>
      <c r="J245" s="303"/>
      <c r="K245" s="542"/>
      <c r="L245" s="543">
        <f t="shared" si="94"/>
        <v>0</v>
      </c>
      <c r="M245" s="53"/>
      <c r="N245" s="54"/>
      <c r="O245" s="55">
        <f t="shared" si="95"/>
        <v>0</v>
      </c>
      <c r="P245" s="57"/>
    </row>
    <row r="246" spans="1:16" ht="24" hidden="1" x14ac:dyDescent="0.25">
      <c r="A246" s="293">
        <v>6290</v>
      </c>
      <c r="B246" s="81" t="s">
        <v>263</v>
      </c>
      <c r="C246" s="208">
        <f t="shared" si="80"/>
        <v>0</v>
      </c>
      <c r="D246" s="319">
        <f>SUM(D247:D250)</f>
        <v>0</v>
      </c>
      <c r="E246" s="688">
        <f>SUM(E247:E250)</f>
        <v>0</v>
      </c>
      <c r="F246" s="664">
        <f>SUM(F247:F250)</f>
        <v>0</v>
      </c>
      <c r="G246" s="319">
        <f t="shared" ref="G246:M246" si="96">SUM(G247:G250)</f>
        <v>0</v>
      </c>
      <c r="H246" s="688">
        <f>SUM(H247:H250)</f>
        <v>0</v>
      </c>
      <c r="I246" s="664">
        <f>SUM(I247:I250)</f>
        <v>0</v>
      </c>
      <c r="J246" s="319">
        <f t="shared" si="96"/>
        <v>0</v>
      </c>
      <c r="K246" s="688">
        <f>SUM(K247:K250)</f>
        <v>0</v>
      </c>
      <c r="L246" s="664">
        <f>SUM(L247:L250)</f>
        <v>0</v>
      </c>
      <c r="M246" s="192">
        <f t="shared" si="96"/>
        <v>0</v>
      </c>
      <c r="N246" s="193">
        <f>SUM(N247:N250)</f>
        <v>0</v>
      </c>
      <c r="O246" s="133">
        <f>SUM(O247:O250)</f>
        <v>0</v>
      </c>
      <c r="P246" s="49"/>
    </row>
    <row r="247" spans="1:16" ht="12" hidden="1" customHeight="1" x14ac:dyDescent="0.25">
      <c r="A247" s="51">
        <v>6291</v>
      </c>
      <c r="B247" s="88" t="s">
        <v>264</v>
      </c>
      <c r="C247" s="89">
        <f t="shared" si="80"/>
        <v>0</v>
      </c>
      <c r="D247" s="544"/>
      <c r="E247" s="545"/>
      <c r="F247" s="543">
        <f>D247+E247</f>
        <v>0</v>
      </c>
      <c r="G247" s="303"/>
      <c r="H247" s="542"/>
      <c r="I247" s="543">
        <f>G247+H247</f>
        <v>0</v>
      </c>
      <c r="J247" s="303"/>
      <c r="K247" s="542"/>
      <c r="L247" s="543">
        <f>K247+J247</f>
        <v>0</v>
      </c>
      <c r="M247" s="53"/>
      <c r="N247" s="54"/>
      <c r="O247" s="55">
        <f>N247+M247</f>
        <v>0</v>
      </c>
      <c r="P247" s="57"/>
    </row>
    <row r="248" spans="1:16" ht="12" hidden="1" customHeight="1" x14ac:dyDescent="0.25">
      <c r="A248" s="51">
        <v>6292</v>
      </c>
      <c r="B248" s="88" t="s">
        <v>265</v>
      </c>
      <c r="C248" s="89">
        <f t="shared" si="80"/>
        <v>0</v>
      </c>
      <c r="D248" s="544"/>
      <c r="E248" s="545"/>
      <c r="F248" s="543">
        <f>D248+E248</f>
        <v>0</v>
      </c>
      <c r="G248" s="303"/>
      <c r="H248" s="542"/>
      <c r="I248" s="543">
        <f>G248+H248</f>
        <v>0</v>
      </c>
      <c r="J248" s="303"/>
      <c r="K248" s="542"/>
      <c r="L248" s="543">
        <f>K248+J248</f>
        <v>0</v>
      </c>
      <c r="M248" s="53"/>
      <c r="N248" s="54"/>
      <c r="O248" s="55">
        <f>N248+M248</f>
        <v>0</v>
      </c>
      <c r="P248" s="57"/>
    </row>
    <row r="249" spans="1:16" ht="72" hidden="1" customHeight="1" x14ac:dyDescent="0.25">
      <c r="A249" s="51">
        <v>6296</v>
      </c>
      <c r="B249" s="88" t="s">
        <v>266</v>
      </c>
      <c r="C249" s="89">
        <f t="shared" si="80"/>
        <v>0</v>
      </c>
      <c r="D249" s="544"/>
      <c r="E249" s="545"/>
      <c r="F249" s="543">
        <f>D249+E249</f>
        <v>0</v>
      </c>
      <c r="G249" s="303"/>
      <c r="H249" s="542"/>
      <c r="I249" s="543">
        <f>G249+H249</f>
        <v>0</v>
      </c>
      <c r="J249" s="303"/>
      <c r="K249" s="542"/>
      <c r="L249" s="543">
        <f>K249+J249</f>
        <v>0</v>
      </c>
      <c r="M249" s="53"/>
      <c r="N249" s="54"/>
      <c r="O249" s="55">
        <f>N249+M249</f>
        <v>0</v>
      </c>
      <c r="P249" s="57"/>
    </row>
    <row r="250" spans="1:16" ht="39.75" hidden="1" customHeight="1" x14ac:dyDescent="0.25">
      <c r="A250" s="51">
        <v>6299</v>
      </c>
      <c r="B250" s="88" t="s">
        <v>267</v>
      </c>
      <c r="C250" s="89">
        <f t="shared" si="80"/>
        <v>0</v>
      </c>
      <c r="D250" s="544"/>
      <c r="E250" s="545"/>
      <c r="F250" s="543">
        <f>D250+E250</f>
        <v>0</v>
      </c>
      <c r="G250" s="303"/>
      <c r="H250" s="542"/>
      <c r="I250" s="543">
        <f>G250+H250</f>
        <v>0</v>
      </c>
      <c r="J250" s="303"/>
      <c r="K250" s="542"/>
      <c r="L250" s="543">
        <f>K250+J250</f>
        <v>0</v>
      </c>
      <c r="M250" s="53"/>
      <c r="N250" s="54"/>
      <c r="O250" s="55">
        <f>N250+M250</f>
        <v>0</v>
      </c>
      <c r="P250" s="57"/>
    </row>
    <row r="251" spans="1:16" hidden="1" x14ac:dyDescent="0.25">
      <c r="A251" s="68">
        <v>6300</v>
      </c>
      <c r="B251" s="182" t="s">
        <v>268</v>
      </c>
      <c r="C251" s="69">
        <f t="shared" si="80"/>
        <v>0</v>
      </c>
      <c r="D251" s="316">
        <f>SUM(D252,D257,D258)</f>
        <v>0</v>
      </c>
      <c r="E251" s="685">
        <f>SUM(E252,E257,E258)</f>
        <v>0</v>
      </c>
      <c r="F251" s="638">
        <f>SUM(F252,F257,F258)</f>
        <v>0</v>
      </c>
      <c r="G251" s="316">
        <f t="shared" ref="G251:M251" si="97">SUM(G252,G257,G258)</f>
        <v>0</v>
      </c>
      <c r="H251" s="685">
        <f>SUM(H252,H257,H258)</f>
        <v>0</v>
      </c>
      <c r="I251" s="638">
        <f>SUM(I252,I257,I258)</f>
        <v>0</v>
      </c>
      <c r="J251" s="316">
        <f t="shared" si="97"/>
        <v>0</v>
      </c>
      <c r="K251" s="685">
        <f>SUM(K252,K257,K258)</f>
        <v>0</v>
      </c>
      <c r="L251" s="638">
        <f>SUM(L252,L257,L258)</f>
        <v>0</v>
      </c>
      <c r="M251" s="183">
        <f t="shared" si="97"/>
        <v>0</v>
      </c>
      <c r="N251" s="184">
        <f>SUM(N252,N257,N258)</f>
        <v>0</v>
      </c>
      <c r="O251" s="72">
        <f>SUM(O252,O257,O258)</f>
        <v>0</v>
      </c>
      <c r="P251" s="76"/>
    </row>
    <row r="252" spans="1:16" ht="24" hidden="1" x14ac:dyDescent="0.25">
      <c r="A252" s="293">
        <v>6320</v>
      </c>
      <c r="B252" s="81" t="s">
        <v>269</v>
      </c>
      <c r="C252" s="208">
        <f t="shared" si="80"/>
        <v>0</v>
      </c>
      <c r="D252" s="319">
        <f>SUM(D253:D256)</f>
        <v>0</v>
      </c>
      <c r="E252" s="688">
        <f>SUM(E253:E256)</f>
        <v>0</v>
      </c>
      <c r="F252" s="664">
        <f>SUM(F253:F256)</f>
        <v>0</v>
      </c>
      <c r="G252" s="319">
        <f t="shared" ref="G252:M252" si="98">SUM(G253:G256)</f>
        <v>0</v>
      </c>
      <c r="H252" s="688">
        <f>SUM(H253:H256)</f>
        <v>0</v>
      </c>
      <c r="I252" s="664">
        <f>SUM(I253:I256)</f>
        <v>0</v>
      </c>
      <c r="J252" s="319">
        <f t="shared" si="98"/>
        <v>0</v>
      </c>
      <c r="K252" s="688">
        <f>SUM(K253:K256)</f>
        <v>0</v>
      </c>
      <c r="L252" s="664">
        <f>SUM(L253:L256)</f>
        <v>0</v>
      </c>
      <c r="M252" s="192">
        <f t="shared" si="98"/>
        <v>0</v>
      </c>
      <c r="N252" s="193">
        <f>SUM(N253:N256)</f>
        <v>0</v>
      </c>
      <c r="O252" s="133">
        <f>SUM(O253:O256)</f>
        <v>0</v>
      </c>
      <c r="P252" s="49"/>
    </row>
    <row r="253" spans="1:16" ht="12" hidden="1" customHeight="1" x14ac:dyDescent="0.25">
      <c r="A253" s="51">
        <v>6322</v>
      </c>
      <c r="B253" s="88" t="s">
        <v>270</v>
      </c>
      <c r="C253" s="89">
        <f t="shared" si="80"/>
        <v>0</v>
      </c>
      <c r="D253" s="544"/>
      <c r="E253" s="545"/>
      <c r="F253" s="543">
        <f t="shared" ref="F253:F258" si="99">D253+E253</f>
        <v>0</v>
      </c>
      <c r="G253" s="303"/>
      <c r="H253" s="542"/>
      <c r="I253" s="543">
        <f t="shared" ref="I253:I258" si="100">G253+H253</f>
        <v>0</v>
      </c>
      <c r="J253" s="303"/>
      <c r="K253" s="542"/>
      <c r="L253" s="543">
        <f t="shared" ref="L253:L258" si="101">K253+J253</f>
        <v>0</v>
      </c>
      <c r="M253" s="53"/>
      <c r="N253" s="54"/>
      <c r="O253" s="55">
        <f t="shared" ref="O253:O258" si="102">N253+M253</f>
        <v>0</v>
      </c>
      <c r="P253" s="57"/>
    </row>
    <row r="254" spans="1:16" ht="24" hidden="1" customHeight="1" x14ac:dyDescent="0.25">
      <c r="A254" s="51">
        <v>6323</v>
      </c>
      <c r="B254" s="88" t="s">
        <v>271</v>
      </c>
      <c r="C254" s="89">
        <f t="shared" si="80"/>
        <v>0</v>
      </c>
      <c r="D254" s="544"/>
      <c r="E254" s="545"/>
      <c r="F254" s="543">
        <f t="shared" si="99"/>
        <v>0</v>
      </c>
      <c r="G254" s="303"/>
      <c r="H254" s="542"/>
      <c r="I254" s="543">
        <f t="shared" si="100"/>
        <v>0</v>
      </c>
      <c r="J254" s="303"/>
      <c r="K254" s="542"/>
      <c r="L254" s="543">
        <f t="shared" si="101"/>
        <v>0</v>
      </c>
      <c r="M254" s="53"/>
      <c r="N254" s="54"/>
      <c r="O254" s="55">
        <f t="shared" si="102"/>
        <v>0</v>
      </c>
      <c r="P254" s="57"/>
    </row>
    <row r="255" spans="1:16" ht="24" hidden="1" customHeight="1" x14ac:dyDescent="0.25">
      <c r="A255" s="51">
        <v>6324</v>
      </c>
      <c r="B255" s="88" t="s">
        <v>272</v>
      </c>
      <c r="C255" s="89">
        <f t="shared" si="80"/>
        <v>0</v>
      </c>
      <c r="D255" s="544"/>
      <c r="E255" s="545"/>
      <c r="F255" s="543">
        <f t="shared" si="99"/>
        <v>0</v>
      </c>
      <c r="G255" s="303"/>
      <c r="H255" s="542"/>
      <c r="I255" s="543">
        <f t="shared" si="100"/>
        <v>0</v>
      </c>
      <c r="J255" s="303"/>
      <c r="K255" s="542"/>
      <c r="L255" s="543">
        <f t="shared" si="101"/>
        <v>0</v>
      </c>
      <c r="M255" s="53"/>
      <c r="N255" s="54"/>
      <c r="O255" s="55">
        <f t="shared" si="102"/>
        <v>0</v>
      </c>
      <c r="P255" s="57"/>
    </row>
    <row r="256" spans="1:16" ht="12" hidden="1" customHeight="1" x14ac:dyDescent="0.25">
      <c r="A256" s="44">
        <v>6329</v>
      </c>
      <c r="B256" s="81" t="s">
        <v>273</v>
      </c>
      <c r="C256" s="82">
        <f t="shared" si="80"/>
        <v>0</v>
      </c>
      <c r="D256" s="689"/>
      <c r="E256" s="690"/>
      <c r="F256" s="664">
        <f t="shared" si="99"/>
        <v>0</v>
      </c>
      <c r="G256" s="302"/>
      <c r="H256" s="628"/>
      <c r="I256" s="664">
        <f t="shared" si="100"/>
        <v>0</v>
      </c>
      <c r="J256" s="302"/>
      <c r="K256" s="628"/>
      <c r="L256" s="664">
        <f t="shared" si="101"/>
        <v>0</v>
      </c>
      <c r="M256" s="46"/>
      <c r="N256" s="47"/>
      <c r="O256" s="133">
        <f t="shared" si="102"/>
        <v>0</v>
      </c>
      <c r="P256" s="49"/>
    </row>
    <row r="257" spans="1:16" ht="24" hidden="1" customHeight="1" x14ac:dyDescent="0.25">
      <c r="A257" s="225">
        <v>6330</v>
      </c>
      <c r="B257" s="226" t="s">
        <v>274</v>
      </c>
      <c r="C257" s="208">
        <f t="shared" si="80"/>
        <v>0</v>
      </c>
      <c r="D257" s="694"/>
      <c r="E257" s="695"/>
      <c r="F257" s="696">
        <f t="shared" si="99"/>
        <v>0</v>
      </c>
      <c r="G257" s="321"/>
      <c r="H257" s="697"/>
      <c r="I257" s="696">
        <f t="shared" si="100"/>
        <v>0</v>
      </c>
      <c r="J257" s="321"/>
      <c r="K257" s="697"/>
      <c r="L257" s="696">
        <f t="shared" si="101"/>
        <v>0</v>
      </c>
      <c r="M257" s="213"/>
      <c r="N257" s="214"/>
      <c r="O257" s="212">
        <f t="shared" si="102"/>
        <v>0</v>
      </c>
      <c r="P257" s="215"/>
    </row>
    <row r="258" spans="1:16" ht="12" hidden="1" customHeight="1" x14ac:dyDescent="0.25">
      <c r="A258" s="188">
        <v>6360</v>
      </c>
      <c r="B258" s="88" t="s">
        <v>275</v>
      </c>
      <c r="C258" s="89">
        <f t="shared" si="80"/>
        <v>0</v>
      </c>
      <c r="D258" s="544"/>
      <c r="E258" s="545"/>
      <c r="F258" s="543">
        <f t="shared" si="99"/>
        <v>0</v>
      </c>
      <c r="G258" s="303"/>
      <c r="H258" s="542"/>
      <c r="I258" s="543">
        <f t="shared" si="100"/>
        <v>0</v>
      </c>
      <c r="J258" s="303"/>
      <c r="K258" s="542"/>
      <c r="L258" s="543">
        <f t="shared" si="101"/>
        <v>0</v>
      </c>
      <c r="M258" s="53"/>
      <c r="N258" s="54"/>
      <c r="O258" s="55">
        <f t="shared" si="102"/>
        <v>0</v>
      </c>
      <c r="P258" s="57"/>
    </row>
    <row r="259" spans="1:16" ht="36" hidden="1" x14ac:dyDescent="0.25">
      <c r="A259" s="68">
        <v>6400</v>
      </c>
      <c r="B259" s="182" t="s">
        <v>276</v>
      </c>
      <c r="C259" s="69">
        <f t="shared" si="80"/>
        <v>0</v>
      </c>
      <c r="D259" s="316">
        <f>SUM(D260,D264)</f>
        <v>0</v>
      </c>
      <c r="E259" s="685">
        <f>SUM(E260,E264)</f>
        <v>0</v>
      </c>
      <c r="F259" s="638">
        <f>SUM(F260,F264)</f>
        <v>0</v>
      </c>
      <c r="G259" s="316">
        <f t="shared" ref="G259:M259" si="103">SUM(G260,G264)</f>
        <v>0</v>
      </c>
      <c r="H259" s="685">
        <f>SUM(H260,H264)</f>
        <v>0</v>
      </c>
      <c r="I259" s="638">
        <f>SUM(I260,I264)</f>
        <v>0</v>
      </c>
      <c r="J259" s="316">
        <f t="shared" si="103"/>
        <v>0</v>
      </c>
      <c r="K259" s="685">
        <f>SUM(K260,K264)</f>
        <v>0</v>
      </c>
      <c r="L259" s="638">
        <f>SUM(L260,L264)</f>
        <v>0</v>
      </c>
      <c r="M259" s="183">
        <f t="shared" si="103"/>
        <v>0</v>
      </c>
      <c r="N259" s="184">
        <f>SUM(N260,N264)</f>
        <v>0</v>
      </c>
      <c r="O259" s="72">
        <f>SUM(O260,O264)</f>
        <v>0</v>
      </c>
      <c r="P259" s="76"/>
    </row>
    <row r="260" spans="1:16" ht="24" hidden="1" x14ac:dyDescent="0.25">
      <c r="A260" s="293">
        <v>6410</v>
      </c>
      <c r="B260" s="81" t="s">
        <v>277</v>
      </c>
      <c r="C260" s="82">
        <f t="shared" si="80"/>
        <v>0</v>
      </c>
      <c r="D260" s="319">
        <f>SUM(D261:D263)</f>
        <v>0</v>
      </c>
      <c r="E260" s="688">
        <f>SUM(E261:E263)</f>
        <v>0</v>
      </c>
      <c r="F260" s="664">
        <f>SUM(F261:F263)</f>
        <v>0</v>
      </c>
      <c r="G260" s="319">
        <f t="shared" ref="G260:M260" si="104">SUM(G261:G263)</f>
        <v>0</v>
      </c>
      <c r="H260" s="688">
        <f>SUM(H261:H263)</f>
        <v>0</v>
      </c>
      <c r="I260" s="664">
        <f>SUM(I261:I263)</f>
        <v>0</v>
      </c>
      <c r="J260" s="319">
        <f t="shared" si="104"/>
        <v>0</v>
      </c>
      <c r="K260" s="688">
        <f>SUM(K261:K263)</f>
        <v>0</v>
      </c>
      <c r="L260" s="664">
        <f>SUM(L261:L263)</f>
        <v>0</v>
      </c>
      <c r="M260" s="192">
        <f t="shared" si="104"/>
        <v>0</v>
      </c>
      <c r="N260" s="193">
        <f>SUM(N261:N263)</f>
        <v>0</v>
      </c>
      <c r="O260" s="133">
        <f>SUM(O261:O263)</f>
        <v>0</v>
      </c>
      <c r="P260" s="49"/>
    </row>
    <row r="261" spans="1:16" ht="12" hidden="1" customHeight="1" x14ac:dyDescent="0.25">
      <c r="A261" s="51">
        <v>6411</v>
      </c>
      <c r="B261" s="199" t="s">
        <v>278</v>
      </c>
      <c r="C261" s="89">
        <f t="shared" si="80"/>
        <v>0</v>
      </c>
      <c r="D261" s="544"/>
      <c r="E261" s="545"/>
      <c r="F261" s="543">
        <f>D261+E261</f>
        <v>0</v>
      </c>
      <c r="G261" s="303"/>
      <c r="H261" s="542"/>
      <c r="I261" s="543">
        <f>G261+H261</f>
        <v>0</v>
      </c>
      <c r="J261" s="303"/>
      <c r="K261" s="542"/>
      <c r="L261" s="543">
        <f>K261+J261</f>
        <v>0</v>
      </c>
      <c r="M261" s="53"/>
      <c r="N261" s="54"/>
      <c r="O261" s="55">
        <f>N261+M261</f>
        <v>0</v>
      </c>
      <c r="P261" s="57"/>
    </row>
    <row r="262" spans="1:16" ht="36" hidden="1" customHeight="1" x14ac:dyDescent="0.25">
      <c r="A262" s="51">
        <v>6412</v>
      </c>
      <c r="B262" s="88" t="s">
        <v>279</v>
      </c>
      <c r="C262" s="89">
        <f t="shared" si="80"/>
        <v>0</v>
      </c>
      <c r="D262" s="544"/>
      <c r="E262" s="545"/>
      <c r="F262" s="543">
        <f>D262+E262</f>
        <v>0</v>
      </c>
      <c r="G262" s="303"/>
      <c r="H262" s="542"/>
      <c r="I262" s="543">
        <f>G262+H262</f>
        <v>0</v>
      </c>
      <c r="J262" s="303"/>
      <c r="K262" s="542"/>
      <c r="L262" s="543">
        <f>K262+J262</f>
        <v>0</v>
      </c>
      <c r="M262" s="53"/>
      <c r="N262" s="54"/>
      <c r="O262" s="55">
        <f>N262+M262</f>
        <v>0</v>
      </c>
      <c r="P262" s="57"/>
    </row>
    <row r="263" spans="1:16" ht="36" hidden="1" customHeight="1" x14ac:dyDescent="0.25">
      <c r="A263" s="51">
        <v>6419</v>
      </c>
      <c r="B263" s="88" t="s">
        <v>280</v>
      </c>
      <c r="C263" s="89">
        <f t="shared" si="80"/>
        <v>0</v>
      </c>
      <c r="D263" s="544"/>
      <c r="E263" s="545"/>
      <c r="F263" s="543">
        <f>D263+E263</f>
        <v>0</v>
      </c>
      <c r="G263" s="303"/>
      <c r="H263" s="542"/>
      <c r="I263" s="543">
        <f>G263+H263</f>
        <v>0</v>
      </c>
      <c r="J263" s="303"/>
      <c r="K263" s="542"/>
      <c r="L263" s="543">
        <f>K263+J263</f>
        <v>0</v>
      </c>
      <c r="M263" s="53"/>
      <c r="N263" s="54"/>
      <c r="O263" s="55">
        <f>N263+M263</f>
        <v>0</v>
      </c>
      <c r="P263" s="57"/>
    </row>
    <row r="264" spans="1:16" ht="48" hidden="1" x14ac:dyDescent="0.25">
      <c r="A264" s="188">
        <v>6420</v>
      </c>
      <c r="B264" s="88" t="s">
        <v>281</v>
      </c>
      <c r="C264" s="89">
        <f t="shared" si="80"/>
        <v>0</v>
      </c>
      <c r="D264" s="318">
        <f t="shared" ref="D264:O264" si="105">SUM(D265:D268)</f>
        <v>0</v>
      </c>
      <c r="E264" s="687">
        <f t="shared" si="105"/>
        <v>0</v>
      </c>
      <c r="F264" s="543">
        <f t="shared" si="105"/>
        <v>0</v>
      </c>
      <c r="G264" s="318">
        <f t="shared" si="105"/>
        <v>0</v>
      </c>
      <c r="H264" s="687">
        <f t="shared" si="105"/>
        <v>0</v>
      </c>
      <c r="I264" s="543">
        <f t="shared" si="105"/>
        <v>0</v>
      </c>
      <c r="J264" s="318">
        <f t="shared" si="105"/>
        <v>0</v>
      </c>
      <c r="K264" s="687">
        <f t="shared" si="105"/>
        <v>0</v>
      </c>
      <c r="L264" s="543">
        <f t="shared" si="105"/>
        <v>0</v>
      </c>
      <c r="M264" s="189">
        <f t="shared" si="105"/>
        <v>0</v>
      </c>
      <c r="N264" s="190">
        <f t="shared" si="105"/>
        <v>0</v>
      </c>
      <c r="O264" s="55">
        <f t="shared" si="105"/>
        <v>0</v>
      </c>
      <c r="P264" s="57"/>
    </row>
    <row r="265" spans="1:16" ht="36" hidden="1" customHeight="1" x14ac:dyDescent="0.25">
      <c r="A265" s="51">
        <v>6421</v>
      </c>
      <c r="B265" s="88" t="s">
        <v>282</v>
      </c>
      <c r="C265" s="89">
        <f t="shared" si="80"/>
        <v>0</v>
      </c>
      <c r="D265" s="544"/>
      <c r="E265" s="545"/>
      <c r="F265" s="543">
        <f>D265+E265</f>
        <v>0</v>
      </c>
      <c r="G265" s="303"/>
      <c r="H265" s="542"/>
      <c r="I265" s="543">
        <f>G265+H265</f>
        <v>0</v>
      </c>
      <c r="J265" s="303"/>
      <c r="K265" s="542"/>
      <c r="L265" s="543">
        <f>K265+J265</f>
        <v>0</v>
      </c>
      <c r="M265" s="53"/>
      <c r="N265" s="54"/>
      <c r="O265" s="55">
        <f>N265+M265</f>
        <v>0</v>
      </c>
      <c r="P265" s="57"/>
    </row>
    <row r="266" spans="1:16" ht="12" hidden="1" customHeight="1" x14ac:dyDescent="0.25">
      <c r="A266" s="51">
        <v>6422</v>
      </c>
      <c r="B266" s="88" t="s">
        <v>283</v>
      </c>
      <c r="C266" s="89">
        <f t="shared" si="80"/>
        <v>0</v>
      </c>
      <c r="D266" s="544"/>
      <c r="E266" s="545"/>
      <c r="F266" s="543">
        <f>D266+E266</f>
        <v>0</v>
      </c>
      <c r="G266" s="303"/>
      <c r="H266" s="542"/>
      <c r="I266" s="543">
        <f>G266+H266</f>
        <v>0</v>
      </c>
      <c r="J266" s="303"/>
      <c r="K266" s="542"/>
      <c r="L266" s="543">
        <f>K266+J266</f>
        <v>0</v>
      </c>
      <c r="M266" s="53"/>
      <c r="N266" s="54"/>
      <c r="O266" s="55">
        <f>N266+M266</f>
        <v>0</v>
      </c>
      <c r="P266" s="57"/>
    </row>
    <row r="267" spans="1:16" ht="13.5" hidden="1" customHeight="1" x14ac:dyDescent="0.25">
      <c r="A267" s="51">
        <v>6423</v>
      </c>
      <c r="B267" s="88" t="s">
        <v>284</v>
      </c>
      <c r="C267" s="89">
        <f t="shared" si="80"/>
        <v>0</v>
      </c>
      <c r="D267" s="544"/>
      <c r="E267" s="545"/>
      <c r="F267" s="543">
        <f>D267+E267</f>
        <v>0</v>
      </c>
      <c r="G267" s="303"/>
      <c r="H267" s="542"/>
      <c r="I267" s="543">
        <f>G267+H267</f>
        <v>0</v>
      </c>
      <c r="J267" s="303"/>
      <c r="K267" s="542"/>
      <c r="L267" s="543">
        <f>K267+J267</f>
        <v>0</v>
      </c>
      <c r="M267" s="53"/>
      <c r="N267" s="54"/>
      <c r="O267" s="55">
        <f>N267+M267</f>
        <v>0</v>
      </c>
      <c r="P267" s="57"/>
    </row>
    <row r="268" spans="1:16" ht="36" hidden="1" customHeight="1" x14ac:dyDescent="0.25">
      <c r="A268" s="51">
        <v>6424</v>
      </c>
      <c r="B268" s="88" t="s">
        <v>285</v>
      </c>
      <c r="C268" s="89">
        <f t="shared" si="80"/>
        <v>0</v>
      </c>
      <c r="D268" s="544"/>
      <c r="E268" s="545"/>
      <c r="F268" s="543">
        <f>D268+E268</f>
        <v>0</v>
      </c>
      <c r="G268" s="303"/>
      <c r="H268" s="542"/>
      <c r="I268" s="543">
        <f>G268+H268</f>
        <v>0</v>
      </c>
      <c r="J268" s="303"/>
      <c r="K268" s="542"/>
      <c r="L268" s="543">
        <f>K268+J268</f>
        <v>0</v>
      </c>
      <c r="M268" s="53"/>
      <c r="N268" s="54"/>
      <c r="O268" s="55">
        <f>N268+M268</f>
        <v>0</v>
      </c>
      <c r="P268" s="57"/>
    </row>
    <row r="269" spans="1:16" ht="48" hidden="1" x14ac:dyDescent="0.25">
      <c r="A269" s="227">
        <v>7000</v>
      </c>
      <c r="B269" s="227" t="s">
        <v>286</v>
      </c>
      <c r="C269" s="228">
        <f t="shared" si="80"/>
        <v>0</v>
      </c>
      <c r="D269" s="848">
        <f t="shared" ref="D269:O269" si="106">SUM(D270,D281)</f>
        <v>0</v>
      </c>
      <c r="E269" s="849">
        <f t="shared" si="106"/>
        <v>0</v>
      </c>
      <c r="F269" s="850">
        <f t="shared" si="106"/>
        <v>0</v>
      </c>
      <c r="G269" s="848">
        <f t="shared" si="106"/>
        <v>0</v>
      </c>
      <c r="H269" s="849">
        <f t="shared" si="106"/>
        <v>0</v>
      </c>
      <c r="I269" s="850">
        <f t="shared" si="106"/>
        <v>0</v>
      </c>
      <c r="J269" s="848">
        <f t="shared" si="106"/>
        <v>0</v>
      </c>
      <c r="K269" s="849">
        <f t="shared" si="106"/>
        <v>0</v>
      </c>
      <c r="L269" s="850">
        <f t="shared" si="106"/>
        <v>0</v>
      </c>
      <c r="M269" s="229">
        <f t="shared" si="106"/>
        <v>0</v>
      </c>
      <c r="N269" s="230">
        <f t="shared" si="106"/>
        <v>0</v>
      </c>
      <c r="O269" s="231">
        <f t="shared" si="106"/>
        <v>0</v>
      </c>
      <c r="P269" s="232"/>
    </row>
    <row r="270" spans="1:16" ht="24" hidden="1" x14ac:dyDescent="0.25">
      <c r="A270" s="68">
        <v>7200</v>
      </c>
      <c r="B270" s="182" t="s">
        <v>287</v>
      </c>
      <c r="C270" s="69">
        <f t="shared" si="80"/>
        <v>0</v>
      </c>
      <c r="D270" s="316">
        <f t="shared" ref="D270:O270" si="107">SUM(D271,D272,D275,D276,D280)</f>
        <v>0</v>
      </c>
      <c r="E270" s="685">
        <f t="shared" si="107"/>
        <v>0</v>
      </c>
      <c r="F270" s="638">
        <f t="shared" si="107"/>
        <v>0</v>
      </c>
      <c r="G270" s="316">
        <f t="shared" si="107"/>
        <v>0</v>
      </c>
      <c r="H270" s="685">
        <f t="shared" si="107"/>
        <v>0</v>
      </c>
      <c r="I270" s="638">
        <f t="shared" si="107"/>
        <v>0</v>
      </c>
      <c r="J270" s="316">
        <f t="shared" si="107"/>
        <v>0</v>
      </c>
      <c r="K270" s="685">
        <f t="shared" si="107"/>
        <v>0</v>
      </c>
      <c r="L270" s="638">
        <f t="shared" si="107"/>
        <v>0</v>
      </c>
      <c r="M270" s="183">
        <f t="shared" si="107"/>
        <v>0</v>
      </c>
      <c r="N270" s="184">
        <f t="shared" si="107"/>
        <v>0</v>
      </c>
      <c r="O270" s="72">
        <f t="shared" si="107"/>
        <v>0</v>
      </c>
      <c r="P270" s="76"/>
    </row>
    <row r="271" spans="1:16" ht="24" hidden="1" customHeight="1" x14ac:dyDescent="0.25">
      <c r="A271" s="293">
        <v>7210</v>
      </c>
      <c r="B271" s="81" t="s">
        <v>288</v>
      </c>
      <c r="C271" s="82">
        <f t="shared" si="80"/>
        <v>0</v>
      </c>
      <c r="D271" s="689"/>
      <c r="E271" s="690"/>
      <c r="F271" s="664">
        <f>D271+E271</f>
        <v>0</v>
      </c>
      <c r="G271" s="302"/>
      <c r="H271" s="628"/>
      <c r="I271" s="664">
        <f>G271+H271</f>
        <v>0</v>
      </c>
      <c r="J271" s="302"/>
      <c r="K271" s="628"/>
      <c r="L271" s="664">
        <f>K271+J271</f>
        <v>0</v>
      </c>
      <c r="M271" s="46"/>
      <c r="N271" s="47"/>
      <c r="O271" s="133">
        <f>N271+M271</f>
        <v>0</v>
      </c>
      <c r="P271" s="49"/>
    </row>
    <row r="272" spans="1:16" s="233" customFormat="1" ht="24" hidden="1" x14ac:dyDescent="0.25">
      <c r="A272" s="188">
        <v>7220</v>
      </c>
      <c r="B272" s="88" t="s">
        <v>289</v>
      </c>
      <c r="C272" s="89">
        <f t="shared" si="80"/>
        <v>0</v>
      </c>
      <c r="D272" s="318">
        <f t="shared" ref="D272:O272" si="108">SUM(D273:D274)</f>
        <v>0</v>
      </c>
      <c r="E272" s="687">
        <f t="shared" si="108"/>
        <v>0</v>
      </c>
      <c r="F272" s="543">
        <f t="shared" si="108"/>
        <v>0</v>
      </c>
      <c r="G272" s="318">
        <f t="shared" si="108"/>
        <v>0</v>
      </c>
      <c r="H272" s="687">
        <f t="shared" si="108"/>
        <v>0</v>
      </c>
      <c r="I272" s="543">
        <f t="shared" si="108"/>
        <v>0</v>
      </c>
      <c r="J272" s="318">
        <f t="shared" si="108"/>
        <v>0</v>
      </c>
      <c r="K272" s="687">
        <f t="shared" si="108"/>
        <v>0</v>
      </c>
      <c r="L272" s="543">
        <f t="shared" si="108"/>
        <v>0</v>
      </c>
      <c r="M272" s="189">
        <f t="shared" si="108"/>
        <v>0</v>
      </c>
      <c r="N272" s="190">
        <f t="shared" si="108"/>
        <v>0</v>
      </c>
      <c r="O272" s="55">
        <f t="shared" si="108"/>
        <v>0</v>
      </c>
      <c r="P272" s="57"/>
    </row>
    <row r="273" spans="1:16" s="233" customFormat="1" ht="36" hidden="1" customHeight="1" x14ac:dyDescent="0.25">
      <c r="A273" s="51">
        <v>7221</v>
      </c>
      <c r="B273" s="88" t="s">
        <v>290</v>
      </c>
      <c r="C273" s="89">
        <f t="shared" si="80"/>
        <v>0</v>
      </c>
      <c r="D273" s="544"/>
      <c r="E273" s="545"/>
      <c r="F273" s="543">
        <f>D273+E273</f>
        <v>0</v>
      </c>
      <c r="G273" s="303"/>
      <c r="H273" s="542"/>
      <c r="I273" s="543">
        <f>G273+H273</f>
        <v>0</v>
      </c>
      <c r="J273" s="303"/>
      <c r="K273" s="542"/>
      <c r="L273" s="543">
        <f>K273+J273</f>
        <v>0</v>
      </c>
      <c r="M273" s="53"/>
      <c r="N273" s="54"/>
      <c r="O273" s="55">
        <f>N273+M273</f>
        <v>0</v>
      </c>
      <c r="P273" s="57"/>
    </row>
    <row r="274" spans="1:16" s="233" customFormat="1" ht="36" hidden="1" customHeight="1" x14ac:dyDescent="0.25">
      <c r="A274" s="51">
        <v>7222</v>
      </c>
      <c r="B274" s="88" t="s">
        <v>291</v>
      </c>
      <c r="C274" s="89">
        <f t="shared" si="80"/>
        <v>0</v>
      </c>
      <c r="D274" s="544"/>
      <c r="E274" s="545"/>
      <c r="F274" s="543">
        <f>D274+E274</f>
        <v>0</v>
      </c>
      <c r="G274" s="303"/>
      <c r="H274" s="542"/>
      <c r="I274" s="543">
        <f>G274+H274</f>
        <v>0</v>
      </c>
      <c r="J274" s="303"/>
      <c r="K274" s="542"/>
      <c r="L274" s="543">
        <f>K274+J274</f>
        <v>0</v>
      </c>
      <c r="M274" s="53"/>
      <c r="N274" s="54"/>
      <c r="O274" s="55">
        <f>N274+M274</f>
        <v>0</v>
      </c>
      <c r="P274" s="57"/>
    </row>
    <row r="275" spans="1:16" ht="24" hidden="1" customHeight="1" x14ac:dyDescent="0.25">
      <c r="A275" s="188">
        <v>7230</v>
      </c>
      <c r="B275" s="88" t="s">
        <v>292</v>
      </c>
      <c r="C275" s="89">
        <f t="shared" si="80"/>
        <v>0</v>
      </c>
      <c r="D275" s="544"/>
      <c r="E275" s="545"/>
      <c r="F275" s="543">
        <f>D275+E275</f>
        <v>0</v>
      </c>
      <c r="G275" s="303"/>
      <c r="H275" s="542"/>
      <c r="I275" s="543">
        <f>G275+H275</f>
        <v>0</v>
      </c>
      <c r="J275" s="303"/>
      <c r="K275" s="542"/>
      <c r="L275" s="543">
        <f>K275+J275</f>
        <v>0</v>
      </c>
      <c r="M275" s="53"/>
      <c r="N275" s="54"/>
      <c r="O275" s="55">
        <f>N275+M275</f>
        <v>0</v>
      </c>
      <c r="P275" s="57"/>
    </row>
    <row r="276" spans="1:16" ht="24" hidden="1" x14ac:dyDescent="0.25">
      <c r="A276" s="188">
        <v>7240</v>
      </c>
      <c r="B276" s="88" t="s">
        <v>293</v>
      </c>
      <c r="C276" s="89">
        <f t="shared" ref="C276:C301" si="109">F276+I276+L276+O276</f>
        <v>0</v>
      </c>
      <c r="D276" s="318">
        <f t="shared" ref="D276:O276" si="110">SUM(D277:D279)</f>
        <v>0</v>
      </c>
      <c r="E276" s="687">
        <f t="shared" si="110"/>
        <v>0</v>
      </c>
      <c r="F276" s="543">
        <f t="shared" si="110"/>
        <v>0</v>
      </c>
      <c r="G276" s="318">
        <f t="shared" si="110"/>
        <v>0</v>
      </c>
      <c r="H276" s="687">
        <f t="shared" si="110"/>
        <v>0</v>
      </c>
      <c r="I276" s="543">
        <f t="shared" si="110"/>
        <v>0</v>
      </c>
      <c r="J276" s="318">
        <f t="shared" si="110"/>
        <v>0</v>
      </c>
      <c r="K276" s="687">
        <f t="shared" si="110"/>
        <v>0</v>
      </c>
      <c r="L276" s="543">
        <f t="shared" si="110"/>
        <v>0</v>
      </c>
      <c r="M276" s="189">
        <f t="shared" si="110"/>
        <v>0</v>
      </c>
      <c r="N276" s="190">
        <f t="shared" si="110"/>
        <v>0</v>
      </c>
      <c r="O276" s="55">
        <f t="shared" si="110"/>
        <v>0</v>
      </c>
      <c r="P276" s="57"/>
    </row>
    <row r="277" spans="1:16" ht="48" hidden="1" customHeight="1" x14ac:dyDescent="0.25">
      <c r="A277" s="51">
        <v>7245</v>
      </c>
      <c r="B277" s="88" t="s">
        <v>294</v>
      </c>
      <c r="C277" s="89">
        <f t="shared" si="109"/>
        <v>0</v>
      </c>
      <c r="D277" s="544"/>
      <c r="E277" s="545"/>
      <c r="F277" s="543">
        <f>D277+E277</f>
        <v>0</v>
      </c>
      <c r="G277" s="303"/>
      <c r="H277" s="542"/>
      <c r="I277" s="543">
        <f>G277+H277</f>
        <v>0</v>
      </c>
      <c r="J277" s="303"/>
      <c r="K277" s="542"/>
      <c r="L277" s="543">
        <f>K277+J277</f>
        <v>0</v>
      </c>
      <c r="M277" s="53"/>
      <c r="N277" s="54"/>
      <c r="O277" s="55">
        <f>N277+M277</f>
        <v>0</v>
      </c>
      <c r="P277" s="57"/>
    </row>
    <row r="278" spans="1:16" ht="84.75" hidden="1" customHeight="1" x14ac:dyDescent="0.25">
      <c r="A278" s="51">
        <v>7246</v>
      </c>
      <c r="B278" s="88" t="s">
        <v>295</v>
      </c>
      <c r="C278" s="89">
        <f t="shared" si="109"/>
        <v>0</v>
      </c>
      <c r="D278" s="544"/>
      <c r="E278" s="545"/>
      <c r="F278" s="543">
        <f>D278+E278</f>
        <v>0</v>
      </c>
      <c r="G278" s="303"/>
      <c r="H278" s="542"/>
      <c r="I278" s="543">
        <f>G278+H278</f>
        <v>0</v>
      </c>
      <c r="J278" s="303"/>
      <c r="K278" s="542"/>
      <c r="L278" s="543">
        <f>K278+J278</f>
        <v>0</v>
      </c>
      <c r="M278" s="53"/>
      <c r="N278" s="54"/>
      <c r="O278" s="55">
        <f>N278+M278</f>
        <v>0</v>
      </c>
      <c r="P278" s="57"/>
    </row>
    <row r="279" spans="1:16" ht="36" hidden="1" customHeight="1" x14ac:dyDescent="0.25">
      <c r="A279" s="51">
        <v>7247</v>
      </c>
      <c r="B279" s="88" t="s">
        <v>296</v>
      </c>
      <c r="C279" s="89">
        <f t="shared" si="109"/>
        <v>0</v>
      </c>
      <c r="D279" s="544"/>
      <c r="E279" s="545"/>
      <c r="F279" s="543">
        <f>D279+E279</f>
        <v>0</v>
      </c>
      <c r="G279" s="303"/>
      <c r="H279" s="542"/>
      <c r="I279" s="543">
        <f>G279+H279</f>
        <v>0</v>
      </c>
      <c r="J279" s="303"/>
      <c r="K279" s="542"/>
      <c r="L279" s="543">
        <f>K279+J279</f>
        <v>0</v>
      </c>
      <c r="M279" s="53"/>
      <c r="N279" s="54"/>
      <c r="O279" s="55">
        <f>N279+M279</f>
        <v>0</v>
      </c>
      <c r="P279" s="57"/>
    </row>
    <row r="280" spans="1:16" ht="24" hidden="1" customHeight="1" x14ac:dyDescent="0.25">
      <c r="A280" s="293">
        <v>7260</v>
      </c>
      <c r="B280" s="81" t="s">
        <v>297</v>
      </c>
      <c r="C280" s="82">
        <f t="shared" si="109"/>
        <v>0</v>
      </c>
      <c r="D280" s="689"/>
      <c r="E280" s="690"/>
      <c r="F280" s="664">
        <f>D280+E280</f>
        <v>0</v>
      </c>
      <c r="G280" s="302"/>
      <c r="H280" s="628"/>
      <c r="I280" s="664">
        <f>G280+H280</f>
        <v>0</v>
      </c>
      <c r="J280" s="302"/>
      <c r="K280" s="628"/>
      <c r="L280" s="664">
        <f>K280+J280</f>
        <v>0</v>
      </c>
      <c r="M280" s="46"/>
      <c r="N280" s="47"/>
      <c r="O280" s="133">
        <f>N280+M280</f>
        <v>0</v>
      </c>
      <c r="P280" s="49"/>
    </row>
    <row r="281" spans="1:16" hidden="1" x14ac:dyDescent="0.25">
      <c r="A281" s="135">
        <v>7700</v>
      </c>
      <c r="B281" s="108" t="s">
        <v>298</v>
      </c>
      <c r="C281" s="109">
        <f t="shared" si="109"/>
        <v>0</v>
      </c>
      <c r="D281" s="324">
        <f t="shared" ref="D281:O281" si="111">D282</f>
        <v>0</v>
      </c>
      <c r="E281" s="707">
        <f t="shared" si="111"/>
        <v>0</v>
      </c>
      <c r="F281" s="663">
        <f t="shared" si="111"/>
        <v>0</v>
      </c>
      <c r="G281" s="324">
        <f t="shared" si="111"/>
        <v>0</v>
      </c>
      <c r="H281" s="707">
        <f t="shared" si="111"/>
        <v>0</v>
      </c>
      <c r="I281" s="663">
        <f t="shared" si="111"/>
        <v>0</v>
      </c>
      <c r="J281" s="324">
        <f t="shared" si="111"/>
        <v>0</v>
      </c>
      <c r="K281" s="707">
        <f t="shared" si="111"/>
        <v>0</v>
      </c>
      <c r="L281" s="663">
        <f t="shared" si="111"/>
        <v>0</v>
      </c>
      <c r="M281" s="234">
        <f t="shared" si="111"/>
        <v>0</v>
      </c>
      <c r="N281" s="235">
        <f t="shared" si="111"/>
        <v>0</v>
      </c>
      <c r="O281" s="130">
        <f t="shared" si="111"/>
        <v>0</v>
      </c>
      <c r="P281" s="118"/>
    </row>
    <row r="282" spans="1:16" ht="12" hidden="1" customHeight="1" x14ac:dyDescent="0.25">
      <c r="A282" s="185">
        <v>7720</v>
      </c>
      <c r="B282" s="81" t="s">
        <v>299</v>
      </c>
      <c r="C282" s="97">
        <f t="shared" si="109"/>
        <v>0</v>
      </c>
      <c r="D282" s="708"/>
      <c r="E282" s="709"/>
      <c r="F282" s="710">
        <f>D282+E282</f>
        <v>0</v>
      </c>
      <c r="G282" s="307"/>
      <c r="H282" s="652"/>
      <c r="I282" s="710">
        <f>G282+H282</f>
        <v>0</v>
      </c>
      <c r="J282" s="307"/>
      <c r="K282" s="652"/>
      <c r="L282" s="710">
        <f>K282+J282</f>
        <v>0</v>
      </c>
      <c r="M282" s="101"/>
      <c r="N282" s="102"/>
      <c r="O282" s="238">
        <f>N282+M282</f>
        <v>0</v>
      </c>
      <c r="P282" s="106"/>
    </row>
    <row r="283" spans="1:16" hidden="1" x14ac:dyDescent="0.25">
      <c r="A283" s="239">
        <v>9000</v>
      </c>
      <c r="B283" s="240" t="s">
        <v>300</v>
      </c>
      <c r="C283" s="241">
        <f t="shared" si="109"/>
        <v>0</v>
      </c>
      <c r="D283" s="242">
        <f t="shared" ref="D283:O284" si="112">D284</f>
        <v>0</v>
      </c>
      <c r="E283" s="243">
        <f t="shared" si="112"/>
        <v>0</v>
      </c>
      <c r="F283" s="244">
        <f t="shared" si="112"/>
        <v>0</v>
      </c>
      <c r="G283" s="242">
        <f>G284</f>
        <v>0</v>
      </c>
      <c r="H283" s="243">
        <f>H284</f>
        <v>0</v>
      </c>
      <c r="I283" s="244">
        <f>I284</f>
        <v>0</v>
      </c>
      <c r="J283" s="242">
        <f t="shared" si="112"/>
        <v>0</v>
      </c>
      <c r="K283" s="243">
        <f t="shared" si="112"/>
        <v>0</v>
      </c>
      <c r="L283" s="244">
        <f t="shared" si="112"/>
        <v>0</v>
      </c>
      <c r="M283" s="242">
        <f t="shared" si="112"/>
        <v>0</v>
      </c>
      <c r="N283" s="243">
        <f t="shared" si="112"/>
        <v>0</v>
      </c>
      <c r="O283" s="244">
        <f t="shared" si="112"/>
        <v>0</v>
      </c>
      <c r="P283" s="245"/>
    </row>
    <row r="284" spans="1:16" ht="24" hidden="1" x14ac:dyDescent="0.25">
      <c r="A284" s="246">
        <v>9200</v>
      </c>
      <c r="B284" s="88" t="s">
        <v>301</v>
      </c>
      <c r="C284" s="142">
        <f t="shared" si="109"/>
        <v>0</v>
      </c>
      <c r="D284" s="317">
        <f t="shared" si="112"/>
        <v>0</v>
      </c>
      <c r="E284" s="686">
        <f t="shared" si="112"/>
        <v>0</v>
      </c>
      <c r="F284" s="667">
        <f t="shared" si="112"/>
        <v>0</v>
      </c>
      <c r="G284" s="317">
        <f t="shared" si="112"/>
        <v>0</v>
      </c>
      <c r="H284" s="686">
        <f t="shared" si="112"/>
        <v>0</v>
      </c>
      <c r="I284" s="667">
        <f t="shared" si="112"/>
        <v>0</v>
      </c>
      <c r="J284" s="317">
        <f t="shared" si="112"/>
        <v>0</v>
      </c>
      <c r="K284" s="686">
        <f t="shared" si="112"/>
        <v>0</v>
      </c>
      <c r="L284" s="667">
        <f t="shared" si="112"/>
        <v>0</v>
      </c>
      <c r="M284" s="186">
        <f t="shared" si="112"/>
        <v>0</v>
      </c>
      <c r="N284" s="187">
        <f t="shared" si="112"/>
        <v>0</v>
      </c>
      <c r="O284" s="140">
        <f t="shared" si="112"/>
        <v>0</v>
      </c>
      <c r="P284" s="128"/>
    </row>
    <row r="285" spans="1:16" ht="24" hidden="1" customHeight="1" x14ac:dyDescent="0.25">
      <c r="A285" s="247">
        <v>9230</v>
      </c>
      <c r="B285" s="88" t="s">
        <v>302</v>
      </c>
      <c r="C285" s="142">
        <f t="shared" si="109"/>
        <v>0</v>
      </c>
      <c r="D285" s="691"/>
      <c r="E285" s="692"/>
      <c r="F285" s="667">
        <f>D285+E285</f>
        <v>0</v>
      </c>
      <c r="G285" s="312"/>
      <c r="H285" s="666"/>
      <c r="I285" s="667">
        <f>G285+H285</f>
        <v>0</v>
      </c>
      <c r="J285" s="312"/>
      <c r="K285" s="666"/>
      <c r="L285" s="667">
        <f>K285+J285</f>
        <v>0</v>
      </c>
      <c r="M285" s="143"/>
      <c r="N285" s="144"/>
      <c r="O285" s="140">
        <f>N285+M285</f>
        <v>0</v>
      </c>
      <c r="P285" s="128"/>
    </row>
    <row r="286" spans="1:16" x14ac:dyDescent="0.25">
      <c r="A286" s="199"/>
      <c r="B286" s="88" t="s">
        <v>303</v>
      </c>
      <c r="C286" s="89">
        <f t="shared" si="109"/>
        <v>5</v>
      </c>
      <c r="D286" s="318">
        <f t="shared" ref="D286:O286" si="113">SUM(D287:D288)</f>
        <v>0</v>
      </c>
      <c r="E286" s="687">
        <f t="shared" si="113"/>
        <v>0</v>
      </c>
      <c r="F286" s="543">
        <f t="shared" si="113"/>
        <v>0</v>
      </c>
      <c r="G286" s="318">
        <f t="shared" si="113"/>
        <v>5</v>
      </c>
      <c r="H286" s="687">
        <f t="shared" si="113"/>
        <v>0</v>
      </c>
      <c r="I286" s="543">
        <f t="shared" si="113"/>
        <v>5</v>
      </c>
      <c r="J286" s="318">
        <f t="shared" si="113"/>
        <v>0</v>
      </c>
      <c r="K286" s="687">
        <f t="shared" si="113"/>
        <v>0</v>
      </c>
      <c r="L286" s="543">
        <f t="shared" si="113"/>
        <v>0</v>
      </c>
      <c r="M286" s="189">
        <f t="shared" si="113"/>
        <v>0</v>
      </c>
      <c r="N286" s="190">
        <f t="shared" si="113"/>
        <v>0</v>
      </c>
      <c r="O286" s="55">
        <f t="shared" si="113"/>
        <v>0</v>
      </c>
      <c r="P286" s="57"/>
    </row>
    <row r="287" spans="1:16" ht="12" hidden="1" customHeight="1" x14ac:dyDescent="0.25">
      <c r="A287" s="199" t="s">
        <v>304</v>
      </c>
      <c r="B287" s="51" t="s">
        <v>305</v>
      </c>
      <c r="C287" s="89">
        <f t="shared" si="109"/>
        <v>0</v>
      </c>
      <c r="D287" s="544"/>
      <c r="E287" s="545"/>
      <c r="F287" s="543">
        <f>D287+E287</f>
        <v>0</v>
      </c>
      <c r="G287" s="303"/>
      <c r="H287" s="542"/>
      <c r="I287" s="543">
        <f>G287+H287</f>
        <v>0</v>
      </c>
      <c r="J287" s="303"/>
      <c r="K287" s="542"/>
      <c r="L287" s="543">
        <f>K287+J287</f>
        <v>0</v>
      </c>
      <c r="M287" s="53"/>
      <c r="N287" s="54"/>
      <c r="O287" s="55">
        <f>N287+M287</f>
        <v>0</v>
      </c>
      <c r="P287" s="57"/>
    </row>
    <row r="288" spans="1:16" ht="24" customHeight="1" thickBot="1" x14ac:dyDescent="0.3">
      <c r="A288" s="199" t="s">
        <v>306</v>
      </c>
      <c r="B288" s="248" t="s">
        <v>307</v>
      </c>
      <c r="C288" s="82">
        <f t="shared" si="109"/>
        <v>5</v>
      </c>
      <c r="D288" s="196"/>
      <c r="E288" s="197"/>
      <c r="F288" s="133">
        <f>D288+E288</f>
        <v>0</v>
      </c>
      <c r="G288" s="46">
        <v>5</v>
      </c>
      <c r="H288" s="47">
        <v>0</v>
      </c>
      <c r="I288" s="133">
        <f>G288+H288</f>
        <v>5</v>
      </c>
      <c r="J288" s="46"/>
      <c r="K288" s="47"/>
      <c r="L288" s="133">
        <f>K288+J288</f>
        <v>0</v>
      </c>
      <c r="M288" s="46"/>
      <c r="N288" s="47"/>
      <c r="O288" s="133">
        <f>N288+M288</f>
        <v>0</v>
      </c>
      <c r="P288" s="66"/>
    </row>
    <row r="289" spans="1:16" ht="16.5" thickTop="1" thickBot="1" x14ac:dyDescent="0.3">
      <c r="A289" s="249"/>
      <c r="B289" s="249" t="s">
        <v>308</v>
      </c>
      <c r="C289" s="250">
        <f t="shared" si="109"/>
        <v>620719</v>
      </c>
      <c r="D289" s="326">
        <f t="shared" ref="D289:O289" si="114">SUM(D286,D269,D230,D195,D187,D173,D75,D53,D283)</f>
        <v>421082</v>
      </c>
      <c r="E289" s="718">
        <f t="shared" si="114"/>
        <v>-1500</v>
      </c>
      <c r="F289" s="719">
        <f t="shared" si="114"/>
        <v>419582</v>
      </c>
      <c r="G289" s="326">
        <f t="shared" si="114"/>
        <v>176168</v>
      </c>
      <c r="H289" s="718">
        <f t="shared" si="114"/>
        <v>0</v>
      </c>
      <c r="I289" s="719">
        <f t="shared" si="114"/>
        <v>176168</v>
      </c>
      <c r="J289" s="326">
        <f t="shared" si="114"/>
        <v>18915</v>
      </c>
      <c r="K289" s="718">
        <f t="shared" si="114"/>
        <v>6054</v>
      </c>
      <c r="L289" s="719">
        <f t="shared" si="114"/>
        <v>24969</v>
      </c>
      <c r="M289" s="251">
        <f t="shared" si="114"/>
        <v>0</v>
      </c>
      <c r="N289" s="252">
        <f t="shared" si="114"/>
        <v>0</v>
      </c>
      <c r="O289" s="253">
        <f t="shared" si="114"/>
        <v>0</v>
      </c>
      <c r="P289" s="254"/>
    </row>
    <row r="290" spans="1:16" s="28" customFormat="1" ht="13.5" thickTop="1" thickBot="1" x14ac:dyDescent="0.3">
      <c r="A290" s="1945" t="s">
        <v>309</v>
      </c>
      <c r="B290" s="1946"/>
      <c r="C290" s="255">
        <f t="shared" si="109"/>
        <v>-5451</v>
      </c>
      <c r="D290" s="327">
        <f t="shared" ref="D290:I290" si="115">SUM(D24,D25,D41)-D51</f>
        <v>0</v>
      </c>
      <c r="E290" s="720">
        <f t="shared" si="115"/>
        <v>0</v>
      </c>
      <c r="F290" s="721">
        <f t="shared" si="115"/>
        <v>0</v>
      </c>
      <c r="G290" s="327">
        <f t="shared" si="115"/>
        <v>5</v>
      </c>
      <c r="H290" s="720">
        <f t="shared" si="115"/>
        <v>0</v>
      </c>
      <c r="I290" s="721">
        <f t="shared" si="115"/>
        <v>5</v>
      </c>
      <c r="J290" s="327">
        <f>(J26+J43)-J51</f>
        <v>-5456</v>
      </c>
      <c r="K290" s="720">
        <f>(K26+K43)-K51</f>
        <v>0</v>
      </c>
      <c r="L290" s="721">
        <f>(L26+L43)-L51</f>
        <v>-5456</v>
      </c>
      <c r="M290" s="256">
        <f>M45-M51</f>
        <v>0</v>
      </c>
      <c r="N290" s="257">
        <f>N45-N51</f>
        <v>0</v>
      </c>
      <c r="O290" s="258">
        <f>O45-O51</f>
        <v>0</v>
      </c>
      <c r="P290" s="259"/>
    </row>
    <row r="291" spans="1:16" s="28" customFormat="1" ht="12.75" thickTop="1" x14ac:dyDescent="0.25">
      <c r="A291" s="1947" t="s">
        <v>310</v>
      </c>
      <c r="B291" s="1948"/>
      <c r="C291" s="260">
        <f t="shared" si="109"/>
        <v>5451</v>
      </c>
      <c r="D291" s="323">
        <f t="shared" ref="D291:O291" si="116">SUM(D292,D293)-D300+D301</f>
        <v>0</v>
      </c>
      <c r="E291" s="722">
        <f t="shared" si="116"/>
        <v>0</v>
      </c>
      <c r="F291" s="723">
        <f t="shared" si="116"/>
        <v>0</v>
      </c>
      <c r="G291" s="323">
        <f t="shared" si="116"/>
        <v>-5</v>
      </c>
      <c r="H291" s="722">
        <f t="shared" si="116"/>
        <v>0</v>
      </c>
      <c r="I291" s="723">
        <f t="shared" si="116"/>
        <v>-5</v>
      </c>
      <c r="J291" s="323">
        <f t="shared" si="116"/>
        <v>5456</v>
      </c>
      <c r="K291" s="722">
        <f t="shared" si="116"/>
        <v>0</v>
      </c>
      <c r="L291" s="723">
        <f t="shared" si="116"/>
        <v>5456</v>
      </c>
      <c r="M291" s="261">
        <f t="shared" si="116"/>
        <v>0</v>
      </c>
      <c r="N291" s="262">
        <f t="shared" si="116"/>
        <v>0</v>
      </c>
      <c r="O291" s="263">
        <f t="shared" si="116"/>
        <v>0</v>
      </c>
      <c r="P291" s="264"/>
    </row>
    <row r="292" spans="1:16" s="28" customFormat="1" ht="12.75" thickBot="1" x14ac:dyDescent="0.3">
      <c r="A292" s="156" t="s">
        <v>311</v>
      </c>
      <c r="B292" s="156" t="s">
        <v>312</v>
      </c>
      <c r="C292" s="157">
        <f t="shared" si="109"/>
        <v>5451</v>
      </c>
      <c r="D292" s="328">
        <f t="shared" ref="D292:O292" si="117">D21-D286</f>
        <v>0</v>
      </c>
      <c r="E292" s="671">
        <f t="shared" si="117"/>
        <v>0</v>
      </c>
      <c r="F292" s="672">
        <f t="shared" si="117"/>
        <v>0</v>
      </c>
      <c r="G292" s="328">
        <f t="shared" si="117"/>
        <v>-5</v>
      </c>
      <c r="H292" s="671">
        <f t="shared" si="117"/>
        <v>0</v>
      </c>
      <c r="I292" s="672">
        <f t="shared" si="117"/>
        <v>-5</v>
      </c>
      <c r="J292" s="328">
        <f t="shared" si="117"/>
        <v>5456</v>
      </c>
      <c r="K292" s="671">
        <f t="shared" si="117"/>
        <v>0</v>
      </c>
      <c r="L292" s="672">
        <f t="shared" si="117"/>
        <v>5456</v>
      </c>
      <c r="M292" s="158">
        <f t="shared" si="117"/>
        <v>0</v>
      </c>
      <c r="N292" s="159">
        <f t="shared" si="117"/>
        <v>0</v>
      </c>
      <c r="O292" s="160">
        <f t="shared" si="117"/>
        <v>0</v>
      </c>
      <c r="P292" s="35"/>
    </row>
    <row r="293" spans="1:16" s="28" customFormat="1" ht="12.75" hidden="1" thickTop="1" x14ac:dyDescent="0.25">
      <c r="A293" s="265" t="s">
        <v>313</v>
      </c>
      <c r="B293" s="265" t="s">
        <v>314</v>
      </c>
      <c r="C293" s="260">
        <f t="shared" si="109"/>
        <v>0</v>
      </c>
      <c r="D293" s="323">
        <f t="shared" ref="D293:O293" si="118">SUM(D294,D296,D298)-SUM(D295,D297,D299)</f>
        <v>0</v>
      </c>
      <c r="E293" s="722">
        <f t="shared" si="118"/>
        <v>0</v>
      </c>
      <c r="F293" s="723">
        <f t="shared" si="118"/>
        <v>0</v>
      </c>
      <c r="G293" s="323">
        <f t="shared" si="118"/>
        <v>0</v>
      </c>
      <c r="H293" s="722">
        <f t="shared" si="118"/>
        <v>0</v>
      </c>
      <c r="I293" s="723">
        <f t="shared" si="118"/>
        <v>0</v>
      </c>
      <c r="J293" s="323">
        <f t="shared" si="118"/>
        <v>0</v>
      </c>
      <c r="K293" s="722">
        <f t="shared" si="118"/>
        <v>0</v>
      </c>
      <c r="L293" s="723">
        <f t="shared" si="118"/>
        <v>0</v>
      </c>
      <c r="M293" s="261">
        <f t="shared" si="118"/>
        <v>0</v>
      </c>
      <c r="N293" s="262">
        <f t="shared" si="118"/>
        <v>0</v>
      </c>
      <c r="O293" s="263">
        <f t="shared" si="118"/>
        <v>0</v>
      </c>
      <c r="P293" s="264"/>
    </row>
    <row r="294" spans="1:16" ht="12" hidden="1" customHeight="1" x14ac:dyDescent="0.25">
      <c r="A294" s="266" t="s">
        <v>315</v>
      </c>
      <c r="B294" s="141" t="s">
        <v>316</v>
      </c>
      <c r="C294" s="97">
        <f t="shared" si="109"/>
        <v>0</v>
      </c>
      <c r="D294" s="708"/>
      <c r="E294" s="709"/>
      <c r="F294" s="710">
        <f t="shared" ref="F294:F301" si="119">D294+E294</f>
        <v>0</v>
      </c>
      <c r="G294" s="307"/>
      <c r="H294" s="652"/>
      <c r="I294" s="710">
        <f t="shared" ref="I294:I301" si="120">G294+H294</f>
        <v>0</v>
      </c>
      <c r="J294" s="307"/>
      <c r="K294" s="652"/>
      <c r="L294" s="710">
        <f t="shared" ref="L294:L301" si="121">K294+J294</f>
        <v>0</v>
      </c>
      <c r="M294" s="101"/>
      <c r="N294" s="102"/>
      <c r="O294" s="238">
        <f t="shared" ref="O294:O301" si="122">N294+M294</f>
        <v>0</v>
      </c>
      <c r="P294" s="106"/>
    </row>
    <row r="295" spans="1:16" ht="24" hidden="1" customHeight="1" x14ac:dyDescent="0.25">
      <c r="A295" s="199" t="s">
        <v>317</v>
      </c>
      <c r="B295" s="50" t="s">
        <v>318</v>
      </c>
      <c r="C295" s="89">
        <f t="shared" si="109"/>
        <v>0</v>
      </c>
      <c r="D295" s="544"/>
      <c r="E295" s="545"/>
      <c r="F295" s="543">
        <f t="shared" si="119"/>
        <v>0</v>
      </c>
      <c r="G295" s="303"/>
      <c r="H295" s="542"/>
      <c r="I295" s="543">
        <f t="shared" si="120"/>
        <v>0</v>
      </c>
      <c r="J295" s="303"/>
      <c r="K295" s="542"/>
      <c r="L295" s="543">
        <f t="shared" si="121"/>
        <v>0</v>
      </c>
      <c r="M295" s="53"/>
      <c r="N295" s="54"/>
      <c r="O295" s="55">
        <f t="shared" si="122"/>
        <v>0</v>
      </c>
      <c r="P295" s="57"/>
    </row>
    <row r="296" spans="1:16" ht="12" hidden="1" customHeight="1" x14ac:dyDescent="0.25">
      <c r="A296" s="199" t="s">
        <v>319</v>
      </c>
      <c r="B296" s="50" t="s">
        <v>320</v>
      </c>
      <c r="C296" s="89">
        <f t="shared" si="109"/>
        <v>0</v>
      </c>
      <c r="D296" s="544"/>
      <c r="E296" s="545"/>
      <c r="F296" s="543">
        <f t="shared" si="119"/>
        <v>0</v>
      </c>
      <c r="G296" s="303"/>
      <c r="H296" s="542"/>
      <c r="I296" s="543">
        <f t="shared" si="120"/>
        <v>0</v>
      </c>
      <c r="J296" s="303"/>
      <c r="K296" s="542"/>
      <c r="L296" s="543">
        <f t="shared" si="121"/>
        <v>0</v>
      </c>
      <c r="M296" s="53"/>
      <c r="N296" s="54"/>
      <c r="O296" s="55">
        <f t="shared" si="122"/>
        <v>0</v>
      </c>
      <c r="P296" s="57"/>
    </row>
    <row r="297" spans="1:16" ht="24" hidden="1" customHeight="1" x14ac:dyDescent="0.25">
      <c r="A297" s="199" t="s">
        <v>321</v>
      </c>
      <c r="B297" s="50" t="s">
        <v>322</v>
      </c>
      <c r="C297" s="89">
        <f t="shared" si="109"/>
        <v>0</v>
      </c>
      <c r="D297" s="544"/>
      <c r="E297" s="545"/>
      <c r="F297" s="543">
        <f t="shared" si="119"/>
        <v>0</v>
      </c>
      <c r="G297" s="303"/>
      <c r="H297" s="542"/>
      <c r="I297" s="543">
        <f t="shared" si="120"/>
        <v>0</v>
      </c>
      <c r="J297" s="303"/>
      <c r="K297" s="542"/>
      <c r="L297" s="543">
        <f t="shared" si="121"/>
        <v>0</v>
      </c>
      <c r="M297" s="53"/>
      <c r="N297" s="54"/>
      <c r="O297" s="55">
        <f t="shared" si="122"/>
        <v>0</v>
      </c>
      <c r="P297" s="57"/>
    </row>
    <row r="298" spans="1:16" ht="12" hidden="1" customHeight="1" x14ac:dyDescent="0.25">
      <c r="A298" s="199" t="s">
        <v>323</v>
      </c>
      <c r="B298" s="50" t="s">
        <v>324</v>
      </c>
      <c r="C298" s="89">
        <f t="shared" si="109"/>
        <v>0</v>
      </c>
      <c r="D298" s="544"/>
      <c r="E298" s="545"/>
      <c r="F298" s="543">
        <f t="shared" si="119"/>
        <v>0</v>
      </c>
      <c r="G298" s="303"/>
      <c r="H298" s="542"/>
      <c r="I298" s="543">
        <f t="shared" si="120"/>
        <v>0</v>
      </c>
      <c r="J298" s="303"/>
      <c r="K298" s="542"/>
      <c r="L298" s="543">
        <f t="shared" si="121"/>
        <v>0</v>
      </c>
      <c r="M298" s="53"/>
      <c r="N298" s="54"/>
      <c r="O298" s="55">
        <f t="shared" si="122"/>
        <v>0</v>
      </c>
      <c r="P298" s="57"/>
    </row>
    <row r="299" spans="1:16" ht="24.75" hidden="1" customHeight="1" thickBot="1" x14ac:dyDescent="0.25">
      <c r="A299" s="267" t="s">
        <v>325</v>
      </c>
      <c r="B299" s="268" t="s">
        <v>326</v>
      </c>
      <c r="C299" s="208">
        <f t="shared" si="109"/>
        <v>0</v>
      </c>
      <c r="D299" s="694"/>
      <c r="E299" s="695"/>
      <c r="F299" s="696">
        <f t="shared" si="119"/>
        <v>0</v>
      </c>
      <c r="G299" s="321"/>
      <c r="H299" s="697"/>
      <c r="I299" s="696">
        <f t="shared" si="120"/>
        <v>0</v>
      </c>
      <c r="J299" s="321"/>
      <c r="K299" s="697"/>
      <c r="L299" s="696">
        <f t="shared" si="121"/>
        <v>0</v>
      </c>
      <c r="M299" s="213"/>
      <c r="N299" s="214"/>
      <c r="O299" s="212">
        <f t="shared" si="122"/>
        <v>0</v>
      </c>
      <c r="P299" s="215"/>
    </row>
    <row r="300" spans="1:16" s="28" customFormat="1" ht="13.5" hidden="1" customHeight="1" thickTop="1" thickBot="1" x14ac:dyDescent="0.3">
      <c r="A300" s="269" t="s">
        <v>327</v>
      </c>
      <c r="B300" s="269" t="s">
        <v>328</v>
      </c>
      <c r="C300" s="255">
        <f t="shared" si="109"/>
        <v>0</v>
      </c>
      <c r="D300" s="329"/>
      <c r="E300" s="724"/>
      <c r="F300" s="721">
        <f t="shared" si="119"/>
        <v>0</v>
      </c>
      <c r="G300" s="329"/>
      <c r="H300" s="724"/>
      <c r="I300" s="725">
        <f t="shared" si="120"/>
        <v>0</v>
      </c>
      <c r="J300" s="329"/>
      <c r="K300" s="724"/>
      <c r="L300" s="725">
        <f t="shared" si="121"/>
        <v>0</v>
      </c>
      <c r="M300" s="270"/>
      <c r="N300" s="271"/>
      <c r="O300" s="272">
        <f t="shared" si="122"/>
        <v>0</v>
      </c>
      <c r="P300" s="273"/>
    </row>
    <row r="301" spans="1:16" s="28" customFormat="1" ht="48.75" hidden="1" customHeight="1" thickTop="1" x14ac:dyDescent="0.25">
      <c r="A301" s="265" t="s">
        <v>329</v>
      </c>
      <c r="B301" s="274" t="s">
        <v>330</v>
      </c>
      <c r="C301" s="260">
        <f t="shared" si="109"/>
        <v>0</v>
      </c>
      <c r="D301" s="330"/>
      <c r="E301" s="693"/>
      <c r="F301" s="638">
        <f t="shared" si="119"/>
        <v>0</v>
      </c>
      <c r="G301" s="330"/>
      <c r="H301" s="693"/>
      <c r="I301" s="638">
        <f t="shared" si="120"/>
        <v>0</v>
      </c>
      <c r="J301" s="330"/>
      <c r="K301" s="693"/>
      <c r="L301" s="638">
        <f t="shared" si="121"/>
        <v>0</v>
      </c>
      <c r="M301" s="204"/>
      <c r="N301" s="205"/>
      <c r="O301" s="72">
        <f t="shared" si="122"/>
        <v>0</v>
      </c>
      <c r="P301" s="76"/>
    </row>
    <row r="302" spans="1:16" hidden="1" x14ac:dyDescent="0.25">
      <c r="A302" s="4"/>
      <c r="B302" s="4"/>
      <c r="C302" s="4"/>
      <c r="D302" s="296"/>
      <c r="E302" s="296"/>
      <c r="F302" s="296"/>
      <c r="G302" s="296"/>
      <c r="H302" s="296"/>
      <c r="I302" s="296"/>
      <c r="J302" s="296"/>
      <c r="K302" s="296"/>
      <c r="L302" s="296"/>
      <c r="M302" s="4"/>
      <c r="N302" s="4"/>
      <c r="O302" s="4"/>
      <c r="P302" s="4"/>
    </row>
    <row r="303" spans="1:16" hidden="1" x14ac:dyDescent="0.25">
      <c r="A303" s="4"/>
      <c r="B303" s="4"/>
      <c r="C303" s="4"/>
      <c r="D303" s="296"/>
      <c r="E303" s="296"/>
      <c r="F303" s="296"/>
      <c r="G303" s="296"/>
      <c r="H303" s="296"/>
      <c r="I303" s="296"/>
      <c r="J303" s="296"/>
      <c r="K303" s="296"/>
      <c r="L303" s="296"/>
      <c r="M303" s="4"/>
      <c r="N303" s="4"/>
      <c r="O303" s="4"/>
      <c r="P303" s="4"/>
    </row>
    <row r="304" spans="1:16" hidden="1" x14ac:dyDescent="0.25">
      <c r="A304" s="4"/>
      <c r="B304" s="4"/>
      <c r="C304" s="4"/>
      <c r="D304" s="296"/>
      <c r="E304" s="296"/>
      <c r="F304" s="296"/>
      <c r="G304" s="296"/>
      <c r="H304" s="296"/>
      <c r="I304" s="296"/>
      <c r="J304" s="296"/>
      <c r="K304" s="296"/>
      <c r="L304" s="296"/>
      <c r="M304" s="4"/>
      <c r="N304" s="4"/>
      <c r="O304" s="4"/>
      <c r="P304" s="4"/>
    </row>
    <row r="305" spans="1:16" hidden="1" x14ac:dyDescent="0.25">
      <c r="A305" s="4"/>
      <c r="B305" s="4"/>
      <c r="C305" s="4"/>
      <c r="D305" s="296"/>
      <c r="E305" s="296"/>
      <c r="F305" s="296"/>
      <c r="G305" s="296"/>
      <c r="H305" s="296"/>
      <c r="I305" s="296"/>
      <c r="J305" s="296"/>
      <c r="K305" s="296"/>
      <c r="L305" s="296"/>
      <c r="M305" s="4"/>
      <c r="N305" s="4"/>
      <c r="O305" s="4"/>
      <c r="P305" s="4"/>
    </row>
    <row r="306" spans="1:16" hidden="1" x14ac:dyDescent="0.25">
      <c r="A306" s="4"/>
      <c r="B306" s="4"/>
      <c r="C306" s="4"/>
      <c r="D306" s="296"/>
      <c r="E306" s="296"/>
      <c r="F306" s="296"/>
      <c r="G306" s="296"/>
      <c r="H306" s="296"/>
      <c r="I306" s="296"/>
      <c r="J306" s="296"/>
      <c r="K306" s="296"/>
      <c r="L306" s="296"/>
      <c r="M306" s="4"/>
      <c r="N306" s="4"/>
      <c r="O306" s="4"/>
      <c r="P306" s="4"/>
    </row>
    <row r="307" spans="1:16" hidden="1" x14ac:dyDescent="0.25">
      <c r="A307" s="4"/>
      <c r="B307" s="4"/>
      <c r="C307" s="4"/>
      <c r="D307" s="296"/>
      <c r="E307" s="296"/>
      <c r="F307" s="296"/>
      <c r="G307" s="296"/>
      <c r="H307" s="296"/>
      <c r="I307" s="296"/>
      <c r="J307" s="296"/>
      <c r="K307" s="296"/>
      <c r="L307" s="296"/>
      <c r="M307" s="4"/>
      <c r="N307" s="4"/>
      <c r="O307" s="4"/>
      <c r="P307" s="4"/>
    </row>
    <row r="308" spans="1:16" hidden="1" x14ac:dyDescent="0.25">
      <c r="A308" s="4"/>
      <c r="B308" s="4"/>
      <c r="C308" s="4"/>
      <c r="D308" s="296"/>
      <c r="E308" s="296"/>
      <c r="F308" s="296"/>
      <c r="G308" s="296"/>
      <c r="H308" s="296"/>
      <c r="I308" s="296"/>
      <c r="J308" s="296"/>
      <c r="K308" s="296"/>
      <c r="L308" s="296"/>
      <c r="M308" s="4"/>
      <c r="N308" s="4"/>
      <c r="O308" s="4"/>
      <c r="P308" s="4"/>
    </row>
    <row r="309" spans="1:16" hidden="1" x14ac:dyDescent="0.25">
      <c r="A309" s="4"/>
      <c r="B309" s="4"/>
      <c r="C309" s="4"/>
      <c r="D309" s="296"/>
      <c r="E309" s="296"/>
      <c r="F309" s="296"/>
      <c r="G309" s="296"/>
      <c r="H309" s="296"/>
      <c r="I309" s="296"/>
      <c r="J309" s="296"/>
      <c r="K309" s="296"/>
      <c r="L309" s="296"/>
      <c r="M309" s="4"/>
      <c r="N309" s="4"/>
      <c r="O309" s="4"/>
      <c r="P309" s="4"/>
    </row>
    <row r="310" spans="1:16" hidden="1" x14ac:dyDescent="0.25">
      <c r="A310" s="4"/>
      <c r="B310" s="4"/>
      <c r="C310" s="4"/>
      <c r="D310" s="296"/>
      <c r="E310" s="296"/>
      <c r="F310" s="296"/>
      <c r="G310" s="296"/>
      <c r="H310" s="296"/>
      <c r="I310" s="296"/>
      <c r="J310" s="296"/>
      <c r="K310" s="296"/>
      <c r="L310" s="296"/>
      <c r="M310" s="4"/>
      <c r="N310" s="4"/>
      <c r="O310" s="4"/>
      <c r="P310" s="4"/>
    </row>
    <row r="311" spans="1:16" hidden="1" x14ac:dyDescent="0.25">
      <c r="A311" s="4"/>
      <c r="B311" s="4"/>
      <c r="C311" s="4"/>
      <c r="D311" s="296"/>
      <c r="E311" s="296"/>
      <c r="F311" s="296"/>
      <c r="G311" s="296"/>
      <c r="H311" s="296"/>
      <c r="I311" s="296"/>
      <c r="J311" s="296"/>
      <c r="K311" s="296"/>
      <c r="L311" s="296"/>
      <c r="M311" s="4"/>
      <c r="N311" s="4"/>
      <c r="O311" s="4"/>
      <c r="P311" s="4"/>
    </row>
    <row r="312" spans="1:16" hidden="1" x14ac:dyDescent="0.25">
      <c r="A312" s="4"/>
      <c r="B312" s="4"/>
      <c r="C312" s="4"/>
      <c r="D312" s="296"/>
      <c r="E312" s="296"/>
      <c r="F312" s="296"/>
      <c r="G312" s="296"/>
      <c r="H312" s="296"/>
      <c r="I312" s="296"/>
      <c r="J312" s="296"/>
      <c r="K312" s="296"/>
      <c r="L312" s="296"/>
      <c r="M312" s="4"/>
    </row>
    <row r="313" spans="1:16" hidden="1" x14ac:dyDescent="0.25">
      <c r="A313" s="4"/>
      <c r="B313" s="4"/>
      <c r="C313" s="4"/>
      <c r="D313" s="296"/>
      <c r="E313" s="296"/>
      <c r="F313" s="296"/>
      <c r="G313" s="296"/>
      <c r="H313" s="296"/>
      <c r="I313" s="296"/>
      <c r="J313" s="296"/>
      <c r="K313" s="296"/>
      <c r="L313" s="296"/>
      <c r="M313" s="4"/>
    </row>
    <row r="314" spans="1:16" hidden="1" x14ac:dyDescent="0.25">
      <c r="A314" s="4"/>
      <c r="B314" s="4"/>
      <c r="C314" s="4"/>
      <c r="D314" s="296"/>
      <c r="E314" s="296"/>
      <c r="F314" s="296"/>
      <c r="G314" s="296"/>
      <c r="H314" s="296"/>
      <c r="I314" s="296"/>
      <c r="J314" s="296"/>
      <c r="K314" s="296"/>
      <c r="L314" s="296"/>
      <c r="M314" s="4"/>
    </row>
    <row r="315" spans="1:16" hidden="1" x14ac:dyDescent="0.25">
      <c r="A315" s="4"/>
      <c r="B315" s="4"/>
      <c r="C315" s="4"/>
      <c r="D315" s="296"/>
      <c r="E315" s="296"/>
      <c r="F315" s="296"/>
      <c r="G315" s="296"/>
      <c r="H315" s="296"/>
      <c r="I315" s="296"/>
      <c r="J315" s="296"/>
      <c r="K315" s="296"/>
      <c r="L315" s="296"/>
      <c r="M315" s="4"/>
    </row>
    <row r="316" spans="1:16" hidden="1" x14ac:dyDescent="0.25">
      <c r="A316" s="4"/>
      <c r="B316" s="4"/>
      <c r="C316" s="4"/>
      <c r="D316" s="296"/>
      <c r="E316" s="296"/>
      <c r="F316" s="296"/>
      <c r="G316" s="296"/>
      <c r="H316" s="296"/>
      <c r="I316" s="296"/>
      <c r="J316" s="296"/>
      <c r="K316" s="296"/>
      <c r="L316" s="296"/>
      <c r="M316" s="4"/>
    </row>
    <row r="317" spans="1:16" hidden="1" x14ac:dyDescent="0.25">
      <c r="A317" s="4"/>
      <c r="B317" s="4"/>
      <c r="C317" s="4"/>
      <c r="D317" s="296"/>
      <c r="E317" s="296"/>
      <c r="F317" s="296"/>
      <c r="G317" s="296"/>
      <c r="H317" s="296"/>
      <c r="I317" s="296"/>
      <c r="J317" s="296"/>
      <c r="K317" s="296"/>
      <c r="L317" s="296"/>
      <c r="M317" s="4"/>
    </row>
    <row r="318" spans="1:16" hidden="1" x14ac:dyDescent="0.25">
      <c r="A318" s="4"/>
      <c r="B318" s="4"/>
      <c r="C318" s="4"/>
      <c r="D318" s="296"/>
      <c r="E318" s="296"/>
      <c r="F318" s="296"/>
      <c r="G318" s="296"/>
      <c r="H318" s="296"/>
      <c r="I318" s="296"/>
      <c r="J318" s="296"/>
      <c r="K318" s="296"/>
      <c r="L318" s="296"/>
      <c r="M318" s="4"/>
    </row>
    <row r="319" spans="1:16" hidden="1" x14ac:dyDescent="0.25">
      <c r="A319" s="4"/>
      <c r="B319" s="4"/>
      <c r="C319" s="4"/>
      <c r="D319" s="296"/>
      <c r="E319" s="296"/>
      <c r="F319" s="296"/>
      <c r="G319" s="296"/>
      <c r="H319" s="296"/>
      <c r="I319" s="296"/>
      <c r="J319" s="296"/>
      <c r="K319" s="296"/>
      <c r="L319" s="296"/>
      <c r="M319" s="4"/>
    </row>
    <row r="320" spans="1:16" ht="15.75" thickTop="1" x14ac:dyDescent="0.25">
      <c r="B320" s="4"/>
      <c r="C320" s="4"/>
      <c r="D320" s="296"/>
      <c r="E320" s="296"/>
      <c r="F320" s="296"/>
      <c r="G320" s="296"/>
      <c r="H320" s="296"/>
      <c r="I320" s="296"/>
      <c r="J320" s="296"/>
      <c r="K320" s="296"/>
      <c r="L320" s="296"/>
      <c r="M320" s="4"/>
    </row>
    <row r="321" spans="1:13" x14ac:dyDescent="0.25">
      <c r="A321" s="275"/>
      <c r="B321" s="275"/>
      <c r="C321" s="275"/>
      <c r="D321" s="296"/>
      <c r="E321" s="296"/>
      <c r="F321" s="296"/>
      <c r="G321" s="296"/>
      <c r="H321" s="296"/>
      <c r="I321" s="296"/>
      <c r="J321" s="296"/>
      <c r="K321" s="296"/>
      <c r="L321" s="296"/>
      <c r="M321" s="275"/>
    </row>
  </sheetData>
  <sheetProtection algorithmName="SHA-512" hashValue="QPXpF6+PktEZInubIRBuvz3LV9Cca/YUpoKxgVBT+k6HskQ3fUarxRnsoKzUVps3cOYxXD6v1lHX8c8zM479CQ==" saltValue="Uy9xTF9VAN24i0RPdCKZ4w==" spinCount="100000" sheet="1" objects="1" scenarios="1" formatCells="0" formatColumns="0" formatRows="0" deleteColumns="0"/>
  <autoFilter ref="A18:P301">
    <filterColumn colId="2">
      <filters>
        <filter val="1 095"/>
        <filter val="1 345"/>
        <filter val="1 766"/>
        <filter val="1 847"/>
        <filter val="1 920"/>
        <filter val="10 672"/>
        <filter val="104 926"/>
        <filter val="120 924"/>
        <filter val="124 695"/>
        <filter val="15 609"/>
        <filter val="15 970"/>
        <filter val="17 501"/>
        <filter val="176"/>
        <filter val="186"/>
        <filter val="19 420"/>
        <filter val="19 439"/>
        <filter val="19 936"/>
        <filter val="2 016"/>
        <filter val="2 162"/>
        <filter val="2 458"/>
        <filter val="2 558"/>
        <filter val="2 972"/>
        <filter val="225"/>
        <filter val="248"/>
        <filter val="28"/>
        <filter val="28 331"/>
        <filter val="3 128"/>
        <filter val="3 190"/>
        <filter val="3 717"/>
        <filter val="3 830"/>
        <filter val="3 885"/>
        <filter val="30 592"/>
        <filter val="300"/>
        <filter val="339 162"/>
        <filter val="371 210"/>
        <filter val="375"/>
        <filter val="4 172"/>
        <filter val="4 678"/>
        <filter val="4 704"/>
        <filter val="4 767"/>
        <filter val="4 780"/>
        <filter val="450"/>
        <filter val="459"/>
        <filter val="495 905"/>
        <filter val="5"/>
        <filter val="5 451"/>
        <filter val="-5 451"/>
        <filter val="5 456"/>
        <filter val="5 614"/>
        <filter val="500"/>
        <filter val="595 750"/>
        <filter val="6 114"/>
        <filter val="616 829"/>
        <filter val="620 714"/>
        <filter val="620 719"/>
        <filter val="626"/>
        <filter val="68 445"/>
        <filter val="695"/>
        <filter val="721"/>
        <filter val="74"/>
        <filter val="749"/>
        <filter val="85"/>
        <filter val="91 579"/>
        <filter val="929"/>
        <filter val="94 10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46.pielikums Jūrmalas pilsētas domes
2019.gada 29.augusta saistošajiem noteikumiem Nr.31
(protokols Nr.12, 20.punkts)
 </firstHeader>
    <firstFooter>&amp;L&amp;9&amp;D; &amp;T&amp;R&amp;9&amp;P (&amp;N)</first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5" sqref="T5"/>
    </sheetView>
  </sheetViews>
  <sheetFormatPr defaultColWidth="9.140625"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849</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850</v>
      </c>
      <c r="D3" s="1977"/>
      <c r="E3" s="1977"/>
      <c r="F3" s="1977"/>
      <c r="G3" s="1977"/>
      <c r="H3" s="1977"/>
      <c r="I3" s="1977"/>
      <c r="J3" s="1977"/>
      <c r="K3" s="1977"/>
      <c r="L3" s="1977"/>
      <c r="M3" s="1977"/>
      <c r="N3" s="1977"/>
      <c r="O3" s="1977"/>
      <c r="P3" s="1978"/>
      <c r="Q3" s="276"/>
    </row>
    <row r="4" spans="1:17" ht="12.75" customHeight="1" x14ac:dyDescent="0.25">
      <c r="A4" s="5" t="s">
        <v>4</v>
      </c>
      <c r="B4" s="6"/>
      <c r="C4" s="1977" t="s">
        <v>851</v>
      </c>
      <c r="D4" s="1977"/>
      <c r="E4" s="1977"/>
      <c r="F4" s="1977"/>
      <c r="G4" s="1977"/>
      <c r="H4" s="1977"/>
      <c r="I4" s="1977"/>
      <c r="J4" s="1977"/>
      <c r="K4" s="1977"/>
      <c r="L4" s="1977"/>
      <c r="M4" s="1977"/>
      <c r="N4" s="1977"/>
      <c r="O4" s="1977"/>
      <c r="P4" s="1978"/>
      <c r="Q4" s="276"/>
    </row>
    <row r="5" spans="1:17" ht="12.75" customHeight="1" x14ac:dyDescent="0.25">
      <c r="A5" s="7" t="s">
        <v>6</v>
      </c>
      <c r="B5" s="8"/>
      <c r="C5" s="1972" t="s">
        <v>852</v>
      </c>
      <c r="D5" s="1972"/>
      <c r="E5" s="1972"/>
      <c r="F5" s="1972"/>
      <c r="G5" s="1972"/>
      <c r="H5" s="1972"/>
      <c r="I5" s="1972"/>
      <c r="J5" s="1972"/>
      <c r="K5" s="1972"/>
      <c r="L5" s="1972"/>
      <c r="M5" s="1972"/>
      <c r="N5" s="1972"/>
      <c r="O5" s="1972"/>
      <c r="P5" s="1973"/>
      <c r="Q5" s="276"/>
    </row>
    <row r="6" spans="1:17" ht="12.75" customHeight="1" x14ac:dyDescent="0.25">
      <c r="A6" s="7" t="s">
        <v>8</v>
      </c>
      <c r="B6" s="8"/>
      <c r="C6" s="1972" t="s">
        <v>853</v>
      </c>
      <c r="D6" s="1972"/>
      <c r="E6" s="1972"/>
      <c r="F6" s="1972"/>
      <c r="G6" s="1972"/>
      <c r="H6" s="1972"/>
      <c r="I6" s="1972"/>
      <c r="J6" s="1972"/>
      <c r="K6" s="1972"/>
      <c r="L6" s="1972"/>
      <c r="M6" s="1972"/>
      <c r="N6" s="1972"/>
      <c r="O6" s="1972"/>
      <c r="P6" s="1973"/>
      <c r="Q6" s="276"/>
    </row>
    <row r="7" spans="1:17" ht="26.25" customHeight="1" x14ac:dyDescent="0.25">
      <c r="A7" s="7" t="s">
        <v>10</v>
      </c>
      <c r="B7" s="8"/>
      <c r="C7" s="1977" t="s">
        <v>864</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854</v>
      </c>
      <c r="D9" s="1972"/>
      <c r="E9" s="1972"/>
      <c r="F9" s="1972"/>
      <c r="G9" s="1972"/>
      <c r="H9" s="1972"/>
      <c r="I9" s="1972"/>
      <c r="J9" s="1972"/>
      <c r="K9" s="1972"/>
      <c r="L9" s="1972"/>
      <c r="M9" s="1972"/>
      <c r="N9" s="1972"/>
      <c r="O9" s="1972"/>
      <c r="P9" s="1973"/>
      <c r="Q9" s="276"/>
    </row>
    <row r="10" spans="1:17" ht="12.75" customHeight="1" x14ac:dyDescent="0.25">
      <c r="A10" s="7"/>
      <c r="B10" s="8" t="s">
        <v>15</v>
      </c>
      <c r="C10" s="1972" t="s">
        <v>855</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t="s">
        <v>856</v>
      </c>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857</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t="s">
        <v>858</v>
      </c>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102.6"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1025587</v>
      </c>
      <c r="D20" s="32">
        <f>SUM(D21,D24,D25,D41,D43)</f>
        <v>465505</v>
      </c>
      <c r="E20" s="33">
        <f t="shared" ref="E20:F20" si="1">SUM(E21,E24,E25,E41,E43)</f>
        <v>0</v>
      </c>
      <c r="F20" s="34">
        <f t="shared" si="1"/>
        <v>465505</v>
      </c>
      <c r="G20" s="32">
        <f>SUM(G21,G24,G43)</f>
        <v>486126</v>
      </c>
      <c r="H20" s="33">
        <f t="shared" ref="H20:I20" si="2">SUM(H21,H24,H43)</f>
        <v>54668</v>
      </c>
      <c r="I20" s="34">
        <f t="shared" si="2"/>
        <v>540794</v>
      </c>
      <c r="J20" s="32">
        <f>SUM(J21,J26,J43)</f>
        <v>19238</v>
      </c>
      <c r="K20" s="33">
        <f t="shared" ref="K20:L20" si="3">SUM(K21,K26,K43)</f>
        <v>50</v>
      </c>
      <c r="L20" s="34">
        <f t="shared" si="3"/>
        <v>19288</v>
      </c>
      <c r="M20" s="32">
        <f>SUM(M21,M45)</f>
        <v>0</v>
      </c>
      <c r="N20" s="33">
        <f t="shared" ref="N20:O20" si="4">SUM(N21,N45)</f>
        <v>0</v>
      </c>
      <c r="O20" s="34">
        <f t="shared" si="4"/>
        <v>0</v>
      </c>
      <c r="P20" s="35"/>
    </row>
    <row r="21" spans="1:16" ht="12.75" thickTop="1" x14ac:dyDescent="0.25">
      <c r="A21" s="36"/>
      <c r="B21" s="37" t="s">
        <v>40</v>
      </c>
      <c r="C21" s="38">
        <f t="shared" si="0"/>
        <v>3608</v>
      </c>
      <c r="D21" s="39">
        <f>SUM(D22:D23)</f>
        <v>0</v>
      </c>
      <c r="E21" s="40">
        <f t="shared" ref="E21:F21" si="5">SUM(E22:E23)</f>
        <v>0</v>
      </c>
      <c r="F21" s="41">
        <f t="shared" si="5"/>
        <v>0</v>
      </c>
      <c r="G21" s="39">
        <f>SUM(G22:G23)</f>
        <v>0</v>
      </c>
      <c r="H21" s="40">
        <f t="shared" ref="H21:I21" si="6">SUM(H22:H23)</f>
        <v>0</v>
      </c>
      <c r="I21" s="41">
        <f t="shared" si="6"/>
        <v>0</v>
      </c>
      <c r="J21" s="39">
        <f>SUM(J22:J23)</f>
        <v>3608</v>
      </c>
      <c r="K21" s="40">
        <f t="shared" ref="K21:L21" si="7">SUM(K22:K23)</f>
        <v>0</v>
      </c>
      <c r="L21" s="41">
        <f t="shared" si="7"/>
        <v>3608</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3608</v>
      </c>
      <c r="D23" s="53"/>
      <c r="E23" s="54"/>
      <c r="F23" s="55">
        <f t="shared" ref="F23:F25" si="9">D23+E23</f>
        <v>0</v>
      </c>
      <c r="G23" s="53"/>
      <c r="H23" s="54"/>
      <c r="I23" s="55">
        <f t="shared" ref="I23:I24" si="10">G23+H23</f>
        <v>0</v>
      </c>
      <c r="J23" s="53">
        <v>3608</v>
      </c>
      <c r="K23" s="54"/>
      <c r="L23" s="56">
        <f>K23+J23</f>
        <v>3608</v>
      </c>
      <c r="M23" s="53"/>
      <c r="N23" s="54"/>
      <c r="O23" s="55">
        <f>N23+M23</f>
        <v>0</v>
      </c>
      <c r="P23" s="727"/>
    </row>
    <row r="24" spans="1:16" s="28" customFormat="1" ht="24.75" customHeight="1" thickBot="1" x14ac:dyDescent="0.3">
      <c r="A24" s="58">
        <v>19300</v>
      </c>
      <c r="B24" s="58" t="s">
        <v>43</v>
      </c>
      <c r="C24" s="59">
        <f>F24+I24</f>
        <v>1006299</v>
      </c>
      <c r="D24" s="60">
        <v>465505</v>
      </c>
      <c r="E24" s="61"/>
      <c r="F24" s="62">
        <f t="shared" si="9"/>
        <v>465505</v>
      </c>
      <c r="G24" s="60">
        <v>486126</v>
      </c>
      <c r="H24" s="61">
        <f>51515+3153</f>
        <v>54668</v>
      </c>
      <c r="I24" s="62">
        <f t="shared" si="10"/>
        <v>540794</v>
      </c>
      <c r="J24" s="63" t="s">
        <v>44</v>
      </c>
      <c r="K24" s="64" t="s">
        <v>44</v>
      </c>
      <c r="L24" s="65" t="s">
        <v>44</v>
      </c>
      <c r="M24" s="63" t="s">
        <v>44</v>
      </c>
      <c r="N24" s="64" t="s">
        <v>44</v>
      </c>
      <c r="O24" s="65" t="s">
        <v>44</v>
      </c>
      <c r="P24" s="728"/>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15630</v>
      </c>
      <c r="D26" s="73" t="s">
        <v>44</v>
      </c>
      <c r="E26" s="74" t="s">
        <v>44</v>
      </c>
      <c r="F26" s="75" t="s">
        <v>44</v>
      </c>
      <c r="G26" s="73" t="s">
        <v>44</v>
      </c>
      <c r="H26" s="74" t="s">
        <v>44</v>
      </c>
      <c r="I26" s="75" t="s">
        <v>44</v>
      </c>
      <c r="J26" s="77">
        <f>SUM(J27,J31,J33,J36)</f>
        <v>15630</v>
      </c>
      <c r="K26" s="78">
        <f t="shared" ref="K26:L26" si="11">SUM(K27,K31,K33,K36)</f>
        <v>0</v>
      </c>
      <c r="L26" s="79">
        <f t="shared" si="11"/>
        <v>15630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customHeight="1" x14ac:dyDescent="0.25">
      <c r="A33" s="80">
        <v>21380</v>
      </c>
      <c r="B33" s="68" t="s">
        <v>53</v>
      </c>
      <c r="C33" s="69">
        <f t="shared" si="16"/>
        <v>10900</v>
      </c>
      <c r="D33" s="73" t="s">
        <v>44</v>
      </c>
      <c r="E33" s="74" t="s">
        <v>44</v>
      </c>
      <c r="F33" s="75" t="s">
        <v>44</v>
      </c>
      <c r="G33" s="73" t="s">
        <v>44</v>
      </c>
      <c r="H33" s="74" t="s">
        <v>44</v>
      </c>
      <c r="I33" s="75" t="s">
        <v>44</v>
      </c>
      <c r="J33" s="77">
        <f>SUM(J34:J35)</f>
        <v>10900</v>
      </c>
      <c r="K33" s="78">
        <f t="shared" ref="K33:L33" si="17">SUM(K34:K35)</f>
        <v>0</v>
      </c>
      <c r="L33" s="79">
        <f t="shared" si="17"/>
        <v>10900</v>
      </c>
      <c r="M33" s="77" t="s">
        <v>44</v>
      </c>
      <c r="N33" s="78" t="s">
        <v>44</v>
      </c>
      <c r="O33" s="79" t="s">
        <v>44</v>
      </c>
      <c r="P33" s="76"/>
    </row>
    <row r="34" spans="1:16" ht="12" customHeight="1" x14ac:dyDescent="0.25">
      <c r="A34" s="44">
        <v>21381</v>
      </c>
      <c r="B34" s="81" t="s">
        <v>54</v>
      </c>
      <c r="C34" s="82">
        <f t="shared" si="16"/>
        <v>10900</v>
      </c>
      <c r="D34" s="83" t="s">
        <v>44</v>
      </c>
      <c r="E34" s="84" t="s">
        <v>44</v>
      </c>
      <c r="F34" s="85" t="s">
        <v>44</v>
      </c>
      <c r="G34" s="83" t="s">
        <v>44</v>
      </c>
      <c r="H34" s="84" t="s">
        <v>44</v>
      </c>
      <c r="I34" s="85" t="s">
        <v>44</v>
      </c>
      <c r="J34" s="46">
        <v>10900</v>
      </c>
      <c r="K34" s="47"/>
      <c r="L34" s="48">
        <f t="shared" ref="L34:L35" si="18">K34+J34</f>
        <v>10900</v>
      </c>
      <c r="M34" s="86" t="s">
        <v>44</v>
      </c>
      <c r="N34" s="87" t="s">
        <v>44</v>
      </c>
      <c r="O34" s="48" t="s">
        <v>44</v>
      </c>
      <c r="P34" s="49"/>
    </row>
    <row r="35" spans="1:16" ht="24" hidden="1" customHeight="1" x14ac:dyDescent="0.25">
      <c r="A35" s="209">
        <v>21383</v>
      </c>
      <c r="B35" s="226" t="s">
        <v>55</v>
      </c>
      <c r="C35" s="208">
        <f t="shared" si="16"/>
        <v>0</v>
      </c>
      <c r="D35" s="1165" t="s">
        <v>44</v>
      </c>
      <c r="E35" s="1166" t="s">
        <v>44</v>
      </c>
      <c r="F35" s="1167" t="s">
        <v>44</v>
      </c>
      <c r="G35" s="1165" t="s">
        <v>44</v>
      </c>
      <c r="H35" s="1166" t="s">
        <v>44</v>
      </c>
      <c r="I35" s="1167" t="s">
        <v>44</v>
      </c>
      <c r="J35" s="213"/>
      <c r="K35" s="214"/>
      <c r="L35" s="1158">
        <f t="shared" si="18"/>
        <v>0</v>
      </c>
      <c r="M35" s="1156" t="s">
        <v>44</v>
      </c>
      <c r="N35" s="1157" t="s">
        <v>44</v>
      </c>
      <c r="O35" s="1158" t="s">
        <v>44</v>
      </c>
      <c r="P35" s="215"/>
    </row>
    <row r="36" spans="1:16" s="28" customFormat="1" ht="25.5" customHeight="1" x14ac:dyDescent="0.25">
      <c r="A36" s="1151">
        <v>21390</v>
      </c>
      <c r="B36" s="216" t="s">
        <v>56</v>
      </c>
      <c r="C36" s="217">
        <f t="shared" si="16"/>
        <v>4730</v>
      </c>
      <c r="D36" s="1144" t="s">
        <v>44</v>
      </c>
      <c r="E36" s="1145" t="s">
        <v>44</v>
      </c>
      <c r="F36" s="1146" t="s">
        <v>44</v>
      </c>
      <c r="G36" s="1144" t="s">
        <v>44</v>
      </c>
      <c r="H36" s="1145" t="s">
        <v>44</v>
      </c>
      <c r="I36" s="1146" t="s">
        <v>44</v>
      </c>
      <c r="J36" s="1148">
        <f>SUM(J37:J40)</f>
        <v>4730</v>
      </c>
      <c r="K36" s="1149">
        <f t="shared" ref="K36:L36" si="19">SUM(K37:K40)</f>
        <v>0</v>
      </c>
      <c r="L36" s="1147">
        <f t="shared" si="19"/>
        <v>4730</v>
      </c>
      <c r="M36" s="1148" t="s">
        <v>44</v>
      </c>
      <c r="N36" s="1149" t="s">
        <v>44</v>
      </c>
      <c r="O36" s="1147" t="s">
        <v>44</v>
      </c>
      <c r="P36" s="221"/>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4730</v>
      </c>
      <c r="D40" s="110" t="s">
        <v>44</v>
      </c>
      <c r="E40" s="111" t="s">
        <v>44</v>
      </c>
      <c r="F40" s="112" t="s">
        <v>44</v>
      </c>
      <c r="G40" s="110" t="s">
        <v>44</v>
      </c>
      <c r="H40" s="111" t="s">
        <v>44</v>
      </c>
      <c r="I40" s="112" t="s">
        <v>44</v>
      </c>
      <c r="J40" s="113">
        <v>4730</v>
      </c>
      <c r="K40" s="114"/>
      <c r="L40" s="115">
        <f t="shared" si="20"/>
        <v>4730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x14ac:dyDescent="0.25">
      <c r="A43" s="80">
        <v>21490</v>
      </c>
      <c r="B43" s="68" t="s">
        <v>63</v>
      </c>
      <c r="C43" s="131">
        <f>F43+I43+L43</f>
        <v>50</v>
      </c>
      <c r="D43" s="77">
        <f>D44</f>
        <v>0</v>
      </c>
      <c r="E43" s="78">
        <f t="shared" ref="E43:L43" si="22">E44</f>
        <v>0</v>
      </c>
      <c r="F43" s="79">
        <f t="shared" si="22"/>
        <v>0</v>
      </c>
      <c r="G43" s="77">
        <f t="shared" si="22"/>
        <v>0</v>
      </c>
      <c r="H43" s="78">
        <f t="shared" si="22"/>
        <v>0</v>
      </c>
      <c r="I43" s="79">
        <f t="shared" si="22"/>
        <v>0</v>
      </c>
      <c r="J43" s="77">
        <f t="shared" si="22"/>
        <v>0</v>
      </c>
      <c r="K43" s="78">
        <f t="shared" si="22"/>
        <v>50</v>
      </c>
      <c r="L43" s="79">
        <f t="shared" si="22"/>
        <v>50</v>
      </c>
      <c r="M43" s="77" t="s">
        <v>44</v>
      </c>
      <c r="N43" s="78" t="s">
        <v>44</v>
      </c>
      <c r="O43" s="79" t="s">
        <v>44</v>
      </c>
      <c r="P43" s="76"/>
    </row>
    <row r="44" spans="1:16" s="28" customFormat="1" ht="24" customHeight="1" x14ac:dyDescent="0.25">
      <c r="A44" s="51">
        <v>21499</v>
      </c>
      <c r="B44" s="88" t="s">
        <v>64</v>
      </c>
      <c r="C44" s="132">
        <f>F44+I44+L44</f>
        <v>50</v>
      </c>
      <c r="D44" s="46"/>
      <c r="E44" s="47"/>
      <c r="F44" s="133">
        <f>D44+E44</f>
        <v>0</v>
      </c>
      <c r="G44" s="46"/>
      <c r="H44" s="47"/>
      <c r="I44" s="133">
        <f>G44+H44</f>
        <v>0</v>
      </c>
      <c r="J44" s="46"/>
      <c r="K44" s="47">
        <v>50</v>
      </c>
      <c r="L44" s="48">
        <f>K44+J44</f>
        <v>50</v>
      </c>
      <c r="M44" s="86" t="s">
        <v>44</v>
      </c>
      <c r="N44" s="87" t="s">
        <v>44</v>
      </c>
      <c r="O44" s="48" t="s">
        <v>44</v>
      </c>
      <c r="P44" s="49" t="s">
        <v>859</v>
      </c>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1025587</v>
      </c>
      <c r="D50" s="158">
        <f>SUM(D51,D286)</f>
        <v>465505</v>
      </c>
      <c r="E50" s="159">
        <f t="shared" ref="E50:F50" si="26">SUM(E51,E286)</f>
        <v>0</v>
      </c>
      <c r="F50" s="160">
        <f t="shared" si="26"/>
        <v>465505</v>
      </c>
      <c r="G50" s="158">
        <f>SUM(G51,G286)</f>
        <v>486126</v>
      </c>
      <c r="H50" s="159">
        <f>SUM(H51,H286)</f>
        <v>54668</v>
      </c>
      <c r="I50" s="160">
        <f t="shared" ref="I50" si="27">SUM(I51,I286)</f>
        <v>540794</v>
      </c>
      <c r="J50" s="32">
        <f>SUM(J51,J286)</f>
        <v>19238</v>
      </c>
      <c r="K50" s="33">
        <f t="shared" ref="K50:L50" si="28">SUM(K51,K286)</f>
        <v>50</v>
      </c>
      <c r="L50" s="34">
        <f t="shared" si="28"/>
        <v>19288</v>
      </c>
      <c r="M50" s="32">
        <f>SUM(M51,M286)</f>
        <v>0</v>
      </c>
      <c r="N50" s="33">
        <f t="shared" ref="N50:O50" si="29">SUM(N51,N286)</f>
        <v>0</v>
      </c>
      <c r="O50" s="34">
        <f t="shared" si="29"/>
        <v>0</v>
      </c>
      <c r="P50" s="35"/>
    </row>
    <row r="51" spans="1:16" s="28" customFormat="1" ht="39.75" customHeight="1" thickTop="1" x14ac:dyDescent="0.25">
      <c r="A51" s="161"/>
      <c r="B51" s="162" t="s">
        <v>70</v>
      </c>
      <c r="C51" s="163">
        <f t="shared" si="0"/>
        <v>1025586</v>
      </c>
      <c r="D51" s="164">
        <f>SUM(D52,D194)</f>
        <v>465505</v>
      </c>
      <c r="E51" s="165">
        <f t="shared" ref="E51:F51" si="30">SUM(E52,E194)</f>
        <v>0</v>
      </c>
      <c r="F51" s="166">
        <f t="shared" si="30"/>
        <v>465505</v>
      </c>
      <c r="G51" s="164">
        <f>SUM(G52,G194)</f>
        <v>486125</v>
      </c>
      <c r="H51" s="165">
        <f t="shared" ref="H51:I51" si="31">SUM(H52,H194)</f>
        <v>54668</v>
      </c>
      <c r="I51" s="166">
        <f t="shared" si="31"/>
        <v>540793</v>
      </c>
      <c r="J51" s="167">
        <f>SUM(J52,J194)</f>
        <v>19238</v>
      </c>
      <c r="K51" s="168">
        <f t="shared" ref="K51:L51" si="32">SUM(K52,K194)</f>
        <v>50</v>
      </c>
      <c r="L51" s="169">
        <f t="shared" si="32"/>
        <v>19288</v>
      </c>
      <c r="M51" s="167">
        <f>SUM(M52,M194)</f>
        <v>0</v>
      </c>
      <c r="N51" s="168">
        <f t="shared" ref="N51:O51" si="33">SUM(N52,N194)</f>
        <v>0</v>
      </c>
      <c r="O51" s="169">
        <f t="shared" si="33"/>
        <v>0</v>
      </c>
      <c r="P51" s="170"/>
    </row>
    <row r="52" spans="1:16" s="28" customFormat="1" ht="27.75" customHeight="1" x14ac:dyDescent="0.25">
      <c r="A52" s="24"/>
      <c r="B52" s="22" t="s">
        <v>71</v>
      </c>
      <c r="C52" s="171">
        <f t="shared" si="0"/>
        <v>1007174</v>
      </c>
      <c r="D52" s="172">
        <f>SUM(D53,D75,D173,D187)</f>
        <v>451796</v>
      </c>
      <c r="E52" s="173">
        <f t="shared" ref="E52:F52" si="34">SUM(E53,E75,E173,E187)</f>
        <v>0</v>
      </c>
      <c r="F52" s="174">
        <f t="shared" si="34"/>
        <v>451796</v>
      </c>
      <c r="G52" s="172">
        <f>SUM(G53,G75,G173,G187)</f>
        <v>482625</v>
      </c>
      <c r="H52" s="173">
        <f t="shared" ref="H52:I52" si="35">SUM(H53,H75,H173,H187)</f>
        <v>53515</v>
      </c>
      <c r="I52" s="174">
        <f t="shared" si="35"/>
        <v>536140</v>
      </c>
      <c r="J52" s="172">
        <f>SUM(J53,J75,J173,J187)</f>
        <v>19238</v>
      </c>
      <c r="K52" s="173">
        <f t="shared" ref="K52:L52" si="36">SUM(K53,K75,K173,K187)</f>
        <v>0</v>
      </c>
      <c r="L52" s="174">
        <f t="shared" si="36"/>
        <v>19238</v>
      </c>
      <c r="M52" s="172">
        <f>SUM(M53,M75,M173,M187)</f>
        <v>0</v>
      </c>
      <c r="N52" s="173">
        <f t="shared" ref="N52:O52" si="37">SUM(N53,N75,N173,N187)</f>
        <v>0</v>
      </c>
      <c r="O52" s="174">
        <f t="shared" si="37"/>
        <v>0</v>
      </c>
      <c r="P52" s="175"/>
    </row>
    <row r="53" spans="1:16" s="28" customFormat="1" x14ac:dyDescent="0.25">
      <c r="A53" s="176">
        <v>1000</v>
      </c>
      <c r="B53" s="176" t="s">
        <v>72</v>
      </c>
      <c r="C53" s="177">
        <f t="shared" si="0"/>
        <v>878222</v>
      </c>
      <c r="D53" s="178">
        <f>SUM(D54,D67)</f>
        <v>351497</v>
      </c>
      <c r="E53" s="179">
        <f t="shared" ref="E53:F53" si="38">SUM(E54,E67)</f>
        <v>0</v>
      </c>
      <c r="F53" s="180">
        <f t="shared" si="38"/>
        <v>351497</v>
      </c>
      <c r="G53" s="178">
        <f>SUM(G54,G67)</f>
        <v>475210</v>
      </c>
      <c r="H53" s="179">
        <f t="shared" ref="H53:I53" si="39">SUM(H54,H67)</f>
        <v>51515</v>
      </c>
      <c r="I53" s="180">
        <f t="shared" si="39"/>
        <v>526725</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664917</v>
      </c>
      <c r="D54" s="183">
        <f>SUM(D55,D58,D66)</f>
        <v>243866</v>
      </c>
      <c r="E54" s="184">
        <f t="shared" ref="E54:F54" si="42">SUM(E55,E58,E66)</f>
        <v>200</v>
      </c>
      <c r="F54" s="72">
        <f t="shared" si="42"/>
        <v>244066</v>
      </c>
      <c r="G54" s="183">
        <f>SUM(G55,G58,G66)</f>
        <v>379336</v>
      </c>
      <c r="H54" s="184">
        <f t="shared" ref="H54:I54" si="43">SUM(H55,H58,H66)</f>
        <v>41515</v>
      </c>
      <c r="I54" s="72">
        <f t="shared" si="43"/>
        <v>420851</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621250</v>
      </c>
      <c r="D55" s="186">
        <f>SUM(D56:D57)</f>
        <v>204151</v>
      </c>
      <c r="E55" s="187">
        <f t="shared" ref="E55:F55" si="46">SUM(E56:E57)</f>
        <v>0</v>
      </c>
      <c r="F55" s="140">
        <f t="shared" si="46"/>
        <v>204151</v>
      </c>
      <c r="G55" s="186">
        <f>SUM(G56:G57)</f>
        <v>375584</v>
      </c>
      <c r="H55" s="187">
        <f t="shared" ref="H55:I55" si="47">SUM(H56:H57)</f>
        <v>41515</v>
      </c>
      <c r="I55" s="140">
        <f t="shared" si="47"/>
        <v>417099</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8.5" customHeight="1" x14ac:dyDescent="0.25">
      <c r="A57" s="51">
        <v>1119</v>
      </c>
      <c r="B57" s="88" t="s">
        <v>76</v>
      </c>
      <c r="C57" s="89">
        <f t="shared" si="0"/>
        <v>621250</v>
      </c>
      <c r="D57" s="53">
        <v>204151</v>
      </c>
      <c r="E57" s="54"/>
      <c r="F57" s="55">
        <f t="shared" si="50"/>
        <v>204151</v>
      </c>
      <c r="G57" s="53">
        <v>375584</v>
      </c>
      <c r="H57" s="54">
        <v>41515</v>
      </c>
      <c r="I57" s="55">
        <f t="shared" si="51"/>
        <v>417099</v>
      </c>
      <c r="J57" s="53"/>
      <c r="K57" s="54"/>
      <c r="L57" s="55">
        <f t="shared" si="52"/>
        <v>0</v>
      </c>
      <c r="M57" s="53"/>
      <c r="N57" s="54"/>
      <c r="O57" s="55">
        <f t="shared" si="53"/>
        <v>0</v>
      </c>
      <c r="P57" s="57" t="s">
        <v>1572</v>
      </c>
    </row>
    <row r="58" spans="1:16" x14ac:dyDescent="0.25">
      <c r="A58" s="188">
        <v>1140</v>
      </c>
      <c r="B58" s="88" t="s">
        <v>77</v>
      </c>
      <c r="C58" s="89">
        <f t="shared" si="0"/>
        <v>40679</v>
      </c>
      <c r="D58" s="189">
        <f>SUM(D59:D65)</f>
        <v>36927</v>
      </c>
      <c r="E58" s="190">
        <f>SUM(E59:E65)</f>
        <v>0</v>
      </c>
      <c r="F58" s="55">
        <f t="shared" ref="F58" si="54">SUM(F59:F65)</f>
        <v>36927</v>
      </c>
      <c r="G58" s="189">
        <f>SUM(G59:G65)</f>
        <v>3752</v>
      </c>
      <c r="H58" s="190">
        <f t="shared" ref="H58:I58" si="55">SUM(H59:H65)</f>
        <v>0</v>
      </c>
      <c r="I58" s="55">
        <f t="shared" si="55"/>
        <v>3752</v>
      </c>
      <c r="J58" s="189">
        <f>SUM(J59:J65)</f>
        <v>0</v>
      </c>
      <c r="K58" s="190">
        <f t="shared" ref="K58:L58" si="56">SUM(K59:K65)</f>
        <v>0</v>
      </c>
      <c r="L58" s="55">
        <f t="shared" si="56"/>
        <v>0</v>
      </c>
      <c r="M58" s="189">
        <f>SUM(M59:M65)</f>
        <v>0</v>
      </c>
      <c r="N58" s="190">
        <f t="shared" ref="N58:O58" si="57">SUM(N59:N65)</f>
        <v>0</v>
      </c>
      <c r="O58" s="55">
        <f t="shared" si="57"/>
        <v>0</v>
      </c>
      <c r="P58" s="57"/>
    </row>
    <row r="59" spans="1:16" x14ac:dyDescent="0.25">
      <c r="A59" s="51">
        <v>1141</v>
      </c>
      <c r="B59" s="88" t="s">
        <v>78</v>
      </c>
      <c r="C59" s="89">
        <f t="shared" si="0"/>
        <v>4196</v>
      </c>
      <c r="D59" s="53">
        <v>4196</v>
      </c>
      <c r="E59" s="54"/>
      <c r="F59" s="55">
        <f t="shared" ref="F59:F66" si="58">D59+E59</f>
        <v>4196</v>
      </c>
      <c r="G59" s="53"/>
      <c r="H59" s="54"/>
      <c r="I59" s="55">
        <f t="shared" ref="I59:I66" si="59">G59+H59</f>
        <v>0</v>
      </c>
      <c r="J59" s="53"/>
      <c r="K59" s="54"/>
      <c r="L59" s="55">
        <f t="shared" ref="L59:L66" si="60">K59+J59</f>
        <v>0</v>
      </c>
      <c r="M59" s="53"/>
      <c r="N59" s="54"/>
      <c r="O59" s="55">
        <f t="shared" ref="O59:O66" si="61">N59+M59</f>
        <v>0</v>
      </c>
      <c r="P59" s="57"/>
    </row>
    <row r="60" spans="1:16" ht="27.75" customHeight="1" x14ac:dyDescent="0.25">
      <c r="A60" s="51">
        <v>1142</v>
      </c>
      <c r="B60" s="88" t="s">
        <v>79</v>
      </c>
      <c r="C60" s="89">
        <f t="shared" si="0"/>
        <v>1083</v>
      </c>
      <c r="D60" s="53">
        <v>1083</v>
      </c>
      <c r="E60" s="54"/>
      <c r="F60" s="55">
        <f t="shared" si="58"/>
        <v>1083</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3634</v>
      </c>
      <c r="D63" s="53">
        <v>3634</v>
      </c>
      <c r="E63" s="54"/>
      <c r="F63" s="55">
        <f t="shared" si="58"/>
        <v>3634</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28014</v>
      </c>
      <c r="D64" s="53">
        <v>28014</v>
      </c>
      <c r="E64" s="54"/>
      <c r="F64" s="55">
        <f t="shared" si="58"/>
        <v>28014</v>
      </c>
      <c r="G64" s="53"/>
      <c r="H64" s="54"/>
      <c r="I64" s="55">
        <f t="shared" si="59"/>
        <v>0</v>
      </c>
      <c r="J64" s="53"/>
      <c r="K64" s="54"/>
      <c r="L64" s="55">
        <f t="shared" si="60"/>
        <v>0</v>
      </c>
      <c r="M64" s="53"/>
      <c r="N64" s="54"/>
      <c r="O64" s="55">
        <f t="shared" si="61"/>
        <v>0</v>
      </c>
      <c r="P64" s="57"/>
    </row>
    <row r="65" spans="1:16" ht="26.25" customHeight="1" x14ac:dyDescent="0.25">
      <c r="A65" s="51">
        <v>1149</v>
      </c>
      <c r="B65" s="88" t="s">
        <v>84</v>
      </c>
      <c r="C65" s="89">
        <f t="shared" si="0"/>
        <v>3752</v>
      </c>
      <c r="D65" s="53"/>
      <c r="E65" s="54"/>
      <c r="F65" s="55">
        <f t="shared" si="58"/>
        <v>0</v>
      </c>
      <c r="G65" s="53">
        <v>3752</v>
      </c>
      <c r="H65" s="54"/>
      <c r="I65" s="55">
        <f t="shared" si="59"/>
        <v>3752</v>
      </c>
      <c r="J65" s="53"/>
      <c r="K65" s="54"/>
      <c r="L65" s="55">
        <f t="shared" si="60"/>
        <v>0</v>
      </c>
      <c r="M65" s="53"/>
      <c r="N65" s="54"/>
      <c r="O65" s="55">
        <f t="shared" si="61"/>
        <v>0</v>
      </c>
      <c r="P65" s="57"/>
    </row>
    <row r="66" spans="1:16" ht="39.75" customHeight="1" x14ac:dyDescent="0.25">
      <c r="A66" s="185">
        <v>1150</v>
      </c>
      <c r="B66" s="137" t="s">
        <v>85</v>
      </c>
      <c r="C66" s="142">
        <f t="shared" si="0"/>
        <v>2988</v>
      </c>
      <c r="D66" s="143">
        <v>2788</v>
      </c>
      <c r="E66" s="144">
        <v>200</v>
      </c>
      <c r="F66" s="140">
        <f t="shared" si="58"/>
        <v>2988</v>
      </c>
      <c r="G66" s="143"/>
      <c r="H66" s="144"/>
      <c r="I66" s="140">
        <f t="shared" si="59"/>
        <v>0</v>
      </c>
      <c r="J66" s="143"/>
      <c r="K66" s="144"/>
      <c r="L66" s="140">
        <f t="shared" si="60"/>
        <v>0</v>
      </c>
      <c r="M66" s="143"/>
      <c r="N66" s="144"/>
      <c r="O66" s="140">
        <f t="shared" si="61"/>
        <v>0</v>
      </c>
      <c r="P66" s="128" t="s">
        <v>860</v>
      </c>
    </row>
    <row r="67" spans="1:16" ht="24" x14ac:dyDescent="0.25">
      <c r="A67" s="68">
        <v>1200</v>
      </c>
      <c r="B67" s="182" t="s">
        <v>86</v>
      </c>
      <c r="C67" s="69">
        <f t="shared" si="0"/>
        <v>213305</v>
      </c>
      <c r="D67" s="183">
        <f>SUM(D68:D69)</f>
        <v>107631</v>
      </c>
      <c r="E67" s="184">
        <f t="shared" ref="E67:F67" si="62">SUM(E68:E69)</f>
        <v>-200</v>
      </c>
      <c r="F67" s="72">
        <f t="shared" si="62"/>
        <v>107431</v>
      </c>
      <c r="G67" s="183">
        <f>SUM(G68:G69)</f>
        <v>95874</v>
      </c>
      <c r="H67" s="184">
        <f t="shared" ref="H67:I67" si="63">SUM(H68:H69)</f>
        <v>10000</v>
      </c>
      <c r="I67" s="72">
        <f t="shared" si="63"/>
        <v>105874</v>
      </c>
      <c r="J67" s="183">
        <f>SUM(J68:J69)</f>
        <v>0</v>
      </c>
      <c r="K67" s="184">
        <f t="shared" ref="K67:L67" si="64">SUM(K68:K69)</f>
        <v>0</v>
      </c>
      <c r="L67" s="72">
        <f t="shared" si="64"/>
        <v>0</v>
      </c>
      <c r="M67" s="183">
        <f>SUM(M68:M69)</f>
        <v>0</v>
      </c>
      <c r="N67" s="184">
        <f t="shared" ref="N67:O67" si="65">SUM(N68:N69)</f>
        <v>0</v>
      </c>
      <c r="O67" s="72">
        <f t="shared" si="65"/>
        <v>0</v>
      </c>
      <c r="P67" s="76"/>
    </row>
    <row r="68" spans="1:16" ht="26.25" customHeight="1" x14ac:dyDescent="0.25">
      <c r="A68" s="941">
        <v>1210</v>
      </c>
      <c r="B68" s="81" t="s">
        <v>87</v>
      </c>
      <c r="C68" s="82">
        <f t="shared" si="0"/>
        <v>166715</v>
      </c>
      <c r="D68" s="46">
        <v>64661</v>
      </c>
      <c r="E68" s="47">
        <v>-200</v>
      </c>
      <c r="F68" s="133">
        <f>D68+E68</f>
        <v>64461</v>
      </c>
      <c r="G68" s="46">
        <v>92254</v>
      </c>
      <c r="H68" s="47">
        <v>10000</v>
      </c>
      <c r="I68" s="133">
        <f>G68+H68</f>
        <v>102254</v>
      </c>
      <c r="J68" s="46"/>
      <c r="K68" s="47"/>
      <c r="L68" s="133">
        <f>K68+J68</f>
        <v>0</v>
      </c>
      <c r="M68" s="46"/>
      <c r="N68" s="47"/>
      <c r="O68" s="133">
        <f>N68+M68</f>
        <v>0</v>
      </c>
      <c r="P68" s="49" t="s">
        <v>1573</v>
      </c>
    </row>
    <row r="69" spans="1:16" ht="24" x14ac:dyDescent="0.25">
      <c r="A69" s="188">
        <v>1220</v>
      </c>
      <c r="B69" s="88" t="s">
        <v>88</v>
      </c>
      <c r="C69" s="89">
        <f t="shared" si="0"/>
        <v>46590</v>
      </c>
      <c r="D69" s="189">
        <f>SUM(D70:D74)</f>
        <v>42970</v>
      </c>
      <c r="E69" s="190">
        <f t="shared" ref="E69:F69" si="66">SUM(E70:E74)</f>
        <v>0</v>
      </c>
      <c r="F69" s="55">
        <f t="shared" si="66"/>
        <v>42970</v>
      </c>
      <c r="G69" s="189">
        <f>SUM(G70:G74)</f>
        <v>3620</v>
      </c>
      <c r="H69" s="190">
        <f t="shared" ref="H69:I69" si="67">SUM(H70:H74)</f>
        <v>0</v>
      </c>
      <c r="I69" s="55">
        <f t="shared" si="67"/>
        <v>3620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30649</v>
      </c>
      <c r="D70" s="53">
        <v>27029</v>
      </c>
      <c r="E70" s="54"/>
      <c r="F70" s="55">
        <f t="shared" ref="F70:F74" si="70">D70+E70</f>
        <v>27029</v>
      </c>
      <c r="G70" s="53">
        <v>3620</v>
      </c>
      <c r="H70" s="54"/>
      <c r="I70" s="55">
        <f t="shared" ref="I70:I74" si="71">G70+H70</f>
        <v>3620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14941</v>
      </c>
      <c r="D73" s="53">
        <v>14941</v>
      </c>
      <c r="E73" s="54"/>
      <c r="F73" s="55">
        <f t="shared" si="70"/>
        <v>14941</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1000</v>
      </c>
      <c r="D74" s="53">
        <v>1000</v>
      </c>
      <c r="E74" s="54"/>
      <c r="F74" s="55">
        <f t="shared" si="70"/>
        <v>1000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128952</v>
      </c>
      <c r="D75" s="178">
        <f>SUM(D76,D83,D130,D164,D165,D172)</f>
        <v>100299</v>
      </c>
      <c r="E75" s="179">
        <f t="shared" ref="E75:F75" si="74">SUM(E76,E83,E130,E164,E165,E172)</f>
        <v>0</v>
      </c>
      <c r="F75" s="180">
        <f t="shared" si="74"/>
        <v>100299</v>
      </c>
      <c r="G75" s="178">
        <f>SUM(G76,G83,G130,G164,G165,G172)</f>
        <v>7415</v>
      </c>
      <c r="H75" s="179">
        <f t="shared" ref="H75:I75" si="75">SUM(H76,H83,H130,H164,H165,H172)</f>
        <v>2000</v>
      </c>
      <c r="I75" s="180">
        <f t="shared" si="75"/>
        <v>9415</v>
      </c>
      <c r="J75" s="178">
        <f>SUM(J76,J83,J130,J164,J165,J172)</f>
        <v>19238</v>
      </c>
      <c r="K75" s="179">
        <f t="shared" ref="K75:L75" si="76">SUM(K76,K83,K130,K164,K165,K172)</f>
        <v>0</v>
      </c>
      <c r="L75" s="180">
        <f t="shared" si="76"/>
        <v>19238</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941">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6.5" hidden="1" customHeight="1" x14ac:dyDescent="0.25">
      <c r="A78" s="51">
        <v>2111</v>
      </c>
      <c r="B78" s="88" t="s">
        <v>97</v>
      </c>
      <c r="C78" s="89">
        <f t="shared" si="0"/>
        <v>0</v>
      </c>
      <c r="D78" s="194"/>
      <c r="E78" s="195">
        <f>12-12</f>
        <v>0</v>
      </c>
      <c r="F78" s="55">
        <f t="shared" ref="F78:F79" si="86">D78+E78</f>
        <v>0</v>
      </c>
      <c r="G78" s="53"/>
      <c r="H78" s="54"/>
      <c r="I78" s="55">
        <f t="shared" ref="I78:I79" si="87">G78+H78</f>
        <v>0</v>
      </c>
      <c r="J78" s="53"/>
      <c r="K78" s="54"/>
      <c r="L78" s="55">
        <f t="shared" ref="L78:L79" si="88">K78+J78</f>
        <v>0</v>
      </c>
      <c r="M78" s="53"/>
      <c r="N78" s="54"/>
      <c r="O78" s="55">
        <f t="shared" ref="O78:O79" si="89">N78+M78</f>
        <v>0</v>
      </c>
      <c r="P78" s="57" t="s">
        <v>861</v>
      </c>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95000</v>
      </c>
      <c r="D83" s="183">
        <f>SUM(D84,D89,D95,D103,D112,D116,D122,D128)</f>
        <v>72924</v>
      </c>
      <c r="E83" s="184">
        <f t="shared" ref="E83:F83" si="98">SUM(E84,E89,E95,E103,E112,E116,E122,E128)</f>
        <v>0</v>
      </c>
      <c r="F83" s="72">
        <f t="shared" si="98"/>
        <v>72924</v>
      </c>
      <c r="G83" s="183">
        <f>SUM(G84,G89,G95,G103,G112,G116,G122,G128)</f>
        <v>2968</v>
      </c>
      <c r="H83" s="184">
        <f t="shared" ref="H83:I83" si="99">SUM(H84,H89,H95,H103,H112,H116,H122,H128)</f>
        <v>0</v>
      </c>
      <c r="I83" s="72">
        <f t="shared" si="99"/>
        <v>2968</v>
      </c>
      <c r="J83" s="183">
        <f>SUM(J84,J89,J95,J103,J112,J116,J122,J128)</f>
        <v>19108</v>
      </c>
      <c r="K83" s="184">
        <f t="shared" ref="K83:L83" si="100">SUM(K84,K89,K95,K103,K112,K116,K122,K128)</f>
        <v>0</v>
      </c>
      <c r="L83" s="72">
        <f t="shared" si="100"/>
        <v>19108</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533</v>
      </c>
      <c r="D84" s="186">
        <f>SUM(D85:D88)</f>
        <v>433</v>
      </c>
      <c r="E84" s="187">
        <f t="shared" ref="E84:F84" si="103">SUM(E85:E88)</f>
        <v>0</v>
      </c>
      <c r="F84" s="140">
        <f t="shared" si="103"/>
        <v>433</v>
      </c>
      <c r="G84" s="186">
        <f>SUM(G85:G88)</f>
        <v>0</v>
      </c>
      <c r="H84" s="187">
        <f t="shared" ref="H84:I84" si="104">SUM(H85:H88)</f>
        <v>0</v>
      </c>
      <c r="I84" s="140">
        <f t="shared" si="104"/>
        <v>0</v>
      </c>
      <c r="J84" s="186">
        <f>SUM(J85:J88)</f>
        <v>100</v>
      </c>
      <c r="K84" s="187">
        <f t="shared" ref="K84:L84" si="105">SUM(K85:K88)</f>
        <v>0</v>
      </c>
      <c r="L84" s="140">
        <f t="shared" si="105"/>
        <v>100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382</v>
      </c>
      <c r="D86" s="194">
        <v>382</v>
      </c>
      <c r="E86" s="195"/>
      <c r="F86" s="55">
        <f t="shared" si="107"/>
        <v>382</v>
      </c>
      <c r="G86" s="53"/>
      <c r="H86" s="54"/>
      <c r="I86" s="55">
        <f t="shared" si="108"/>
        <v>0</v>
      </c>
      <c r="J86" s="53"/>
      <c r="K86" s="54"/>
      <c r="L86" s="55">
        <f t="shared" si="109"/>
        <v>0</v>
      </c>
      <c r="M86" s="53"/>
      <c r="N86" s="54"/>
      <c r="O86" s="55">
        <f t="shared" si="110"/>
        <v>0</v>
      </c>
      <c r="P86" s="57"/>
    </row>
    <row r="87" spans="1:16" ht="24" customHeight="1" x14ac:dyDescent="0.25">
      <c r="A87" s="51">
        <v>2214</v>
      </c>
      <c r="B87" s="88" t="s">
        <v>104</v>
      </c>
      <c r="C87" s="89">
        <f t="shared" si="102"/>
        <v>51</v>
      </c>
      <c r="D87" s="194">
        <v>51</v>
      </c>
      <c r="E87" s="195"/>
      <c r="F87" s="55">
        <f t="shared" si="107"/>
        <v>51</v>
      </c>
      <c r="G87" s="53"/>
      <c r="H87" s="54"/>
      <c r="I87" s="55">
        <f t="shared" si="108"/>
        <v>0</v>
      </c>
      <c r="J87" s="53"/>
      <c r="K87" s="54"/>
      <c r="L87" s="55">
        <f t="shared" si="109"/>
        <v>0</v>
      </c>
      <c r="M87" s="53"/>
      <c r="N87" s="54"/>
      <c r="O87" s="55">
        <f t="shared" si="110"/>
        <v>0</v>
      </c>
      <c r="P87" s="57"/>
    </row>
    <row r="88" spans="1:16" ht="12.6" customHeight="1" x14ac:dyDescent="0.25">
      <c r="A88" s="51">
        <v>2219</v>
      </c>
      <c r="B88" s="88" t="s">
        <v>105</v>
      </c>
      <c r="C88" s="89">
        <f t="shared" si="102"/>
        <v>100</v>
      </c>
      <c r="D88" s="194"/>
      <c r="E88" s="195"/>
      <c r="F88" s="55">
        <f t="shared" si="107"/>
        <v>0</v>
      </c>
      <c r="G88" s="53"/>
      <c r="H88" s="54"/>
      <c r="I88" s="55">
        <f t="shared" si="108"/>
        <v>0</v>
      </c>
      <c r="J88" s="53">
        <v>100</v>
      </c>
      <c r="K88" s="54"/>
      <c r="L88" s="55">
        <f t="shared" si="109"/>
        <v>100</v>
      </c>
      <c r="M88" s="53"/>
      <c r="N88" s="54"/>
      <c r="O88" s="55">
        <f t="shared" si="110"/>
        <v>0</v>
      </c>
      <c r="P88" s="57"/>
    </row>
    <row r="89" spans="1:16" ht="24" x14ac:dyDescent="0.25">
      <c r="A89" s="188">
        <v>2220</v>
      </c>
      <c r="B89" s="88" t="s">
        <v>106</v>
      </c>
      <c r="C89" s="89">
        <f t="shared" si="102"/>
        <v>78958</v>
      </c>
      <c r="D89" s="189">
        <f>SUM(D90:D94)</f>
        <v>61818</v>
      </c>
      <c r="E89" s="190">
        <f t="shared" ref="E89:F89" si="111">SUM(E90:E94)</f>
        <v>0</v>
      </c>
      <c r="F89" s="55">
        <f t="shared" si="111"/>
        <v>61818</v>
      </c>
      <c r="G89" s="189">
        <f>SUM(G90:G94)</f>
        <v>0</v>
      </c>
      <c r="H89" s="190">
        <f t="shared" ref="H89:I89" si="112">SUM(H90:H94)</f>
        <v>0</v>
      </c>
      <c r="I89" s="55">
        <f t="shared" si="112"/>
        <v>0</v>
      </c>
      <c r="J89" s="189">
        <f>SUM(J90:J94)</f>
        <v>17140</v>
      </c>
      <c r="K89" s="190">
        <f t="shared" ref="K89:L89" si="113">SUM(K90:K94)</f>
        <v>0</v>
      </c>
      <c r="L89" s="55">
        <f t="shared" si="113"/>
        <v>17140</v>
      </c>
      <c r="M89" s="189">
        <f>SUM(M90:M94)</f>
        <v>0</v>
      </c>
      <c r="N89" s="190">
        <f t="shared" ref="N89:O89" si="114">SUM(N90:N94)</f>
        <v>0</v>
      </c>
      <c r="O89" s="55">
        <f t="shared" si="114"/>
        <v>0</v>
      </c>
      <c r="P89" s="57"/>
    </row>
    <row r="90" spans="1:16" ht="24" x14ac:dyDescent="0.25">
      <c r="A90" s="51">
        <v>2221</v>
      </c>
      <c r="B90" s="88" t="s">
        <v>107</v>
      </c>
      <c r="C90" s="89">
        <f t="shared" si="102"/>
        <v>42808</v>
      </c>
      <c r="D90" s="194">
        <v>34310</v>
      </c>
      <c r="E90" s="195"/>
      <c r="F90" s="55">
        <f t="shared" ref="F90:F94" si="115">D90+E90</f>
        <v>34310</v>
      </c>
      <c r="G90" s="53"/>
      <c r="H90" s="54"/>
      <c r="I90" s="55">
        <f t="shared" ref="I90:I94" si="116">G90+H90</f>
        <v>0</v>
      </c>
      <c r="J90" s="53">
        <v>8498</v>
      </c>
      <c r="K90" s="54"/>
      <c r="L90" s="55">
        <f t="shared" ref="L90:L94" si="117">K90+J90</f>
        <v>8498</v>
      </c>
      <c r="M90" s="53"/>
      <c r="N90" s="54"/>
      <c r="O90" s="55">
        <f t="shared" ref="O90:O94" si="118">N90+M90</f>
        <v>0</v>
      </c>
      <c r="P90" s="57"/>
    </row>
    <row r="91" spans="1:16" ht="12" customHeight="1" x14ac:dyDescent="0.25">
      <c r="A91" s="51">
        <v>2222</v>
      </c>
      <c r="B91" s="88" t="s">
        <v>108</v>
      </c>
      <c r="C91" s="89">
        <f t="shared" si="102"/>
        <v>6320</v>
      </c>
      <c r="D91" s="194">
        <v>2320</v>
      </c>
      <c r="E91" s="195"/>
      <c r="F91" s="55">
        <f t="shared" si="115"/>
        <v>2320</v>
      </c>
      <c r="G91" s="53"/>
      <c r="H91" s="54"/>
      <c r="I91" s="55">
        <f t="shared" si="116"/>
        <v>0</v>
      </c>
      <c r="J91" s="53">
        <v>4000</v>
      </c>
      <c r="K91" s="54"/>
      <c r="L91" s="55">
        <f t="shared" si="117"/>
        <v>4000</v>
      </c>
      <c r="M91" s="53"/>
      <c r="N91" s="54"/>
      <c r="O91" s="55">
        <f t="shared" si="118"/>
        <v>0</v>
      </c>
      <c r="P91" s="57"/>
    </row>
    <row r="92" spans="1:16" ht="12" customHeight="1" x14ac:dyDescent="0.25">
      <c r="A92" s="51">
        <v>2223</v>
      </c>
      <c r="B92" s="88" t="s">
        <v>109</v>
      </c>
      <c r="C92" s="89">
        <f t="shared" si="102"/>
        <v>28932</v>
      </c>
      <c r="D92" s="194">
        <v>24932</v>
      </c>
      <c r="E92" s="195"/>
      <c r="F92" s="55">
        <f t="shared" si="115"/>
        <v>24932</v>
      </c>
      <c r="G92" s="53"/>
      <c r="H92" s="54"/>
      <c r="I92" s="55">
        <f t="shared" si="116"/>
        <v>0</v>
      </c>
      <c r="J92" s="53">
        <v>4000</v>
      </c>
      <c r="K92" s="54"/>
      <c r="L92" s="55">
        <f t="shared" si="117"/>
        <v>4000</v>
      </c>
      <c r="M92" s="53"/>
      <c r="N92" s="54"/>
      <c r="O92" s="55">
        <f t="shared" si="118"/>
        <v>0</v>
      </c>
      <c r="P92" s="57"/>
    </row>
    <row r="93" spans="1:16" ht="48" customHeight="1" x14ac:dyDescent="0.25">
      <c r="A93" s="51">
        <v>2224</v>
      </c>
      <c r="B93" s="88" t="s">
        <v>110</v>
      </c>
      <c r="C93" s="89">
        <f t="shared" si="102"/>
        <v>898</v>
      </c>
      <c r="D93" s="194">
        <v>256</v>
      </c>
      <c r="E93" s="195"/>
      <c r="F93" s="55">
        <f t="shared" si="115"/>
        <v>256</v>
      </c>
      <c r="G93" s="53"/>
      <c r="H93" s="54"/>
      <c r="I93" s="55">
        <f t="shared" si="116"/>
        <v>0</v>
      </c>
      <c r="J93" s="53">
        <v>642</v>
      </c>
      <c r="K93" s="54"/>
      <c r="L93" s="55">
        <f t="shared" si="117"/>
        <v>642</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2174</v>
      </c>
      <c r="D95" s="189">
        <f>SUM(D96:D102)</f>
        <v>2174</v>
      </c>
      <c r="E95" s="190">
        <f t="shared" ref="E95:F95" si="119">SUM(E96:E102)</f>
        <v>0</v>
      </c>
      <c r="F95" s="55">
        <f t="shared" si="119"/>
        <v>2174</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customHeight="1" x14ac:dyDescent="0.25">
      <c r="A99" s="51">
        <v>2234</v>
      </c>
      <c r="B99" s="88" t="s">
        <v>116</v>
      </c>
      <c r="C99" s="89">
        <f t="shared" si="102"/>
        <v>28</v>
      </c>
      <c r="D99" s="194">
        <v>28</v>
      </c>
      <c r="E99" s="195"/>
      <c r="F99" s="55">
        <f t="shared" si="123"/>
        <v>28</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6.25" customHeight="1" x14ac:dyDescent="0.25">
      <c r="A102" s="51">
        <v>2239</v>
      </c>
      <c r="B102" s="88" t="s">
        <v>119</v>
      </c>
      <c r="C102" s="89">
        <f t="shared" si="102"/>
        <v>2146</v>
      </c>
      <c r="D102" s="194">
        <v>2146</v>
      </c>
      <c r="E102" s="195">
        <f>-12+12</f>
        <v>0</v>
      </c>
      <c r="F102" s="55">
        <f t="shared" si="123"/>
        <v>2146</v>
      </c>
      <c r="G102" s="53"/>
      <c r="H102" s="54"/>
      <c r="I102" s="55">
        <f t="shared" si="124"/>
        <v>0</v>
      </c>
      <c r="J102" s="53"/>
      <c r="K102" s="54"/>
      <c r="L102" s="55">
        <f t="shared" si="125"/>
        <v>0</v>
      </c>
      <c r="M102" s="53"/>
      <c r="N102" s="54"/>
      <c r="O102" s="55">
        <f t="shared" si="126"/>
        <v>0</v>
      </c>
      <c r="P102" s="57" t="s">
        <v>862</v>
      </c>
    </row>
    <row r="103" spans="1:16" ht="36" x14ac:dyDescent="0.25">
      <c r="A103" s="188">
        <v>2240</v>
      </c>
      <c r="B103" s="88" t="s">
        <v>120</v>
      </c>
      <c r="C103" s="89">
        <f t="shared" si="102"/>
        <v>7568</v>
      </c>
      <c r="D103" s="189">
        <f>SUM(D104:D111)</f>
        <v>5700</v>
      </c>
      <c r="E103" s="190">
        <f t="shared" ref="E103:F103" si="127">SUM(E104:E111)</f>
        <v>0</v>
      </c>
      <c r="F103" s="55">
        <f t="shared" si="127"/>
        <v>5700</v>
      </c>
      <c r="G103" s="189">
        <f>SUM(G104:G111)</f>
        <v>0</v>
      </c>
      <c r="H103" s="190">
        <f t="shared" ref="H103:I103" si="128">SUM(H104:H111)</f>
        <v>0</v>
      </c>
      <c r="I103" s="55">
        <f t="shared" si="128"/>
        <v>0</v>
      </c>
      <c r="J103" s="189">
        <f>SUM(J104:J111)</f>
        <v>1868</v>
      </c>
      <c r="K103" s="190">
        <f t="shared" ref="K103:L103" si="129">SUM(K104:K111)</f>
        <v>0</v>
      </c>
      <c r="L103" s="55">
        <f t="shared" si="129"/>
        <v>1868</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x14ac:dyDescent="0.25">
      <c r="A106" s="51">
        <v>2243</v>
      </c>
      <c r="B106" s="88" t="s">
        <v>123</v>
      </c>
      <c r="C106" s="89">
        <f t="shared" si="102"/>
        <v>3415</v>
      </c>
      <c r="D106" s="194">
        <v>1547</v>
      </c>
      <c r="E106" s="195"/>
      <c r="F106" s="55">
        <f t="shared" si="131"/>
        <v>1547</v>
      </c>
      <c r="G106" s="53"/>
      <c r="H106" s="54"/>
      <c r="I106" s="55">
        <f t="shared" si="132"/>
        <v>0</v>
      </c>
      <c r="J106" s="53">
        <v>1868</v>
      </c>
      <c r="K106" s="54"/>
      <c r="L106" s="55">
        <f t="shared" si="133"/>
        <v>1868</v>
      </c>
      <c r="M106" s="53"/>
      <c r="N106" s="54"/>
      <c r="O106" s="55">
        <f t="shared" si="134"/>
        <v>0</v>
      </c>
      <c r="P106" s="57"/>
    </row>
    <row r="107" spans="1:16" ht="12" customHeight="1" x14ac:dyDescent="0.25">
      <c r="A107" s="51">
        <v>2244</v>
      </c>
      <c r="B107" s="88" t="s">
        <v>124</v>
      </c>
      <c r="C107" s="89">
        <f t="shared" si="102"/>
        <v>3845</v>
      </c>
      <c r="D107" s="194">
        <v>3845</v>
      </c>
      <c r="E107" s="195"/>
      <c r="F107" s="55">
        <f t="shared" si="131"/>
        <v>3845</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8" t="s">
        <v>128</v>
      </c>
      <c r="C111" s="89">
        <f t="shared" si="102"/>
        <v>308</v>
      </c>
      <c r="D111" s="194">
        <v>308</v>
      </c>
      <c r="E111" s="195"/>
      <c r="F111" s="55">
        <f t="shared" si="131"/>
        <v>308</v>
      </c>
      <c r="G111" s="53"/>
      <c r="H111" s="54"/>
      <c r="I111" s="55">
        <f t="shared" si="132"/>
        <v>0</v>
      </c>
      <c r="J111" s="53"/>
      <c r="K111" s="54"/>
      <c r="L111" s="55">
        <f t="shared" si="133"/>
        <v>0</v>
      </c>
      <c r="M111" s="53"/>
      <c r="N111" s="54"/>
      <c r="O111" s="55">
        <f t="shared" si="134"/>
        <v>0</v>
      </c>
      <c r="P111" s="57"/>
    </row>
    <row r="112" spans="1:16" x14ac:dyDescent="0.25">
      <c r="A112" s="188">
        <v>2250</v>
      </c>
      <c r="B112" s="88" t="s">
        <v>129</v>
      </c>
      <c r="C112" s="89">
        <f t="shared" si="102"/>
        <v>2710</v>
      </c>
      <c r="D112" s="189">
        <f>SUM(D113:D115)</f>
        <v>2710</v>
      </c>
      <c r="E112" s="190">
        <f t="shared" ref="E112:F112" si="135">SUM(E113:E115)</f>
        <v>0</v>
      </c>
      <c r="F112" s="55">
        <f t="shared" si="135"/>
        <v>2710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customHeight="1" x14ac:dyDescent="0.25">
      <c r="A113" s="51">
        <v>2251</v>
      </c>
      <c r="B113" s="88" t="s">
        <v>130</v>
      </c>
      <c r="C113" s="89">
        <f t="shared" si="102"/>
        <v>85</v>
      </c>
      <c r="D113" s="194">
        <v>85</v>
      </c>
      <c r="E113" s="195"/>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8" t="s">
        <v>131</v>
      </c>
      <c r="C114" s="89">
        <f t="shared" si="102"/>
        <v>2176</v>
      </c>
      <c r="D114" s="194">
        <v>2176</v>
      </c>
      <c r="E114" s="195"/>
      <c r="F114" s="55">
        <f t="shared" si="139"/>
        <v>2176</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8" t="s">
        <v>132</v>
      </c>
      <c r="C115" s="89">
        <f t="shared" si="102"/>
        <v>449</v>
      </c>
      <c r="D115" s="194">
        <v>449</v>
      </c>
      <c r="E115" s="195"/>
      <c r="F115" s="55">
        <f t="shared" si="139"/>
        <v>449</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52</v>
      </c>
      <c r="D116" s="189">
        <f>SUM(D117:D121)</f>
        <v>52</v>
      </c>
      <c r="E116" s="190">
        <f t="shared" ref="E116:F116" si="143">SUM(E117:E121)</f>
        <v>0</v>
      </c>
      <c r="F116" s="55">
        <f t="shared" si="143"/>
        <v>52</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8" t="s">
        <v>138</v>
      </c>
      <c r="C121" s="89">
        <f t="shared" si="102"/>
        <v>52</v>
      </c>
      <c r="D121" s="194">
        <v>52</v>
      </c>
      <c r="E121" s="195"/>
      <c r="F121" s="55">
        <f t="shared" si="147"/>
        <v>52</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3005</v>
      </c>
      <c r="D122" s="189">
        <f>SUM(D123:D127)</f>
        <v>37</v>
      </c>
      <c r="E122" s="190">
        <f t="shared" ref="E122:F122" si="151">SUM(E123:E127)</f>
        <v>0</v>
      </c>
      <c r="F122" s="55">
        <f t="shared" si="151"/>
        <v>37</v>
      </c>
      <c r="G122" s="189">
        <f>SUM(G123:G127)</f>
        <v>2968</v>
      </c>
      <c r="H122" s="190">
        <f t="shared" ref="H122:I122" si="152">SUM(H123:H127)</f>
        <v>0</v>
      </c>
      <c r="I122" s="55">
        <f t="shared" si="152"/>
        <v>2968</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x14ac:dyDescent="0.25">
      <c r="A127" s="51">
        <v>2279</v>
      </c>
      <c r="B127" s="88" t="s">
        <v>144</v>
      </c>
      <c r="C127" s="89">
        <f t="shared" si="102"/>
        <v>3005</v>
      </c>
      <c r="D127" s="194">
        <v>37</v>
      </c>
      <c r="E127" s="195"/>
      <c r="F127" s="55">
        <f t="shared" si="155"/>
        <v>37</v>
      </c>
      <c r="G127" s="53">
        <v>2968</v>
      </c>
      <c r="H127" s="54"/>
      <c r="I127" s="55">
        <f t="shared" si="156"/>
        <v>2968</v>
      </c>
      <c r="J127" s="53"/>
      <c r="K127" s="54"/>
      <c r="L127" s="55">
        <f t="shared" si="157"/>
        <v>0</v>
      </c>
      <c r="M127" s="53"/>
      <c r="N127" s="54"/>
      <c r="O127" s="55">
        <f t="shared" si="158"/>
        <v>0</v>
      </c>
      <c r="P127" s="57"/>
    </row>
    <row r="128" spans="1:16" ht="48" hidden="1" x14ac:dyDescent="0.25">
      <c r="A128" s="94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33952</v>
      </c>
      <c r="D130" s="183">
        <f>SUM(D131,D136,D140,D141,D144,D151,D159,D160,D163)</f>
        <v>27375</v>
      </c>
      <c r="E130" s="184">
        <f t="shared" ref="E130:F130" si="160">SUM(E131,E136,E140,E141,E144,E151,E159,E160,E163)</f>
        <v>0</v>
      </c>
      <c r="F130" s="72">
        <f t="shared" si="160"/>
        <v>27375</v>
      </c>
      <c r="G130" s="183">
        <f>SUM(G131,G136,G140,G141,G144,G151,G159,G160,G163)</f>
        <v>4447</v>
      </c>
      <c r="H130" s="184">
        <f t="shared" ref="H130:I130" si="161">SUM(H131,H136,H140,H141,H144,H151,H159,H160,H163)</f>
        <v>2000</v>
      </c>
      <c r="I130" s="72">
        <f t="shared" si="161"/>
        <v>6447</v>
      </c>
      <c r="J130" s="183">
        <f>SUM(J131,J136,J140,J141,J144,J151,J159,J160,J163)</f>
        <v>130</v>
      </c>
      <c r="K130" s="184">
        <f t="shared" ref="K130:L130" si="162">SUM(K131,K136,K140,K141,K144,K151,K159,K160,K163)</f>
        <v>0</v>
      </c>
      <c r="L130" s="72">
        <f t="shared" si="162"/>
        <v>130</v>
      </c>
      <c r="M130" s="183">
        <f>SUM(M131,M136,M140,M141,M144,M151,M159,M160,M163)</f>
        <v>0</v>
      </c>
      <c r="N130" s="184">
        <f t="shared" ref="N130:O130" si="163">SUM(N131,N136,N140,N141,N144,N151,N159,N160,N163)</f>
        <v>0</v>
      </c>
      <c r="O130" s="72">
        <f t="shared" si="163"/>
        <v>0</v>
      </c>
      <c r="P130" s="76"/>
    </row>
    <row r="131" spans="1:16" ht="24" x14ac:dyDescent="0.25">
      <c r="A131" s="941">
        <v>2310</v>
      </c>
      <c r="B131" s="81" t="s">
        <v>148</v>
      </c>
      <c r="C131" s="82">
        <f t="shared" si="102"/>
        <v>15130</v>
      </c>
      <c r="D131" s="192">
        <f t="shared" ref="D131:O131" si="164">SUM(D132:D135)</f>
        <v>15000</v>
      </c>
      <c r="E131" s="193">
        <f t="shared" si="164"/>
        <v>0</v>
      </c>
      <c r="F131" s="133">
        <f t="shared" si="164"/>
        <v>15000</v>
      </c>
      <c r="G131" s="192">
        <f t="shared" si="164"/>
        <v>0</v>
      </c>
      <c r="H131" s="193">
        <f t="shared" si="164"/>
        <v>0</v>
      </c>
      <c r="I131" s="133">
        <f t="shared" si="164"/>
        <v>0</v>
      </c>
      <c r="J131" s="192">
        <f t="shared" si="164"/>
        <v>130</v>
      </c>
      <c r="K131" s="193">
        <f t="shared" si="164"/>
        <v>0</v>
      </c>
      <c r="L131" s="133">
        <f t="shared" si="164"/>
        <v>130</v>
      </c>
      <c r="M131" s="192">
        <f t="shared" si="164"/>
        <v>0</v>
      </c>
      <c r="N131" s="193">
        <f t="shared" si="164"/>
        <v>0</v>
      </c>
      <c r="O131" s="133">
        <f t="shared" si="164"/>
        <v>0</v>
      </c>
      <c r="P131" s="49"/>
    </row>
    <row r="132" spans="1:16" ht="12" customHeight="1" x14ac:dyDescent="0.25">
      <c r="A132" s="51">
        <v>2311</v>
      </c>
      <c r="B132" s="88" t="s">
        <v>149</v>
      </c>
      <c r="C132" s="89">
        <f t="shared" si="102"/>
        <v>3187</v>
      </c>
      <c r="D132" s="194">
        <v>3187</v>
      </c>
      <c r="E132" s="195"/>
      <c r="F132" s="55">
        <f t="shared" ref="F132:F135" si="165">D132+E132</f>
        <v>3187</v>
      </c>
      <c r="G132" s="53"/>
      <c r="H132" s="54"/>
      <c r="I132" s="55">
        <f t="shared" ref="I132:I135" si="166">G132+H132</f>
        <v>0</v>
      </c>
      <c r="J132" s="53"/>
      <c r="K132" s="54"/>
      <c r="L132" s="55">
        <f t="shared" ref="L132:L135" si="167">K132+J132</f>
        <v>0</v>
      </c>
      <c r="M132" s="53"/>
      <c r="N132" s="54"/>
      <c r="O132" s="55">
        <f t="shared" ref="O132:O135" si="168">N132+M132</f>
        <v>0</v>
      </c>
      <c r="P132" s="57"/>
    </row>
    <row r="133" spans="1:16" x14ac:dyDescent="0.25">
      <c r="A133" s="51">
        <v>2312</v>
      </c>
      <c r="B133" s="88" t="s">
        <v>150</v>
      </c>
      <c r="C133" s="89">
        <f t="shared" si="102"/>
        <v>11553</v>
      </c>
      <c r="D133" s="194">
        <v>11423</v>
      </c>
      <c r="E133" s="195"/>
      <c r="F133" s="55">
        <f t="shared" si="165"/>
        <v>11423</v>
      </c>
      <c r="G133" s="53"/>
      <c r="H133" s="54"/>
      <c r="I133" s="55">
        <f t="shared" si="166"/>
        <v>0</v>
      </c>
      <c r="J133" s="53">
        <v>130</v>
      </c>
      <c r="K133" s="54"/>
      <c r="L133" s="55">
        <f t="shared" si="167"/>
        <v>130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390</v>
      </c>
      <c r="D135" s="194">
        <v>390</v>
      </c>
      <c r="E135" s="195"/>
      <c r="F135" s="55">
        <f t="shared" si="165"/>
        <v>390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250</v>
      </c>
      <c r="D141" s="189">
        <f>SUM(D142:D143)</f>
        <v>250</v>
      </c>
      <c r="E141" s="190">
        <f t="shared" ref="E141:F141" si="177">SUM(E142:E143)</f>
        <v>0</v>
      </c>
      <c r="F141" s="55">
        <f t="shared" si="177"/>
        <v>250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8" t="s">
        <v>159</v>
      </c>
      <c r="C142" s="89">
        <f t="shared" si="102"/>
        <v>250</v>
      </c>
      <c r="D142" s="194">
        <v>250</v>
      </c>
      <c r="E142" s="195"/>
      <c r="F142" s="55">
        <f t="shared" ref="F142:F143" si="181">D142+E142</f>
        <v>250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4637</v>
      </c>
      <c r="D144" s="186">
        <f>SUM(D145:D150)</f>
        <v>4637</v>
      </c>
      <c r="E144" s="187">
        <f t="shared" ref="E144:F144" si="185">SUM(E145:E150)</f>
        <v>0</v>
      </c>
      <c r="F144" s="140">
        <f t="shared" si="185"/>
        <v>4637</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customHeight="1" x14ac:dyDescent="0.25">
      <c r="A145" s="44">
        <v>2351</v>
      </c>
      <c r="B145" s="81" t="s">
        <v>162</v>
      </c>
      <c r="C145" s="82">
        <f t="shared" si="102"/>
        <v>1352</v>
      </c>
      <c r="D145" s="196">
        <v>1352</v>
      </c>
      <c r="E145" s="197"/>
      <c r="F145" s="133">
        <f t="shared" ref="F145:F150" si="189">D145+E145</f>
        <v>1352</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3185</v>
      </c>
      <c r="D146" s="194">
        <v>3185</v>
      </c>
      <c r="E146" s="195"/>
      <c r="F146" s="55">
        <f t="shared" si="189"/>
        <v>3185</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8" t="s">
        <v>166</v>
      </c>
      <c r="C149" s="89">
        <f t="shared" si="193"/>
        <v>100</v>
      </c>
      <c r="D149" s="194">
        <v>100</v>
      </c>
      <c r="E149" s="195"/>
      <c r="F149" s="55">
        <f t="shared" si="189"/>
        <v>100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1328</v>
      </c>
      <c r="D151" s="189">
        <f>SUM(D152:D158)</f>
        <v>1328</v>
      </c>
      <c r="E151" s="190">
        <f t="shared" ref="E151:F151" si="194">SUM(E152:E158)</f>
        <v>0</v>
      </c>
      <c r="F151" s="55">
        <f t="shared" si="194"/>
        <v>1328</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customHeight="1" x14ac:dyDescent="0.25">
      <c r="A152" s="50">
        <v>2361</v>
      </c>
      <c r="B152" s="88" t="s">
        <v>169</v>
      </c>
      <c r="C152" s="89">
        <f t="shared" si="193"/>
        <v>558</v>
      </c>
      <c r="D152" s="194">
        <v>558</v>
      </c>
      <c r="E152" s="195"/>
      <c r="F152" s="55">
        <f t="shared" ref="F152:F159" si="198">D152+E152</f>
        <v>558</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8" t="s">
        <v>171</v>
      </c>
      <c r="C154" s="89">
        <f t="shared" si="193"/>
        <v>770</v>
      </c>
      <c r="D154" s="194">
        <v>770</v>
      </c>
      <c r="E154" s="195"/>
      <c r="F154" s="55">
        <f t="shared" si="198"/>
        <v>770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5">
        <v>2370</v>
      </c>
      <c r="B159" s="137" t="s">
        <v>176</v>
      </c>
      <c r="C159" s="142">
        <f t="shared" si="193"/>
        <v>12607</v>
      </c>
      <c r="D159" s="202">
        <v>6160</v>
      </c>
      <c r="E159" s="203"/>
      <c r="F159" s="140">
        <f t="shared" si="198"/>
        <v>6160</v>
      </c>
      <c r="G159" s="143">
        <v>4447</v>
      </c>
      <c r="H159" s="144">
        <v>2000</v>
      </c>
      <c r="I159" s="140">
        <f t="shared" si="199"/>
        <v>6447</v>
      </c>
      <c r="J159" s="143"/>
      <c r="K159" s="144"/>
      <c r="L159" s="140">
        <f t="shared" si="200"/>
        <v>0</v>
      </c>
      <c r="M159" s="143"/>
      <c r="N159" s="144"/>
      <c r="O159" s="140">
        <f t="shared" si="201"/>
        <v>0</v>
      </c>
      <c r="P159" s="128" t="s">
        <v>1574</v>
      </c>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941">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48" hidden="1" x14ac:dyDescent="0.25">
      <c r="A175" s="94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94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941">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94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18412</v>
      </c>
      <c r="D194" s="172">
        <f t="shared" ref="D194:O194" si="259">SUM(D195,D230,D269,D283)</f>
        <v>13709</v>
      </c>
      <c r="E194" s="173">
        <f t="shared" si="259"/>
        <v>0</v>
      </c>
      <c r="F194" s="174">
        <f t="shared" si="259"/>
        <v>13709</v>
      </c>
      <c r="G194" s="172">
        <f t="shared" si="259"/>
        <v>3500</v>
      </c>
      <c r="H194" s="173">
        <f t="shared" si="259"/>
        <v>1153</v>
      </c>
      <c r="I194" s="174">
        <f t="shared" si="259"/>
        <v>4653</v>
      </c>
      <c r="J194" s="172">
        <f t="shared" si="259"/>
        <v>0</v>
      </c>
      <c r="K194" s="173">
        <f t="shared" si="259"/>
        <v>50</v>
      </c>
      <c r="L194" s="174">
        <f t="shared" si="259"/>
        <v>50</v>
      </c>
      <c r="M194" s="172">
        <f t="shared" si="259"/>
        <v>0</v>
      </c>
      <c r="N194" s="173">
        <f t="shared" si="259"/>
        <v>0</v>
      </c>
      <c r="O194" s="174">
        <f t="shared" si="259"/>
        <v>0</v>
      </c>
      <c r="P194" s="175"/>
    </row>
    <row r="195" spans="1:16" x14ac:dyDescent="0.25">
      <c r="A195" s="176">
        <v>5000</v>
      </c>
      <c r="B195" s="176" t="s">
        <v>212</v>
      </c>
      <c r="C195" s="177">
        <f t="shared" si="193"/>
        <v>18362</v>
      </c>
      <c r="D195" s="178">
        <f>D196+D204</f>
        <v>13709</v>
      </c>
      <c r="E195" s="179">
        <f t="shared" ref="E195:F195" si="260">E196+E204</f>
        <v>0</v>
      </c>
      <c r="F195" s="180">
        <f t="shared" si="260"/>
        <v>13709</v>
      </c>
      <c r="G195" s="178">
        <f>G196+G204</f>
        <v>3500</v>
      </c>
      <c r="H195" s="179">
        <f t="shared" ref="H195:I195" si="261">H196+H204</f>
        <v>1153</v>
      </c>
      <c r="I195" s="180">
        <f t="shared" si="261"/>
        <v>4653</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941">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18362</v>
      </c>
      <c r="D204" s="183">
        <f>D205+D215+D216+D225+D226+D227+D229</f>
        <v>13709</v>
      </c>
      <c r="E204" s="184">
        <f t="shared" ref="E204:F204" si="276">E205+E215+E216+E225+E226+E227+E229</f>
        <v>0</v>
      </c>
      <c r="F204" s="72">
        <f t="shared" si="276"/>
        <v>13709</v>
      </c>
      <c r="G204" s="183">
        <f>G205+G215+G216+G225+G226+G227+G229</f>
        <v>3500</v>
      </c>
      <c r="H204" s="184">
        <f t="shared" ref="H204:I204" si="277">H205+H215+H216+H225+H226+H227+H229</f>
        <v>1153</v>
      </c>
      <c r="I204" s="72">
        <f t="shared" si="277"/>
        <v>4653</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18362</v>
      </c>
      <c r="D216" s="189">
        <f>SUM(D217:D224)</f>
        <v>13709</v>
      </c>
      <c r="E216" s="190">
        <f t="shared" ref="E216:F216" si="289">SUM(E217:E224)</f>
        <v>0</v>
      </c>
      <c r="F216" s="55">
        <f t="shared" si="289"/>
        <v>13709</v>
      </c>
      <c r="G216" s="189">
        <f>SUM(G217:G224)</f>
        <v>3500</v>
      </c>
      <c r="H216" s="190">
        <f t="shared" ref="H216:I216" si="290">SUM(H217:H224)</f>
        <v>1153</v>
      </c>
      <c r="I216" s="55">
        <f t="shared" si="290"/>
        <v>4653</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8" t="s">
        <v>236</v>
      </c>
      <c r="C219" s="89">
        <f t="shared" si="288"/>
        <v>7862</v>
      </c>
      <c r="D219" s="194">
        <v>3209</v>
      </c>
      <c r="E219" s="195"/>
      <c r="F219" s="55">
        <f t="shared" si="293"/>
        <v>3209</v>
      </c>
      <c r="G219" s="53">
        <v>3500</v>
      </c>
      <c r="H219" s="54">
        <v>1153</v>
      </c>
      <c r="I219" s="55">
        <f t="shared" si="294"/>
        <v>4653</v>
      </c>
      <c r="J219" s="53"/>
      <c r="K219" s="54"/>
      <c r="L219" s="55">
        <f t="shared" si="295"/>
        <v>0</v>
      </c>
      <c r="M219" s="53"/>
      <c r="N219" s="54"/>
      <c r="O219" s="55">
        <f t="shared" si="296"/>
        <v>0</v>
      </c>
      <c r="P219" s="57" t="s">
        <v>1575</v>
      </c>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10500</v>
      </c>
      <c r="D223" s="194">
        <v>10500</v>
      </c>
      <c r="E223" s="195"/>
      <c r="F223" s="55">
        <f t="shared" si="293"/>
        <v>10500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941">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94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94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94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2" customHeight="1" x14ac:dyDescent="0.25">
      <c r="A269" s="227">
        <v>7000</v>
      </c>
      <c r="B269" s="227" t="s">
        <v>286</v>
      </c>
      <c r="C269" s="228">
        <f t="shared" si="288"/>
        <v>50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50</v>
      </c>
      <c r="L269" s="231">
        <f t="shared" si="357"/>
        <v>50</v>
      </c>
      <c r="M269" s="229">
        <f>SUM(M270,M281)</f>
        <v>0</v>
      </c>
      <c r="N269" s="230">
        <f t="shared" ref="N269:O269" si="358">SUM(N270,N281)</f>
        <v>0</v>
      </c>
      <c r="O269" s="231">
        <f t="shared" si="358"/>
        <v>0</v>
      </c>
      <c r="P269" s="232"/>
    </row>
    <row r="270" spans="1:16" ht="24" x14ac:dyDescent="0.25">
      <c r="A270" s="68">
        <v>7200</v>
      </c>
      <c r="B270" s="182" t="s">
        <v>287</v>
      </c>
      <c r="C270" s="69">
        <f t="shared" si="288"/>
        <v>50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50</v>
      </c>
      <c r="L270" s="72">
        <f t="shared" si="361"/>
        <v>50</v>
      </c>
      <c r="M270" s="183">
        <f>SUM(M271,M272,M275,M276,M280)</f>
        <v>0</v>
      </c>
      <c r="N270" s="184">
        <f t="shared" ref="N270:O270" si="362">SUM(N271,N272,N275,N276,N280)</f>
        <v>0</v>
      </c>
      <c r="O270" s="72">
        <f t="shared" si="362"/>
        <v>0</v>
      </c>
      <c r="P270" s="76"/>
    </row>
    <row r="271" spans="1:16" ht="24" hidden="1" customHeight="1" x14ac:dyDescent="0.25">
      <c r="A271" s="941">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8">
        <v>7230</v>
      </c>
      <c r="B275" s="88" t="s">
        <v>292</v>
      </c>
      <c r="C275" s="89">
        <f t="shared" si="288"/>
        <v>50</v>
      </c>
      <c r="D275" s="194"/>
      <c r="E275" s="195"/>
      <c r="F275" s="55">
        <f t="shared" si="367"/>
        <v>0</v>
      </c>
      <c r="G275" s="53"/>
      <c r="H275" s="54"/>
      <c r="I275" s="55">
        <f t="shared" si="368"/>
        <v>0</v>
      </c>
      <c r="J275" s="53"/>
      <c r="K275" s="54">
        <v>50</v>
      </c>
      <c r="L275" s="55">
        <f t="shared" si="369"/>
        <v>50</v>
      </c>
      <c r="M275" s="53"/>
      <c r="N275" s="54"/>
      <c r="O275" s="55">
        <f t="shared" si="370"/>
        <v>0</v>
      </c>
      <c r="P275" s="57" t="s">
        <v>863</v>
      </c>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941">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1</v>
      </c>
      <c r="D286" s="189">
        <f>SUM(D287:D288)</f>
        <v>0</v>
      </c>
      <c r="E286" s="190">
        <f t="shared" ref="E286:F286" si="381">SUM(E287:E288)</f>
        <v>0</v>
      </c>
      <c r="F286" s="55">
        <f t="shared" si="381"/>
        <v>0</v>
      </c>
      <c r="G286" s="189">
        <f>SUM(G287:G288)</f>
        <v>1</v>
      </c>
      <c r="H286" s="190">
        <f t="shared" ref="H286:I286" si="382">SUM(H287:H288)</f>
        <v>0</v>
      </c>
      <c r="I286" s="55">
        <f t="shared" si="382"/>
        <v>1</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9" t="s">
        <v>306</v>
      </c>
      <c r="B288" s="248" t="s">
        <v>307</v>
      </c>
      <c r="C288" s="82">
        <f t="shared" si="371"/>
        <v>1</v>
      </c>
      <c r="D288" s="196"/>
      <c r="E288" s="197"/>
      <c r="F288" s="133">
        <f t="shared" si="385"/>
        <v>0</v>
      </c>
      <c r="G288" s="46">
        <v>1</v>
      </c>
      <c r="H288" s="47"/>
      <c r="I288" s="133">
        <f t="shared" si="386"/>
        <v>1</v>
      </c>
      <c r="J288" s="46"/>
      <c r="K288" s="47"/>
      <c r="L288" s="133">
        <f t="shared" si="387"/>
        <v>0</v>
      </c>
      <c r="M288" s="46"/>
      <c r="N288" s="47"/>
      <c r="O288" s="133">
        <f t="shared" si="388"/>
        <v>0</v>
      </c>
      <c r="P288" s="49"/>
    </row>
    <row r="289" spans="1:16" ht="12.75" thickBot="1" x14ac:dyDescent="0.3">
      <c r="A289" s="249"/>
      <c r="B289" s="249" t="s">
        <v>308</v>
      </c>
      <c r="C289" s="250">
        <f t="shared" si="371"/>
        <v>1025587</v>
      </c>
      <c r="D289" s="251">
        <f t="shared" ref="D289:O289" si="389">SUM(D286,D269,D230,D195,D187,D173,D75,D53,D283)</f>
        <v>465505</v>
      </c>
      <c r="E289" s="252">
        <f t="shared" si="389"/>
        <v>0</v>
      </c>
      <c r="F289" s="253">
        <f t="shared" si="389"/>
        <v>465505</v>
      </c>
      <c r="G289" s="251">
        <f t="shared" si="389"/>
        <v>486126</v>
      </c>
      <c r="H289" s="252">
        <f t="shared" si="389"/>
        <v>54668</v>
      </c>
      <c r="I289" s="253">
        <f t="shared" si="389"/>
        <v>540794</v>
      </c>
      <c r="J289" s="251">
        <f t="shared" si="389"/>
        <v>19238</v>
      </c>
      <c r="K289" s="252">
        <f t="shared" si="389"/>
        <v>50</v>
      </c>
      <c r="L289" s="253">
        <f t="shared" si="389"/>
        <v>19288</v>
      </c>
      <c r="M289" s="251">
        <f t="shared" si="389"/>
        <v>0</v>
      </c>
      <c r="N289" s="252">
        <f t="shared" si="389"/>
        <v>0</v>
      </c>
      <c r="O289" s="253">
        <f t="shared" si="389"/>
        <v>0</v>
      </c>
      <c r="P289" s="254"/>
    </row>
    <row r="290" spans="1:16" s="28" customFormat="1" ht="13.5" thickTop="1" thickBot="1" x14ac:dyDescent="0.3">
      <c r="A290" s="1945" t="s">
        <v>309</v>
      </c>
      <c r="B290" s="1946"/>
      <c r="C290" s="255">
        <f t="shared" si="371"/>
        <v>-3607</v>
      </c>
      <c r="D290" s="256">
        <f>SUM(D24,D25,D41)-D51</f>
        <v>0</v>
      </c>
      <c r="E290" s="257">
        <f t="shared" ref="E290:F290" si="390">SUM(E24,E25,E41)-E51</f>
        <v>0</v>
      </c>
      <c r="F290" s="258">
        <f t="shared" si="390"/>
        <v>0</v>
      </c>
      <c r="G290" s="256">
        <f>SUM(G24,G25,G41)-G51</f>
        <v>1</v>
      </c>
      <c r="H290" s="257">
        <f t="shared" ref="H290:I290" si="391">SUM(H24,H25,H41)-H51</f>
        <v>0</v>
      </c>
      <c r="I290" s="258">
        <f t="shared" si="391"/>
        <v>1</v>
      </c>
      <c r="J290" s="256">
        <f>(J26+J43)-J51</f>
        <v>-3608</v>
      </c>
      <c r="K290" s="257">
        <f t="shared" ref="K290:L290" si="392">(K26+K43)-K51</f>
        <v>0</v>
      </c>
      <c r="L290" s="258">
        <f t="shared" si="392"/>
        <v>-3608</v>
      </c>
      <c r="M290" s="256">
        <f>M45-M51</f>
        <v>0</v>
      </c>
      <c r="N290" s="257">
        <f t="shared" ref="N290:O290" si="393">N45-N51</f>
        <v>0</v>
      </c>
      <c r="O290" s="258">
        <f t="shared" si="393"/>
        <v>0</v>
      </c>
      <c r="P290" s="259"/>
    </row>
    <row r="291" spans="1:16" s="28" customFormat="1" ht="12.75" thickTop="1" x14ac:dyDescent="0.25">
      <c r="A291" s="1947" t="s">
        <v>310</v>
      </c>
      <c r="B291" s="1948"/>
      <c r="C291" s="260">
        <f t="shared" si="371"/>
        <v>3607</v>
      </c>
      <c r="D291" s="261">
        <f t="shared" ref="D291:O291" si="394">SUM(D292,D293)-D300+D301</f>
        <v>0</v>
      </c>
      <c r="E291" s="262">
        <f t="shared" si="394"/>
        <v>0</v>
      </c>
      <c r="F291" s="263">
        <f t="shared" si="394"/>
        <v>0</v>
      </c>
      <c r="G291" s="261">
        <f t="shared" si="394"/>
        <v>-1</v>
      </c>
      <c r="H291" s="262">
        <f t="shared" si="394"/>
        <v>0</v>
      </c>
      <c r="I291" s="263">
        <f t="shared" si="394"/>
        <v>-1</v>
      </c>
      <c r="J291" s="261">
        <f t="shared" si="394"/>
        <v>3608</v>
      </c>
      <c r="K291" s="262">
        <f t="shared" si="394"/>
        <v>0</v>
      </c>
      <c r="L291" s="263">
        <f t="shared" si="394"/>
        <v>3608</v>
      </c>
      <c r="M291" s="261">
        <f t="shared" si="394"/>
        <v>0</v>
      </c>
      <c r="N291" s="262">
        <f t="shared" si="394"/>
        <v>0</v>
      </c>
      <c r="O291" s="263">
        <f t="shared" si="394"/>
        <v>0</v>
      </c>
      <c r="P291" s="264"/>
    </row>
    <row r="292" spans="1:16" s="28" customFormat="1" ht="12.75" thickBot="1" x14ac:dyDescent="0.3">
      <c r="A292" s="156" t="s">
        <v>311</v>
      </c>
      <c r="B292" s="156" t="s">
        <v>312</v>
      </c>
      <c r="C292" s="157">
        <f t="shared" si="371"/>
        <v>3607</v>
      </c>
      <c r="D292" s="158">
        <f t="shared" ref="D292:O292" si="395">D21-D286</f>
        <v>0</v>
      </c>
      <c r="E292" s="159">
        <f t="shared" si="395"/>
        <v>0</v>
      </c>
      <c r="F292" s="160">
        <f t="shared" si="395"/>
        <v>0</v>
      </c>
      <c r="G292" s="158">
        <f t="shared" si="395"/>
        <v>-1</v>
      </c>
      <c r="H292" s="159">
        <f t="shared" si="395"/>
        <v>0</v>
      </c>
      <c r="I292" s="160">
        <f t="shared" si="395"/>
        <v>-1</v>
      </c>
      <c r="J292" s="158">
        <f t="shared" si="395"/>
        <v>3608</v>
      </c>
      <c r="K292" s="159">
        <f t="shared" si="395"/>
        <v>0</v>
      </c>
      <c r="L292" s="160">
        <f t="shared" si="395"/>
        <v>3608</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8jsDbkdmNqxboejqzIKPNCD+2eRGrPLfSaiFUpIJ5wvDd8O+dUOgQlk1M7fnjxFKRlAzyGOx97YjgTQQjc6OFg==" saltValue="TMmjYYltvDmbQCktn1e8ug==" spinCount="100000" sheet="1" objects="1" scenarios="1" formatCells="0" formatColumns="0" formatRows="0" deleteColumns="0"/>
  <autoFilter ref="A18:P301">
    <filterColumn colId="2">
      <filters>
        <filter val="1"/>
        <filter val="1 000"/>
        <filter val="1 006 299"/>
        <filter val="1 007 174"/>
        <filter val="1 025 586"/>
        <filter val="1 025 587"/>
        <filter val="1 083"/>
        <filter val="1 328"/>
        <filter val="1 352"/>
        <filter val="10 500"/>
        <filter val="10 900"/>
        <filter val="100"/>
        <filter val="11 553"/>
        <filter val="12 607"/>
        <filter val="128 952"/>
        <filter val="14 941"/>
        <filter val="15 130"/>
        <filter val="15 630"/>
        <filter val="166 715"/>
        <filter val="18 362"/>
        <filter val="18 412"/>
        <filter val="2 146"/>
        <filter val="2 174"/>
        <filter val="2 176"/>
        <filter val="2 710"/>
        <filter val="2 988"/>
        <filter val="213 305"/>
        <filter val="250"/>
        <filter val="28"/>
        <filter val="28 014"/>
        <filter val="28 932"/>
        <filter val="3 005"/>
        <filter val="3 185"/>
        <filter val="3 187"/>
        <filter val="3 415"/>
        <filter val="3 607"/>
        <filter val="-3 607"/>
        <filter val="3 608"/>
        <filter val="3 634"/>
        <filter val="3 752"/>
        <filter val="3 845"/>
        <filter val="30 649"/>
        <filter val="308"/>
        <filter val="33 952"/>
        <filter val="382"/>
        <filter val="390"/>
        <filter val="4 196"/>
        <filter val="4 637"/>
        <filter val="4 730"/>
        <filter val="40 679"/>
        <filter val="42 808"/>
        <filter val="449"/>
        <filter val="46 590"/>
        <filter val="50"/>
        <filter val="51"/>
        <filter val="52"/>
        <filter val="533"/>
        <filter val="558"/>
        <filter val="6 320"/>
        <filter val="621 250"/>
        <filter val="664 917"/>
        <filter val="7 568"/>
        <filter val="7 862"/>
        <filter val="770"/>
        <filter val="78 958"/>
        <filter val="85"/>
        <filter val="878 222"/>
        <filter val="898"/>
        <filter val="95 00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47.pielikums Jūrmalas pilsētas domes 
2019.gada 29.augusta saistošajiem noteikumiem Nr.31
(protokols Nr.12,  20.punkts) </firstHeader>
    <firstFooter>&amp;L&amp;9&amp;D; &amp;T&amp;R&amp;9&amp;P (&amp;N)</first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29"/>
  <sheetViews>
    <sheetView showGridLines="0" view="pageLayout" zoomScaleNormal="100" workbookViewId="0">
      <selection activeCell="T8" sqref="T7:T8"/>
    </sheetView>
  </sheetViews>
  <sheetFormatPr defaultRowHeight="15" outlineLevelCol="1" x14ac:dyDescent="0.25"/>
  <cols>
    <col min="1" max="1" width="10.85546875" customWidth="1"/>
    <col min="2" max="2" width="28" customWidth="1"/>
    <col min="3" max="3" width="8" customWidth="1"/>
    <col min="4" max="5" width="8.7109375" hidden="1" customWidth="1" outlineLevel="1"/>
    <col min="6" max="6" width="8.7109375" customWidth="1" collapsed="1"/>
    <col min="7" max="8" width="8.7109375" hidden="1" customWidth="1" outlineLevel="1"/>
    <col min="9" max="9" width="8.7109375" customWidth="1" collapsed="1"/>
    <col min="10" max="11" width="8.28515625" hidden="1" customWidth="1" outlineLevel="1"/>
    <col min="12" max="12" width="8.28515625" customWidth="1" collapsed="1"/>
    <col min="13" max="14" width="7.42578125" hidden="1" customWidth="1" outlineLevel="1"/>
    <col min="15" max="15" width="6.85546875" customWidth="1" collapsed="1"/>
    <col min="16" max="16" width="26.7109375" hidden="1" customWidth="1" outlineLevel="1"/>
    <col min="17" max="17" width="9.140625" collapsed="1"/>
    <col min="257" max="257" width="10.85546875" customWidth="1"/>
    <col min="258" max="258" width="28" customWidth="1"/>
    <col min="259" max="259" width="8" customWidth="1"/>
    <col min="260" max="265" width="8.7109375" customWidth="1"/>
    <col min="266" max="268" width="8.28515625" customWidth="1"/>
    <col min="269" max="270" width="7.42578125" customWidth="1"/>
    <col min="271" max="271" width="6.85546875" customWidth="1"/>
    <col min="272" max="272" width="26.7109375" customWidth="1"/>
    <col min="513" max="513" width="10.85546875" customWidth="1"/>
    <col min="514" max="514" width="28" customWidth="1"/>
    <col min="515" max="515" width="8" customWidth="1"/>
    <col min="516" max="521" width="8.7109375" customWidth="1"/>
    <col min="522" max="524" width="8.28515625" customWidth="1"/>
    <col min="525" max="526" width="7.42578125" customWidth="1"/>
    <col min="527" max="527" width="6.85546875" customWidth="1"/>
    <col min="528" max="528" width="26.7109375" customWidth="1"/>
    <col min="769" max="769" width="10.85546875" customWidth="1"/>
    <col min="770" max="770" width="28" customWidth="1"/>
    <col min="771" max="771" width="8" customWidth="1"/>
    <col min="772" max="777" width="8.7109375" customWidth="1"/>
    <col min="778" max="780" width="8.28515625" customWidth="1"/>
    <col min="781" max="782" width="7.42578125" customWidth="1"/>
    <col min="783" max="783" width="6.85546875" customWidth="1"/>
    <col min="784" max="784" width="26.7109375" customWidth="1"/>
    <col min="1025" max="1025" width="10.85546875" customWidth="1"/>
    <col min="1026" max="1026" width="28" customWidth="1"/>
    <col min="1027" max="1027" width="8" customWidth="1"/>
    <col min="1028" max="1033" width="8.7109375" customWidth="1"/>
    <col min="1034" max="1036" width="8.28515625" customWidth="1"/>
    <col min="1037" max="1038" width="7.42578125" customWidth="1"/>
    <col min="1039" max="1039" width="6.85546875" customWidth="1"/>
    <col min="1040" max="1040" width="26.7109375" customWidth="1"/>
    <col min="1281" max="1281" width="10.85546875" customWidth="1"/>
    <col min="1282" max="1282" width="28" customWidth="1"/>
    <col min="1283" max="1283" width="8" customWidth="1"/>
    <col min="1284" max="1289" width="8.7109375" customWidth="1"/>
    <col min="1290" max="1292" width="8.28515625" customWidth="1"/>
    <col min="1293" max="1294" width="7.42578125" customWidth="1"/>
    <col min="1295" max="1295" width="6.85546875" customWidth="1"/>
    <col min="1296" max="1296" width="26.7109375" customWidth="1"/>
    <col min="1537" max="1537" width="10.85546875" customWidth="1"/>
    <col min="1538" max="1538" width="28" customWidth="1"/>
    <col min="1539" max="1539" width="8" customWidth="1"/>
    <col min="1540" max="1545" width="8.7109375" customWidth="1"/>
    <col min="1546" max="1548" width="8.28515625" customWidth="1"/>
    <col min="1549" max="1550" width="7.42578125" customWidth="1"/>
    <col min="1551" max="1551" width="6.85546875" customWidth="1"/>
    <col min="1552" max="1552" width="26.7109375" customWidth="1"/>
    <col min="1793" max="1793" width="10.85546875" customWidth="1"/>
    <col min="1794" max="1794" width="28" customWidth="1"/>
    <col min="1795" max="1795" width="8" customWidth="1"/>
    <col min="1796" max="1801" width="8.7109375" customWidth="1"/>
    <col min="1802" max="1804" width="8.28515625" customWidth="1"/>
    <col min="1805" max="1806" width="7.42578125" customWidth="1"/>
    <col min="1807" max="1807" width="6.85546875" customWidth="1"/>
    <col min="1808" max="1808" width="26.7109375" customWidth="1"/>
    <col min="2049" max="2049" width="10.85546875" customWidth="1"/>
    <col min="2050" max="2050" width="28" customWidth="1"/>
    <col min="2051" max="2051" width="8" customWidth="1"/>
    <col min="2052" max="2057" width="8.7109375" customWidth="1"/>
    <col min="2058" max="2060" width="8.28515625" customWidth="1"/>
    <col min="2061" max="2062" width="7.42578125" customWidth="1"/>
    <col min="2063" max="2063" width="6.85546875" customWidth="1"/>
    <col min="2064" max="2064" width="26.7109375" customWidth="1"/>
    <col min="2305" max="2305" width="10.85546875" customWidth="1"/>
    <col min="2306" max="2306" width="28" customWidth="1"/>
    <col min="2307" max="2307" width="8" customWidth="1"/>
    <col min="2308" max="2313" width="8.7109375" customWidth="1"/>
    <col min="2314" max="2316" width="8.28515625" customWidth="1"/>
    <col min="2317" max="2318" width="7.42578125" customWidth="1"/>
    <col min="2319" max="2319" width="6.85546875" customWidth="1"/>
    <col min="2320" max="2320" width="26.7109375" customWidth="1"/>
    <col min="2561" max="2561" width="10.85546875" customWidth="1"/>
    <col min="2562" max="2562" width="28" customWidth="1"/>
    <col min="2563" max="2563" width="8" customWidth="1"/>
    <col min="2564" max="2569" width="8.7109375" customWidth="1"/>
    <col min="2570" max="2572" width="8.28515625" customWidth="1"/>
    <col min="2573" max="2574" width="7.42578125" customWidth="1"/>
    <col min="2575" max="2575" width="6.85546875" customWidth="1"/>
    <col min="2576" max="2576" width="26.7109375" customWidth="1"/>
    <col min="2817" max="2817" width="10.85546875" customWidth="1"/>
    <col min="2818" max="2818" width="28" customWidth="1"/>
    <col min="2819" max="2819" width="8" customWidth="1"/>
    <col min="2820" max="2825" width="8.7109375" customWidth="1"/>
    <col min="2826" max="2828" width="8.28515625" customWidth="1"/>
    <col min="2829" max="2830" width="7.42578125" customWidth="1"/>
    <col min="2831" max="2831" width="6.85546875" customWidth="1"/>
    <col min="2832" max="2832" width="26.7109375" customWidth="1"/>
    <col min="3073" max="3073" width="10.85546875" customWidth="1"/>
    <col min="3074" max="3074" width="28" customWidth="1"/>
    <col min="3075" max="3075" width="8" customWidth="1"/>
    <col min="3076" max="3081" width="8.7109375" customWidth="1"/>
    <col min="3082" max="3084" width="8.28515625" customWidth="1"/>
    <col min="3085" max="3086" width="7.42578125" customWidth="1"/>
    <col min="3087" max="3087" width="6.85546875" customWidth="1"/>
    <col min="3088" max="3088" width="26.7109375" customWidth="1"/>
    <col min="3329" max="3329" width="10.85546875" customWidth="1"/>
    <col min="3330" max="3330" width="28" customWidth="1"/>
    <col min="3331" max="3331" width="8" customWidth="1"/>
    <col min="3332" max="3337" width="8.7109375" customWidth="1"/>
    <col min="3338" max="3340" width="8.28515625" customWidth="1"/>
    <col min="3341" max="3342" width="7.42578125" customWidth="1"/>
    <col min="3343" max="3343" width="6.85546875" customWidth="1"/>
    <col min="3344" max="3344" width="26.7109375" customWidth="1"/>
    <col min="3585" max="3585" width="10.85546875" customWidth="1"/>
    <col min="3586" max="3586" width="28" customWidth="1"/>
    <col min="3587" max="3587" width="8" customWidth="1"/>
    <col min="3588" max="3593" width="8.7109375" customWidth="1"/>
    <col min="3594" max="3596" width="8.28515625" customWidth="1"/>
    <col min="3597" max="3598" width="7.42578125" customWidth="1"/>
    <col min="3599" max="3599" width="6.85546875" customWidth="1"/>
    <col min="3600" max="3600" width="26.7109375" customWidth="1"/>
    <col min="3841" max="3841" width="10.85546875" customWidth="1"/>
    <col min="3842" max="3842" width="28" customWidth="1"/>
    <col min="3843" max="3843" width="8" customWidth="1"/>
    <col min="3844" max="3849" width="8.7109375" customWidth="1"/>
    <col min="3850" max="3852" width="8.28515625" customWidth="1"/>
    <col min="3853" max="3854" width="7.42578125" customWidth="1"/>
    <col min="3855" max="3855" width="6.85546875" customWidth="1"/>
    <col min="3856" max="3856" width="26.7109375" customWidth="1"/>
    <col min="4097" max="4097" width="10.85546875" customWidth="1"/>
    <col min="4098" max="4098" width="28" customWidth="1"/>
    <col min="4099" max="4099" width="8" customWidth="1"/>
    <col min="4100" max="4105" width="8.7109375" customWidth="1"/>
    <col min="4106" max="4108" width="8.28515625" customWidth="1"/>
    <col min="4109" max="4110" width="7.42578125" customWidth="1"/>
    <col min="4111" max="4111" width="6.85546875" customWidth="1"/>
    <col min="4112" max="4112" width="26.7109375" customWidth="1"/>
    <col min="4353" max="4353" width="10.85546875" customWidth="1"/>
    <col min="4354" max="4354" width="28" customWidth="1"/>
    <col min="4355" max="4355" width="8" customWidth="1"/>
    <col min="4356" max="4361" width="8.7109375" customWidth="1"/>
    <col min="4362" max="4364" width="8.28515625" customWidth="1"/>
    <col min="4365" max="4366" width="7.42578125" customWidth="1"/>
    <col min="4367" max="4367" width="6.85546875" customWidth="1"/>
    <col min="4368" max="4368" width="26.7109375" customWidth="1"/>
    <col min="4609" max="4609" width="10.85546875" customWidth="1"/>
    <col min="4610" max="4610" width="28" customWidth="1"/>
    <col min="4611" max="4611" width="8" customWidth="1"/>
    <col min="4612" max="4617" width="8.7109375" customWidth="1"/>
    <col min="4618" max="4620" width="8.28515625" customWidth="1"/>
    <col min="4621" max="4622" width="7.42578125" customWidth="1"/>
    <col min="4623" max="4623" width="6.85546875" customWidth="1"/>
    <col min="4624" max="4624" width="26.7109375" customWidth="1"/>
    <col min="4865" max="4865" width="10.85546875" customWidth="1"/>
    <col min="4866" max="4866" width="28" customWidth="1"/>
    <col min="4867" max="4867" width="8" customWidth="1"/>
    <col min="4868" max="4873" width="8.7109375" customWidth="1"/>
    <col min="4874" max="4876" width="8.28515625" customWidth="1"/>
    <col min="4877" max="4878" width="7.42578125" customWidth="1"/>
    <col min="4879" max="4879" width="6.85546875" customWidth="1"/>
    <col min="4880" max="4880" width="26.7109375" customWidth="1"/>
    <col min="5121" max="5121" width="10.85546875" customWidth="1"/>
    <col min="5122" max="5122" width="28" customWidth="1"/>
    <col min="5123" max="5123" width="8" customWidth="1"/>
    <col min="5124" max="5129" width="8.7109375" customWidth="1"/>
    <col min="5130" max="5132" width="8.28515625" customWidth="1"/>
    <col min="5133" max="5134" width="7.42578125" customWidth="1"/>
    <col min="5135" max="5135" width="6.85546875" customWidth="1"/>
    <col min="5136" max="5136" width="26.7109375" customWidth="1"/>
    <col min="5377" max="5377" width="10.85546875" customWidth="1"/>
    <col min="5378" max="5378" width="28" customWidth="1"/>
    <col min="5379" max="5379" width="8" customWidth="1"/>
    <col min="5380" max="5385" width="8.7109375" customWidth="1"/>
    <col min="5386" max="5388" width="8.28515625" customWidth="1"/>
    <col min="5389" max="5390" width="7.42578125" customWidth="1"/>
    <col min="5391" max="5391" width="6.85546875" customWidth="1"/>
    <col min="5392" max="5392" width="26.7109375" customWidth="1"/>
    <col min="5633" max="5633" width="10.85546875" customWidth="1"/>
    <col min="5634" max="5634" width="28" customWidth="1"/>
    <col min="5635" max="5635" width="8" customWidth="1"/>
    <col min="5636" max="5641" width="8.7109375" customWidth="1"/>
    <col min="5642" max="5644" width="8.28515625" customWidth="1"/>
    <col min="5645" max="5646" width="7.42578125" customWidth="1"/>
    <col min="5647" max="5647" width="6.85546875" customWidth="1"/>
    <col min="5648" max="5648" width="26.7109375" customWidth="1"/>
    <col min="5889" max="5889" width="10.85546875" customWidth="1"/>
    <col min="5890" max="5890" width="28" customWidth="1"/>
    <col min="5891" max="5891" width="8" customWidth="1"/>
    <col min="5892" max="5897" width="8.7109375" customWidth="1"/>
    <col min="5898" max="5900" width="8.28515625" customWidth="1"/>
    <col min="5901" max="5902" width="7.42578125" customWidth="1"/>
    <col min="5903" max="5903" width="6.85546875" customWidth="1"/>
    <col min="5904" max="5904" width="26.7109375" customWidth="1"/>
    <col min="6145" max="6145" width="10.85546875" customWidth="1"/>
    <col min="6146" max="6146" width="28" customWidth="1"/>
    <col min="6147" max="6147" width="8" customWidth="1"/>
    <col min="6148" max="6153" width="8.7109375" customWidth="1"/>
    <col min="6154" max="6156" width="8.28515625" customWidth="1"/>
    <col min="6157" max="6158" width="7.42578125" customWidth="1"/>
    <col min="6159" max="6159" width="6.85546875" customWidth="1"/>
    <col min="6160" max="6160" width="26.7109375" customWidth="1"/>
    <col min="6401" max="6401" width="10.85546875" customWidth="1"/>
    <col min="6402" max="6402" width="28" customWidth="1"/>
    <col min="6403" max="6403" width="8" customWidth="1"/>
    <col min="6404" max="6409" width="8.7109375" customWidth="1"/>
    <col min="6410" max="6412" width="8.28515625" customWidth="1"/>
    <col min="6413" max="6414" width="7.42578125" customWidth="1"/>
    <col min="6415" max="6415" width="6.85546875" customWidth="1"/>
    <col min="6416" max="6416" width="26.7109375" customWidth="1"/>
    <col min="6657" max="6657" width="10.85546875" customWidth="1"/>
    <col min="6658" max="6658" width="28" customWidth="1"/>
    <col min="6659" max="6659" width="8" customWidth="1"/>
    <col min="6660" max="6665" width="8.7109375" customWidth="1"/>
    <col min="6666" max="6668" width="8.28515625" customWidth="1"/>
    <col min="6669" max="6670" width="7.42578125" customWidth="1"/>
    <col min="6671" max="6671" width="6.85546875" customWidth="1"/>
    <col min="6672" max="6672" width="26.7109375" customWidth="1"/>
    <col min="6913" max="6913" width="10.85546875" customWidth="1"/>
    <col min="6914" max="6914" width="28" customWidth="1"/>
    <col min="6915" max="6915" width="8" customWidth="1"/>
    <col min="6916" max="6921" width="8.7109375" customWidth="1"/>
    <col min="6922" max="6924" width="8.28515625" customWidth="1"/>
    <col min="6925" max="6926" width="7.42578125" customWidth="1"/>
    <col min="6927" max="6927" width="6.85546875" customWidth="1"/>
    <col min="6928" max="6928" width="26.7109375" customWidth="1"/>
    <col min="7169" max="7169" width="10.85546875" customWidth="1"/>
    <col min="7170" max="7170" width="28" customWidth="1"/>
    <col min="7171" max="7171" width="8" customWidth="1"/>
    <col min="7172" max="7177" width="8.7109375" customWidth="1"/>
    <col min="7178" max="7180" width="8.28515625" customWidth="1"/>
    <col min="7181" max="7182" width="7.42578125" customWidth="1"/>
    <col min="7183" max="7183" width="6.85546875" customWidth="1"/>
    <col min="7184" max="7184" width="26.7109375" customWidth="1"/>
    <col min="7425" max="7425" width="10.85546875" customWidth="1"/>
    <col min="7426" max="7426" width="28" customWidth="1"/>
    <col min="7427" max="7427" width="8" customWidth="1"/>
    <col min="7428" max="7433" width="8.7109375" customWidth="1"/>
    <col min="7434" max="7436" width="8.28515625" customWidth="1"/>
    <col min="7437" max="7438" width="7.42578125" customWidth="1"/>
    <col min="7439" max="7439" width="6.85546875" customWidth="1"/>
    <col min="7440" max="7440" width="26.7109375" customWidth="1"/>
    <col min="7681" max="7681" width="10.85546875" customWidth="1"/>
    <col min="7682" max="7682" width="28" customWidth="1"/>
    <col min="7683" max="7683" width="8" customWidth="1"/>
    <col min="7684" max="7689" width="8.7109375" customWidth="1"/>
    <col min="7690" max="7692" width="8.28515625" customWidth="1"/>
    <col min="7693" max="7694" width="7.42578125" customWidth="1"/>
    <col min="7695" max="7695" width="6.85546875" customWidth="1"/>
    <col min="7696" max="7696" width="26.7109375" customWidth="1"/>
    <col min="7937" max="7937" width="10.85546875" customWidth="1"/>
    <col min="7938" max="7938" width="28" customWidth="1"/>
    <col min="7939" max="7939" width="8" customWidth="1"/>
    <col min="7940" max="7945" width="8.7109375" customWidth="1"/>
    <col min="7946" max="7948" width="8.28515625" customWidth="1"/>
    <col min="7949" max="7950" width="7.42578125" customWidth="1"/>
    <col min="7951" max="7951" width="6.85546875" customWidth="1"/>
    <col min="7952" max="7952" width="26.7109375" customWidth="1"/>
    <col min="8193" max="8193" width="10.85546875" customWidth="1"/>
    <col min="8194" max="8194" width="28" customWidth="1"/>
    <col min="8195" max="8195" width="8" customWidth="1"/>
    <col min="8196" max="8201" width="8.7109375" customWidth="1"/>
    <col min="8202" max="8204" width="8.28515625" customWidth="1"/>
    <col min="8205" max="8206" width="7.42578125" customWidth="1"/>
    <col min="8207" max="8207" width="6.85546875" customWidth="1"/>
    <col min="8208" max="8208" width="26.7109375" customWidth="1"/>
    <col min="8449" max="8449" width="10.85546875" customWidth="1"/>
    <col min="8450" max="8450" width="28" customWidth="1"/>
    <col min="8451" max="8451" width="8" customWidth="1"/>
    <col min="8452" max="8457" width="8.7109375" customWidth="1"/>
    <col min="8458" max="8460" width="8.28515625" customWidth="1"/>
    <col min="8461" max="8462" width="7.42578125" customWidth="1"/>
    <col min="8463" max="8463" width="6.85546875" customWidth="1"/>
    <col min="8464" max="8464" width="26.7109375" customWidth="1"/>
    <col min="8705" max="8705" width="10.85546875" customWidth="1"/>
    <col min="8706" max="8706" width="28" customWidth="1"/>
    <col min="8707" max="8707" width="8" customWidth="1"/>
    <col min="8708" max="8713" width="8.7109375" customWidth="1"/>
    <col min="8714" max="8716" width="8.28515625" customWidth="1"/>
    <col min="8717" max="8718" width="7.42578125" customWidth="1"/>
    <col min="8719" max="8719" width="6.85546875" customWidth="1"/>
    <col min="8720" max="8720" width="26.7109375" customWidth="1"/>
    <col min="8961" max="8961" width="10.85546875" customWidth="1"/>
    <col min="8962" max="8962" width="28" customWidth="1"/>
    <col min="8963" max="8963" width="8" customWidth="1"/>
    <col min="8964" max="8969" width="8.7109375" customWidth="1"/>
    <col min="8970" max="8972" width="8.28515625" customWidth="1"/>
    <col min="8973" max="8974" width="7.42578125" customWidth="1"/>
    <col min="8975" max="8975" width="6.85546875" customWidth="1"/>
    <col min="8976" max="8976" width="26.7109375" customWidth="1"/>
    <col min="9217" max="9217" width="10.85546875" customWidth="1"/>
    <col min="9218" max="9218" width="28" customWidth="1"/>
    <col min="9219" max="9219" width="8" customWidth="1"/>
    <col min="9220" max="9225" width="8.7109375" customWidth="1"/>
    <col min="9226" max="9228" width="8.28515625" customWidth="1"/>
    <col min="9229" max="9230" width="7.42578125" customWidth="1"/>
    <col min="9231" max="9231" width="6.85546875" customWidth="1"/>
    <col min="9232" max="9232" width="26.7109375" customWidth="1"/>
    <col min="9473" max="9473" width="10.85546875" customWidth="1"/>
    <col min="9474" max="9474" width="28" customWidth="1"/>
    <col min="9475" max="9475" width="8" customWidth="1"/>
    <col min="9476" max="9481" width="8.7109375" customWidth="1"/>
    <col min="9482" max="9484" width="8.28515625" customWidth="1"/>
    <col min="9485" max="9486" width="7.42578125" customWidth="1"/>
    <col min="9487" max="9487" width="6.85546875" customWidth="1"/>
    <col min="9488" max="9488" width="26.7109375" customWidth="1"/>
    <col min="9729" max="9729" width="10.85546875" customWidth="1"/>
    <col min="9730" max="9730" width="28" customWidth="1"/>
    <col min="9731" max="9731" width="8" customWidth="1"/>
    <col min="9732" max="9737" width="8.7109375" customWidth="1"/>
    <col min="9738" max="9740" width="8.28515625" customWidth="1"/>
    <col min="9741" max="9742" width="7.42578125" customWidth="1"/>
    <col min="9743" max="9743" width="6.85546875" customWidth="1"/>
    <col min="9744" max="9744" width="26.7109375" customWidth="1"/>
    <col min="9985" max="9985" width="10.85546875" customWidth="1"/>
    <col min="9986" max="9986" width="28" customWidth="1"/>
    <col min="9987" max="9987" width="8" customWidth="1"/>
    <col min="9988" max="9993" width="8.7109375" customWidth="1"/>
    <col min="9994" max="9996" width="8.28515625" customWidth="1"/>
    <col min="9997" max="9998" width="7.42578125" customWidth="1"/>
    <col min="9999" max="9999" width="6.85546875" customWidth="1"/>
    <col min="10000" max="10000" width="26.7109375" customWidth="1"/>
    <col min="10241" max="10241" width="10.85546875" customWidth="1"/>
    <col min="10242" max="10242" width="28" customWidth="1"/>
    <col min="10243" max="10243" width="8" customWidth="1"/>
    <col min="10244" max="10249" width="8.7109375" customWidth="1"/>
    <col min="10250" max="10252" width="8.28515625" customWidth="1"/>
    <col min="10253" max="10254" width="7.42578125" customWidth="1"/>
    <col min="10255" max="10255" width="6.85546875" customWidth="1"/>
    <col min="10256" max="10256" width="26.7109375" customWidth="1"/>
    <col min="10497" max="10497" width="10.85546875" customWidth="1"/>
    <col min="10498" max="10498" width="28" customWidth="1"/>
    <col min="10499" max="10499" width="8" customWidth="1"/>
    <col min="10500" max="10505" width="8.7109375" customWidth="1"/>
    <col min="10506" max="10508" width="8.28515625" customWidth="1"/>
    <col min="10509" max="10510" width="7.42578125" customWidth="1"/>
    <col min="10511" max="10511" width="6.85546875" customWidth="1"/>
    <col min="10512" max="10512" width="26.7109375" customWidth="1"/>
    <col min="10753" max="10753" width="10.85546875" customWidth="1"/>
    <col min="10754" max="10754" width="28" customWidth="1"/>
    <col min="10755" max="10755" width="8" customWidth="1"/>
    <col min="10756" max="10761" width="8.7109375" customWidth="1"/>
    <col min="10762" max="10764" width="8.28515625" customWidth="1"/>
    <col min="10765" max="10766" width="7.42578125" customWidth="1"/>
    <col min="10767" max="10767" width="6.85546875" customWidth="1"/>
    <col min="10768" max="10768" width="26.7109375" customWidth="1"/>
    <col min="11009" max="11009" width="10.85546875" customWidth="1"/>
    <col min="11010" max="11010" width="28" customWidth="1"/>
    <col min="11011" max="11011" width="8" customWidth="1"/>
    <col min="11012" max="11017" width="8.7109375" customWidth="1"/>
    <col min="11018" max="11020" width="8.28515625" customWidth="1"/>
    <col min="11021" max="11022" width="7.42578125" customWidth="1"/>
    <col min="11023" max="11023" width="6.85546875" customWidth="1"/>
    <col min="11024" max="11024" width="26.7109375" customWidth="1"/>
    <col min="11265" max="11265" width="10.85546875" customWidth="1"/>
    <col min="11266" max="11266" width="28" customWidth="1"/>
    <col min="11267" max="11267" width="8" customWidth="1"/>
    <col min="11268" max="11273" width="8.7109375" customWidth="1"/>
    <col min="11274" max="11276" width="8.28515625" customWidth="1"/>
    <col min="11277" max="11278" width="7.42578125" customWidth="1"/>
    <col min="11279" max="11279" width="6.85546875" customWidth="1"/>
    <col min="11280" max="11280" width="26.7109375" customWidth="1"/>
    <col min="11521" max="11521" width="10.85546875" customWidth="1"/>
    <col min="11522" max="11522" width="28" customWidth="1"/>
    <col min="11523" max="11523" width="8" customWidth="1"/>
    <col min="11524" max="11529" width="8.7109375" customWidth="1"/>
    <col min="11530" max="11532" width="8.28515625" customWidth="1"/>
    <col min="11533" max="11534" width="7.42578125" customWidth="1"/>
    <col min="11535" max="11535" width="6.85546875" customWidth="1"/>
    <col min="11536" max="11536" width="26.7109375" customWidth="1"/>
    <col min="11777" max="11777" width="10.85546875" customWidth="1"/>
    <col min="11778" max="11778" width="28" customWidth="1"/>
    <col min="11779" max="11779" width="8" customWidth="1"/>
    <col min="11780" max="11785" width="8.7109375" customWidth="1"/>
    <col min="11786" max="11788" width="8.28515625" customWidth="1"/>
    <col min="11789" max="11790" width="7.42578125" customWidth="1"/>
    <col min="11791" max="11791" width="6.85546875" customWidth="1"/>
    <col min="11792" max="11792" width="26.7109375" customWidth="1"/>
    <col min="12033" max="12033" width="10.85546875" customWidth="1"/>
    <col min="12034" max="12034" width="28" customWidth="1"/>
    <col min="12035" max="12035" width="8" customWidth="1"/>
    <col min="12036" max="12041" width="8.7109375" customWidth="1"/>
    <col min="12042" max="12044" width="8.28515625" customWidth="1"/>
    <col min="12045" max="12046" width="7.42578125" customWidth="1"/>
    <col min="12047" max="12047" width="6.85546875" customWidth="1"/>
    <col min="12048" max="12048" width="26.7109375" customWidth="1"/>
    <col min="12289" max="12289" width="10.85546875" customWidth="1"/>
    <col min="12290" max="12290" width="28" customWidth="1"/>
    <col min="12291" max="12291" width="8" customWidth="1"/>
    <col min="12292" max="12297" width="8.7109375" customWidth="1"/>
    <col min="12298" max="12300" width="8.28515625" customWidth="1"/>
    <col min="12301" max="12302" width="7.42578125" customWidth="1"/>
    <col min="12303" max="12303" width="6.85546875" customWidth="1"/>
    <col min="12304" max="12304" width="26.7109375" customWidth="1"/>
    <col min="12545" max="12545" width="10.85546875" customWidth="1"/>
    <col min="12546" max="12546" width="28" customWidth="1"/>
    <col min="12547" max="12547" width="8" customWidth="1"/>
    <col min="12548" max="12553" width="8.7109375" customWidth="1"/>
    <col min="12554" max="12556" width="8.28515625" customWidth="1"/>
    <col min="12557" max="12558" width="7.42578125" customWidth="1"/>
    <col min="12559" max="12559" width="6.85546875" customWidth="1"/>
    <col min="12560" max="12560" width="26.7109375" customWidth="1"/>
    <col min="12801" max="12801" width="10.85546875" customWidth="1"/>
    <col min="12802" max="12802" width="28" customWidth="1"/>
    <col min="12803" max="12803" width="8" customWidth="1"/>
    <col min="12804" max="12809" width="8.7109375" customWidth="1"/>
    <col min="12810" max="12812" width="8.28515625" customWidth="1"/>
    <col min="12813" max="12814" width="7.42578125" customWidth="1"/>
    <col min="12815" max="12815" width="6.85546875" customWidth="1"/>
    <col min="12816" max="12816" width="26.7109375" customWidth="1"/>
    <col min="13057" max="13057" width="10.85546875" customWidth="1"/>
    <col min="13058" max="13058" width="28" customWidth="1"/>
    <col min="13059" max="13059" width="8" customWidth="1"/>
    <col min="13060" max="13065" width="8.7109375" customWidth="1"/>
    <col min="13066" max="13068" width="8.28515625" customWidth="1"/>
    <col min="13069" max="13070" width="7.42578125" customWidth="1"/>
    <col min="13071" max="13071" width="6.85546875" customWidth="1"/>
    <col min="13072" max="13072" width="26.7109375" customWidth="1"/>
    <col min="13313" max="13313" width="10.85546875" customWidth="1"/>
    <col min="13314" max="13314" width="28" customWidth="1"/>
    <col min="13315" max="13315" width="8" customWidth="1"/>
    <col min="13316" max="13321" width="8.7109375" customWidth="1"/>
    <col min="13322" max="13324" width="8.28515625" customWidth="1"/>
    <col min="13325" max="13326" width="7.42578125" customWidth="1"/>
    <col min="13327" max="13327" width="6.85546875" customWidth="1"/>
    <col min="13328" max="13328" width="26.7109375" customWidth="1"/>
    <col min="13569" max="13569" width="10.85546875" customWidth="1"/>
    <col min="13570" max="13570" width="28" customWidth="1"/>
    <col min="13571" max="13571" width="8" customWidth="1"/>
    <col min="13572" max="13577" width="8.7109375" customWidth="1"/>
    <col min="13578" max="13580" width="8.28515625" customWidth="1"/>
    <col min="13581" max="13582" width="7.42578125" customWidth="1"/>
    <col min="13583" max="13583" width="6.85546875" customWidth="1"/>
    <col min="13584" max="13584" width="26.7109375" customWidth="1"/>
    <col min="13825" max="13825" width="10.85546875" customWidth="1"/>
    <col min="13826" max="13826" width="28" customWidth="1"/>
    <col min="13827" max="13827" width="8" customWidth="1"/>
    <col min="13828" max="13833" width="8.7109375" customWidth="1"/>
    <col min="13834" max="13836" width="8.28515625" customWidth="1"/>
    <col min="13837" max="13838" width="7.42578125" customWidth="1"/>
    <col min="13839" max="13839" width="6.85546875" customWidth="1"/>
    <col min="13840" max="13840" width="26.7109375" customWidth="1"/>
    <col min="14081" max="14081" width="10.85546875" customWidth="1"/>
    <col min="14082" max="14082" width="28" customWidth="1"/>
    <col min="14083" max="14083" width="8" customWidth="1"/>
    <col min="14084" max="14089" width="8.7109375" customWidth="1"/>
    <col min="14090" max="14092" width="8.28515625" customWidth="1"/>
    <col min="14093" max="14094" width="7.42578125" customWidth="1"/>
    <col min="14095" max="14095" width="6.85546875" customWidth="1"/>
    <col min="14096" max="14096" width="26.7109375" customWidth="1"/>
    <col min="14337" max="14337" width="10.85546875" customWidth="1"/>
    <col min="14338" max="14338" width="28" customWidth="1"/>
    <col min="14339" max="14339" width="8" customWidth="1"/>
    <col min="14340" max="14345" width="8.7109375" customWidth="1"/>
    <col min="14346" max="14348" width="8.28515625" customWidth="1"/>
    <col min="14349" max="14350" width="7.42578125" customWidth="1"/>
    <col min="14351" max="14351" width="6.85546875" customWidth="1"/>
    <col min="14352" max="14352" width="26.7109375" customWidth="1"/>
    <col min="14593" max="14593" width="10.85546875" customWidth="1"/>
    <col min="14594" max="14594" width="28" customWidth="1"/>
    <col min="14595" max="14595" width="8" customWidth="1"/>
    <col min="14596" max="14601" width="8.7109375" customWidth="1"/>
    <col min="14602" max="14604" width="8.28515625" customWidth="1"/>
    <col min="14605" max="14606" width="7.42578125" customWidth="1"/>
    <col min="14607" max="14607" width="6.85546875" customWidth="1"/>
    <col min="14608" max="14608" width="26.7109375" customWidth="1"/>
    <col min="14849" max="14849" width="10.85546875" customWidth="1"/>
    <col min="14850" max="14850" width="28" customWidth="1"/>
    <col min="14851" max="14851" width="8" customWidth="1"/>
    <col min="14852" max="14857" width="8.7109375" customWidth="1"/>
    <col min="14858" max="14860" width="8.28515625" customWidth="1"/>
    <col min="14861" max="14862" width="7.42578125" customWidth="1"/>
    <col min="14863" max="14863" width="6.85546875" customWidth="1"/>
    <col min="14864" max="14864" width="26.7109375" customWidth="1"/>
    <col min="15105" max="15105" width="10.85546875" customWidth="1"/>
    <col min="15106" max="15106" width="28" customWidth="1"/>
    <col min="15107" max="15107" width="8" customWidth="1"/>
    <col min="15108" max="15113" width="8.7109375" customWidth="1"/>
    <col min="15114" max="15116" width="8.28515625" customWidth="1"/>
    <col min="15117" max="15118" width="7.42578125" customWidth="1"/>
    <col min="15119" max="15119" width="6.85546875" customWidth="1"/>
    <col min="15120" max="15120" width="26.7109375" customWidth="1"/>
    <col min="15361" max="15361" width="10.85546875" customWidth="1"/>
    <col min="15362" max="15362" width="28" customWidth="1"/>
    <col min="15363" max="15363" width="8" customWidth="1"/>
    <col min="15364" max="15369" width="8.7109375" customWidth="1"/>
    <col min="15370" max="15372" width="8.28515625" customWidth="1"/>
    <col min="15373" max="15374" width="7.42578125" customWidth="1"/>
    <col min="15375" max="15375" width="6.85546875" customWidth="1"/>
    <col min="15376" max="15376" width="26.7109375" customWidth="1"/>
    <col min="15617" max="15617" width="10.85546875" customWidth="1"/>
    <col min="15618" max="15618" width="28" customWidth="1"/>
    <col min="15619" max="15619" width="8" customWidth="1"/>
    <col min="15620" max="15625" width="8.7109375" customWidth="1"/>
    <col min="15626" max="15628" width="8.28515625" customWidth="1"/>
    <col min="15629" max="15630" width="7.42578125" customWidth="1"/>
    <col min="15631" max="15631" width="6.85546875" customWidth="1"/>
    <col min="15632" max="15632" width="26.7109375" customWidth="1"/>
    <col min="15873" max="15873" width="10.85546875" customWidth="1"/>
    <col min="15874" max="15874" width="28" customWidth="1"/>
    <col min="15875" max="15875" width="8" customWidth="1"/>
    <col min="15876" max="15881" width="8.7109375" customWidth="1"/>
    <col min="15882" max="15884" width="8.28515625" customWidth="1"/>
    <col min="15885" max="15886" width="7.42578125" customWidth="1"/>
    <col min="15887" max="15887" width="6.85546875" customWidth="1"/>
    <col min="15888" max="15888" width="26.7109375" customWidth="1"/>
    <col min="16129" max="16129" width="10.85546875" customWidth="1"/>
    <col min="16130" max="16130" width="28" customWidth="1"/>
    <col min="16131" max="16131" width="8" customWidth="1"/>
    <col min="16132" max="16137" width="8.7109375" customWidth="1"/>
    <col min="16138" max="16140" width="8.28515625" customWidth="1"/>
    <col min="16141" max="16142" width="7.42578125" customWidth="1"/>
    <col min="16143" max="16143" width="6.85546875" customWidth="1"/>
    <col min="16144" max="16144" width="26.7109375" customWidth="1"/>
  </cols>
  <sheetData>
    <row r="1" spans="1:17" x14ac:dyDescent="0.25">
      <c r="A1" s="1"/>
      <c r="B1" s="1"/>
      <c r="C1" s="1"/>
      <c r="D1" s="296"/>
      <c r="E1" s="296"/>
      <c r="F1" s="296"/>
      <c r="G1" s="296"/>
      <c r="H1" s="296"/>
      <c r="I1" s="296"/>
      <c r="J1" s="296"/>
      <c r="K1" s="296"/>
      <c r="L1" s="296"/>
      <c r="M1" s="1"/>
      <c r="N1" s="2"/>
      <c r="O1" s="3" t="s">
        <v>833</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726"/>
    </row>
    <row r="3" spans="1:17" ht="12.75" customHeight="1" x14ac:dyDescent="0.25">
      <c r="A3" s="5" t="s">
        <v>2</v>
      </c>
      <c r="B3" s="6"/>
      <c r="C3" s="1977" t="s">
        <v>1576</v>
      </c>
      <c r="D3" s="1977"/>
      <c r="E3" s="1977"/>
      <c r="F3" s="1977"/>
      <c r="G3" s="1977"/>
      <c r="H3" s="1977"/>
      <c r="I3" s="1977"/>
      <c r="J3" s="1977"/>
      <c r="K3" s="1977"/>
      <c r="L3" s="1977"/>
      <c r="M3" s="1977"/>
      <c r="N3" s="1977"/>
      <c r="O3" s="1977"/>
      <c r="P3" s="1978"/>
      <c r="Q3" s="726"/>
    </row>
    <row r="4" spans="1:17" ht="12.75" customHeight="1" x14ac:dyDescent="0.25">
      <c r="A4" s="5" t="s">
        <v>4</v>
      </c>
      <c r="B4" s="6"/>
      <c r="C4" s="1977" t="s">
        <v>834</v>
      </c>
      <c r="D4" s="1977"/>
      <c r="E4" s="1977"/>
      <c r="F4" s="1977"/>
      <c r="G4" s="1977"/>
      <c r="H4" s="1977"/>
      <c r="I4" s="1977"/>
      <c r="J4" s="1977"/>
      <c r="K4" s="1977"/>
      <c r="L4" s="1977"/>
      <c r="M4" s="1977"/>
      <c r="N4" s="1977"/>
      <c r="O4" s="1977"/>
      <c r="P4" s="1978"/>
      <c r="Q4" s="726"/>
    </row>
    <row r="5" spans="1:17" ht="12.75" customHeight="1" x14ac:dyDescent="0.25">
      <c r="A5" s="7" t="s">
        <v>6</v>
      </c>
      <c r="B5" s="8"/>
      <c r="C5" s="1972" t="s">
        <v>835</v>
      </c>
      <c r="D5" s="1972"/>
      <c r="E5" s="1972"/>
      <c r="F5" s="1972"/>
      <c r="G5" s="1972"/>
      <c r="H5" s="1972"/>
      <c r="I5" s="1972"/>
      <c r="J5" s="1972"/>
      <c r="K5" s="1972"/>
      <c r="L5" s="1972"/>
      <c r="M5" s="1972"/>
      <c r="N5" s="1972"/>
      <c r="O5" s="1972"/>
      <c r="P5" s="1973"/>
      <c r="Q5" s="726"/>
    </row>
    <row r="6" spans="1:17" ht="12.75" customHeight="1" x14ac:dyDescent="0.25">
      <c r="A6" s="7" t="s">
        <v>8</v>
      </c>
      <c r="B6" s="8"/>
      <c r="C6" s="1972" t="s">
        <v>836</v>
      </c>
      <c r="D6" s="1972"/>
      <c r="E6" s="1972"/>
      <c r="F6" s="1972"/>
      <c r="G6" s="1972"/>
      <c r="H6" s="1972"/>
      <c r="I6" s="1972"/>
      <c r="J6" s="1972"/>
      <c r="K6" s="1972"/>
      <c r="L6" s="1972"/>
      <c r="M6" s="1972"/>
      <c r="N6" s="1972"/>
      <c r="O6" s="1972"/>
      <c r="P6" s="1973"/>
      <c r="Q6" s="726"/>
    </row>
    <row r="7" spans="1:17" ht="26.25" customHeight="1" x14ac:dyDescent="0.25">
      <c r="A7" s="7" t="s">
        <v>10</v>
      </c>
      <c r="B7" s="8"/>
      <c r="C7" s="1977" t="s">
        <v>848</v>
      </c>
      <c r="D7" s="1977"/>
      <c r="E7" s="1977"/>
      <c r="F7" s="1977"/>
      <c r="G7" s="1977"/>
      <c r="H7" s="1977"/>
      <c r="I7" s="1977"/>
      <c r="J7" s="1977"/>
      <c r="K7" s="1977"/>
      <c r="L7" s="1977"/>
      <c r="M7" s="1977"/>
      <c r="N7" s="1977"/>
      <c r="O7" s="1977"/>
      <c r="P7" s="1978"/>
      <c r="Q7" s="726"/>
    </row>
    <row r="8" spans="1:17" ht="12.75" customHeight="1" x14ac:dyDescent="0.25">
      <c r="A8" s="9" t="s">
        <v>12</v>
      </c>
      <c r="B8" s="8"/>
      <c r="C8" s="1979"/>
      <c r="D8" s="1979"/>
      <c r="E8" s="1979"/>
      <c r="F8" s="1979"/>
      <c r="G8" s="1979"/>
      <c r="H8" s="1979"/>
      <c r="I8" s="1979"/>
      <c r="J8" s="1979"/>
      <c r="K8" s="1979"/>
      <c r="L8" s="1979"/>
      <c r="M8" s="1979"/>
      <c r="N8" s="1979"/>
      <c r="O8" s="1979"/>
      <c r="P8" s="1980"/>
      <c r="Q8" s="726"/>
    </row>
    <row r="9" spans="1:17" ht="12.75" customHeight="1" x14ac:dyDescent="0.25">
      <c r="A9" s="7"/>
      <c r="B9" s="8" t="s">
        <v>13</v>
      </c>
      <c r="C9" s="1972" t="s">
        <v>837</v>
      </c>
      <c r="D9" s="1972"/>
      <c r="E9" s="1972"/>
      <c r="F9" s="1972"/>
      <c r="G9" s="1972"/>
      <c r="H9" s="1972"/>
      <c r="I9" s="1972"/>
      <c r="J9" s="1972"/>
      <c r="K9" s="1972"/>
      <c r="L9" s="1972"/>
      <c r="M9" s="1972"/>
      <c r="N9" s="1972"/>
      <c r="O9" s="1972"/>
      <c r="P9" s="1973"/>
      <c r="Q9" s="726"/>
    </row>
    <row r="10" spans="1:17" ht="12.75" customHeight="1" x14ac:dyDescent="0.25">
      <c r="A10" s="7"/>
      <c r="B10" s="8" t="s">
        <v>15</v>
      </c>
      <c r="C10" s="1972" t="s">
        <v>838</v>
      </c>
      <c r="D10" s="1972"/>
      <c r="E10" s="1972"/>
      <c r="F10" s="1972"/>
      <c r="G10" s="1972"/>
      <c r="H10" s="1972"/>
      <c r="I10" s="1972"/>
      <c r="J10" s="1972"/>
      <c r="K10" s="1972"/>
      <c r="L10" s="1972"/>
      <c r="M10" s="1972"/>
      <c r="N10" s="1972"/>
      <c r="O10" s="1972"/>
      <c r="P10" s="1973"/>
      <c r="Q10" s="72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726"/>
    </row>
    <row r="12" spans="1:17" ht="12.75" customHeight="1" x14ac:dyDescent="0.25">
      <c r="A12" s="7"/>
      <c r="B12" s="8" t="s">
        <v>17</v>
      </c>
      <c r="C12" s="1979" t="s">
        <v>839</v>
      </c>
      <c r="D12" s="1979"/>
      <c r="E12" s="1979"/>
      <c r="F12" s="1979"/>
      <c r="G12" s="1979"/>
      <c r="H12" s="1979"/>
      <c r="I12" s="1979"/>
      <c r="J12" s="1979"/>
      <c r="K12" s="1979"/>
      <c r="L12" s="1979"/>
      <c r="M12" s="1979"/>
      <c r="N12" s="1979"/>
      <c r="O12" s="1979"/>
      <c r="P12" s="1980"/>
      <c r="Q12" s="72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726"/>
    </row>
    <row r="14" spans="1:17" ht="12.75" customHeight="1" x14ac:dyDescent="0.25">
      <c r="A14" s="10"/>
      <c r="B14" s="11"/>
      <c r="C14" s="1952"/>
      <c r="D14" s="1952"/>
      <c r="E14" s="1952"/>
      <c r="F14" s="1952"/>
      <c r="G14" s="1952"/>
      <c r="H14" s="1952"/>
      <c r="I14" s="1952"/>
      <c r="J14" s="1952"/>
      <c r="K14" s="1952"/>
      <c r="L14" s="1952"/>
      <c r="M14" s="1952"/>
      <c r="N14" s="1952"/>
      <c r="O14" s="1952"/>
      <c r="P14" s="1953"/>
      <c r="Q14" s="72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2010" t="s">
        <v>24</v>
      </c>
      <c r="E16" s="2012" t="s">
        <v>25</v>
      </c>
      <c r="F16" s="2014" t="s">
        <v>26</v>
      </c>
      <c r="G16" s="2008" t="s">
        <v>27</v>
      </c>
      <c r="H16" s="2009" t="s">
        <v>28</v>
      </c>
      <c r="I16" s="2007" t="s">
        <v>29</v>
      </c>
      <c r="J16" s="2008" t="s">
        <v>30</v>
      </c>
      <c r="K16" s="2009" t="s">
        <v>31</v>
      </c>
      <c r="L16" s="2007" t="s">
        <v>32</v>
      </c>
      <c r="M16" s="1950" t="s">
        <v>33</v>
      </c>
      <c r="N16" s="1951" t="s">
        <v>34</v>
      </c>
      <c r="O16" s="1949" t="s">
        <v>35</v>
      </c>
      <c r="P16" s="1970" t="s">
        <v>36</v>
      </c>
    </row>
    <row r="17" spans="1:16" s="13" customFormat="1" ht="70.5" customHeight="1" thickBot="1" x14ac:dyDescent="0.3">
      <c r="A17" s="1956"/>
      <c r="B17" s="1958"/>
      <c r="C17" s="1963"/>
      <c r="D17" s="2011"/>
      <c r="E17" s="2013"/>
      <c r="F17" s="2015"/>
      <c r="G17" s="2008"/>
      <c r="H17" s="2009"/>
      <c r="I17" s="2007"/>
      <c r="J17" s="2008"/>
      <c r="K17" s="2009"/>
      <c r="L17" s="2007"/>
      <c r="M17" s="1950"/>
      <c r="N17" s="1951"/>
      <c r="O17" s="1949"/>
      <c r="P17" s="1971"/>
    </row>
    <row r="18" spans="1:16" s="13" customFormat="1" ht="9.75" customHeight="1" thickTop="1" x14ac:dyDescent="0.25">
      <c r="A18" s="14" t="s">
        <v>37</v>
      </c>
      <c r="B18" s="14">
        <v>2</v>
      </c>
      <c r="C18" s="15">
        <v>3</v>
      </c>
      <c r="D18" s="617">
        <v>4</v>
      </c>
      <c r="E18" s="618">
        <v>5</v>
      </c>
      <c r="F18" s="619">
        <v>6</v>
      </c>
      <c r="G18" s="617">
        <v>7</v>
      </c>
      <c r="H18" s="298">
        <v>8</v>
      </c>
      <c r="I18" s="620">
        <v>9</v>
      </c>
      <c r="J18" s="298">
        <v>10</v>
      </c>
      <c r="K18" s="618">
        <v>11</v>
      </c>
      <c r="L18" s="621">
        <v>12</v>
      </c>
      <c r="M18" s="15">
        <v>13</v>
      </c>
      <c r="N18" s="17">
        <v>14</v>
      </c>
      <c r="O18" s="20">
        <v>15</v>
      </c>
      <c r="P18" s="20">
        <v>16</v>
      </c>
    </row>
    <row r="19" spans="1:16" s="28" customFormat="1" ht="12" hidden="1" customHeight="1" x14ac:dyDescent="0.25">
      <c r="A19" s="22"/>
      <c r="B19" s="23" t="s">
        <v>38</v>
      </c>
      <c r="C19" s="24"/>
      <c r="D19" s="299"/>
      <c r="E19" s="622"/>
      <c r="F19" s="623"/>
      <c r="G19" s="299"/>
      <c r="H19" s="622"/>
      <c r="I19" s="623"/>
      <c r="J19" s="299"/>
      <c r="K19" s="622"/>
      <c r="L19" s="623"/>
      <c r="M19" s="25"/>
      <c r="N19" s="26"/>
      <c r="O19" s="27"/>
      <c r="P19" s="27"/>
    </row>
    <row r="20" spans="1:16" s="28" customFormat="1" ht="12.75" thickBot="1" x14ac:dyDescent="0.3">
      <c r="A20" s="29"/>
      <c r="B20" s="30" t="s">
        <v>39</v>
      </c>
      <c r="C20" s="31">
        <f t="shared" ref="C20:C83" si="0">F20+I20+L20+O20</f>
        <v>577606</v>
      </c>
      <c r="D20" s="300">
        <f>SUM(D21,D24,D25,D41,D43)</f>
        <v>322431</v>
      </c>
      <c r="E20" s="624">
        <f>SUM(E21,E24,E25,E41,E43)</f>
        <v>0</v>
      </c>
      <c r="F20" s="625">
        <f>SUM(F21,F24,F25,F41,F43)</f>
        <v>322431</v>
      </c>
      <c r="G20" s="300">
        <f>SUM(G21,G24,G43)</f>
        <v>187236</v>
      </c>
      <c r="H20" s="624">
        <f>SUM(H21,H24,H43)</f>
        <v>0</v>
      </c>
      <c r="I20" s="625">
        <f>SUM(I21,I24,I43)</f>
        <v>187236</v>
      </c>
      <c r="J20" s="300">
        <f>SUM(J21,J26,J43)</f>
        <v>67491</v>
      </c>
      <c r="K20" s="624">
        <f>SUM(K21,K26,K43)</f>
        <v>448</v>
      </c>
      <c r="L20" s="625">
        <f>SUM(L21,L26,L43)</f>
        <v>67939</v>
      </c>
      <c r="M20" s="32">
        <f>SUM(M21,M45)</f>
        <v>0</v>
      </c>
      <c r="N20" s="33">
        <f>SUM(N21,N45)</f>
        <v>0</v>
      </c>
      <c r="O20" s="34">
        <f>SUM(O21,O45)</f>
        <v>0</v>
      </c>
      <c r="P20" s="35"/>
    </row>
    <row r="21" spans="1:16" ht="15.75" thickTop="1" x14ac:dyDescent="0.25">
      <c r="A21" s="36"/>
      <c r="B21" s="37" t="s">
        <v>40</v>
      </c>
      <c r="C21" s="38">
        <f t="shared" si="0"/>
        <v>243</v>
      </c>
      <c r="D21" s="301">
        <f t="shared" ref="D21:O21" si="1">SUM(D22:D23)</f>
        <v>0</v>
      </c>
      <c r="E21" s="626">
        <f t="shared" si="1"/>
        <v>0</v>
      </c>
      <c r="F21" s="627">
        <f t="shared" si="1"/>
        <v>0</v>
      </c>
      <c r="G21" s="301">
        <f t="shared" si="1"/>
        <v>0</v>
      </c>
      <c r="H21" s="626">
        <f t="shared" si="1"/>
        <v>0</v>
      </c>
      <c r="I21" s="627">
        <f t="shared" si="1"/>
        <v>0</v>
      </c>
      <c r="J21" s="301">
        <f t="shared" si="1"/>
        <v>243</v>
      </c>
      <c r="K21" s="626">
        <f t="shared" si="1"/>
        <v>0</v>
      </c>
      <c r="L21" s="627">
        <f t="shared" si="1"/>
        <v>243</v>
      </c>
      <c r="M21" s="39">
        <f t="shared" si="1"/>
        <v>0</v>
      </c>
      <c r="N21" s="40">
        <f t="shared" si="1"/>
        <v>0</v>
      </c>
      <c r="O21" s="41">
        <f t="shared" si="1"/>
        <v>0</v>
      </c>
      <c r="P21" s="42"/>
    </row>
    <row r="22" spans="1:16" ht="12" hidden="1" customHeight="1" x14ac:dyDescent="0.25">
      <c r="A22" s="43"/>
      <c r="B22" s="44" t="s">
        <v>41</v>
      </c>
      <c r="C22" s="45">
        <f t="shared" si="0"/>
        <v>0</v>
      </c>
      <c r="D22" s="302"/>
      <c r="E22" s="628"/>
      <c r="F22" s="629">
        <f>D22+E22</f>
        <v>0</v>
      </c>
      <c r="G22" s="302"/>
      <c r="H22" s="628"/>
      <c r="I22" s="629">
        <f>G22+H22</f>
        <v>0</v>
      </c>
      <c r="J22" s="302"/>
      <c r="K22" s="628"/>
      <c r="L22" s="629">
        <f>K22+J22</f>
        <v>0</v>
      </c>
      <c r="M22" s="46"/>
      <c r="N22" s="47"/>
      <c r="O22" s="48">
        <f>N22+M22</f>
        <v>0</v>
      </c>
      <c r="P22" s="49"/>
    </row>
    <row r="23" spans="1:16" ht="17.25" customHeight="1" x14ac:dyDescent="0.25">
      <c r="A23" s="50"/>
      <c r="B23" s="51" t="s">
        <v>42</v>
      </c>
      <c r="C23" s="52">
        <f>F23+I23+L23+O23</f>
        <v>243</v>
      </c>
      <c r="D23" s="303"/>
      <c r="E23" s="542"/>
      <c r="F23" s="543">
        <f>D23+E23</f>
        <v>0</v>
      </c>
      <c r="G23" s="303"/>
      <c r="H23" s="630"/>
      <c r="I23" s="543">
        <f>G23+H23</f>
        <v>0</v>
      </c>
      <c r="J23" s="303">
        <v>243</v>
      </c>
      <c r="K23" s="286">
        <f>448-448</f>
        <v>0</v>
      </c>
      <c r="L23" s="631">
        <f>K23+J23</f>
        <v>243</v>
      </c>
      <c r="M23" s="53"/>
      <c r="N23" s="54"/>
      <c r="O23" s="55">
        <f>N23+M23</f>
        <v>0</v>
      </c>
      <c r="P23" s="57" t="s">
        <v>840</v>
      </c>
    </row>
    <row r="24" spans="1:16" s="28" customFormat="1" ht="29.25" customHeight="1" thickBot="1" x14ac:dyDescent="0.3">
      <c r="A24" s="58">
        <v>19300</v>
      </c>
      <c r="B24" s="58" t="s">
        <v>43</v>
      </c>
      <c r="C24" s="59">
        <f>F24+I24</f>
        <v>509667</v>
      </c>
      <c r="D24" s="632">
        <v>322431</v>
      </c>
      <c r="E24" s="633"/>
      <c r="F24" s="634">
        <f>D24+E24</f>
        <v>322431</v>
      </c>
      <c r="G24" s="632">
        <v>187236</v>
      </c>
      <c r="H24" s="633"/>
      <c r="I24" s="634">
        <f>G24+H24</f>
        <v>187236</v>
      </c>
      <c r="J24" s="304" t="s">
        <v>44</v>
      </c>
      <c r="K24" s="635" t="s">
        <v>44</v>
      </c>
      <c r="L24" s="636" t="s">
        <v>44</v>
      </c>
      <c r="M24" s="63" t="s">
        <v>44</v>
      </c>
      <c r="N24" s="64" t="s">
        <v>44</v>
      </c>
      <c r="O24" s="65" t="s">
        <v>44</v>
      </c>
      <c r="P24" s="66"/>
    </row>
    <row r="25" spans="1:16" s="28" customFormat="1" ht="24.75" hidden="1" customHeight="1" thickTop="1" x14ac:dyDescent="0.25">
      <c r="A25" s="68"/>
      <c r="B25" s="68" t="s">
        <v>45</v>
      </c>
      <c r="C25" s="69">
        <f>F25</f>
        <v>0</v>
      </c>
      <c r="D25" s="320"/>
      <c r="E25" s="637"/>
      <c r="F25" s="638">
        <f>D25+E25</f>
        <v>0</v>
      </c>
      <c r="G25" s="305" t="s">
        <v>44</v>
      </c>
      <c r="H25" s="639" t="s">
        <v>44</v>
      </c>
      <c r="I25" s="640" t="s">
        <v>44</v>
      </c>
      <c r="J25" s="305" t="s">
        <v>44</v>
      </c>
      <c r="K25" s="639" t="s">
        <v>44</v>
      </c>
      <c r="L25" s="640" t="s">
        <v>44</v>
      </c>
      <c r="M25" s="73" t="s">
        <v>44</v>
      </c>
      <c r="N25" s="74" t="s">
        <v>44</v>
      </c>
      <c r="O25" s="75" t="s">
        <v>44</v>
      </c>
      <c r="P25" s="76"/>
    </row>
    <row r="26" spans="1:16" s="28" customFormat="1" ht="38.25" customHeight="1" thickTop="1" x14ac:dyDescent="0.25">
      <c r="A26" s="68">
        <v>21300</v>
      </c>
      <c r="B26" s="68" t="s">
        <v>46</v>
      </c>
      <c r="C26" s="69">
        <f t="shared" ref="C26:C40" si="2">L26</f>
        <v>67656</v>
      </c>
      <c r="D26" s="305" t="s">
        <v>44</v>
      </c>
      <c r="E26" s="639" t="s">
        <v>44</v>
      </c>
      <c r="F26" s="640" t="s">
        <v>44</v>
      </c>
      <c r="G26" s="305" t="s">
        <v>44</v>
      </c>
      <c r="H26" s="639" t="s">
        <v>44</v>
      </c>
      <c r="I26" s="640" t="s">
        <v>44</v>
      </c>
      <c r="J26" s="306">
        <f>SUM(J27,J31,J33,J36)</f>
        <v>67208</v>
      </c>
      <c r="K26" s="641">
        <f>SUM(K27,K31,K33,K36)</f>
        <v>448</v>
      </c>
      <c r="L26" s="642">
        <f>SUM(L27,L31,L33,L36)</f>
        <v>67656</v>
      </c>
      <c r="M26" s="77" t="s">
        <v>44</v>
      </c>
      <c r="N26" s="78" t="s">
        <v>44</v>
      </c>
      <c r="O26" s="79" t="s">
        <v>44</v>
      </c>
      <c r="P26" s="76"/>
    </row>
    <row r="27" spans="1:16" s="28" customFormat="1" ht="28.5" customHeight="1" x14ac:dyDescent="0.25">
      <c r="A27" s="80">
        <v>21350</v>
      </c>
      <c r="B27" s="68" t="s">
        <v>47</v>
      </c>
      <c r="C27" s="69">
        <f t="shared" si="2"/>
        <v>64626</v>
      </c>
      <c r="D27" s="305" t="s">
        <v>44</v>
      </c>
      <c r="E27" s="639" t="s">
        <v>44</v>
      </c>
      <c r="F27" s="640" t="s">
        <v>44</v>
      </c>
      <c r="G27" s="305" t="s">
        <v>44</v>
      </c>
      <c r="H27" s="639" t="s">
        <v>44</v>
      </c>
      <c r="I27" s="640" t="s">
        <v>44</v>
      </c>
      <c r="J27" s="306">
        <f>SUM(J28:J30)</f>
        <v>64626</v>
      </c>
      <c r="K27" s="641">
        <f>SUM(K28:K30)</f>
        <v>0</v>
      </c>
      <c r="L27" s="642">
        <f>SUM(L28:L30)</f>
        <v>64626</v>
      </c>
      <c r="M27" s="77" t="s">
        <v>44</v>
      </c>
      <c r="N27" s="78" t="s">
        <v>44</v>
      </c>
      <c r="O27" s="79" t="s">
        <v>44</v>
      </c>
      <c r="P27" s="76"/>
    </row>
    <row r="28" spans="1:16" ht="12" customHeight="1" x14ac:dyDescent="0.25">
      <c r="A28" s="43">
        <v>21351</v>
      </c>
      <c r="B28" s="81" t="s">
        <v>48</v>
      </c>
      <c r="C28" s="82">
        <f t="shared" si="2"/>
        <v>13515</v>
      </c>
      <c r="D28" s="643" t="s">
        <v>44</v>
      </c>
      <c r="E28" s="644" t="s">
        <v>44</v>
      </c>
      <c r="F28" s="645" t="s">
        <v>44</v>
      </c>
      <c r="G28" s="643" t="s">
        <v>44</v>
      </c>
      <c r="H28" s="644" t="s">
        <v>44</v>
      </c>
      <c r="I28" s="645" t="s">
        <v>44</v>
      </c>
      <c r="J28" s="302">
        <v>13515</v>
      </c>
      <c r="K28" s="628"/>
      <c r="L28" s="629">
        <f>K28+J28</f>
        <v>13515</v>
      </c>
      <c r="M28" s="86" t="s">
        <v>44</v>
      </c>
      <c r="N28" s="87" t="s">
        <v>44</v>
      </c>
      <c r="O28" s="48" t="s">
        <v>44</v>
      </c>
      <c r="P28" s="49"/>
    </row>
    <row r="29" spans="1:16" ht="12" hidden="1" customHeight="1" x14ac:dyDescent="0.25">
      <c r="A29" s="50">
        <v>21352</v>
      </c>
      <c r="B29" s="88" t="s">
        <v>49</v>
      </c>
      <c r="C29" s="89">
        <f t="shared" si="2"/>
        <v>0</v>
      </c>
      <c r="D29" s="646" t="s">
        <v>44</v>
      </c>
      <c r="E29" s="647" t="s">
        <v>44</v>
      </c>
      <c r="F29" s="648" t="s">
        <v>44</v>
      </c>
      <c r="G29" s="646" t="s">
        <v>44</v>
      </c>
      <c r="H29" s="647" t="s">
        <v>44</v>
      </c>
      <c r="I29" s="648" t="s">
        <v>44</v>
      </c>
      <c r="J29" s="303"/>
      <c r="K29" s="542"/>
      <c r="L29" s="631">
        <f>K29+J29</f>
        <v>0</v>
      </c>
      <c r="M29" s="93" t="s">
        <v>44</v>
      </c>
      <c r="N29" s="94" t="s">
        <v>44</v>
      </c>
      <c r="O29" s="56" t="s">
        <v>44</v>
      </c>
      <c r="P29" s="57"/>
    </row>
    <row r="30" spans="1:16" ht="24" customHeight="1" x14ac:dyDescent="0.25">
      <c r="A30" s="50">
        <v>21359</v>
      </c>
      <c r="B30" s="88" t="s">
        <v>50</v>
      </c>
      <c r="C30" s="89">
        <f t="shared" si="2"/>
        <v>51111</v>
      </c>
      <c r="D30" s="646" t="s">
        <v>44</v>
      </c>
      <c r="E30" s="647" t="s">
        <v>44</v>
      </c>
      <c r="F30" s="648" t="s">
        <v>44</v>
      </c>
      <c r="G30" s="646" t="s">
        <v>44</v>
      </c>
      <c r="H30" s="647" t="s">
        <v>44</v>
      </c>
      <c r="I30" s="648" t="s">
        <v>44</v>
      </c>
      <c r="J30" s="303">
        <v>51111</v>
      </c>
      <c r="K30" s="542"/>
      <c r="L30" s="631">
        <f>K30+J30</f>
        <v>51111</v>
      </c>
      <c r="M30" s="93" t="s">
        <v>44</v>
      </c>
      <c r="N30" s="94" t="s">
        <v>44</v>
      </c>
      <c r="O30" s="56" t="s">
        <v>44</v>
      </c>
      <c r="P30" s="57"/>
    </row>
    <row r="31" spans="1:16" s="28" customFormat="1" ht="36" hidden="1" customHeight="1" x14ac:dyDescent="0.25">
      <c r="A31" s="80">
        <v>21370</v>
      </c>
      <c r="B31" s="68" t="s">
        <v>51</v>
      </c>
      <c r="C31" s="69">
        <f t="shared" si="2"/>
        <v>0</v>
      </c>
      <c r="D31" s="305" t="s">
        <v>44</v>
      </c>
      <c r="E31" s="639" t="s">
        <v>44</v>
      </c>
      <c r="F31" s="640" t="s">
        <v>44</v>
      </c>
      <c r="G31" s="305" t="s">
        <v>44</v>
      </c>
      <c r="H31" s="639" t="s">
        <v>44</v>
      </c>
      <c r="I31" s="640" t="s">
        <v>44</v>
      </c>
      <c r="J31" s="306">
        <f>SUM(J32)</f>
        <v>0</v>
      </c>
      <c r="K31" s="641">
        <f>SUM(K32)</f>
        <v>0</v>
      </c>
      <c r="L31" s="642">
        <f>SUM(L32)</f>
        <v>0</v>
      </c>
      <c r="M31" s="77" t="s">
        <v>44</v>
      </c>
      <c r="N31" s="78" t="s">
        <v>44</v>
      </c>
      <c r="O31" s="79" t="s">
        <v>44</v>
      </c>
      <c r="P31" s="76"/>
    </row>
    <row r="32" spans="1:16" ht="36" hidden="1" customHeight="1" x14ac:dyDescent="0.25">
      <c r="A32" s="95">
        <v>21379</v>
      </c>
      <c r="B32" s="96" t="s">
        <v>52</v>
      </c>
      <c r="C32" s="97">
        <f t="shared" si="2"/>
        <v>0</v>
      </c>
      <c r="D32" s="649" t="s">
        <v>44</v>
      </c>
      <c r="E32" s="650" t="s">
        <v>44</v>
      </c>
      <c r="F32" s="651" t="s">
        <v>44</v>
      </c>
      <c r="G32" s="649" t="s">
        <v>44</v>
      </c>
      <c r="H32" s="650" t="s">
        <v>44</v>
      </c>
      <c r="I32" s="651" t="s">
        <v>44</v>
      </c>
      <c r="J32" s="307"/>
      <c r="K32" s="652"/>
      <c r="L32" s="653">
        <f>K32+J32</f>
        <v>0</v>
      </c>
      <c r="M32" s="104" t="s">
        <v>44</v>
      </c>
      <c r="N32" s="105" t="s">
        <v>44</v>
      </c>
      <c r="O32" s="103" t="s">
        <v>44</v>
      </c>
      <c r="P32" s="106"/>
    </row>
    <row r="33" spans="1:16" s="28" customFormat="1" ht="15" customHeight="1" x14ac:dyDescent="0.25">
      <c r="A33" s="80">
        <v>21380</v>
      </c>
      <c r="B33" s="68" t="s">
        <v>53</v>
      </c>
      <c r="C33" s="69">
        <f t="shared" si="2"/>
        <v>1282</v>
      </c>
      <c r="D33" s="305" t="s">
        <v>44</v>
      </c>
      <c r="E33" s="639" t="s">
        <v>44</v>
      </c>
      <c r="F33" s="640" t="s">
        <v>44</v>
      </c>
      <c r="G33" s="305" t="s">
        <v>44</v>
      </c>
      <c r="H33" s="639" t="s">
        <v>44</v>
      </c>
      <c r="I33" s="640" t="s">
        <v>44</v>
      </c>
      <c r="J33" s="306">
        <f>SUM(J34:J35)</f>
        <v>1282</v>
      </c>
      <c r="K33" s="641">
        <f>SUM(K34:K35)</f>
        <v>0</v>
      </c>
      <c r="L33" s="642">
        <f>SUM(L34:L35)</f>
        <v>1282</v>
      </c>
      <c r="M33" s="77" t="s">
        <v>44</v>
      </c>
      <c r="N33" s="78" t="s">
        <v>44</v>
      </c>
      <c r="O33" s="79" t="s">
        <v>44</v>
      </c>
      <c r="P33" s="76"/>
    </row>
    <row r="34" spans="1:16" ht="15.75" customHeight="1" x14ac:dyDescent="0.25">
      <c r="A34" s="44">
        <v>21381</v>
      </c>
      <c r="B34" s="81" t="s">
        <v>54</v>
      </c>
      <c r="C34" s="82">
        <f t="shared" si="2"/>
        <v>1282</v>
      </c>
      <c r="D34" s="643" t="s">
        <v>44</v>
      </c>
      <c r="E34" s="644" t="s">
        <v>44</v>
      </c>
      <c r="F34" s="645" t="s">
        <v>44</v>
      </c>
      <c r="G34" s="643" t="s">
        <v>44</v>
      </c>
      <c r="H34" s="644" t="s">
        <v>44</v>
      </c>
      <c r="I34" s="645" t="s">
        <v>44</v>
      </c>
      <c r="J34" s="302">
        <v>1282</v>
      </c>
      <c r="K34" s="628"/>
      <c r="L34" s="629">
        <f>K34+J34</f>
        <v>1282</v>
      </c>
      <c r="M34" s="86" t="s">
        <v>44</v>
      </c>
      <c r="N34" s="87" t="s">
        <v>44</v>
      </c>
      <c r="O34" s="48" t="s">
        <v>44</v>
      </c>
      <c r="P34" s="49"/>
    </row>
    <row r="35" spans="1:16" ht="24" hidden="1" customHeight="1" x14ac:dyDescent="0.25">
      <c r="A35" s="209">
        <v>21383</v>
      </c>
      <c r="B35" s="226" t="s">
        <v>55</v>
      </c>
      <c r="C35" s="208">
        <f t="shared" si="2"/>
        <v>0</v>
      </c>
      <c r="D35" s="1152" t="s">
        <v>44</v>
      </c>
      <c r="E35" s="1153" t="s">
        <v>44</v>
      </c>
      <c r="F35" s="1154" t="s">
        <v>44</v>
      </c>
      <c r="G35" s="1152" t="s">
        <v>44</v>
      </c>
      <c r="H35" s="1153" t="s">
        <v>44</v>
      </c>
      <c r="I35" s="1154" t="s">
        <v>44</v>
      </c>
      <c r="J35" s="321"/>
      <c r="K35" s="697"/>
      <c r="L35" s="1155">
        <f>K35+J35</f>
        <v>0</v>
      </c>
      <c r="M35" s="1156" t="s">
        <v>44</v>
      </c>
      <c r="N35" s="1157" t="s">
        <v>44</v>
      </c>
      <c r="O35" s="1158" t="s">
        <v>44</v>
      </c>
      <c r="P35" s="215"/>
    </row>
    <row r="36" spans="1:16" s="28" customFormat="1" ht="27.75" customHeight="1" x14ac:dyDescent="0.25">
      <c r="A36" s="1151">
        <v>21390</v>
      </c>
      <c r="B36" s="216" t="s">
        <v>56</v>
      </c>
      <c r="C36" s="217">
        <f t="shared" si="2"/>
        <v>1748</v>
      </c>
      <c r="D36" s="1159" t="s">
        <v>44</v>
      </c>
      <c r="E36" s="1160" t="s">
        <v>44</v>
      </c>
      <c r="F36" s="1161" t="s">
        <v>44</v>
      </c>
      <c r="G36" s="1159" t="s">
        <v>44</v>
      </c>
      <c r="H36" s="1160" t="s">
        <v>44</v>
      </c>
      <c r="I36" s="1161" t="s">
        <v>44</v>
      </c>
      <c r="J36" s="1162">
        <f>SUM(J37:J40)</f>
        <v>1300</v>
      </c>
      <c r="K36" s="1163">
        <f>SUM(K37:K40)</f>
        <v>448</v>
      </c>
      <c r="L36" s="1164">
        <f>SUM(L37:L40)</f>
        <v>1748</v>
      </c>
      <c r="M36" s="1148" t="s">
        <v>44</v>
      </c>
      <c r="N36" s="1149" t="s">
        <v>44</v>
      </c>
      <c r="O36" s="1147" t="s">
        <v>44</v>
      </c>
      <c r="P36" s="221"/>
    </row>
    <row r="37" spans="1:16" ht="24" hidden="1" customHeight="1" x14ac:dyDescent="0.25">
      <c r="A37" s="44">
        <v>21391</v>
      </c>
      <c r="B37" s="81" t="s">
        <v>57</v>
      </c>
      <c r="C37" s="82">
        <f t="shared" si="2"/>
        <v>0</v>
      </c>
      <c r="D37" s="643" t="s">
        <v>44</v>
      </c>
      <c r="E37" s="644" t="s">
        <v>44</v>
      </c>
      <c r="F37" s="645" t="s">
        <v>44</v>
      </c>
      <c r="G37" s="643" t="s">
        <v>44</v>
      </c>
      <c r="H37" s="644" t="s">
        <v>44</v>
      </c>
      <c r="I37" s="645" t="s">
        <v>44</v>
      </c>
      <c r="J37" s="302"/>
      <c r="K37" s="628"/>
      <c r="L37" s="629">
        <f>K37+J37</f>
        <v>0</v>
      </c>
      <c r="M37" s="86" t="s">
        <v>44</v>
      </c>
      <c r="N37" s="87" t="s">
        <v>44</v>
      </c>
      <c r="O37" s="48" t="s">
        <v>44</v>
      </c>
      <c r="P37" s="49"/>
    </row>
    <row r="38" spans="1:16" ht="12" hidden="1" customHeight="1" x14ac:dyDescent="0.25">
      <c r="A38" s="51">
        <v>21393</v>
      </c>
      <c r="B38" s="88" t="s">
        <v>58</v>
      </c>
      <c r="C38" s="89">
        <f t="shared" si="2"/>
        <v>0</v>
      </c>
      <c r="D38" s="646" t="s">
        <v>44</v>
      </c>
      <c r="E38" s="647" t="s">
        <v>44</v>
      </c>
      <c r="F38" s="648" t="s">
        <v>44</v>
      </c>
      <c r="G38" s="646" t="s">
        <v>44</v>
      </c>
      <c r="H38" s="647" t="s">
        <v>44</v>
      </c>
      <c r="I38" s="648" t="s">
        <v>44</v>
      </c>
      <c r="J38" s="303"/>
      <c r="K38" s="542"/>
      <c r="L38" s="631">
        <f>K38+J38</f>
        <v>0</v>
      </c>
      <c r="M38" s="93" t="s">
        <v>44</v>
      </c>
      <c r="N38" s="94" t="s">
        <v>44</v>
      </c>
      <c r="O38" s="56" t="s">
        <v>44</v>
      </c>
      <c r="P38" s="57"/>
    </row>
    <row r="39" spans="1:16" ht="12" hidden="1" customHeight="1" x14ac:dyDescent="0.25">
      <c r="A39" s="51">
        <v>21395</v>
      </c>
      <c r="B39" s="88" t="s">
        <v>59</v>
      </c>
      <c r="C39" s="89">
        <f t="shared" si="2"/>
        <v>0</v>
      </c>
      <c r="D39" s="646" t="s">
        <v>44</v>
      </c>
      <c r="E39" s="647" t="s">
        <v>44</v>
      </c>
      <c r="F39" s="648" t="s">
        <v>44</v>
      </c>
      <c r="G39" s="646" t="s">
        <v>44</v>
      </c>
      <c r="H39" s="647" t="s">
        <v>44</v>
      </c>
      <c r="I39" s="648" t="s">
        <v>44</v>
      </c>
      <c r="J39" s="303"/>
      <c r="K39" s="542"/>
      <c r="L39" s="631">
        <f>K39+J39</f>
        <v>0</v>
      </c>
      <c r="M39" s="93" t="s">
        <v>44</v>
      </c>
      <c r="N39" s="94" t="s">
        <v>44</v>
      </c>
      <c r="O39" s="56" t="s">
        <v>44</v>
      </c>
      <c r="P39" s="57"/>
    </row>
    <row r="40" spans="1:16" ht="27.75" customHeight="1" x14ac:dyDescent="0.25">
      <c r="A40" s="107">
        <v>21399</v>
      </c>
      <c r="B40" s="108" t="s">
        <v>60</v>
      </c>
      <c r="C40" s="109">
        <f t="shared" si="2"/>
        <v>1748</v>
      </c>
      <c r="D40" s="310" t="s">
        <v>44</v>
      </c>
      <c r="E40" s="654" t="s">
        <v>44</v>
      </c>
      <c r="F40" s="655" t="s">
        <v>44</v>
      </c>
      <c r="G40" s="310" t="s">
        <v>44</v>
      </c>
      <c r="H40" s="654" t="s">
        <v>44</v>
      </c>
      <c r="I40" s="655" t="s">
        <v>44</v>
      </c>
      <c r="J40" s="308">
        <v>1300</v>
      </c>
      <c r="K40" s="656">
        <v>448</v>
      </c>
      <c r="L40" s="657">
        <f>K40+J40</f>
        <v>1748</v>
      </c>
      <c r="M40" s="116" t="s">
        <v>44</v>
      </c>
      <c r="N40" s="117" t="s">
        <v>44</v>
      </c>
      <c r="O40" s="115" t="s">
        <v>44</v>
      </c>
      <c r="P40" s="118"/>
    </row>
    <row r="41" spans="1:16" s="28" customFormat="1" ht="26.25" hidden="1" customHeight="1" x14ac:dyDescent="0.25">
      <c r="A41" s="119">
        <v>21420</v>
      </c>
      <c r="B41" s="120" t="s">
        <v>61</v>
      </c>
      <c r="C41" s="121">
        <f>F41</f>
        <v>0</v>
      </c>
      <c r="D41" s="658">
        <f>SUM(D42)</f>
        <v>0</v>
      </c>
      <c r="E41" s="659">
        <f>SUM(E42)</f>
        <v>0</v>
      </c>
      <c r="F41" s="660">
        <f>SUM(F42)</f>
        <v>0</v>
      </c>
      <c r="G41" s="309" t="s">
        <v>44</v>
      </c>
      <c r="H41" s="661" t="s">
        <v>44</v>
      </c>
      <c r="I41" s="662" t="s">
        <v>44</v>
      </c>
      <c r="J41" s="309" t="s">
        <v>44</v>
      </c>
      <c r="K41" s="661" t="s">
        <v>44</v>
      </c>
      <c r="L41" s="662" t="s">
        <v>44</v>
      </c>
      <c r="M41" s="125" t="s">
        <v>44</v>
      </c>
      <c r="N41" s="126" t="s">
        <v>44</v>
      </c>
      <c r="O41" s="127" t="s">
        <v>44</v>
      </c>
      <c r="P41" s="128"/>
    </row>
    <row r="42" spans="1:16" s="28" customFormat="1" ht="26.25" hidden="1" customHeight="1" x14ac:dyDescent="0.25">
      <c r="A42" s="107">
        <v>21429</v>
      </c>
      <c r="B42" s="108" t="s">
        <v>62</v>
      </c>
      <c r="C42" s="129">
        <f>F42</f>
        <v>0</v>
      </c>
      <c r="D42" s="308"/>
      <c r="E42" s="656"/>
      <c r="F42" s="663">
        <f>D42+E42</f>
        <v>0</v>
      </c>
      <c r="G42" s="310" t="s">
        <v>44</v>
      </c>
      <c r="H42" s="654" t="s">
        <v>44</v>
      </c>
      <c r="I42" s="655" t="s">
        <v>44</v>
      </c>
      <c r="J42" s="310" t="s">
        <v>44</v>
      </c>
      <c r="K42" s="654" t="s">
        <v>44</v>
      </c>
      <c r="L42" s="655" t="s">
        <v>44</v>
      </c>
      <c r="M42" s="110" t="s">
        <v>44</v>
      </c>
      <c r="N42" s="111" t="s">
        <v>44</v>
      </c>
      <c r="O42" s="112" t="s">
        <v>44</v>
      </c>
      <c r="P42" s="118"/>
    </row>
    <row r="43" spans="1:16" s="28" customFormat="1" ht="24" x14ac:dyDescent="0.25">
      <c r="A43" s="80">
        <v>21490</v>
      </c>
      <c r="B43" s="68" t="s">
        <v>63</v>
      </c>
      <c r="C43" s="131">
        <f>F43+I43+L43</f>
        <v>40</v>
      </c>
      <c r="D43" s="306">
        <f>D44</f>
        <v>0</v>
      </c>
      <c r="E43" s="641">
        <f>E44</f>
        <v>0</v>
      </c>
      <c r="F43" s="642">
        <f>F44</f>
        <v>0</v>
      </c>
      <c r="G43" s="306">
        <f t="shared" ref="G43:L43" si="3">G44</f>
        <v>0</v>
      </c>
      <c r="H43" s="641">
        <f t="shared" si="3"/>
        <v>0</v>
      </c>
      <c r="I43" s="642">
        <f t="shared" si="3"/>
        <v>0</v>
      </c>
      <c r="J43" s="306">
        <f t="shared" si="3"/>
        <v>40</v>
      </c>
      <c r="K43" s="641">
        <f t="shared" si="3"/>
        <v>0</v>
      </c>
      <c r="L43" s="642">
        <f t="shared" si="3"/>
        <v>40</v>
      </c>
      <c r="M43" s="77" t="s">
        <v>44</v>
      </c>
      <c r="N43" s="78" t="s">
        <v>44</v>
      </c>
      <c r="O43" s="79" t="s">
        <v>44</v>
      </c>
      <c r="P43" s="76"/>
    </row>
    <row r="44" spans="1:16" s="28" customFormat="1" ht="24" customHeight="1" x14ac:dyDescent="0.25">
      <c r="A44" s="51">
        <v>21499</v>
      </c>
      <c r="B44" s="88" t="s">
        <v>64</v>
      </c>
      <c r="C44" s="132">
        <f>F44+I44+L44</f>
        <v>40</v>
      </c>
      <c r="D44" s="302"/>
      <c r="E44" s="628"/>
      <c r="F44" s="664">
        <f>D44+E44</f>
        <v>0</v>
      </c>
      <c r="G44" s="302"/>
      <c r="H44" s="628"/>
      <c r="I44" s="664">
        <f>G44+H44</f>
        <v>0</v>
      </c>
      <c r="J44" s="302">
        <v>40</v>
      </c>
      <c r="K44" s="628"/>
      <c r="L44" s="629">
        <f>K44+J44</f>
        <v>40</v>
      </c>
      <c r="M44" s="86" t="s">
        <v>44</v>
      </c>
      <c r="N44" s="87" t="s">
        <v>44</v>
      </c>
      <c r="O44" s="48" t="s">
        <v>44</v>
      </c>
      <c r="P44" s="49"/>
    </row>
    <row r="45" spans="1:16" ht="12.75" hidden="1" customHeight="1" x14ac:dyDescent="0.25">
      <c r="A45" s="134">
        <v>23000</v>
      </c>
      <c r="B45" s="135" t="s">
        <v>65</v>
      </c>
      <c r="C45" s="131">
        <f>O45</f>
        <v>0</v>
      </c>
      <c r="D45" s="310" t="s">
        <v>44</v>
      </c>
      <c r="E45" s="654" t="s">
        <v>44</v>
      </c>
      <c r="F45" s="655" t="s">
        <v>44</v>
      </c>
      <c r="G45" s="310" t="s">
        <v>44</v>
      </c>
      <c r="H45" s="654" t="s">
        <v>44</v>
      </c>
      <c r="I45" s="655" t="s">
        <v>44</v>
      </c>
      <c r="J45" s="311" t="s">
        <v>44</v>
      </c>
      <c r="K45" s="665" t="s">
        <v>44</v>
      </c>
      <c r="L45" s="657" t="s">
        <v>44</v>
      </c>
      <c r="M45" s="116">
        <f>SUM(M46:M47)</f>
        <v>0</v>
      </c>
      <c r="N45" s="117">
        <f>SUM(N46:N47)</f>
        <v>0</v>
      </c>
      <c r="O45" s="115">
        <f>SUM(O46:O47)</f>
        <v>0</v>
      </c>
      <c r="P45" s="118"/>
    </row>
    <row r="46" spans="1:16" ht="24" hidden="1" customHeight="1" x14ac:dyDescent="0.25">
      <c r="A46" s="136">
        <v>23410</v>
      </c>
      <c r="B46" s="137" t="s">
        <v>66</v>
      </c>
      <c r="C46" s="121">
        <f>O46</f>
        <v>0</v>
      </c>
      <c r="D46" s="309" t="s">
        <v>44</v>
      </c>
      <c r="E46" s="661" t="s">
        <v>44</v>
      </c>
      <c r="F46" s="662" t="s">
        <v>44</v>
      </c>
      <c r="G46" s="309" t="s">
        <v>44</v>
      </c>
      <c r="H46" s="661" t="s">
        <v>44</v>
      </c>
      <c r="I46" s="662" t="s">
        <v>44</v>
      </c>
      <c r="J46" s="309" t="s">
        <v>44</v>
      </c>
      <c r="K46" s="661" t="s">
        <v>44</v>
      </c>
      <c r="L46" s="662" t="s">
        <v>44</v>
      </c>
      <c r="M46" s="138"/>
      <c r="N46" s="139"/>
      <c r="O46" s="140">
        <f>N46+M46</f>
        <v>0</v>
      </c>
      <c r="P46" s="128"/>
    </row>
    <row r="47" spans="1:16" ht="24" hidden="1" customHeight="1" x14ac:dyDescent="0.25">
      <c r="A47" s="136">
        <v>23510</v>
      </c>
      <c r="B47" s="137" t="s">
        <v>67</v>
      </c>
      <c r="C47" s="121">
        <f>O47</f>
        <v>0</v>
      </c>
      <c r="D47" s="309" t="s">
        <v>44</v>
      </c>
      <c r="E47" s="661" t="s">
        <v>44</v>
      </c>
      <c r="F47" s="662" t="s">
        <v>44</v>
      </c>
      <c r="G47" s="309" t="s">
        <v>44</v>
      </c>
      <c r="H47" s="661" t="s">
        <v>44</v>
      </c>
      <c r="I47" s="662" t="s">
        <v>44</v>
      </c>
      <c r="J47" s="309" t="s">
        <v>44</v>
      </c>
      <c r="K47" s="661" t="s">
        <v>44</v>
      </c>
      <c r="L47" s="662" t="s">
        <v>44</v>
      </c>
      <c r="M47" s="138"/>
      <c r="N47" s="139"/>
      <c r="O47" s="140">
        <f>N47+M47</f>
        <v>0</v>
      </c>
      <c r="P47" s="128"/>
    </row>
    <row r="48" spans="1:16" ht="12" hidden="1" customHeight="1" x14ac:dyDescent="0.25">
      <c r="A48" s="141"/>
      <c r="B48" s="137"/>
      <c r="C48" s="142"/>
      <c r="D48" s="312"/>
      <c r="E48" s="666"/>
      <c r="F48" s="667"/>
      <c r="G48" s="312"/>
      <c r="H48" s="666"/>
      <c r="I48" s="667"/>
      <c r="J48" s="312"/>
      <c r="K48" s="666"/>
      <c r="L48" s="660"/>
      <c r="M48" s="143"/>
      <c r="N48" s="144"/>
      <c r="O48" s="140"/>
      <c r="P48" s="128"/>
    </row>
    <row r="49" spans="1:16" s="28" customFormat="1" ht="12" hidden="1" customHeight="1" x14ac:dyDescent="0.25">
      <c r="A49" s="145"/>
      <c r="B49" s="146" t="s">
        <v>68</v>
      </c>
      <c r="C49" s="147"/>
      <c r="D49" s="668"/>
      <c r="E49" s="669"/>
      <c r="F49" s="670"/>
      <c r="G49" s="302"/>
      <c r="H49" s="628"/>
      <c r="I49" s="664"/>
      <c r="J49" s="302"/>
      <c r="K49" s="628"/>
      <c r="L49" s="629"/>
      <c r="M49" s="151"/>
      <c r="N49" s="152"/>
      <c r="O49" s="153"/>
      <c r="P49" s="155"/>
    </row>
    <row r="50" spans="1:16" s="28" customFormat="1" ht="12.75" thickBot="1" x14ac:dyDescent="0.3">
      <c r="A50" s="156"/>
      <c r="B50" s="29" t="s">
        <v>69</v>
      </c>
      <c r="C50" s="157">
        <f t="shared" si="0"/>
        <v>577606</v>
      </c>
      <c r="D50" s="328">
        <f t="shared" ref="D50:O50" si="4">SUM(D51,D286)</f>
        <v>322431</v>
      </c>
      <c r="E50" s="671">
        <f t="shared" si="4"/>
        <v>0</v>
      </c>
      <c r="F50" s="672">
        <f t="shared" si="4"/>
        <v>322431</v>
      </c>
      <c r="G50" s="328">
        <f t="shared" si="4"/>
        <v>187236</v>
      </c>
      <c r="H50" s="671">
        <f t="shared" si="4"/>
        <v>0</v>
      </c>
      <c r="I50" s="672">
        <f t="shared" si="4"/>
        <v>187236</v>
      </c>
      <c r="J50" s="300">
        <f t="shared" si="4"/>
        <v>67491</v>
      </c>
      <c r="K50" s="624">
        <f t="shared" si="4"/>
        <v>448</v>
      </c>
      <c r="L50" s="625">
        <f t="shared" si="4"/>
        <v>67939</v>
      </c>
      <c r="M50" s="32">
        <f t="shared" si="4"/>
        <v>0</v>
      </c>
      <c r="N50" s="33">
        <f t="shared" si="4"/>
        <v>0</v>
      </c>
      <c r="O50" s="34">
        <f t="shared" si="4"/>
        <v>0</v>
      </c>
      <c r="P50" s="35"/>
    </row>
    <row r="51" spans="1:16" s="28" customFormat="1" ht="41.25" customHeight="1" thickTop="1" x14ac:dyDescent="0.25">
      <c r="A51" s="161"/>
      <c r="B51" s="162" t="s">
        <v>70</v>
      </c>
      <c r="C51" s="163">
        <f t="shared" si="0"/>
        <v>577606</v>
      </c>
      <c r="D51" s="673">
        <f t="shared" ref="D51:O51" si="5">SUM(D52,D194)</f>
        <v>322431</v>
      </c>
      <c r="E51" s="674">
        <f t="shared" si="5"/>
        <v>0</v>
      </c>
      <c r="F51" s="675">
        <f t="shared" si="5"/>
        <v>322431</v>
      </c>
      <c r="G51" s="673">
        <f t="shared" si="5"/>
        <v>187236</v>
      </c>
      <c r="H51" s="674">
        <f t="shared" si="5"/>
        <v>0</v>
      </c>
      <c r="I51" s="675">
        <f t="shared" si="5"/>
        <v>187236</v>
      </c>
      <c r="J51" s="313">
        <f t="shared" si="5"/>
        <v>67491</v>
      </c>
      <c r="K51" s="676">
        <f t="shared" si="5"/>
        <v>448</v>
      </c>
      <c r="L51" s="677">
        <f t="shared" si="5"/>
        <v>67939</v>
      </c>
      <c r="M51" s="167">
        <f t="shared" si="5"/>
        <v>0</v>
      </c>
      <c r="N51" s="168">
        <f t="shared" si="5"/>
        <v>0</v>
      </c>
      <c r="O51" s="169">
        <f t="shared" si="5"/>
        <v>0</v>
      </c>
      <c r="P51" s="170"/>
    </row>
    <row r="52" spans="1:16" s="28" customFormat="1" ht="29.25" customHeight="1" x14ac:dyDescent="0.25">
      <c r="A52" s="24"/>
      <c r="B52" s="22" t="s">
        <v>71</v>
      </c>
      <c r="C52" s="171">
        <f t="shared" si="0"/>
        <v>573556</v>
      </c>
      <c r="D52" s="314">
        <f t="shared" ref="D52:O52" si="6">SUM(D53,D75,D173,D187)</f>
        <v>318831</v>
      </c>
      <c r="E52" s="678">
        <f t="shared" si="6"/>
        <v>0</v>
      </c>
      <c r="F52" s="670">
        <f t="shared" si="6"/>
        <v>318831</v>
      </c>
      <c r="G52" s="314">
        <f t="shared" si="6"/>
        <v>187086</v>
      </c>
      <c r="H52" s="678">
        <f t="shared" si="6"/>
        <v>0</v>
      </c>
      <c r="I52" s="670">
        <f t="shared" si="6"/>
        <v>187086</v>
      </c>
      <c r="J52" s="314">
        <f t="shared" si="6"/>
        <v>66891</v>
      </c>
      <c r="K52" s="678">
        <f t="shared" si="6"/>
        <v>748</v>
      </c>
      <c r="L52" s="670">
        <f t="shared" si="6"/>
        <v>67639</v>
      </c>
      <c r="M52" s="172">
        <f t="shared" si="6"/>
        <v>0</v>
      </c>
      <c r="N52" s="173">
        <f t="shared" si="6"/>
        <v>0</v>
      </c>
      <c r="O52" s="174">
        <f t="shared" si="6"/>
        <v>0</v>
      </c>
      <c r="P52" s="175"/>
    </row>
    <row r="53" spans="1:16" s="28" customFormat="1" ht="12" x14ac:dyDescent="0.25">
      <c r="A53" s="679">
        <v>1000</v>
      </c>
      <c r="B53" s="679" t="s">
        <v>72</v>
      </c>
      <c r="C53" s="680">
        <f t="shared" si="0"/>
        <v>515043</v>
      </c>
      <c r="D53" s="681">
        <f t="shared" ref="D53:O53" si="7">SUM(D54,D67)</f>
        <v>278247</v>
      </c>
      <c r="E53" s="682">
        <f t="shared" si="7"/>
        <v>0</v>
      </c>
      <c r="F53" s="683">
        <f t="shared" si="7"/>
        <v>278247</v>
      </c>
      <c r="G53" s="681">
        <f t="shared" si="7"/>
        <v>186388</v>
      </c>
      <c r="H53" s="682">
        <f t="shared" si="7"/>
        <v>0</v>
      </c>
      <c r="I53" s="683">
        <f t="shared" si="7"/>
        <v>186388</v>
      </c>
      <c r="J53" s="681">
        <f t="shared" si="7"/>
        <v>50408</v>
      </c>
      <c r="K53" s="682">
        <f t="shared" si="7"/>
        <v>0</v>
      </c>
      <c r="L53" s="683">
        <f t="shared" si="7"/>
        <v>50408</v>
      </c>
      <c r="M53" s="681">
        <f t="shared" si="7"/>
        <v>0</v>
      </c>
      <c r="N53" s="682">
        <f t="shared" si="7"/>
        <v>0</v>
      </c>
      <c r="O53" s="683">
        <f t="shared" si="7"/>
        <v>0</v>
      </c>
      <c r="P53" s="684"/>
    </row>
    <row r="54" spans="1:16" ht="12.75" customHeight="1" x14ac:dyDescent="0.25">
      <c r="A54" s="68">
        <v>1100</v>
      </c>
      <c r="B54" s="182" t="s">
        <v>73</v>
      </c>
      <c r="C54" s="69">
        <f t="shared" si="0"/>
        <v>389423</v>
      </c>
      <c r="D54" s="316">
        <f t="shared" ref="D54:O54" si="8">SUM(D55,D58,D66)</f>
        <v>199662</v>
      </c>
      <c r="E54" s="685">
        <f t="shared" si="8"/>
        <v>0</v>
      </c>
      <c r="F54" s="638">
        <f t="shared" si="8"/>
        <v>199662</v>
      </c>
      <c r="G54" s="316">
        <f t="shared" si="8"/>
        <v>149454</v>
      </c>
      <c r="H54" s="685">
        <f t="shared" si="8"/>
        <v>0</v>
      </c>
      <c r="I54" s="638">
        <f t="shared" si="8"/>
        <v>149454</v>
      </c>
      <c r="J54" s="316">
        <f t="shared" si="8"/>
        <v>40307</v>
      </c>
      <c r="K54" s="685">
        <f t="shared" si="8"/>
        <v>0</v>
      </c>
      <c r="L54" s="638">
        <f t="shared" si="8"/>
        <v>40307</v>
      </c>
      <c r="M54" s="183">
        <f t="shared" si="8"/>
        <v>0</v>
      </c>
      <c r="N54" s="184">
        <f t="shared" si="8"/>
        <v>0</v>
      </c>
      <c r="O54" s="72">
        <f t="shared" si="8"/>
        <v>0</v>
      </c>
      <c r="P54" s="76"/>
    </row>
    <row r="55" spans="1:16" ht="12.75" customHeight="1" x14ac:dyDescent="0.25">
      <c r="A55" s="185">
        <v>1110</v>
      </c>
      <c r="B55" s="137" t="s">
        <v>74</v>
      </c>
      <c r="C55" s="142">
        <f t="shared" si="0"/>
        <v>349212</v>
      </c>
      <c r="D55" s="317">
        <f t="shared" ref="D55:O55" si="9">SUM(D56:D57)</f>
        <v>171684</v>
      </c>
      <c r="E55" s="686">
        <f t="shared" si="9"/>
        <v>0</v>
      </c>
      <c r="F55" s="667">
        <f t="shared" si="9"/>
        <v>171684</v>
      </c>
      <c r="G55" s="317">
        <f t="shared" si="9"/>
        <v>137221</v>
      </c>
      <c r="H55" s="686">
        <f t="shared" si="9"/>
        <v>0</v>
      </c>
      <c r="I55" s="667">
        <f t="shared" si="9"/>
        <v>137221</v>
      </c>
      <c r="J55" s="317">
        <f t="shared" si="9"/>
        <v>40307</v>
      </c>
      <c r="K55" s="686">
        <f t="shared" si="9"/>
        <v>0</v>
      </c>
      <c r="L55" s="667">
        <f t="shared" si="9"/>
        <v>40307</v>
      </c>
      <c r="M55" s="186">
        <f t="shared" si="9"/>
        <v>0</v>
      </c>
      <c r="N55" s="187">
        <f t="shared" si="9"/>
        <v>0</v>
      </c>
      <c r="O55" s="140">
        <f t="shared" si="9"/>
        <v>0</v>
      </c>
      <c r="P55" s="128"/>
    </row>
    <row r="56" spans="1:16" ht="12" hidden="1" customHeight="1" x14ac:dyDescent="0.25">
      <c r="A56" s="44">
        <v>1111</v>
      </c>
      <c r="B56" s="81" t="s">
        <v>75</v>
      </c>
      <c r="C56" s="82">
        <f t="shared" si="0"/>
        <v>0</v>
      </c>
      <c r="D56" s="302"/>
      <c r="E56" s="628"/>
      <c r="F56" s="664">
        <f>D56+E56</f>
        <v>0</v>
      </c>
      <c r="G56" s="302"/>
      <c r="H56" s="628"/>
      <c r="I56" s="664">
        <f>G56+H56</f>
        <v>0</v>
      </c>
      <c r="J56" s="302"/>
      <c r="K56" s="628"/>
      <c r="L56" s="664">
        <f>K56+J56</f>
        <v>0</v>
      </c>
      <c r="M56" s="46"/>
      <c r="N56" s="47"/>
      <c r="O56" s="133">
        <f>N56+M56</f>
        <v>0</v>
      </c>
      <c r="P56" s="49"/>
    </row>
    <row r="57" spans="1:16" ht="26.25" customHeight="1" x14ac:dyDescent="0.25">
      <c r="A57" s="51">
        <v>1119</v>
      </c>
      <c r="B57" s="88" t="s">
        <v>76</v>
      </c>
      <c r="C57" s="89">
        <f t="shared" si="0"/>
        <v>349212</v>
      </c>
      <c r="D57" s="303">
        <v>171684</v>
      </c>
      <c r="E57" s="542"/>
      <c r="F57" s="543">
        <f>D57+E57</f>
        <v>171684</v>
      </c>
      <c r="G57" s="303">
        <v>137221</v>
      </c>
      <c r="H57" s="542"/>
      <c r="I57" s="543">
        <f>G57+H57</f>
        <v>137221</v>
      </c>
      <c r="J57" s="303">
        <v>40307</v>
      </c>
      <c r="K57" s="542"/>
      <c r="L57" s="543">
        <f>K57+J57</f>
        <v>40307</v>
      </c>
      <c r="M57" s="53"/>
      <c r="N57" s="54"/>
      <c r="O57" s="55">
        <f>N57+M57</f>
        <v>0</v>
      </c>
      <c r="P57" s="57"/>
    </row>
    <row r="58" spans="1:16" ht="12.75" customHeight="1" x14ac:dyDescent="0.25">
      <c r="A58" s="188">
        <v>1140</v>
      </c>
      <c r="B58" s="88" t="s">
        <v>77</v>
      </c>
      <c r="C58" s="89">
        <f t="shared" si="0"/>
        <v>36494</v>
      </c>
      <c r="D58" s="318">
        <f t="shared" ref="D58:O58" si="10">SUM(D59:D65)</f>
        <v>24261</v>
      </c>
      <c r="E58" s="687">
        <f t="shared" si="10"/>
        <v>0</v>
      </c>
      <c r="F58" s="543">
        <f t="shared" si="10"/>
        <v>24261</v>
      </c>
      <c r="G58" s="318">
        <f t="shared" si="10"/>
        <v>12233</v>
      </c>
      <c r="H58" s="687">
        <f t="shared" si="10"/>
        <v>0</v>
      </c>
      <c r="I58" s="543">
        <f t="shared" si="10"/>
        <v>12233</v>
      </c>
      <c r="J58" s="318">
        <f t="shared" si="10"/>
        <v>0</v>
      </c>
      <c r="K58" s="687">
        <f t="shared" si="10"/>
        <v>0</v>
      </c>
      <c r="L58" s="543">
        <f t="shared" si="10"/>
        <v>0</v>
      </c>
      <c r="M58" s="189">
        <f t="shared" si="10"/>
        <v>0</v>
      </c>
      <c r="N58" s="190">
        <f t="shared" si="10"/>
        <v>0</v>
      </c>
      <c r="O58" s="55">
        <f t="shared" si="10"/>
        <v>0</v>
      </c>
      <c r="P58" s="57"/>
    </row>
    <row r="59" spans="1:16" ht="12" customHeight="1" x14ac:dyDescent="0.25">
      <c r="A59" s="51">
        <v>1141</v>
      </c>
      <c r="B59" s="88" t="s">
        <v>78</v>
      </c>
      <c r="C59" s="89">
        <f t="shared" si="0"/>
        <v>4172</v>
      </c>
      <c r="D59" s="303">
        <v>4172</v>
      </c>
      <c r="E59" s="542"/>
      <c r="F59" s="543">
        <f t="shared" ref="F59:F66" si="11">D59+E59</f>
        <v>4172</v>
      </c>
      <c r="G59" s="303"/>
      <c r="H59" s="542"/>
      <c r="I59" s="543">
        <f t="shared" ref="I59:I66" si="12">G59+H59</f>
        <v>0</v>
      </c>
      <c r="J59" s="303"/>
      <c r="K59" s="542"/>
      <c r="L59" s="543">
        <f t="shared" ref="L59:L66" si="13">K59+J59</f>
        <v>0</v>
      </c>
      <c r="M59" s="53"/>
      <c r="N59" s="54"/>
      <c r="O59" s="55">
        <f t="shared" ref="O59:O66" si="14">N59+M59</f>
        <v>0</v>
      </c>
      <c r="P59" s="57"/>
    </row>
    <row r="60" spans="1:16" ht="21.75" customHeight="1" x14ac:dyDescent="0.25">
      <c r="A60" s="51">
        <v>1142</v>
      </c>
      <c r="B60" s="88" t="s">
        <v>79</v>
      </c>
      <c r="C60" s="89">
        <f t="shared" si="0"/>
        <v>1029</v>
      </c>
      <c r="D60" s="303">
        <v>1029</v>
      </c>
      <c r="E60" s="542"/>
      <c r="F60" s="543">
        <f t="shared" si="11"/>
        <v>1029</v>
      </c>
      <c r="G60" s="303"/>
      <c r="H60" s="542"/>
      <c r="I60" s="543">
        <f t="shared" si="12"/>
        <v>0</v>
      </c>
      <c r="J60" s="303"/>
      <c r="K60" s="542"/>
      <c r="L60" s="543">
        <f t="shared" si="13"/>
        <v>0</v>
      </c>
      <c r="M60" s="53"/>
      <c r="N60" s="54"/>
      <c r="O60" s="55">
        <f t="shared" si="14"/>
        <v>0</v>
      </c>
      <c r="P60" s="57"/>
    </row>
    <row r="61" spans="1:16" ht="24" hidden="1" customHeight="1" x14ac:dyDescent="0.25">
      <c r="A61" s="51">
        <v>1145</v>
      </c>
      <c r="B61" s="88" t="s">
        <v>80</v>
      </c>
      <c r="C61" s="89">
        <f t="shared" si="0"/>
        <v>0</v>
      </c>
      <c r="D61" s="303"/>
      <c r="E61" s="542"/>
      <c r="F61" s="543">
        <f t="shared" si="11"/>
        <v>0</v>
      </c>
      <c r="G61" s="303"/>
      <c r="H61" s="542"/>
      <c r="I61" s="543">
        <f t="shared" si="12"/>
        <v>0</v>
      </c>
      <c r="J61" s="303"/>
      <c r="K61" s="542"/>
      <c r="L61" s="543">
        <f t="shared" si="13"/>
        <v>0</v>
      </c>
      <c r="M61" s="53"/>
      <c r="N61" s="54"/>
      <c r="O61" s="55">
        <f t="shared" si="14"/>
        <v>0</v>
      </c>
      <c r="P61" s="57"/>
    </row>
    <row r="62" spans="1:16" ht="27.75" hidden="1" customHeight="1" x14ac:dyDescent="0.25">
      <c r="A62" s="51">
        <v>1146</v>
      </c>
      <c r="B62" s="88" t="s">
        <v>81</v>
      </c>
      <c r="C62" s="89">
        <f t="shared" si="0"/>
        <v>0</v>
      </c>
      <c r="D62" s="303"/>
      <c r="E62" s="542"/>
      <c r="F62" s="543">
        <f t="shared" si="11"/>
        <v>0</v>
      </c>
      <c r="G62" s="303"/>
      <c r="H62" s="542"/>
      <c r="I62" s="543">
        <f t="shared" si="12"/>
        <v>0</v>
      </c>
      <c r="J62" s="303"/>
      <c r="K62" s="542"/>
      <c r="L62" s="543">
        <f t="shared" si="13"/>
        <v>0</v>
      </c>
      <c r="M62" s="53"/>
      <c r="N62" s="54"/>
      <c r="O62" s="55">
        <f t="shared" si="14"/>
        <v>0</v>
      </c>
      <c r="P62" s="57"/>
    </row>
    <row r="63" spans="1:16" ht="13.5" customHeight="1" x14ac:dyDescent="0.25">
      <c r="A63" s="51">
        <v>1147</v>
      </c>
      <c r="B63" s="88" t="s">
        <v>82</v>
      </c>
      <c r="C63" s="89">
        <f t="shared" si="0"/>
        <v>13454</v>
      </c>
      <c r="D63" s="303">
        <v>2403</v>
      </c>
      <c r="E63" s="542"/>
      <c r="F63" s="543">
        <f t="shared" si="11"/>
        <v>2403</v>
      </c>
      <c r="G63" s="303">
        <v>11051</v>
      </c>
      <c r="H63" s="542"/>
      <c r="I63" s="543">
        <f t="shared" si="12"/>
        <v>11051</v>
      </c>
      <c r="J63" s="303"/>
      <c r="K63" s="542"/>
      <c r="L63" s="543">
        <f t="shared" si="13"/>
        <v>0</v>
      </c>
      <c r="M63" s="53"/>
      <c r="N63" s="54"/>
      <c r="O63" s="55">
        <f t="shared" si="14"/>
        <v>0</v>
      </c>
      <c r="P63" s="57"/>
    </row>
    <row r="64" spans="1:16" ht="12" customHeight="1" x14ac:dyDescent="0.25">
      <c r="A64" s="51">
        <v>1148</v>
      </c>
      <c r="B64" s="88" t="s">
        <v>83</v>
      </c>
      <c r="C64" s="89">
        <f t="shared" si="0"/>
        <v>16486</v>
      </c>
      <c r="D64" s="303">
        <v>16486</v>
      </c>
      <c r="E64" s="542"/>
      <c r="F64" s="543">
        <f t="shared" si="11"/>
        <v>16486</v>
      </c>
      <c r="G64" s="303"/>
      <c r="H64" s="542"/>
      <c r="I64" s="543">
        <f t="shared" si="12"/>
        <v>0</v>
      </c>
      <c r="J64" s="303"/>
      <c r="K64" s="542"/>
      <c r="L64" s="543">
        <f t="shared" si="13"/>
        <v>0</v>
      </c>
      <c r="M64" s="53"/>
      <c r="N64" s="54"/>
      <c r="O64" s="55">
        <f t="shared" si="14"/>
        <v>0</v>
      </c>
      <c r="P64" s="57"/>
    </row>
    <row r="65" spans="1:16" ht="30" customHeight="1" x14ac:dyDescent="0.25">
      <c r="A65" s="51">
        <v>1149</v>
      </c>
      <c r="B65" s="88" t="s">
        <v>84</v>
      </c>
      <c r="C65" s="89">
        <f t="shared" si="0"/>
        <v>1353</v>
      </c>
      <c r="D65" s="303">
        <v>171</v>
      </c>
      <c r="E65" s="542"/>
      <c r="F65" s="543">
        <f t="shared" si="11"/>
        <v>171</v>
      </c>
      <c r="G65" s="303">
        <v>1182</v>
      </c>
      <c r="H65" s="542"/>
      <c r="I65" s="543">
        <f t="shared" si="12"/>
        <v>1182</v>
      </c>
      <c r="J65" s="303"/>
      <c r="K65" s="542"/>
      <c r="L65" s="543">
        <f t="shared" si="13"/>
        <v>0</v>
      </c>
      <c r="M65" s="53"/>
      <c r="N65" s="54"/>
      <c r="O65" s="55">
        <f t="shared" si="14"/>
        <v>0</v>
      </c>
      <c r="P65" s="57"/>
    </row>
    <row r="66" spans="1:16" ht="37.5" customHeight="1" x14ac:dyDescent="0.25">
      <c r="A66" s="185">
        <v>1150</v>
      </c>
      <c r="B66" s="137" t="s">
        <v>85</v>
      </c>
      <c r="C66" s="142">
        <f t="shared" si="0"/>
        <v>3717</v>
      </c>
      <c r="D66" s="312">
        <v>3717</v>
      </c>
      <c r="E66" s="666"/>
      <c r="F66" s="667">
        <f t="shared" si="11"/>
        <v>3717</v>
      </c>
      <c r="G66" s="312"/>
      <c r="H66" s="666"/>
      <c r="I66" s="667">
        <f t="shared" si="12"/>
        <v>0</v>
      </c>
      <c r="J66" s="312"/>
      <c r="K66" s="666"/>
      <c r="L66" s="667">
        <f t="shared" si="13"/>
        <v>0</v>
      </c>
      <c r="M66" s="143"/>
      <c r="N66" s="144"/>
      <c r="O66" s="140">
        <f t="shared" si="14"/>
        <v>0</v>
      </c>
      <c r="P66" s="128"/>
    </row>
    <row r="67" spans="1:16" ht="24" x14ac:dyDescent="0.25">
      <c r="A67" s="68">
        <v>1200</v>
      </c>
      <c r="B67" s="182" t="s">
        <v>86</v>
      </c>
      <c r="C67" s="69">
        <f t="shared" si="0"/>
        <v>125620</v>
      </c>
      <c r="D67" s="316">
        <f t="shared" ref="D67:O67" si="15">SUM(D68:D69)</f>
        <v>78585</v>
      </c>
      <c r="E67" s="685">
        <f t="shared" si="15"/>
        <v>0</v>
      </c>
      <c r="F67" s="638">
        <f t="shared" si="15"/>
        <v>78585</v>
      </c>
      <c r="G67" s="316">
        <f t="shared" si="15"/>
        <v>36934</v>
      </c>
      <c r="H67" s="685">
        <f t="shared" si="15"/>
        <v>0</v>
      </c>
      <c r="I67" s="638">
        <f t="shared" si="15"/>
        <v>36934</v>
      </c>
      <c r="J67" s="316">
        <f t="shared" si="15"/>
        <v>10101</v>
      </c>
      <c r="K67" s="685">
        <f t="shared" si="15"/>
        <v>0</v>
      </c>
      <c r="L67" s="638">
        <f t="shared" si="15"/>
        <v>10101</v>
      </c>
      <c r="M67" s="183">
        <f t="shared" si="15"/>
        <v>0</v>
      </c>
      <c r="N67" s="184">
        <f t="shared" si="15"/>
        <v>0</v>
      </c>
      <c r="O67" s="72">
        <f t="shared" si="15"/>
        <v>0</v>
      </c>
      <c r="P67" s="76"/>
    </row>
    <row r="68" spans="1:16" ht="26.25" customHeight="1" x14ac:dyDescent="0.25">
      <c r="A68" s="278">
        <v>1210</v>
      </c>
      <c r="B68" s="81" t="s">
        <v>87</v>
      </c>
      <c r="C68" s="82">
        <f t="shared" si="0"/>
        <v>98240</v>
      </c>
      <c r="D68" s="302">
        <v>52349</v>
      </c>
      <c r="E68" s="628"/>
      <c r="F68" s="664">
        <f>D68+E68</f>
        <v>52349</v>
      </c>
      <c r="G68" s="302">
        <v>36144</v>
      </c>
      <c r="H68" s="628"/>
      <c r="I68" s="664">
        <f>G68+H68</f>
        <v>36144</v>
      </c>
      <c r="J68" s="302">
        <v>9747</v>
      </c>
      <c r="K68" s="628"/>
      <c r="L68" s="664">
        <f>K68+J68</f>
        <v>9747</v>
      </c>
      <c r="M68" s="46"/>
      <c r="N68" s="47"/>
      <c r="O68" s="133">
        <f>N68+M68</f>
        <v>0</v>
      </c>
      <c r="P68" s="57"/>
    </row>
    <row r="69" spans="1:16" ht="24" x14ac:dyDescent="0.25">
      <c r="A69" s="188">
        <v>1220</v>
      </c>
      <c r="B69" s="88" t="s">
        <v>88</v>
      </c>
      <c r="C69" s="89">
        <f t="shared" si="0"/>
        <v>27380</v>
      </c>
      <c r="D69" s="318">
        <f t="shared" ref="D69:O69" si="16">SUM(D70:D74)</f>
        <v>26236</v>
      </c>
      <c r="E69" s="687">
        <f t="shared" si="16"/>
        <v>0</v>
      </c>
      <c r="F69" s="543">
        <f t="shared" si="16"/>
        <v>26236</v>
      </c>
      <c r="G69" s="318">
        <f t="shared" si="16"/>
        <v>790</v>
      </c>
      <c r="H69" s="687">
        <f t="shared" si="16"/>
        <v>0</v>
      </c>
      <c r="I69" s="543">
        <f t="shared" si="16"/>
        <v>790</v>
      </c>
      <c r="J69" s="318">
        <f t="shared" si="16"/>
        <v>354</v>
      </c>
      <c r="K69" s="687">
        <f t="shared" si="16"/>
        <v>0</v>
      </c>
      <c r="L69" s="543">
        <f t="shared" si="16"/>
        <v>354</v>
      </c>
      <c r="M69" s="189">
        <f t="shared" si="16"/>
        <v>0</v>
      </c>
      <c r="N69" s="190">
        <f t="shared" si="16"/>
        <v>0</v>
      </c>
      <c r="O69" s="55">
        <f t="shared" si="16"/>
        <v>0</v>
      </c>
      <c r="P69" s="57"/>
    </row>
    <row r="70" spans="1:16" ht="52.5" customHeight="1" x14ac:dyDescent="0.25">
      <c r="A70" s="51">
        <v>1221</v>
      </c>
      <c r="B70" s="88" t="s">
        <v>89</v>
      </c>
      <c r="C70" s="89">
        <f t="shared" si="0"/>
        <v>17638</v>
      </c>
      <c r="D70" s="303">
        <v>16698</v>
      </c>
      <c r="E70" s="542"/>
      <c r="F70" s="543">
        <f>D70+E70</f>
        <v>16698</v>
      </c>
      <c r="G70" s="303">
        <v>790</v>
      </c>
      <c r="H70" s="542"/>
      <c r="I70" s="543">
        <f>G70+H70</f>
        <v>790</v>
      </c>
      <c r="J70" s="303">
        <v>150</v>
      </c>
      <c r="K70" s="542"/>
      <c r="L70" s="543">
        <f>K70+J70</f>
        <v>150</v>
      </c>
      <c r="M70" s="53"/>
      <c r="N70" s="54"/>
      <c r="O70" s="55">
        <f>N70+M70</f>
        <v>0</v>
      </c>
      <c r="P70" s="57"/>
    </row>
    <row r="71" spans="1:16" ht="12" hidden="1" customHeight="1" x14ac:dyDescent="0.25">
      <c r="A71" s="51">
        <v>1223</v>
      </c>
      <c r="B71" s="88" t="s">
        <v>90</v>
      </c>
      <c r="C71" s="89">
        <f t="shared" si="0"/>
        <v>0</v>
      </c>
      <c r="D71" s="303"/>
      <c r="E71" s="542"/>
      <c r="F71" s="543">
        <f>D71+E71</f>
        <v>0</v>
      </c>
      <c r="G71" s="303"/>
      <c r="H71" s="542"/>
      <c r="I71" s="543">
        <f>G71+H71</f>
        <v>0</v>
      </c>
      <c r="J71" s="303"/>
      <c r="K71" s="542"/>
      <c r="L71" s="543">
        <f>K71+J71</f>
        <v>0</v>
      </c>
      <c r="M71" s="53"/>
      <c r="N71" s="54"/>
      <c r="O71" s="55">
        <f>N71+M71</f>
        <v>0</v>
      </c>
      <c r="P71" s="57"/>
    </row>
    <row r="72" spans="1:16" ht="24" hidden="1" customHeight="1" x14ac:dyDescent="0.25">
      <c r="A72" s="51">
        <v>1225</v>
      </c>
      <c r="B72" s="88" t="s">
        <v>91</v>
      </c>
      <c r="C72" s="89">
        <f t="shared" si="0"/>
        <v>0</v>
      </c>
      <c r="D72" s="303"/>
      <c r="E72" s="542"/>
      <c r="F72" s="543">
        <f>D72+E72</f>
        <v>0</v>
      </c>
      <c r="G72" s="303"/>
      <c r="H72" s="542"/>
      <c r="I72" s="543">
        <f>G72+H72</f>
        <v>0</v>
      </c>
      <c r="J72" s="303"/>
      <c r="K72" s="542"/>
      <c r="L72" s="543">
        <f>K72+J72</f>
        <v>0</v>
      </c>
      <c r="M72" s="53"/>
      <c r="N72" s="54"/>
      <c r="O72" s="55">
        <f>N72+M72</f>
        <v>0</v>
      </c>
      <c r="P72" s="57"/>
    </row>
    <row r="73" spans="1:16" ht="39" customHeight="1" x14ac:dyDescent="0.25">
      <c r="A73" s="51">
        <v>1227</v>
      </c>
      <c r="B73" s="88" t="s">
        <v>92</v>
      </c>
      <c r="C73" s="89">
        <f t="shared" si="0"/>
        <v>8538</v>
      </c>
      <c r="D73" s="303">
        <v>8538</v>
      </c>
      <c r="E73" s="542"/>
      <c r="F73" s="543">
        <f>D73+E73</f>
        <v>8538</v>
      </c>
      <c r="G73" s="303"/>
      <c r="H73" s="542"/>
      <c r="I73" s="543">
        <f>G73+H73</f>
        <v>0</v>
      </c>
      <c r="J73" s="303"/>
      <c r="K73" s="542"/>
      <c r="L73" s="543">
        <f>K73+J73</f>
        <v>0</v>
      </c>
      <c r="M73" s="53"/>
      <c r="N73" s="54"/>
      <c r="O73" s="55">
        <f>N73+M73</f>
        <v>0</v>
      </c>
      <c r="P73" s="57"/>
    </row>
    <row r="74" spans="1:16" ht="51.75" customHeight="1" x14ac:dyDescent="0.25">
      <c r="A74" s="51">
        <v>1228</v>
      </c>
      <c r="B74" s="88" t="s">
        <v>93</v>
      </c>
      <c r="C74" s="89">
        <f t="shared" si="0"/>
        <v>1204</v>
      </c>
      <c r="D74" s="303">
        <v>1000</v>
      </c>
      <c r="E74" s="542"/>
      <c r="F74" s="543">
        <f>D74+E74</f>
        <v>1000</v>
      </c>
      <c r="G74" s="303"/>
      <c r="H74" s="542"/>
      <c r="I74" s="543">
        <f>G74+H74</f>
        <v>0</v>
      </c>
      <c r="J74" s="303">
        <v>204</v>
      </c>
      <c r="K74" s="542"/>
      <c r="L74" s="543">
        <f>K74+J74</f>
        <v>204</v>
      </c>
      <c r="M74" s="53"/>
      <c r="N74" s="54"/>
      <c r="O74" s="55">
        <f>N74+M74</f>
        <v>0</v>
      </c>
      <c r="P74" s="57"/>
    </row>
    <row r="75" spans="1:16" x14ac:dyDescent="0.25">
      <c r="A75" s="679">
        <v>2000</v>
      </c>
      <c r="B75" s="679" t="s">
        <v>94</v>
      </c>
      <c r="C75" s="680">
        <f t="shared" si="0"/>
        <v>58513</v>
      </c>
      <c r="D75" s="681">
        <f t="shared" ref="D75:O75" si="17">SUM(D76,D83,D130,D164,D165,D172)</f>
        <v>40584</v>
      </c>
      <c r="E75" s="682">
        <f t="shared" si="17"/>
        <v>0</v>
      </c>
      <c r="F75" s="683">
        <f t="shared" si="17"/>
        <v>40584</v>
      </c>
      <c r="G75" s="681">
        <f t="shared" si="17"/>
        <v>698</v>
      </c>
      <c r="H75" s="682">
        <f t="shared" si="17"/>
        <v>0</v>
      </c>
      <c r="I75" s="683">
        <f t="shared" si="17"/>
        <v>698</v>
      </c>
      <c r="J75" s="681">
        <f t="shared" si="17"/>
        <v>16483</v>
      </c>
      <c r="K75" s="682">
        <f t="shared" si="17"/>
        <v>748</v>
      </c>
      <c r="L75" s="683">
        <f t="shared" si="17"/>
        <v>17231</v>
      </c>
      <c r="M75" s="681">
        <f t="shared" si="17"/>
        <v>0</v>
      </c>
      <c r="N75" s="682">
        <f t="shared" si="17"/>
        <v>0</v>
      </c>
      <c r="O75" s="683">
        <f t="shared" si="17"/>
        <v>0</v>
      </c>
      <c r="P75" s="684"/>
    </row>
    <row r="76" spans="1:16" ht="24" x14ac:dyDescent="0.25">
      <c r="A76" s="68">
        <v>2100</v>
      </c>
      <c r="B76" s="182" t="s">
        <v>95</v>
      </c>
      <c r="C76" s="69">
        <f t="shared" si="0"/>
        <v>20</v>
      </c>
      <c r="D76" s="316">
        <f t="shared" ref="D76:O76" si="18">SUM(D77,D80)</f>
        <v>20</v>
      </c>
      <c r="E76" s="685">
        <f t="shared" si="18"/>
        <v>0</v>
      </c>
      <c r="F76" s="638">
        <f t="shared" si="18"/>
        <v>20</v>
      </c>
      <c r="G76" s="316">
        <f t="shared" si="18"/>
        <v>0</v>
      </c>
      <c r="H76" s="685">
        <f t="shared" si="18"/>
        <v>0</v>
      </c>
      <c r="I76" s="638">
        <f t="shared" si="18"/>
        <v>0</v>
      </c>
      <c r="J76" s="316">
        <f t="shared" si="18"/>
        <v>0</v>
      </c>
      <c r="K76" s="685">
        <f t="shared" si="18"/>
        <v>0</v>
      </c>
      <c r="L76" s="638">
        <f t="shared" si="18"/>
        <v>0</v>
      </c>
      <c r="M76" s="183">
        <f t="shared" si="18"/>
        <v>0</v>
      </c>
      <c r="N76" s="184">
        <f t="shared" si="18"/>
        <v>0</v>
      </c>
      <c r="O76" s="72">
        <f t="shared" si="18"/>
        <v>0</v>
      </c>
      <c r="P76" s="76"/>
    </row>
    <row r="77" spans="1:16" ht="24" x14ac:dyDescent="0.25">
      <c r="A77" s="278">
        <v>2110</v>
      </c>
      <c r="B77" s="81" t="s">
        <v>96</v>
      </c>
      <c r="C77" s="82">
        <f t="shared" si="0"/>
        <v>20</v>
      </c>
      <c r="D77" s="319">
        <f t="shared" ref="D77:O77" si="19">SUM(D78:D79)</f>
        <v>20</v>
      </c>
      <c r="E77" s="688">
        <f t="shared" si="19"/>
        <v>0</v>
      </c>
      <c r="F77" s="664">
        <f t="shared" si="19"/>
        <v>20</v>
      </c>
      <c r="G77" s="319">
        <f t="shared" si="19"/>
        <v>0</v>
      </c>
      <c r="H77" s="688">
        <f t="shared" si="19"/>
        <v>0</v>
      </c>
      <c r="I77" s="664">
        <f t="shared" si="19"/>
        <v>0</v>
      </c>
      <c r="J77" s="319">
        <f t="shared" si="19"/>
        <v>0</v>
      </c>
      <c r="K77" s="688">
        <f t="shared" si="19"/>
        <v>0</v>
      </c>
      <c r="L77" s="664">
        <f t="shared" si="19"/>
        <v>0</v>
      </c>
      <c r="M77" s="192">
        <f t="shared" si="19"/>
        <v>0</v>
      </c>
      <c r="N77" s="193">
        <f t="shared" si="19"/>
        <v>0</v>
      </c>
      <c r="O77" s="133">
        <f t="shared" si="19"/>
        <v>0</v>
      </c>
      <c r="P77" s="49"/>
    </row>
    <row r="78" spans="1:16" ht="13.5" customHeight="1" x14ac:dyDescent="0.25">
      <c r="A78" s="51">
        <v>2111</v>
      </c>
      <c r="B78" s="88" t="s">
        <v>97</v>
      </c>
      <c r="C78" s="89">
        <f t="shared" si="0"/>
        <v>0</v>
      </c>
      <c r="D78" s="544"/>
      <c r="E78" s="545"/>
      <c r="F78" s="543">
        <f>D78+E78</f>
        <v>0</v>
      </c>
      <c r="G78" s="303"/>
      <c r="H78" s="542"/>
      <c r="I78" s="543">
        <f>G78+H78</f>
        <v>0</v>
      </c>
      <c r="J78" s="303"/>
      <c r="K78" s="286">
        <f>12-12</f>
        <v>0</v>
      </c>
      <c r="L78" s="543">
        <f>K78+J78</f>
        <v>0</v>
      </c>
      <c r="M78" s="53"/>
      <c r="N78" s="54"/>
      <c r="O78" s="55">
        <f>N78+M78</f>
        <v>0</v>
      </c>
      <c r="P78" s="57" t="s">
        <v>841</v>
      </c>
    </row>
    <row r="79" spans="1:16" ht="24" customHeight="1" x14ac:dyDescent="0.25">
      <c r="A79" s="51">
        <v>2112</v>
      </c>
      <c r="B79" s="88" t="s">
        <v>98</v>
      </c>
      <c r="C79" s="89">
        <f t="shared" si="0"/>
        <v>20</v>
      </c>
      <c r="D79" s="544">
        <v>20</v>
      </c>
      <c r="E79" s="545"/>
      <c r="F79" s="543">
        <f>D79+E79</f>
        <v>20</v>
      </c>
      <c r="G79" s="303"/>
      <c r="H79" s="542"/>
      <c r="I79" s="543">
        <f>G79+H79</f>
        <v>0</v>
      </c>
      <c r="J79" s="303"/>
      <c r="K79" s="542"/>
      <c r="L79" s="543">
        <f>K79+J79</f>
        <v>0</v>
      </c>
      <c r="M79" s="53"/>
      <c r="N79" s="54"/>
      <c r="O79" s="55">
        <f>N79+M79</f>
        <v>0</v>
      </c>
      <c r="P79" s="57"/>
    </row>
    <row r="80" spans="1:16" ht="24" hidden="1" x14ac:dyDescent="0.25">
      <c r="A80" s="188">
        <v>2120</v>
      </c>
      <c r="B80" s="88" t="s">
        <v>99</v>
      </c>
      <c r="C80" s="89">
        <f t="shared" si="0"/>
        <v>0</v>
      </c>
      <c r="D80" s="318">
        <f t="shared" ref="D80:O80" si="20">SUM(D81:D82)</f>
        <v>0</v>
      </c>
      <c r="E80" s="687">
        <f t="shared" si="20"/>
        <v>0</v>
      </c>
      <c r="F80" s="543">
        <f t="shared" si="20"/>
        <v>0</v>
      </c>
      <c r="G80" s="318">
        <f t="shared" si="20"/>
        <v>0</v>
      </c>
      <c r="H80" s="687">
        <f t="shared" si="20"/>
        <v>0</v>
      </c>
      <c r="I80" s="543">
        <f t="shared" si="20"/>
        <v>0</v>
      </c>
      <c r="J80" s="318">
        <f t="shared" si="20"/>
        <v>0</v>
      </c>
      <c r="K80" s="687">
        <f t="shared" si="20"/>
        <v>0</v>
      </c>
      <c r="L80" s="543">
        <f t="shared" si="20"/>
        <v>0</v>
      </c>
      <c r="M80" s="189">
        <f t="shared" si="20"/>
        <v>0</v>
      </c>
      <c r="N80" s="190">
        <f t="shared" si="20"/>
        <v>0</v>
      </c>
      <c r="O80" s="55">
        <f t="shared" si="20"/>
        <v>0</v>
      </c>
      <c r="P80" s="57"/>
    </row>
    <row r="81" spans="1:16" ht="12" hidden="1" customHeight="1" x14ac:dyDescent="0.25">
      <c r="A81" s="51">
        <v>2121</v>
      </c>
      <c r="B81" s="88" t="s">
        <v>97</v>
      </c>
      <c r="C81" s="89">
        <f t="shared" si="0"/>
        <v>0</v>
      </c>
      <c r="D81" s="544"/>
      <c r="E81" s="545"/>
      <c r="F81" s="543">
        <f>D81+E81</f>
        <v>0</v>
      </c>
      <c r="G81" s="303"/>
      <c r="H81" s="542"/>
      <c r="I81" s="543">
        <f>G81+H81</f>
        <v>0</v>
      </c>
      <c r="J81" s="303"/>
      <c r="K81" s="542"/>
      <c r="L81" s="543">
        <f>K81+J81</f>
        <v>0</v>
      </c>
      <c r="M81" s="53"/>
      <c r="N81" s="54"/>
      <c r="O81" s="55">
        <f>N81+M81</f>
        <v>0</v>
      </c>
      <c r="P81" s="57"/>
    </row>
    <row r="82" spans="1:16" ht="24" hidden="1" customHeight="1" x14ac:dyDescent="0.25">
      <c r="A82" s="51">
        <v>2122</v>
      </c>
      <c r="B82" s="88" t="s">
        <v>98</v>
      </c>
      <c r="C82" s="89">
        <f t="shared" si="0"/>
        <v>0</v>
      </c>
      <c r="D82" s="544"/>
      <c r="E82" s="545"/>
      <c r="F82" s="543">
        <f>D82+E82</f>
        <v>0</v>
      </c>
      <c r="G82" s="303"/>
      <c r="H82" s="542"/>
      <c r="I82" s="543">
        <f>G82+H82</f>
        <v>0</v>
      </c>
      <c r="J82" s="303"/>
      <c r="K82" s="542"/>
      <c r="L82" s="543">
        <f>K82+J82</f>
        <v>0</v>
      </c>
      <c r="M82" s="53"/>
      <c r="N82" s="54"/>
      <c r="O82" s="55">
        <f>N82+M82</f>
        <v>0</v>
      </c>
      <c r="P82" s="57"/>
    </row>
    <row r="83" spans="1:16" x14ac:dyDescent="0.25">
      <c r="A83" s="68">
        <v>2200</v>
      </c>
      <c r="B83" s="182" t="s">
        <v>100</v>
      </c>
      <c r="C83" s="69">
        <f t="shared" si="0"/>
        <v>41551</v>
      </c>
      <c r="D83" s="316">
        <f t="shared" ref="D83:O83" si="21">SUM(D84,D89,D95,D103,D112,D116,D122,D128)</f>
        <v>33138</v>
      </c>
      <c r="E83" s="685">
        <f t="shared" si="21"/>
        <v>0</v>
      </c>
      <c r="F83" s="638">
        <f t="shared" si="21"/>
        <v>33138</v>
      </c>
      <c r="G83" s="316">
        <f t="shared" si="21"/>
        <v>0</v>
      </c>
      <c r="H83" s="685">
        <f t="shared" si="21"/>
        <v>0</v>
      </c>
      <c r="I83" s="638">
        <f t="shared" si="21"/>
        <v>0</v>
      </c>
      <c r="J83" s="316">
        <f t="shared" si="21"/>
        <v>7965</v>
      </c>
      <c r="K83" s="685">
        <f t="shared" si="21"/>
        <v>448</v>
      </c>
      <c r="L83" s="638">
        <f t="shared" si="21"/>
        <v>8413</v>
      </c>
      <c r="M83" s="183">
        <f t="shared" si="21"/>
        <v>0</v>
      </c>
      <c r="N83" s="184">
        <f t="shared" si="21"/>
        <v>0</v>
      </c>
      <c r="O83" s="72">
        <f t="shared" si="21"/>
        <v>0</v>
      </c>
      <c r="P83" s="76"/>
    </row>
    <row r="84" spans="1:16" x14ac:dyDescent="0.25">
      <c r="A84" s="185">
        <v>2210</v>
      </c>
      <c r="B84" s="137" t="s">
        <v>101</v>
      </c>
      <c r="C84" s="142">
        <f t="shared" ref="C84:C147" si="22">F84+I84+L84+O84</f>
        <v>431</v>
      </c>
      <c r="D84" s="317">
        <f t="shared" ref="D84:O84" si="23">SUM(D85:D88)</f>
        <v>189</v>
      </c>
      <c r="E84" s="686">
        <f t="shared" si="23"/>
        <v>0</v>
      </c>
      <c r="F84" s="667">
        <f t="shared" si="23"/>
        <v>189</v>
      </c>
      <c r="G84" s="317">
        <f t="shared" si="23"/>
        <v>0</v>
      </c>
      <c r="H84" s="686">
        <f t="shared" si="23"/>
        <v>0</v>
      </c>
      <c r="I84" s="667">
        <f t="shared" si="23"/>
        <v>0</v>
      </c>
      <c r="J84" s="317">
        <f t="shared" si="23"/>
        <v>242</v>
      </c>
      <c r="K84" s="686">
        <f t="shared" si="23"/>
        <v>0</v>
      </c>
      <c r="L84" s="667">
        <f t="shared" si="23"/>
        <v>242</v>
      </c>
      <c r="M84" s="186">
        <f t="shared" si="23"/>
        <v>0</v>
      </c>
      <c r="N84" s="187">
        <f t="shared" si="23"/>
        <v>0</v>
      </c>
      <c r="O84" s="140">
        <f t="shared" si="23"/>
        <v>0</v>
      </c>
      <c r="P84" s="128"/>
    </row>
    <row r="85" spans="1:16" ht="24" hidden="1" customHeight="1" x14ac:dyDescent="0.25">
      <c r="A85" s="44">
        <v>2211</v>
      </c>
      <c r="B85" s="81" t="s">
        <v>102</v>
      </c>
      <c r="C85" s="82">
        <f t="shared" si="22"/>
        <v>0</v>
      </c>
      <c r="D85" s="689"/>
      <c r="E85" s="690"/>
      <c r="F85" s="664">
        <f>D85+E85</f>
        <v>0</v>
      </c>
      <c r="G85" s="302"/>
      <c r="H85" s="628"/>
      <c r="I85" s="664">
        <f>G85+H85</f>
        <v>0</v>
      </c>
      <c r="J85" s="302"/>
      <c r="K85" s="628"/>
      <c r="L85" s="664">
        <f>K85+J85</f>
        <v>0</v>
      </c>
      <c r="M85" s="46"/>
      <c r="N85" s="47"/>
      <c r="O85" s="133">
        <f>N85+M85</f>
        <v>0</v>
      </c>
      <c r="P85" s="49"/>
    </row>
    <row r="86" spans="1:16" ht="36" customHeight="1" x14ac:dyDescent="0.25">
      <c r="A86" s="51">
        <v>2212</v>
      </c>
      <c r="B86" s="88" t="s">
        <v>103</v>
      </c>
      <c r="C86" s="89">
        <f t="shared" si="22"/>
        <v>189</v>
      </c>
      <c r="D86" s="544">
        <v>169</v>
      </c>
      <c r="E86" s="545"/>
      <c r="F86" s="543">
        <f>D86+E86</f>
        <v>169</v>
      </c>
      <c r="G86" s="303"/>
      <c r="H86" s="542"/>
      <c r="I86" s="543">
        <f>G86+H86</f>
        <v>0</v>
      </c>
      <c r="J86" s="303">
        <v>20</v>
      </c>
      <c r="K86" s="542"/>
      <c r="L86" s="543">
        <f>K86+J86</f>
        <v>20</v>
      </c>
      <c r="M86" s="53"/>
      <c r="N86" s="54"/>
      <c r="O86" s="55">
        <f>N86+M86</f>
        <v>0</v>
      </c>
      <c r="P86" s="57"/>
    </row>
    <row r="87" spans="1:16" ht="24" customHeight="1" x14ac:dyDescent="0.25">
      <c r="A87" s="51">
        <v>2214</v>
      </c>
      <c r="B87" s="88" t="s">
        <v>104</v>
      </c>
      <c r="C87" s="89">
        <f t="shared" si="22"/>
        <v>122</v>
      </c>
      <c r="D87" s="544"/>
      <c r="E87" s="545"/>
      <c r="F87" s="543">
        <f>D87+E87</f>
        <v>0</v>
      </c>
      <c r="G87" s="303"/>
      <c r="H87" s="542"/>
      <c r="I87" s="543">
        <f>G87+H87</f>
        <v>0</v>
      </c>
      <c r="J87" s="303">
        <v>122</v>
      </c>
      <c r="K87" s="542"/>
      <c r="L87" s="543">
        <f>K87+J87</f>
        <v>122</v>
      </c>
      <c r="M87" s="53"/>
      <c r="N87" s="54"/>
      <c r="O87" s="55">
        <f>N87+M87</f>
        <v>0</v>
      </c>
      <c r="P87" s="57"/>
    </row>
    <row r="88" spans="1:16" ht="12" customHeight="1" x14ac:dyDescent="0.25">
      <c r="A88" s="51">
        <v>2219</v>
      </c>
      <c r="B88" s="88" t="s">
        <v>105</v>
      </c>
      <c r="C88" s="89">
        <f t="shared" si="22"/>
        <v>120</v>
      </c>
      <c r="D88" s="544">
        <v>20</v>
      </c>
      <c r="E88" s="545"/>
      <c r="F88" s="543">
        <f>D88+E88</f>
        <v>20</v>
      </c>
      <c r="G88" s="303"/>
      <c r="H88" s="542"/>
      <c r="I88" s="543">
        <f>G88+H88</f>
        <v>0</v>
      </c>
      <c r="J88" s="303">
        <v>100</v>
      </c>
      <c r="K88" s="542"/>
      <c r="L88" s="543">
        <f>K88+J88</f>
        <v>100</v>
      </c>
      <c r="M88" s="53"/>
      <c r="N88" s="54"/>
      <c r="O88" s="55">
        <f>N88+M88</f>
        <v>0</v>
      </c>
      <c r="P88" s="57"/>
    </row>
    <row r="89" spans="1:16" ht="24" x14ac:dyDescent="0.25">
      <c r="A89" s="188">
        <v>2220</v>
      </c>
      <c r="B89" s="88" t="s">
        <v>106</v>
      </c>
      <c r="C89" s="89">
        <f t="shared" si="22"/>
        <v>24788</v>
      </c>
      <c r="D89" s="318">
        <f t="shared" ref="D89:O89" si="24">SUM(D90:D94)</f>
        <v>19773</v>
      </c>
      <c r="E89" s="687">
        <f t="shared" si="24"/>
        <v>0</v>
      </c>
      <c r="F89" s="543">
        <f t="shared" si="24"/>
        <v>19773</v>
      </c>
      <c r="G89" s="318">
        <f t="shared" si="24"/>
        <v>0</v>
      </c>
      <c r="H89" s="687">
        <f t="shared" si="24"/>
        <v>0</v>
      </c>
      <c r="I89" s="543">
        <f t="shared" si="24"/>
        <v>0</v>
      </c>
      <c r="J89" s="318">
        <f t="shared" si="24"/>
        <v>4567</v>
      </c>
      <c r="K89" s="687">
        <f t="shared" si="24"/>
        <v>448</v>
      </c>
      <c r="L89" s="543">
        <f t="shared" si="24"/>
        <v>5015</v>
      </c>
      <c r="M89" s="189">
        <f t="shared" si="24"/>
        <v>0</v>
      </c>
      <c r="N89" s="190">
        <f t="shared" si="24"/>
        <v>0</v>
      </c>
      <c r="O89" s="55">
        <f t="shared" si="24"/>
        <v>0</v>
      </c>
      <c r="P89" s="57"/>
    </row>
    <row r="90" spans="1:16" ht="24.75" customHeight="1" x14ac:dyDescent="0.25">
      <c r="A90" s="51">
        <v>2221</v>
      </c>
      <c r="B90" s="88" t="s">
        <v>107</v>
      </c>
      <c r="C90" s="89">
        <f t="shared" si="22"/>
        <v>7884</v>
      </c>
      <c r="D90" s="544">
        <v>6186</v>
      </c>
      <c r="E90" s="545"/>
      <c r="F90" s="543">
        <f>D90+E90</f>
        <v>6186</v>
      </c>
      <c r="G90" s="303"/>
      <c r="H90" s="542"/>
      <c r="I90" s="543">
        <f>G90+H90</f>
        <v>0</v>
      </c>
      <c r="J90" s="303">
        <v>1283</v>
      </c>
      <c r="K90" s="286">
        <f>403+12</f>
        <v>415</v>
      </c>
      <c r="L90" s="543">
        <f>K90+J90</f>
        <v>1698</v>
      </c>
      <c r="M90" s="53"/>
      <c r="N90" s="54"/>
      <c r="O90" s="55">
        <f>N90+M90</f>
        <v>0</v>
      </c>
      <c r="P90" s="57" t="s">
        <v>842</v>
      </c>
    </row>
    <row r="91" spans="1:16" ht="14.25" customHeight="1" x14ac:dyDescent="0.25">
      <c r="A91" s="51">
        <v>2222</v>
      </c>
      <c r="B91" s="88" t="s">
        <v>108</v>
      </c>
      <c r="C91" s="89">
        <f t="shared" si="22"/>
        <v>1902</v>
      </c>
      <c r="D91" s="544">
        <v>1325</v>
      </c>
      <c r="E91" s="545"/>
      <c r="F91" s="543">
        <f>D91+E91</f>
        <v>1325</v>
      </c>
      <c r="G91" s="303">
        <v>0</v>
      </c>
      <c r="H91" s="542"/>
      <c r="I91" s="543">
        <f>G91+H91</f>
        <v>0</v>
      </c>
      <c r="J91" s="303">
        <v>575</v>
      </c>
      <c r="K91" s="286">
        <v>2</v>
      </c>
      <c r="L91" s="543">
        <f>K91+J91</f>
        <v>577</v>
      </c>
      <c r="M91" s="53"/>
      <c r="N91" s="54"/>
      <c r="O91" s="55">
        <f>N91+M91</f>
        <v>0</v>
      </c>
      <c r="P91" s="57" t="s">
        <v>843</v>
      </c>
    </row>
    <row r="92" spans="1:16" ht="13.5" customHeight="1" x14ac:dyDescent="0.25">
      <c r="A92" s="51">
        <v>2223</v>
      </c>
      <c r="B92" s="88" t="s">
        <v>109</v>
      </c>
      <c r="C92" s="89">
        <f t="shared" si="22"/>
        <v>14500</v>
      </c>
      <c r="D92" s="544">
        <v>12262</v>
      </c>
      <c r="E92" s="545"/>
      <c r="F92" s="543">
        <f>D92+E92</f>
        <v>12262</v>
      </c>
      <c r="G92" s="303"/>
      <c r="H92" s="542"/>
      <c r="I92" s="543">
        <f>G92+H92</f>
        <v>0</v>
      </c>
      <c r="J92" s="303">
        <v>2210</v>
      </c>
      <c r="K92" s="286">
        <v>28</v>
      </c>
      <c r="L92" s="543">
        <f>K92+J92</f>
        <v>2238</v>
      </c>
      <c r="M92" s="53"/>
      <c r="N92" s="54"/>
      <c r="O92" s="55">
        <f>N92+M92</f>
        <v>0</v>
      </c>
      <c r="P92" s="57" t="s">
        <v>844</v>
      </c>
    </row>
    <row r="93" spans="1:16" ht="51.75" customHeight="1" x14ac:dyDescent="0.25">
      <c r="A93" s="51">
        <v>2224</v>
      </c>
      <c r="B93" s="88" t="s">
        <v>110</v>
      </c>
      <c r="C93" s="89">
        <f t="shared" si="22"/>
        <v>502</v>
      </c>
      <c r="D93" s="544"/>
      <c r="E93" s="545"/>
      <c r="F93" s="543">
        <f>D93+E93</f>
        <v>0</v>
      </c>
      <c r="G93" s="303"/>
      <c r="H93" s="542"/>
      <c r="I93" s="543">
        <f>G93+H93</f>
        <v>0</v>
      </c>
      <c r="J93" s="303">
        <v>499</v>
      </c>
      <c r="K93" s="286">
        <v>3</v>
      </c>
      <c r="L93" s="543">
        <f>K93+J93</f>
        <v>502</v>
      </c>
      <c r="M93" s="53"/>
      <c r="N93" s="54"/>
      <c r="O93" s="55">
        <f>N93+M93</f>
        <v>0</v>
      </c>
      <c r="P93" s="57" t="s">
        <v>845</v>
      </c>
    </row>
    <row r="94" spans="1:16" ht="24" hidden="1" customHeight="1" x14ac:dyDescent="0.25">
      <c r="A94" s="51">
        <v>2229</v>
      </c>
      <c r="B94" s="88" t="s">
        <v>111</v>
      </c>
      <c r="C94" s="89">
        <f t="shared" si="22"/>
        <v>0</v>
      </c>
      <c r="D94" s="544"/>
      <c r="E94" s="545"/>
      <c r="F94" s="543">
        <f>D94+E94</f>
        <v>0</v>
      </c>
      <c r="G94" s="303"/>
      <c r="H94" s="542"/>
      <c r="I94" s="543">
        <f>G94+H94</f>
        <v>0</v>
      </c>
      <c r="J94" s="303"/>
      <c r="K94" s="542"/>
      <c r="L94" s="543">
        <f>K94+J94</f>
        <v>0</v>
      </c>
      <c r="M94" s="53"/>
      <c r="N94" s="54"/>
      <c r="O94" s="55">
        <f>N94+M94</f>
        <v>0</v>
      </c>
      <c r="P94" s="57"/>
    </row>
    <row r="95" spans="1:16" ht="36" x14ac:dyDescent="0.25">
      <c r="A95" s="188">
        <v>2230</v>
      </c>
      <c r="B95" s="88" t="s">
        <v>112</v>
      </c>
      <c r="C95" s="89">
        <f t="shared" si="22"/>
        <v>2278</v>
      </c>
      <c r="D95" s="318">
        <f t="shared" ref="D95:O95" si="25">SUM(D96:D102)</f>
        <v>1528</v>
      </c>
      <c r="E95" s="687">
        <f t="shared" si="25"/>
        <v>0</v>
      </c>
      <c r="F95" s="543">
        <f t="shared" si="25"/>
        <v>1528</v>
      </c>
      <c r="G95" s="318">
        <f t="shared" si="25"/>
        <v>0</v>
      </c>
      <c r="H95" s="687">
        <f t="shared" si="25"/>
        <v>0</v>
      </c>
      <c r="I95" s="543">
        <f t="shared" si="25"/>
        <v>0</v>
      </c>
      <c r="J95" s="318">
        <f t="shared" si="25"/>
        <v>750</v>
      </c>
      <c r="K95" s="687">
        <f t="shared" si="25"/>
        <v>0</v>
      </c>
      <c r="L95" s="543">
        <f t="shared" si="25"/>
        <v>750</v>
      </c>
      <c r="M95" s="189">
        <f t="shared" si="25"/>
        <v>0</v>
      </c>
      <c r="N95" s="190">
        <f t="shared" si="25"/>
        <v>0</v>
      </c>
      <c r="O95" s="55">
        <f t="shared" si="25"/>
        <v>0</v>
      </c>
      <c r="P95" s="57"/>
    </row>
    <row r="96" spans="1:16" ht="24" hidden="1" customHeight="1" x14ac:dyDescent="0.25">
      <c r="A96" s="51">
        <v>2231</v>
      </c>
      <c r="B96" s="88" t="s">
        <v>113</v>
      </c>
      <c r="C96" s="89">
        <f t="shared" si="22"/>
        <v>0</v>
      </c>
      <c r="D96" s="544"/>
      <c r="E96" s="545"/>
      <c r="F96" s="543">
        <f t="shared" ref="F96:F102" si="26">D96+E96</f>
        <v>0</v>
      </c>
      <c r="G96" s="303"/>
      <c r="H96" s="542"/>
      <c r="I96" s="543">
        <f t="shared" ref="I96:I102" si="27">G96+H96</f>
        <v>0</v>
      </c>
      <c r="J96" s="303"/>
      <c r="K96" s="542"/>
      <c r="L96" s="543">
        <f t="shared" ref="L96:L102" si="28">K96+J96</f>
        <v>0</v>
      </c>
      <c r="M96" s="53"/>
      <c r="N96" s="54"/>
      <c r="O96" s="55">
        <f t="shared" ref="O96:O102" si="29">N96+M96</f>
        <v>0</v>
      </c>
      <c r="P96" s="57"/>
    </row>
    <row r="97" spans="1:16" ht="24.75" hidden="1" customHeight="1" x14ac:dyDescent="0.25">
      <c r="A97" s="51">
        <v>2232</v>
      </c>
      <c r="B97" s="88" t="s">
        <v>114</v>
      </c>
      <c r="C97" s="89">
        <f t="shared" si="22"/>
        <v>0</v>
      </c>
      <c r="D97" s="544"/>
      <c r="E97" s="545"/>
      <c r="F97" s="543">
        <f t="shared" si="26"/>
        <v>0</v>
      </c>
      <c r="G97" s="303"/>
      <c r="H97" s="542"/>
      <c r="I97" s="543">
        <f t="shared" si="27"/>
        <v>0</v>
      </c>
      <c r="J97" s="303"/>
      <c r="K97" s="542"/>
      <c r="L97" s="543">
        <f t="shared" si="28"/>
        <v>0</v>
      </c>
      <c r="M97" s="53"/>
      <c r="N97" s="54"/>
      <c r="O97" s="55">
        <f t="shared" si="29"/>
        <v>0</v>
      </c>
      <c r="P97" s="57"/>
    </row>
    <row r="98" spans="1:16" ht="24" hidden="1" customHeight="1" x14ac:dyDescent="0.25">
      <c r="A98" s="44">
        <v>2233</v>
      </c>
      <c r="B98" s="81" t="s">
        <v>115</v>
      </c>
      <c r="C98" s="82">
        <f t="shared" si="22"/>
        <v>0</v>
      </c>
      <c r="D98" s="689"/>
      <c r="E98" s="690"/>
      <c r="F98" s="664">
        <f t="shared" si="26"/>
        <v>0</v>
      </c>
      <c r="G98" s="302"/>
      <c r="H98" s="628"/>
      <c r="I98" s="664">
        <f t="shared" si="27"/>
        <v>0</v>
      </c>
      <c r="J98" s="302"/>
      <c r="K98" s="628"/>
      <c r="L98" s="664">
        <f t="shared" si="28"/>
        <v>0</v>
      </c>
      <c r="M98" s="46"/>
      <c r="N98" s="47"/>
      <c r="O98" s="133">
        <f t="shared" si="29"/>
        <v>0</v>
      </c>
      <c r="P98" s="49"/>
    </row>
    <row r="99" spans="1:16" ht="36" hidden="1" customHeight="1" x14ac:dyDescent="0.25">
      <c r="A99" s="51">
        <v>2234</v>
      </c>
      <c r="B99" s="88" t="s">
        <v>116</v>
      </c>
      <c r="C99" s="89">
        <f t="shared" si="22"/>
        <v>0</v>
      </c>
      <c r="D99" s="544"/>
      <c r="E99" s="545"/>
      <c r="F99" s="543">
        <f t="shared" si="26"/>
        <v>0</v>
      </c>
      <c r="G99" s="303"/>
      <c r="H99" s="542"/>
      <c r="I99" s="543">
        <f t="shared" si="27"/>
        <v>0</v>
      </c>
      <c r="J99" s="303"/>
      <c r="K99" s="542"/>
      <c r="L99" s="543">
        <f t="shared" si="28"/>
        <v>0</v>
      </c>
      <c r="M99" s="53"/>
      <c r="N99" s="54"/>
      <c r="O99" s="55">
        <f t="shared" si="29"/>
        <v>0</v>
      </c>
      <c r="P99" s="57"/>
    </row>
    <row r="100" spans="1:16" ht="24" customHeight="1" x14ac:dyDescent="0.25">
      <c r="A100" s="51">
        <v>2235</v>
      </c>
      <c r="B100" s="88" t="s">
        <v>117</v>
      </c>
      <c r="C100" s="89">
        <f t="shared" si="22"/>
        <v>150</v>
      </c>
      <c r="D100" s="544"/>
      <c r="E100" s="545"/>
      <c r="F100" s="543">
        <f t="shared" si="26"/>
        <v>0</v>
      </c>
      <c r="G100" s="303"/>
      <c r="H100" s="542"/>
      <c r="I100" s="543">
        <f t="shared" si="27"/>
        <v>0</v>
      </c>
      <c r="J100" s="303">
        <v>150</v>
      </c>
      <c r="K100" s="542"/>
      <c r="L100" s="543">
        <f t="shared" si="28"/>
        <v>150</v>
      </c>
      <c r="M100" s="53"/>
      <c r="N100" s="54"/>
      <c r="O100" s="55">
        <f t="shared" si="29"/>
        <v>0</v>
      </c>
      <c r="P100" s="57"/>
    </row>
    <row r="101" spans="1:16" ht="12" hidden="1" customHeight="1" x14ac:dyDescent="0.25">
      <c r="A101" s="51">
        <v>2236</v>
      </c>
      <c r="B101" s="88" t="s">
        <v>118</v>
      </c>
      <c r="C101" s="89">
        <f t="shared" si="22"/>
        <v>0</v>
      </c>
      <c r="D101" s="544"/>
      <c r="E101" s="545"/>
      <c r="F101" s="543">
        <f t="shared" si="26"/>
        <v>0</v>
      </c>
      <c r="G101" s="303"/>
      <c r="H101" s="542"/>
      <c r="I101" s="543">
        <f t="shared" si="27"/>
        <v>0</v>
      </c>
      <c r="J101" s="303"/>
      <c r="K101" s="542"/>
      <c r="L101" s="543">
        <f t="shared" si="28"/>
        <v>0</v>
      </c>
      <c r="M101" s="53"/>
      <c r="N101" s="54"/>
      <c r="O101" s="55">
        <f t="shared" si="29"/>
        <v>0</v>
      </c>
      <c r="P101" s="57"/>
    </row>
    <row r="102" spans="1:16" ht="24" customHeight="1" x14ac:dyDescent="0.25">
      <c r="A102" s="51">
        <v>2239</v>
      </c>
      <c r="B102" s="88" t="s">
        <v>119</v>
      </c>
      <c r="C102" s="89">
        <f t="shared" si="22"/>
        <v>2128</v>
      </c>
      <c r="D102" s="544">
        <v>1528</v>
      </c>
      <c r="E102" s="545"/>
      <c r="F102" s="543">
        <f t="shared" si="26"/>
        <v>1528</v>
      </c>
      <c r="G102" s="303"/>
      <c r="H102" s="542"/>
      <c r="I102" s="543">
        <f t="shared" si="27"/>
        <v>0</v>
      </c>
      <c r="J102" s="303">
        <v>600</v>
      </c>
      <c r="K102" s="542"/>
      <c r="L102" s="543">
        <f t="shared" si="28"/>
        <v>600</v>
      </c>
      <c r="M102" s="53"/>
      <c r="N102" s="54"/>
      <c r="O102" s="55">
        <f t="shared" si="29"/>
        <v>0</v>
      </c>
      <c r="P102" s="57"/>
    </row>
    <row r="103" spans="1:16" ht="36" x14ac:dyDescent="0.25">
      <c r="A103" s="188">
        <v>2240</v>
      </c>
      <c r="B103" s="88" t="s">
        <v>120</v>
      </c>
      <c r="C103" s="89">
        <f t="shared" si="22"/>
        <v>5221</v>
      </c>
      <c r="D103" s="318">
        <f t="shared" ref="D103:O103" si="30">SUM(D104:D111)</f>
        <v>3788</v>
      </c>
      <c r="E103" s="687">
        <f t="shared" si="30"/>
        <v>0</v>
      </c>
      <c r="F103" s="543">
        <f t="shared" si="30"/>
        <v>3788</v>
      </c>
      <c r="G103" s="318">
        <f t="shared" si="30"/>
        <v>0</v>
      </c>
      <c r="H103" s="687">
        <f t="shared" si="30"/>
        <v>0</v>
      </c>
      <c r="I103" s="543">
        <f t="shared" si="30"/>
        <v>0</v>
      </c>
      <c r="J103" s="318">
        <f t="shared" si="30"/>
        <v>1433</v>
      </c>
      <c r="K103" s="687">
        <f t="shared" si="30"/>
        <v>0</v>
      </c>
      <c r="L103" s="543">
        <f t="shared" si="30"/>
        <v>1433</v>
      </c>
      <c r="M103" s="189">
        <f t="shared" si="30"/>
        <v>0</v>
      </c>
      <c r="N103" s="190">
        <f t="shared" si="30"/>
        <v>0</v>
      </c>
      <c r="O103" s="55">
        <f t="shared" si="30"/>
        <v>0</v>
      </c>
      <c r="P103" s="57"/>
    </row>
    <row r="104" spans="1:16" ht="12" hidden="1" customHeight="1" x14ac:dyDescent="0.25">
      <c r="A104" s="51">
        <v>2241</v>
      </c>
      <c r="B104" s="88" t="s">
        <v>121</v>
      </c>
      <c r="C104" s="89">
        <f t="shared" si="22"/>
        <v>0</v>
      </c>
      <c r="D104" s="544"/>
      <c r="E104" s="545"/>
      <c r="F104" s="543">
        <f t="shared" ref="F104:F111" si="31">D104+E104</f>
        <v>0</v>
      </c>
      <c r="G104" s="303"/>
      <c r="H104" s="542"/>
      <c r="I104" s="543">
        <f t="shared" ref="I104:I111" si="32">G104+H104</f>
        <v>0</v>
      </c>
      <c r="J104" s="303"/>
      <c r="K104" s="542"/>
      <c r="L104" s="543">
        <f t="shared" ref="L104:L111" si="33">K104+J104</f>
        <v>0</v>
      </c>
      <c r="M104" s="53"/>
      <c r="N104" s="54"/>
      <c r="O104" s="55">
        <f t="shared" ref="O104:O111" si="34">N104+M104</f>
        <v>0</v>
      </c>
      <c r="P104" s="57"/>
    </row>
    <row r="105" spans="1:16" ht="24" hidden="1" customHeight="1" x14ac:dyDescent="0.25">
      <c r="A105" s="51">
        <v>2242</v>
      </c>
      <c r="B105" s="88" t="s">
        <v>122</v>
      </c>
      <c r="C105" s="89">
        <f t="shared" si="22"/>
        <v>0</v>
      </c>
      <c r="D105" s="544"/>
      <c r="E105" s="545"/>
      <c r="F105" s="543">
        <f t="shared" si="31"/>
        <v>0</v>
      </c>
      <c r="G105" s="303"/>
      <c r="H105" s="542"/>
      <c r="I105" s="543">
        <f t="shared" si="32"/>
        <v>0</v>
      </c>
      <c r="J105" s="303"/>
      <c r="K105" s="542"/>
      <c r="L105" s="543">
        <f t="shared" si="33"/>
        <v>0</v>
      </c>
      <c r="M105" s="53"/>
      <c r="N105" s="54"/>
      <c r="O105" s="55">
        <f t="shared" si="34"/>
        <v>0</v>
      </c>
      <c r="P105" s="57"/>
    </row>
    <row r="106" spans="1:16" ht="24" customHeight="1" x14ac:dyDescent="0.25">
      <c r="A106" s="51">
        <v>2243</v>
      </c>
      <c r="B106" s="88" t="s">
        <v>123</v>
      </c>
      <c r="C106" s="89">
        <f t="shared" si="22"/>
        <v>485</v>
      </c>
      <c r="D106" s="544">
        <v>200</v>
      </c>
      <c r="E106" s="545"/>
      <c r="F106" s="543">
        <f t="shared" si="31"/>
        <v>200</v>
      </c>
      <c r="G106" s="303"/>
      <c r="H106" s="542"/>
      <c r="I106" s="543">
        <f t="shared" si="32"/>
        <v>0</v>
      </c>
      <c r="J106" s="303">
        <v>285</v>
      </c>
      <c r="K106" s="542"/>
      <c r="L106" s="543">
        <f t="shared" si="33"/>
        <v>285</v>
      </c>
      <c r="M106" s="53"/>
      <c r="N106" s="54"/>
      <c r="O106" s="55">
        <f t="shared" si="34"/>
        <v>0</v>
      </c>
      <c r="P106" s="57"/>
    </row>
    <row r="107" spans="1:16" ht="12" customHeight="1" x14ac:dyDescent="0.25">
      <c r="A107" s="51">
        <v>2244</v>
      </c>
      <c r="B107" s="88" t="s">
        <v>124</v>
      </c>
      <c r="C107" s="89">
        <f t="shared" si="22"/>
        <v>4736</v>
      </c>
      <c r="D107" s="544">
        <v>3588</v>
      </c>
      <c r="E107" s="545"/>
      <c r="F107" s="543">
        <f t="shared" si="31"/>
        <v>3588</v>
      </c>
      <c r="G107" s="303"/>
      <c r="H107" s="542"/>
      <c r="I107" s="543">
        <f t="shared" si="32"/>
        <v>0</v>
      </c>
      <c r="J107" s="303">
        <v>1148</v>
      </c>
      <c r="K107" s="542"/>
      <c r="L107" s="543">
        <f t="shared" si="33"/>
        <v>1148</v>
      </c>
      <c r="M107" s="53"/>
      <c r="N107" s="54"/>
      <c r="O107" s="55">
        <f t="shared" si="34"/>
        <v>0</v>
      </c>
      <c r="P107" s="57"/>
    </row>
    <row r="108" spans="1:16" ht="24" hidden="1" customHeight="1" x14ac:dyDescent="0.25">
      <c r="A108" s="51">
        <v>2246</v>
      </c>
      <c r="B108" s="88" t="s">
        <v>125</v>
      </c>
      <c r="C108" s="89">
        <f t="shared" si="22"/>
        <v>0</v>
      </c>
      <c r="D108" s="544"/>
      <c r="E108" s="545"/>
      <c r="F108" s="543">
        <f t="shared" si="31"/>
        <v>0</v>
      </c>
      <c r="G108" s="303"/>
      <c r="H108" s="542"/>
      <c r="I108" s="543">
        <f t="shared" si="32"/>
        <v>0</v>
      </c>
      <c r="J108" s="303"/>
      <c r="K108" s="542"/>
      <c r="L108" s="543">
        <f t="shared" si="33"/>
        <v>0</v>
      </c>
      <c r="M108" s="53"/>
      <c r="N108" s="54"/>
      <c r="O108" s="55">
        <f t="shared" si="34"/>
        <v>0</v>
      </c>
      <c r="P108" s="57"/>
    </row>
    <row r="109" spans="1:16" ht="12" hidden="1" customHeight="1" x14ac:dyDescent="0.25">
      <c r="A109" s="51">
        <v>2247</v>
      </c>
      <c r="B109" s="88" t="s">
        <v>126</v>
      </c>
      <c r="C109" s="89">
        <f t="shared" si="22"/>
        <v>0</v>
      </c>
      <c r="D109" s="544"/>
      <c r="E109" s="545"/>
      <c r="F109" s="543">
        <f t="shared" si="31"/>
        <v>0</v>
      </c>
      <c r="G109" s="303"/>
      <c r="H109" s="542"/>
      <c r="I109" s="543">
        <f t="shared" si="32"/>
        <v>0</v>
      </c>
      <c r="J109" s="303"/>
      <c r="K109" s="542"/>
      <c r="L109" s="543">
        <f t="shared" si="33"/>
        <v>0</v>
      </c>
      <c r="M109" s="53"/>
      <c r="N109" s="54"/>
      <c r="O109" s="55">
        <f t="shared" si="34"/>
        <v>0</v>
      </c>
      <c r="P109" s="57"/>
    </row>
    <row r="110" spans="1:16" ht="24" hidden="1" customHeight="1" x14ac:dyDescent="0.25">
      <c r="A110" s="51">
        <v>2248</v>
      </c>
      <c r="B110" s="88" t="s">
        <v>127</v>
      </c>
      <c r="C110" s="89">
        <f t="shared" si="22"/>
        <v>0</v>
      </c>
      <c r="D110" s="544"/>
      <c r="E110" s="545"/>
      <c r="F110" s="543">
        <f t="shared" si="31"/>
        <v>0</v>
      </c>
      <c r="G110" s="303"/>
      <c r="H110" s="542"/>
      <c r="I110" s="543">
        <f t="shared" si="32"/>
        <v>0</v>
      </c>
      <c r="J110" s="303"/>
      <c r="K110" s="542"/>
      <c r="L110" s="543">
        <f t="shared" si="33"/>
        <v>0</v>
      </c>
      <c r="M110" s="53"/>
      <c r="N110" s="54"/>
      <c r="O110" s="55">
        <f t="shared" si="34"/>
        <v>0</v>
      </c>
      <c r="P110" s="57"/>
    </row>
    <row r="111" spans="1:16" ht="24" hidden="1" customHeight="1" x14ac:dyDescent="0.25">
      <c r="A111" s="51">
        <v>2249</v>
      </c>
      <c r="B111" s="88" t="s">
        <v>128</v>
      </c>
      <c r="C111" s="89">
        <f t="shared" si="22"/>
        <v>0</v>
      </c>
      <c r="D111" s="544"/>
      <c r="E111" s="545"/>
      <c r="F111" s="543">
        <f t="shared" si="31"/>
        <v>0</v>
      </c>
      <c r="G111" s="303"/>
      <c r="H111" s="542"/>
      <c r="I111" s="543">
        <f t="shared" si="32"/>
        <v>0</v>
      </c>
      <c r="J111" s="303"/>
      <c r="K111" s="542"/>
      <c r="L111" s="543">
        <f t="shared" si="33"/>
        <v>0</v>
      </c>
      <c r="M111" s="53"/>
      <c r="N111" s="54"/>
      <c r="O111" s="55">
        <f t="shared" si="34"/>
        <v>0</v>
      </c>
      <c r="P111" s="57"/>
    </row>
    <row r="112" spans="1:16" x14ac:dyDescent="0.25">
      <c r="A112" s="188">
        <v>2250</v>
      </c>
      <c r="B112" s="88" t="s">
        <v>129</v>
      </c>
      <c r="C112" s="89">
        <f t="shared" si="22"/>
        <v>7657</v>
      </c>
      <c r="D112" s="318">
        <f t="shared" ref="D112:O112" si="35">SUM(D113:D115)</f>
        <v>7657</v>
      </c>
      <c r="E112" s="687">
        <f t="shared" si="35"/>
        <v>0</v>
      </c>
      <c r="F112" s="543">
        <f t="shared" si="35"/>
        <v>7657</v>
      </c>
      <c r="G112" s="318">
        <f t="shared" si="35"/>
        <v>0</v>
      </c>
      <c r="H112" s="687">
        <f t="shared" si="35"/>
        <v>0</v>
      </c>
      <c r="I112" s="543">
        <f t="shared" si="35"/>
        <v>0</v>
      </c>
      <c r="J112" s="318">
        <f t="shared" si="35"/>
        <v>0</v>
      </c>
      <c r="K112" s="687">
        <f t="shared" si="35"/>
        <v>0</v>
      </c>
      <c r="L112" s="543">
        <f t="shared" si="35"/>
        <v>0</v>
      </c>
      <c r="M112" s="189">
        <f t="shared" si="35"/>
        <v>0</v>
      </c>
      <c r="N112" s="190">
        <f t="shared" si="35"/>
        <v>0</v>
      </c>
      <c r="O112" s="55">
        <f t="shared" si="35"/>
        <v>0</v>
      </c>
      <c r="P112" s="57"/>
    </row>
    <row r="113" spans="1:16" ht="12" hidden="1" customHeight="1" x14ac:dyDescent="0.25">
      <c r="A113" s="51">
        <v>2251</v>
      </c>
      <c r="B113" s="88" t="s">
        <v>130</v>
      </c>
      <c r="C113" s="89">
        <f t="shared" si="22"/>
        <v>0</v>
      </c>
      <c r="D113" s="544"/>
      <c r="E113" s="545"/>
      <c r="F113" s="543">
        <f>D113+E113</f>
        <v>0</v>
      </c>
      <c r="G113" s="303"/>
      <c r="H113" s="542"/>
      <c r="I113" s="543">
        <f>G113+H113</f>
        <v>0</v>
      </c>
      <c r="J113" s="303"/>
      <c r="K113" s="542"/>
      <c r="L113" s="543">
        <f>K113+J113</f>
        <v>0</v>
      </c>
      <c r="M113" s="53"/>
      <c r="N113" s="54"/>
      <c r="O113" s="55">
        <f>N113+M113</f>
        <v>0</v>
      </c>
      <c r="P113" s="57"/>
    </row>
    <row r="114" spans="1:16" ht="24" customHeight="1" x14ac:dyDescent="0.25">
      <c r="A114" s="51">
        <v>2252</v>
      </c>
      <c r="B114" s="88" t="s">
        <v>131</v>
      </c>
      <c r="C114" s="89">
        <f t="shared" si="22"/>
        <v>7221</v>
      </c>
      <c r="D114" s="544">
        <v>7221</v>
      </c>
      <c r="E114" s="545"/>
      <c r="F114" s="543">
        <f>D114+E114</f>
        <v>7221</v>
      </c>
      <c r="G114" s="303"/>
      <c r="H114" s="542"/>
      <c r="I114" s="543">
        <f>G114+H114</f>
        <v>0</v>
      </c>
      <c r="J114" s="303"/>
      <c r="K114" s="542"/>
      <c r="L114" s="543">
        <f>K114+J114</f>
        <v>0</v>
      </c>
      <c r="M114" s="53"/>
      <c r="N114" s="54"/>
      <c r="O114" s="55">
        <f>N114+M114</f>
        <v>0</v>
      </c>
      <c r="P114" s="57"/>
    </row>
    <row r="115" spans="1:16" ht="24" customHeight="1" x14ac:dyDescent="0.25">
      <c r="A115" s="51">
        <v>2259</v>
      </c>
      <c r="B115" s="88" t="s">
        <v>132</v>
      </c>
      <c r="C115" s="89">
        <f t="shared" si="22"/>
        <v>436</v>
      </c>
      <c r="D115" s="544">
        <v>436</v>
      </c>
      <c r="E115" s="545"/>
      <c r="F115" s="543">
        <f>D115+E115</f>
        <v>436</v>
      </c>
      <c r="G115" s="303"/>
      <c r="H115" s="542"/>
      <c r="I115" s="543">
        <f>G115+H115</f>
        <v>0</v>
      </c>
      <c r="J115" s="303"/>
      <c r="K115" s="542"/>
      <c r="L115" s="543">
        <f>K115+J115</f>
        <v>0</v>
      </c>
      <c r="M115" s="53"/>
      <c r="N115" s="54"/>
      <c r="O115" s="55">
        <f>N115+M115</f>
        <v>0</v>
      </c>
      <c r="P115" s="57"/>
    </row>
    <row r="116" spans="1:16" x14ac:dyDescent="0.25">
      <c r="A116" s="188">
        <v>2260</v>
      </c>
      <c r="B116" s="88" t="s">
        <v>133</v>
      </c>
      <c r="C116" s="89">
        <f t="shared" si="22"/>
        <v>649</v>
      </c>
      <c r="D116" s="318">
        <f t="shared" ref="D116:O116" si="36">SUM(D117:D121)</f>
        <v>26</v>
      </c>
      <c r="E116" s="687">
        <f t="shared" si="36"/>
        <v>0</v>
      </c>
      <c r="F116" s="543">
        <f t="shared" si="36"/>
        <v>26</v>
      </c>
      <c r="G116" s="318">
        <f t="shared" si="36"/>
        <v>0</v>
      </c>
      <c r="H116" s="687">
        <f t="shared" si="36"/>
        <v>0</v>
      </c>
      <c r="I116" s="543">
        <f t="shared" si="36"/>
        <v>0</v>
      </c>
      <c r="J116" s="318">
        <f t="shared" si="36"/>
        <v>623</v>
      </c>
      <c r="K116" s="687">
        <f t="shared" si="36"/>
        <v>0</v>
      </c>
      <c r="L116" s="543">
        <f t="shared" si="36"/>
        <v>623</v>
      </c>
      <c r="M116" s="189">
        <f t="shared" si="36"/>
        <v>0</v>
      </c>
      <c r="N116" s="190">
        <f t="shared" si="36"/>
        <v>0</v>
      </c>
      <c r="O116" s="55">
        <f t="shared" si="36"/>
        <v>0</v>
      </c>
      <c r="P116" s="57"/>
    </row>
    <row r="117" spans="1:16" ht="12" hidden="1" customHeight="1" x14ac:dyDescent="0.25">
      <c r="A117" s="51">
        <v>2261</v>
      </c>
      <c r="B117" s="88" t="s">
        <v>134</v>
      </c>
      <c r="C117" s="89">
        <f t="shared" si="22"/>
        <v>0</v>
      </c>
      <c r="D117" s="544"/>
      <c r="E117" s="545"/>
      <c r="F117" s="543">
        <f>D117+E117</f>
        <v>0</v>
      </c>
      <c r="G117" s="303"/>
      <c r="H117" s="542"/>
      <c r="I117" s="543">
        <f>G117+H117</f>
        <v>0</v>
      </c>
      <c r="J117" s="303"/>
      <c r="K117" s="542"/>
      <c r="L117" s="543">
        <f>K117+J117</f>
        <v>0</v>
      </c>
      <c r="M117" s="53"/>
      <c r="N117" s="54"/>
      <c r="O117" s="55">
        <f>N117+M117</f>
        <v>0</v>
      </c>
      <c r="P117" s="57"/>
    </row>
    <row r="118" spans="1:16" ht="15.75" customHeight="1" x14ac:dyDescent="0.25">
      <c r="A118" s="51">
        <v>2262</v>
      </c>
      <c r="B118" s="88" t="s">
        <v>135</v>
      </c>
      <c r="C118" s="89">
        <f t="shared" si="22"/>
        <v>623</v>
      </c>
      <c r="D118" s="544"/>
      <c r="E118" s="545"/>
      <c r="F118" s="543">
        <f>D118+E118</f>
        <v>0</v>
      </c>
      <c r="G118" s="303"/>
      <c r="H118" s="542"/>
      <c r="I118" s="543">
        <f>G118+H118</f>
        <v>0</v>
      </c>
      <c r="J118" s="303">
        <v>623</v>
      </c>
      <c r="K118" s="542"/>
      <c r="L118" s="543">
        <f>K118+J118</f>
        <v>623</v>
      </c>
      <c r="M118" s="53"/>
      <c r="N118" s="54"/>
      <c r="O118" s="55">
        <f>N118+M118</f>
        <v>0</v>
      </c>
      <c r="P118" s="288"/>
    </row>
    <row r="119" spans="1:16" ht="18.75" hidden="1" customHeight="1" x14ac:dyDescent="0.25">
      <c r="A119" s="51">
        <v>2263</v>
      </c>
      <c r="B119" s="88" t="s">
        <v>136</v>
      </c>
      <c r="C119" s="89">
        <f t="shared" si="22"/>
        <v>0</v>
      </c>
      <c r="D119" s="544"/>
      <c r="E119" s="545"/>
      <c r="F119" s="543">
        <f>D119+E119</f>
        <v>0</v>
      </c>
      <c r="G119" s="303"/>
      <c r="H119" s="542"/>
      <c r="I119" s="543">
        <f>G119+H119</f>
        <v>0</v>
      </c>
      <c r="J119" s="303"/>
      <c r="K119" s="542"/>
      <c r="L119" s="543">
        <f>K119+J119</f>
        <v>0</v>
      </c>
      <c r="M119" s="53"/>
      <c r="N119" s="54"/>
      <c r="O119" s="55">
        <f>N119+M119</f>
        <v>0</v>
      </c>
      <c r="P119" s="57"/>
    </row>
    <row r="120" spans="1:16" ht="24" hidden="1" customHeight="1" x14ac:dyDescent="0.25">
      <c r="A120" s="51">
        <v>2264</v>
      </c>
      <c r="B120" s="88" t="s">
        <v>137</v>
      </c>
      <c r="C120" s="89">
        <f t="shared" si="22"/>
        <v>0</v>
      </c>
      <c r="D120" s="544"/>
      <c r="E120" s="545"/>
      <c r="F120" s="543">
        <f>D120+E120</f>
        <v>0</v>
      </c>
      <c r="G120" s="303"/>
      <c r="H120" s="542"/>
      <c r="I120" s="543">
        <f>G120+H120</f>
        <v>0</v>
      </c>
      <c r="J120" s="303"/>
      <c r="K120" s="542"/>
      <c r="L120" s="543">
        <f>K120+J120</f>
        <v>0</v>
      </c>
      <c r="M120" s="53"/>
      <c r="N120" s="54"/>
      <c r="O120" s="55">
        <f>N120+M120</f>
        <v>0</v>
      </c>
      <c r="P120" s="57"/>
    </row>
    <row r="121" spans="1:16" ht="12" customHeight="1" x14ac:dyDescent="0.25">
      <c r="A121" s="51">
        <v>2269</v>
      </c>
      <c r="B121" s="88" t="s">
        <v>138</v>
      </c>
      <c r="C121" s="89">
        <f t="shared" si="22"/>
        <v>26</v>
      </c>
      <c r="D121" s="544">
        <v>26</v>
      </c>
      <c r="E121" s="545"/>
      <c r="F121" s="543">
        <f>D121+E121</f>
        <v>26</v>
      </c>
      <c r="G121" s="303"/>
      <c r="H121" s="542"/>
      <c r="I121" s="543">
        <f>G121+H121</f>
        <v>0</v>
      </c>
      <c r="J121" s="303"/>
      <c r="K121" s="542"/>
      <c r="L121" s="543">
        <f>K121+J121</f>
        <v>0</v>
      </c>
      <c r="M121" s="53"/>
      <c r="N121" s="54"/>
      <c r="O121" s="55">
        <f>N121+M121</f>
        <v>0</v>
      </c>
      <c r="P121" s="57"/>
    </row>
    <row r="122" spans="1:16" x14ac:dyDescent="0.25">
      <c r="A122" s="188">
        <v>2270</v>
      </c>
      <c r="B122" s="88" t="s">
        <v>139</v>
      </c>
      <c r="C122" s="89">
        <f t="shared" si="22"/>
        <v>527</v>
      </c>
      <c r="D122" s="318">
        <f t="shared" ref="D122:O122" si="37">SUM(D123:D127)</f>
        <v>177</v>
      </c>
      <c r="E122" s="687">
        <f t="shared" si="37"/>
        <v>0</v>
      </c>
      <c r="F122" s="543">
        <f t="shared" si="37"/>
        <v>177</v>
      </c>
      <c r="G122" s="318">
        <f t="shared" si="37"/>
        <v>0</v>
      </c>
      <c r="H122" s="687">
        <f t="shared" si="37"/>
        <v>0</v>
      </c>
      <c r="I122" s="543">
        <f t="shared" si="37"/>
        <v>0</v>
      </c>
      <c r="J122" s="318">
        <f t="shared" si="37"/>
        <v>350</v>
      </c>
      <c r="K122" s="687">
        <f t="shared" si="37"/>
        <v>0</v>
      </c>
      <c r="L122" s="543">
        <f t="shared" si="37"/>
        <v>350</v>
      </c>
      <c r="M122" s="189">
        <f t="shared" si="37"/>
        <v>0</v>
      </c>
      <c r="N122" s="190">
        <f t="shared" si="37"/>
        <v>0</v>
      </c>
      <c r="O122" s="55">
        <f t="shared" si="37"/>
        <v>0</v>
      </c>
      <c r="P122" s="288"/>
    </row>
    <row r="123" spans="1:16" ht="12" hidden="1" customHeight="1" x14ac:dyDescent="0.25">
      <c r="A123" s="51">
        <v>2272</v>
      </c>
      <c r="B123" s="199" t="s">
        <v>140</v>
      </c>
      <c r="C123" s="89">
        <f t="shared" si="22"/>
        <v>0</v>
      </c>
      <c r="D123" s="544"/>
      <c r="E123" s="545"/>
      <c r="F123" s="543">
        <f>D123+E123</f>
        <v>0</v>
      </c>
      <c r="G123" s="303"/>
      <c r="H123" s="542"/>
      <c r="I123" s="543">
        <f>G123+H123</f>
        <v>0</v>
      </c>
      <c r="J123" s="303"/>
      <c r="K123" s="542"/>
      <c r="L123" s="543">
        <f>K123+J123</f>
        <v>0</v>
      </c>
      <c r="M123" s="53"/>
      <c r="N123" s="54"/>
      <c r="O123" s="55">
        <f>N123+M123</f>
        <v>0</v>
      </c>
      <c r="P123" s="57"/>
    </row>
    <row r="124" spans="1:16" ht="24" hidden="1" customHeight="1" x14ac:dyDescent="0.25">
      <c r="A124" s="51">
        <v>2274</v>
      </c>
      <c r="B124" s="200" t="s">
        <v>141</v>
      </c>
      <c r="C124" s="89">
        <f t="shared" si="22"/>
        <v>0</v>
      </c>
      <c r="D124" s="544"/>
      <c r="E124" s="545"/>
      <c r="F124" s="543">
        <f>D124+E124</f>
        <v>0</v>
      </c>
      <c r="G124" s="303"/>
      <c r="H124" s="542"/>
      <c r="I124" s="543">
        <f>G124+H124</f>
        <v>0</v>
      </c>
      <c r="J124" s="303"/>
      <c r="K124" s="542"/>
      <c r="L124" s="543">
        <f>K124+J124</f>
        <v>0</v>
      </c>
      <c r="M124" s="53"/>
      <c r="N124" s="54"/>
      <c r="O124" s="55">
        <f>N124+M124</f>
        <v>0</v>
      </c>
      <c r="P124" s="57"/>
    </row>
    <row r="125" spans="1:16" ht="24" hidden="1" customHeight="1" x14ac:dyDescent="0.25">
      <c r="A125" s="51">
        <v>2275</v>
      </c>
      <c r="B125" s="88" t="s">
        <v>142</v>
      </c>
      <c r="C125" s="89">
        <f t="shared" si="22"/>
        <v>0</v>
      </c>
      <c r="D125" s="544"/>
      <c r="E125" s="545"/>
      <c r="F125" s="543">
        <f>D125+E125</f>
        <v>0</v>
      </c>
      <c r="G125" s="303"/>
      <c r="H125" s="542"/>
      <c r="I125" s="543">
        <f>G125+H125</f>
        <v>0</v>
      </c>
      <c r="J125" s="303"/>
      <c r="K125" s="542"/>
      <c r="L125" s="543">
        <f>K125+J125</f>
        <v>0</v>
      </c>
      <c r="M125" s="53"/>
      <c r="N125" s="54"/>
      <c r="O125" s="55">
        <f>N125+M125</f>
        <v>0</v>
      </c>
      <c r="P125" s="57"/>
    </row>
    <row r="126" spans="1:16" ht="36" hidden="1" customHeight="1" x14ac:dyDescent="0.25">
      <c r="A126" s="51">
        <v>2276</v>
      </c>
      <c r="B126" s="88" t="s">
        <v>143</v>
      </c>
      <c r="C126" s="89">
        <f t="shared" si="22"/>
        <v>0</v>
      </c>
      <c r="D126" s="544"/>
      <c r="E126" s="545"/>
      <c r="F126" s="543">
        <f>D126+E126</f>
        <v>0</v>
      </c>
      <c r="G126" s="303"/>
      <c r="H126" s="542"/>
      <c r="I126" s="543">
        <f>G126+H126</f>
        <v>0</v>
      </c>
      <c r="J126" s="303"/>
      <c r="K126" s="542"/>
      <c r="L126" s="543">
        <f>K126+J126</f>
        <v>0</v>
      </c>
      <c r="M126" s="53"/>
      <c r="N126" s="54"/>
      <c r="O126" s="55">
        <f>N126+M126</f>
        <v>0</v>
      </c>
      <c r="P126" s="57"/>
    </row>
    <row r="127" spans="1:16" ht="27.75" customHeight="1" x14ac:dyDescent="0.25">
      <c r="A127" s="51">
        <v>2279</v>
      </c>
      <c r="B127" s="88" t="s">
        <v>144</v>
      </c>
      <c r="C127" s="89">
        <f t="shared" si="22"/>
        <v>527</v>
      </c>
      <c r="D127" s="544">
        <v>177</v>
      </c>
      <c r="E127" s="545"/>
      <c r="F127" s="543">
        <f>D127+E127</f>
        <v>177</v>
      </c>
      <c r="G127" s="303"/>
      <c r="H127" s="542"/>
      <c r="I127" s="543">
        <f>G127+H127</f>
        <v>0</v>
      </c>
      <c r="J127" s="303">
        <v>350</v>
      </c>
      <c r="K127" s="542"/>
      <c r="L127" s="543">
        <f>K127+J127</f>
        <v>350</v>
      </c>
      <c r="M127" s="53"/>
      <c r="N127" s="54"/>
      <c r="O127" s="55">
        <f>N127+M127</f>
        <v>0</v>
      </c>
      <c r="P127" s="288"/>
    </row>
    <row r="128" spans="1:16" ht="48" hidden="1" x14ac:dyDescent="0.25">
      <c r="A128" s="278">
        <v>2280</v>
      </c>
      <c r="B128" s="81" t="s">
        <v>145</v>
      </c>
      <c r="C128" s="82">
        <f t="shared" si="22"/>
        <v>0</v>
      </c>
      <c r="D128" s="319">
        <f t="shared" ref="D128:O128" si="38">SUM(D129)</f>
        <v>0</v>
      </c>
      <c r="E128" s="688">
        <f t="shared" si="38"/>
        <v>0</v>
      </c>
      <c r="F128" s="664">
        <f t="shared" si="38"/>
        <v>0</v>
      </c>
      <c r="G128" s="319">
        <f t="shared" si="38"/>
        <v>0</v>
      </c>
      <c r="H128" s="688">
        <f t="shared" si="38"/>
        <v>0</v>
      </c>
      <c r="I128" s="664">
        <f t="shared" si="38"/>
        <v>0</v>
      </c>
      <c r="J128" s="319">
        <f t="shared" si="38"/>
        <v>0</v>
      </c>
      <c r="K128" s="688">
        <f t="shared" si="38"/>
        <v>0</v>
      </c>
      <c r="L128" s="664">
        <f t="shared" si="38"/>
        <v>0</v>
      </c>
      <c r="M128" s="192">
        <f t="shared" si="38"/>
        <v>0</v>
      </c>
      <c r="N128" s="193">
        <f t="shared" si="38"/>
        <v>0</v>
      </c>
      <c r="O128" s="133">
        <f t="shared" si="38"/>
        <v>0</v>
      </c>
      <c r="P128" s="49"/>
    </row>
    <row r="129" spans="1:16" ht="24" hidden="1" customHeight="1" x14ac:dyDescent="0.25">
      <c r="A129" s="51">
        <v>2283</v>
      </c>
      <c r="B129" s="88" t="s">
        <v>146</v>
      </c>
      <c r="C129" s="89">
        <f t="shared" si="22"/>
        <v>0</v>
      </c>
      <c r="D129" s="544"/>
      <c r="E129" s="545"/>
      <c r="F129" s="543">
        <f>D129+E129</f>
        <v>0</v>
      </c>
      <c r="G129" s="303"/>
      <c r="H129" s="542"/>
      <c r="I129" s="543">
        <f>G129+H129</f>
        <v>0</v>
      </c>
      <c r="J129" s="303"/>
      <c r="K129" s="542"/>
      <c r="L129" s="543">
        <f>K129+J129</f>
        <v>0</v>
      </c>
      <c r="M129" s="53"/>
      <c r="N129" s="54"/>
      <c r="O129" s="55">
        <f>N129+M129</f>
        <v>0</v>
      </c>
      <c r="P129" s="57"/>
    </row>
    <row r="130" spans="1:16" ht="38.25" customHeight="1" x14ac:dyDescent="0.25">
      <c r="A130" s="68">
        <v>2300</v>
      </c>
      <c r="B130" s="182" t="s">
        <v>147</v>
      </c>
      <c r="C130" s="69">
        <f t="shared" si="22"/>
        <v>16942</v>
      </c>
      <c r="D130" s="316">
        <f t="shared" ref="D130:O130" si="39">SUM(D131,D136,D140,D141,D144,D151,D159,D160,D163)</f>
        <v>7426</v>
      </c>
      <c r="E130" s="685">
        <f t="shared" si="39"/>
        <v>0</v>
      </c>
      <c r="F130" s="638">
        <f t="shared" si="39"/>
        <v>7426</v>
      </c>
      <c r="G130" s="316">
        <f t="shared" si="39"/>
        <v>698</v>
      </c>
      <c r="H130" s="685">
        <f t="shared" si="39"/>
        <v>0</v>
      </c>
      <c r="I130" s="638">
        <f t="shared" si="39"/>
        <v>698</v>
      </c>
      <c r="J130" s="316">
        <f t="shared" si="39"/>
        <v>8518</v>
      </c>
      <c r="K130" s="685">
        <f t="shared" si="39"/>
        <v>300</v>
      </c>
      <c r="L130" s="638">
        <f t="shared" si="39"/>
        <v>8818</v>
      </c>
      <c r="M130" s="183">
        <f t="shared" si="39"/>
        <v>0</v>
      </c>
      <c r="N130" s="184">
        <f t="shared" si="39"/>
        <v>0</v>
      </c>
      <c r="O130" s="72">
        <f t="shared" si="39"/>
        <v>0</v>
      </c>
      <c r="P130" s="76"/>
    </row>
    <row r="131" spans="1:16" ht="24" x14ac:dyDescent="0.25">
      <c r="A131" s="278">
        <v>2310</v>
      </c>
      <c r="B131" s="81" t="s">
        <v>148</v>
      </c>
      <c r="C131" s="82">
        <f t="shared" si="22"/>
        <v>2923</v>
      </c>
      <c r="D131" s="319">
        <f t="shared" ref="D131:O131" si="40">SUM(D132:D135)</f>
        <v>856</v>
      </c>
      <c r="E131" s="688">
        <f t="shared" si="40"/>
        <v>0</v>
      </c>
      <c r="F131" s="664">
        <f t="shared" si="40"/>
        <v>856</v>
      </c>
      <c r="G131" s="319">
        <f t="shared" si="40"/>
        <v>0</v>
      </c>
      <c r="H131" s="688">
        <f t="shared" si="40"/>
        <v>0</v>
      </c>
      <c r="I131" s="664">
        <f t="shared" si="40"/>
        <v>0</v>
      </c>
      <c r="J131" s="319">
        <f t="shared" si="40"/>
        <v>1767</v>
      </c>
      <c r="K131" s="688">
        <f t="shared" si="40"/>
        <v>300</v>
      </c>
      <c r="L131" s="664">
        <f t="shared" si="40"/>
        <v>2067</v>
      </c>
      <c r="M131" s="192">
        <f t="shared" si="40"/>
        <v>0</v>
      </c>
      <c r="N131" s="193">
        <f t="shared" si="40"/>
        <v>0</v>
      </c>
      <c r="O131" s="133">
        <f t="shared" si="40"/>
        <v>0</v>
      </c>
      <c r="P131" s="49"/>
    </row>
    <row r="132" spans="1:16" ht="17.25" customHeight="1" x14ac:dyDescent="0.25">
      <c r="A132" s="51">
        <v>2311</v>
      </c>
      <c r="B132" s="88" t="s">
        <v>149</v>
      </c>
      <c r="C132" s="89">
        <f t="shared" si="22"/>
        <v>1117</v>
      </c>
      <c r="D132" s="544">
        <v>680</v>
      </c>
      <c r="E132" s="545"/>
      <c r="F132" s="543">
        <f>D132+E132</f>
        <v>680</v>
      </c>
      <c r="G132" s="303"/>
      <c r="H132" s="542"/>
      <c r="I132" s="543">
        <f>G132+H132</f>
        <v>0</v>
      </c>
      <c r="J132" s="303">
        <v>437</v>
      </c>
      <c r="K132" s="542"/>
      <c r="L132" s="543">
        <f>K132+J132</f>
        <v>437</v>
      </c>
      <c r="M132" s="53"/>
      <c r="N132" s="54"/>
      <c r="O132" s="55">
        <f>N132+M132</f>
        <v>0</v>
      </c>
      <c r="P132" s="57"/>
    </row>
    <row r="133" spans="1:16" ht="16.5" customHeight="1" x14ac:dyDescent="0.25">
      <c r="A133" s="51">
        <v>2312</v>
      </c>
      <c r="B133" s="88" t="s">
        <v>150</v>
      </c>
      <c r="C133" s="89">
        <f t="shared" si="22"/>
        <v>1206</v>
      </c>
      <c r="D133" s="544">
        <v>176</v>
      </c>
      <c r="E133" s="545"/>
      <c r="F133" s="543">
        <f>D133+E133</f>
        <v>176</v>
      </c>
      <c r="G133" s="303"/>
      <c r="H133" s="542"/>
      <c r="I133" s="543">
        <f>G133+H133</f>
        <v>0</v>
      </c>
      <c r="J133" s="303">
        <v>730</v>
      </c>
      <c r="K133" s="286">
        <v>300</v>
      </c>
      <c r="L133" s="543">
        <f>K133+J133</f>
        <v>1030</v>
      </c>
      <c r="M133" s="53"/>
      <c r="N133" s="54"/>
      <c r="O133" s="55">
        <f>N133+M133</f>
        <v>0</v>
      </c>
      <c r="P133" s="57" t="s">
        <v>846</v>
      </c>
    </row>
    <row r="134" spans="1:16" ht="12" customHeight="1" x14ac:dyDescent="0.25">
      <c r="A134" s="51">
        <v>2313</v>
      </c>
      <c r="B134" s="88" t="s">
        <v>151</v>
      </c>
      <c r="C134" s="89">
        <f t="shared" si="22"/>
        <v>100</v>
      </c>
      <c r="D134" s="544"/>
      <c r="E134" s="545"/>
      <c r="F134" s="543">
        <f>D134+E134</f>
        <v>0</v>
      </c>
      <c r="G134" s="303"/>
      <c r="H134" s="542"/>
      <c r="I134" s="543">
        <f>G134+H134</f>
        <v>0</v>
      </c>
      <c r="J134" s="303">
        <v>100</v>
      </c>
      <c r="K134" s="542"/>
      <c r="L134" s="543">
        <f>K134+J134</f>
        <v>100</v>
      </c>
      <c r="M134" s="53"/>
      <c r="N134" s="54"/>
      <c r="O134" s="55">
        <f>N134+M134</f>
        <v>0</v>
      </c>
      <c r="P134" s="57"/>
    </row>
    <row r="135" spans="1:16" ht="36" customHeight="1" x14ac:dyDescent="0.25">
      <c r="A135" s="51">
        <v>2314</v>
      </c>
      <c r="B135" s="88" t="s">
        <v>152</v>
      </c>
      <c r="C135" s="89">
        <f t="shared" si="22"/>
        <v>500</v>
      </c>
      <c r="D135" s="544"/>
      <c r="E135" s="545"/>
      <c r="F135" s="543">
        <f>D135+E135</f>
        <v>0</v>
      </c>
      <c r="G135" s="303"/>
      <c r="H135" s="542"/>
      <c r="I135" s="543">
        <f>G135+H135</f>
        <v>0</v>
      </c>
      <c r="J135" s="303">
        <v>500</v>
      </c>
      <c r="K135" s="542"/>
      <c r="L135" s="543">
        <f>K135+J135</f>
        <v>500</v>
      </c>
      <c r="M135" s="53"/>
      <c r="N135" s="54"/>
      <c r="O135" s="55">
        <f>N135+M135</f>
        <v>0</v>
      </c>
      <c r="P135" s="57"/>
    </row>
    <row r="136" spans="1:16" x14ac:dyDescent="0.25">
      <c r="A136" s="188">
        <v>2320</v>
      </c>
      <c r="B136" s="88" t="s">
        <v>153</v>
      </c>
      <c r="C136" s="89">
        <f t="shared" si="22"/>
        <v>800</v>
      </c>
      <c r="D136" s="318">
        <f t="shared" ref="D136:O136" si="41">SUM(D137:D139)</f>
        <v>0</v>
      </c>
      <c r="E136" s="687">
        <f t="shared" si="41"/>
        <v>0</v>
      </c>
      <c r="F136" s="543">
        <f t="shared" si="41"/>
        <v>0</v>
      </c>
      <c r="G136" s="318">
        <f t="shared" si="41"/>
        <v>0</v>
      </c>
      <c r="H136" s="687">
        <f t="shared" si="41"/>
        <v>0</v>
      </c>
      <c r="I136" s="543">
        <f t="shared" si="41"/>
        <v>0</v>
      </c>
      <c r="J136" s="318">
        <f t="shared" si="41"/>
        <v>800</v>
      </c>
      <c r="K136" s="687">
        <f t="shared" si="41"/>
        <v>0</v>
      </c>
      <c r="L136" s="543">
        <f t="shared" si="41"/>
        <v>800</v>
      </c>
      <c r="M136" s="189">
        <f t="shared" si="41"/>
        <v>0</v>
      </c>
      <c r="N136" s="190">
        <f t="shared" si="41"/>
        <v>0</v>
      </c>
      <c r="O136" s="55">
        <f t="shared" si="41"/>
        <v>0</v>
      </c>
      <c r="P136" s="57"/>
    </row>
    <row r="137" spans="1:16" ht="12" hidden="1" customHeight="1" x14ac:dyDescent="0.25">
      <c r="A137" s="51">
        <v>2321</v>
      </c>
      <c r="B137" s="88" t="s">
        <v>154</v>
      </c>
      <c r="C137" s="89">
        <f t="shared" si="22"/>
        <v>0</v>
      </c>
      <c r="D137" s="544"/>
      <c r="E137" s="545"/>
      <c r="F137" s="543">
        <f>D137+E137</f>
        <v>0</v>
      </c>
      <c r="G137" s="303"/>
      <c r="H137" s="542"/>
      <c r="I137" s="543">
        <f>G137+H137</f>
        <v>0</v>
      </c>
      <c r="J137" s="303"/>
      <c r="K137" s="542"/>
      <c r="L137" s="543">
        <f>K137+J137</f>
        <v>0</v>
      </c>
      <c r="M137" s="53"/>
      <c r="N137" s="54"/>
      <c r="O137" s="55">
        <f>N137+M137</f>
        <v>0</v>
      </c>
      <c r="P137" s="57"/>
    </row>
    <row r="138" spans="1:16" ht="12" customHeight="1" x14ac:dyDescent="0.25">
      <c r="A138" s="51">
        <v>2322</v>
      </c>
      <c r="B138" s="88" t="s">
        <v>155</v>
      </c>
      <c r="C138" s="89">
        <f t="shared" si="22"/>
        <v>800</v>
      </c>
      <c r="D138" s="544"/>
      <c r="E138" s="545"/>
      <c r="F138" s="543">
        <f>D138+E138</f>
        <v>0</v>
      </c>
      <c r="G138" s="303"/>
      <c r="H138" s="542"/>
      <c r="I138" s="543">
        <f>G138+H138</f>
        <v>0</v>
      </c>
      <c r="J138" s="303">
        <v>800</v>
      </c>
      <c r="K138" s="542"/>
      <c r="L138" s="543">
        <f>K138+J138</f>
        <v>800</v>
      </c>
      <c r="M138" s="53"/>
      <c r="N138" s="54"/>
      <c r="O138" s="55">
        <f>N138+M138</f>
        <v>0</v>
      </c>
      <c r="P138" s="57"/>
    </row>
    <row r="139" spans="1:16" ht="10.5" hidden="1" customHeight="1" x14ac:dyDescent="0.25">
      <c r="A139" s="51">
        <v>2329</v>
      </c>
      <c r="B139" s="88" t="s">
        <v>156</v>
      </c>
      <c r="C139" s="89">
        <f t="shared" si="22"/>
        <v>0</v>
      </c>
      <c r="D139" s="544"/>
      <c r="E139" s="545"/>
      <c r="F139" s="543">
        <f>D139+E139</f>
        <v>0</v>
      </c>
      <c r="G139" s="303"/>
      <c r="H139" s="542"/>
      <c r="I139" s="543">
        <f>G139+H139</f>
        <v>0</v>
      </c>
      <c r="J139" s="303"/>
      <c r="K139" s="542"/>
      <c r="L139" s="543">
        <f>K139+J139</f>
        <v>0</v>
      </c>
      <c r="M139" s="53"/>
      <c r="N139" s="54"/>
      <c r="O139" s="55">
        <f>N139+M139</f>
        <v>0</v>
      </c>
      <c r="P139" s="57"/>
    </row>
    <row r="140" spans="1:16" ht="12" hidden="1" customHeight="1" x14ac:dyDescent="0.25">
      <c r="A140" s="188">
        <v>2330</v>
      </c>
      <c r="B140" s="88" t="s">
        <v>157</v>
      </c>
      <c r="C140" s="89">
        <f t="shared" si="22"/>
        <v>0</v>
      </c>
      <c r="D140" s="544"/>
      <c r="E140" s="545"/>
      <c r="F140" s="543">
        <f>D140+E140</f>
        <v>0</v>
      </c>
      <c r="G140" s="303"/>
      <c r="H140" s="542"/>
      <c r="I140" s="543">
        <f>G140+H140</f>
        <v>0</v>
      </c>
      <c r="J140" s="303"/>
      <c r="K140" s="542"/>
      <c r="L140" s="543">
        <f>K140+J140</f>
        <v>0</v>
      </c>
      <c r="M140" s="53"/>
      <c r="N140" s="54"/>
      <c r="O140" s="55">
        <f>N140+M140</f>
        <v>0</v>
      </c>
      <c r="P140" s="57"/>
    </row>
    <row r="141" spans="1:16" ht="48" hidden="1" x14ac:dyDescent="0.25">
      <c r="A141" s="188">
        <v>2340</v>
      </c>
      <c r="B141" s="88" t="s">
        <v>158</v>
      </c>
      <c r="C141" s="89">
        <f t="shared" si="22"/>
        <v>0</v>
      </c>
      <c r="D141" s="318">
        <f t="shared" ref="D141:O141" si="42">SUM(D142:D143)</f>
        <v>0</v>
      </c>
      <c r="E141" s="687">
        <f t="shared" si="42"/>
        <v>0</v>
      </c>
      <c r="F141" s="543">
        <f t="shared" si="42"/>
        <v>0</v>
      </c>
      <c r="G141" s="318">
        <f t="shared" si="42"/>
        <v>0</v>
      </c>
      <c r="H141" s="687">
        <f t="shared" si="42"/>
        <v>0</v>
      </c>
      <c r="I141" s="543">
        <f t="shared" si="42"/>
        <v>0</v>
      </c>
      <c r="J141" s="318">
        <f t="shared" si="42"/>
        <v>0</v>
      </c>
      <c r="K141" s="687">
        <f t="shared" si="42"/>
        <v>0</v>
      </c>
      <c r="L141" s="543">
        <f t="shared" si="42"/>
        <v>0</v>
      </c>
      <c r="M141" s="189">
        <f t="shared" si="42"/>
        <v>0</v>
      </c>
      <c r="N141" s="190">
        <f t="shared" si="42"/>
        <v>0</v>
      </c>
      <c r="O141" s="55">
        <f t="shared" si="42"/>
        <v>0</v>
      </c>
      <c r="P141" s="57"/>
    </row>
    <row r="142" spans="1:16" ht="12" hidden="1" customHeight="1" x14ac:dyDescent="0.25">
      <c r="A142" s="51">
        <v>2341</v>
      </c>
      <c r="B142" s="88" t="s">
        <v>159</v>
      </c>
      <c r="C142" s="89">
        <f t="shared" si="22"/>
        <v>0</v>
      </c>
      <c r="D142" s="544"/>
      <c r="E142" s="545"/>
      <c r="F142" s="543">
        <f>D142+E142</f>
        <v>0</v>
      </c>
      <c r="G142" s="303"/>
      <c r="H142" s="542"/>
      <c r="I142" s="543">
        <f>G142+H142</f>
        <v>0</v>
      </c>
      <c r="J142" s="303"/>
      <c r="K142" s="542"/>
      <c r="L142" s="543">
        <f>K142+J142</f>
        <v>0</v>
      </c>
      <c r="M142" s="53"/>
      <c r="N142" s="54"/>
      <c r="O142" s="55">
        <f>N142+M142</f>
        <v>0</v>
      </c>
      <c r="P142" s="57"/>
    </row>
    <row r="143" spans="1:16" ht="24" hidden="1" customHeight="1" x14ac:dyDescent="0.25">
      <c r="A143" s="51">
        <v>2344</v>
      </c>
      <c r="B143" s="88" t="s">
        <v>160</v>
      </c>
      <c r="C143" s="89">
        <f t="shared" si="22"/>
        <v>0</v>
      </c>
      <c r="D143" s="544"/>
      <c r="E143" s="545"/>
      <c r="F143" s="543">
        <f>D143+E143</f>
        <v>0</v>
      </c>
      <c r="G143" s="303"/>
      <c r="H143" s="542"/>
      <c r="I143" s="543">
        <f>G143+H143</f>
        <v>0</v>
      </c>
      <c r="J143" s="303"/>
      <c r="K143" s="542"/>
      <c r="L143" s="543">
        <f>K143+J143</f>
        <v>0</v>
      </c>
      <c r="M143" s="53"/>
      <c r="N143" s="54"/>
      <c r="O143" s="55">
        <f>N143+M143</f>
        <v>0</v>
      </c>
      <c r="P143" s="57"/>
    </row>
    <row r="144" spans="1:16" ht="24" x14ac:dyDescent="0.25">
      <c r="A144" s="185">
        <v>2350</v>
      </c>
      <c r="B144" s="137" t="s">
        <v>161</v>
      </c>
      <c r="C144" s="142">
        <f t="shared" si="22"/>
        <v>3005</v>
      </c>
      <c r="D144" s="317">
        <f t="shared" ref="D144:O144" si="43">SUM(D145:D150)</f>
        <v>2105</v>
      </c>
      <c r="E144" s="686">
        <f t="shared" si="43"/>
        <v>0</v>
      </c>
      <c r="F144" s="667">
        <f t="shared" si="43"/>
        <v>2105</v>
      </c>
      <c r="G144" s="317">
        <f t="shared" si="43"/>
        <v>0</v>
      </c>
      <c r="H144" s="686">
        <f t="shared" si="43"/>
        <v>0</v>
      </c>
      <c r="I144" s="667">
        <f t="shared" si="43"/>
        <v>0</v>
      </c>
      <c r="J144" s="317">
        <f t="shared" si="43"/>
        <v>900</v>
      </c>
      <c r="K144" s="686">
        <f t="shared" si="43"/>
        <v>0</v>
      </c>
      <c r="L144" s="667">
        <f t="shared" si="43"/>
        <v>900</v>
      </c>
      <c r="M144" s="186">
        <f t="shared" si="43"/>
        <v>0</v>
      </c>
      <c r="N144" s="187">
        <f t="shared" si="43"/>
        <v>0</v>
      </c>
      <c r="O144" s="140">
        <f t="shared" si="43"/>
        <v>0</v>
      </c>
      <c r="P144" s="128"/>
    </row>
    <row r="145" spans="1:16" ht="12" customHeight="1" x14ac:dyDescent="0.25">
      <c r="A145" s="44">
        <v>2351</v>
      </c>
      <c r="B145" s="81" t="s">
        <v>162</v>
      </c>
      <c r="C145" s="82">
        <f t="shared" si="22"/>
        <v>50</v>
      </c>
      <c r="D145" s="689"/>
      <c r="E145" s="690"/>
      <c r="F145" s="664">
        <f t="shared" ref="F145:F150" si="44">D145+E145</f>
        <v>0</v>
      </c>
      <c r="G145" s="302"/>
      <c r="H145" s="628"/>
      <c r="I145" s="664">
        <f t="shared" ref="I145:I150" si="45">G145+H145</f>
        <v>0</v>
      </c>
      <c r="J145" s="302">
        <v>50</v>
      </c>
      <c r="K145" s="628"/>
      <c r="L145" s="664">
        <f t="shared" ref="L145:L150" si="46">K145+J145</f>
        <v>50</v>
      </c>
      <c r="M145" s="46"/>
      <c r="N145" s="47"/>
      <c r="O145" s="133">
        <f t="shared" ref="O145:O150" si="47">N145+M145</f>
        <v>0</v>
      </c>
      <c r="P145" s="49"/>
    </row>
    <row r="146" spans="1:16" ht="15" customHeight="1" x14ac:dyDescent="0.25">
      <c r="A146" s="51">
        <v>2352</v>
      </c>
      <c r="B146" s="88" t="s">
        <v>163</v>
      </c>
      <c r="C146" s="89">
        <f t="shared" si="22"/>
        <v>2905</v>
      </c>
      <c r="D146" s="544">
        <v>2105</v>
      </c>
      <c r="E146" s="545"/>
      <c r="F146" s="543">
        <f t="shared" si="44"/>
        <v>2105</v>
      </c>
      <c r="G146" s="303"/>
      <c r="H146" s="542"/>
      <c r="I146" s="543">
        <f t="shared" si="45"/>
        <v>0</v>
      </c>
      <c r="J146" s="303">
        <v>800</v>
      </c>
      <c r="K146" s="542"/>
      <c r="L146" s="543">
        <f t="shared" si="46"/>
        <v>800</v>
      </c>
      <c r="M146" s="53"/>
      <c r="N146" s="54"/>
      <c r="O146" s="55">
        <f t="shared" si="47"/>
        <v>0</v>
      </c>
      <c r="P146" s="57"/>
    </row>
    <row r="147" spans="1:16" ht="24" hidden="1" customHeight="1" x14ac:dyDescent="0.25">
      <c r="A147" s="51">
        <v>2353</v>
      </c>
      <c r="B147" s="88" t="s">
        <v>164</v>
      </c>
      <c r="C147" s="89">
        <f t="shared" si="22"/>
        <v>0</v>
      </c>
      <c r="D147" s="544"/>
      <c r="E147" s="545"/>
      <c r="F147" s="543">
        <f t="shared" si="44"/>
        <v>0</v>
      </c>
      <c r="G147" s="303"/>
      <c r="H147" s="542"/>
      <c r="I147" s="543">
        <f t="shared" si="45"/>
        <v>0</v>
      </c>
      <c r="J147" s="303"/>
      <c r="K147" s="542"/>
      <c r="L147" s="543">
        <f t="shared" si="46"/>
        <v>0</v>
      </c>
      <c r="M147" s="53"/>
      <c r="N147" s="54"/>
      <c r="O147" s="55">
        <f t="shared" si="47"/>
        <v>0</v>
      </c>
      <c r="P147" s="57"/>
    </row>
    <row r="148" spans="1:16" ht="24" hidden="1" customHeight="1" x14ac:dyDescent="0.25">
      <c r="A148" s="51">
        <v>2354</v>
      </c>
      <c r="B148" s="88" t="s">
        <v>165</v>
      </c>
      <c r="C148" s="89">
        <f t="shared" ref="C148:C211" si="48">F148+I148+L148+O148</f>
        <v>0</v>
      </c>
      <c r="D148" s="544"/>
      <c r="E148" s="545"/>
      <c r="F148" s="543">
        <f t="shared" si="44"/>
        <v>0</v>
      </c>
      <c r="G148" s="303"/>
      <c r="H148" s="542"/>
      <c r="I148" s="543">
        <f t="shared" si="45"/>
        <v>0</v>
      </c>
      <c r="J148" s="303"/>
      <c r="K148" s="542"/>
      <c r="L148" s="543">
        <f t="shared" si="46"/>
        <v>0</v>
      </c>
      <c r="M148" s="53"/>
      <c r="N148" s="54"/>
      <c r="O148" s="55">
        <f t="shared" si="47"/>
        <v>0</v>
      </c>
      <c r="P148" s="57"/>
    </row>
    <row r="149" spans="1:16" ht="24" customHeight="1" x14ac:dyDescent="0.25">
      <c r="A149" s="51">
        <v>2355</v>
      </c>
      <c r="B149" s="88" t="s">
        <v>166</v>
      </c>
      <c r="C149" s="89">
        <f t="shared" si="48"/>
        <v>50</v>
      </c>
      <c r="D149" s="544"/>
      <c r="E149" s="545"/>
      <c r="F149" s="543">
        <f t="shared" si="44"/>
        <v>0</v>
      </c>
      <c r="G149" s="303"/>
      <c r="H149" s="542"/>
      <c r="I149" s="543">
        <f t="shared" si="45"/>
        <v>0</v>
      </c>
      <c r="J149" s="303">
        <v>50</v>
      </c>
      <c r="K149" s="542"/>
      <c r="L149" s="543">
        <f t="shared" si="46"/>
        <v>50</v>
      </c>
      <c r="M149" s="53"/>
      <c r="N149" s="54"/>
      <c r="O149" s="55">
        <f t="shared" si="47"/>
        <v>0</v>
      </c>
      <c r="P149" s="57"/>
    </row>
    <row r="150" spans="1:16" ht="24" hidden="1" customHeight="1" x14ac:dyDescent="0.25">
      <c r="A150" s="51">
        <v>2359</v>
      </c>
      <c r="B150" s="88" t="s">
        <v>167</v>
      </c>
      <c r="C150" s="89">
        <f t="shared" si="48"/>
        <v>0</v>
      </c>
      <c r="D150" s="544"/>
      <c r="E150" s="545"/>
      <c r="F150" s="543">
        <f t="shared" si="44"/>
        <v>0</v>
      </c>
      <c r="G150" s="303"/>
      <c r="H150" s="542"/>
      <c r="I150" s="543">
        <f t="shared" si="45"/>
        <v>0</v>
      </c>
      <c r="J150" s="303"/>
      <c r="K150" s="542"/>
      <c r="L150" s="543">
        <f t="shared" si="46"/>
        <v>0</v>
      </c>
      <c r="M150" s="53"/>
      <c r="N150" s="54"/>
      <c r="O150" s="55">
        <f t="shared" si="47"/>
        <v>0</v>
      </c>
      <c r="P150" s="57"/>
    </row>
    <row r="151" spans="1:16" ht="24.75" customHeight="1" x14ac:dyDescent="0.25">
      <c r="A151" s="188">
        <v>2360</v>
      </c>
      <c r="B151" s="88" t="s">
        <v>168</v>
      </c>
      <c r="C151" s="89">
        <f t="shared" si="48"/>
        <v>1750</v>
      </c>
      <c r="D151" s="318">
        <f t="shared" ref="D151:O151" si="49">SUM(D152:D158)</f>
        <v>1750</v>
      </c>
      <c r="E151" s="687">
        <f t="shared" si="49"/>
        <v>0</v>
      </c>
      <c r="F151" s="543">
        <f t="shared" si="49"/>
        <v>1750</v>
      </c>
      <c r="G151" s="318">
        <f t="shared" si="49"/>
        <v>0</v>
      </c>
      <c r="H151" s="687">
        <f t="shared" si="49"/>
        <v>0</v>
      </c>
      <c r="I151" s="543">
        <f t="shared" si="49"/>
        <v>0</v>
      </c>
      <c r="J151" s="318">
        <f t="shared" si="49"/>
        <v>0</v>
      </c>
      <c r="K151" s="687">
        <f t="shared" si="49"/>
        <v>0</v>
      </c>
      <c r="L151" s="543">
        <f t="shared" si="49"/>
        <v>0</v>
      </c>
      <c r="M151" s="189">
        <f t="shared" si="49"/>
        <v>0</v>
      </c>
      <c r="N151" s="190">
        <f t="shared" si="49"/>
        <v>0</v>
      </c>
      <c r="O151" s="55">
        <f t="shared" si="49"/>
        <v>0</v>
      </c>
      <c r="P151" s="57"/>
    </row>
    <row r="152" spans="1:16" ht="12" hidden="1" customHeight="1" x14ac:dyDescent="0.25">
      <c r="A152" s="50">
        <v>2361</v>
      </c>
      <c r="B152" s="88" t="s">
        <v>169</v>
      </c>
      <c r="C152" s="89">
        <f t="shared" si="48"/>
        <v>0</v>
      </c>
      <c r="D152" s="544"/>
      <c r="E152" s="545"/>
      <c r="F152" s="543">
        <f t="shared" ref="F152:F159" si="50">D152+E152</f>
        <v>0</v>
      </c>
      <c r="G152" s="303"/>
      <c r="H152" s="542"/>
      <c r="I152" s="543">
        <f t="shared" ref="I152:I159" si="51">G152+H152</f>
        <v>0</v>
      </c>
      <c r="J152" s="303"/>
      <c r="K152" s="542"/>
      <c r="L152" s="543">
        <f t="shared" ref="L152:L159" si="52">K152+J152</f>
        <v>0</v>
      </c>
      <c r="M152" s="53"/>
      <c r="N152" s="54"/>
      <c r="O152" s="55">
        <f t="shared" ref="O152:O159" si="53">N152+M152</f>
        <v>0</v>
      </c>
      <c r="P152" s="57"/>
    </row>
    <row r="153" spans="1:16" ht="24" hidden="1" customHeight="1" x14ac:dyDescent="0.25">
      <c r="A153" s="50">
        <v>2362</v>
      </c>
      <c r="B153" s="88" t="s">
        <v>170</v>
      </c>
      <c r="C153" s="89">
        <f t="shared" si="48"/>
        <v>0</v>
      </c>
      <c r="D153" s="544"/>
      <c r="E153" s="545"/>
      <c r="F153" s="543">
        <f t="shared" si="50"/>
        <v>0</v>
      </c>
      <c r="G153" s="303"/>
      <c r="H153" s="542"/>
      <c r="I153" s="543">
        <f t="shared" si="51"/>
        <v>0</v>
      </c>
      <c r="J153" s="303"/>
      <c r="K153" s="542"/>
      <c r="L153" s="543">
        <f t="shared" si="52"/>
        <v>0</v>
      </c>
      <c r="M153" s="53"/>
      <c r="N153" s="54"/>
      <c r="O153" s="55">
        <f t="shared" si="53"/>
        <v>0</v>
      </c>
      <c r="P153" s="57"/>
    </row>
    <row r="154" spans="1:16" ht="12" customHeight="1" x14ac:dyDescent="0.25">
      <c r="A154" s="50">
        <v>2363</v>
      </c>
      <c r="B154" s="88" t="s">
        <v>171</v>
      </c>
      <c r="C154" s="89">
        <f t="shared" si="48"/>
        <v>1750</v>
      </c>
      <c r="D154" s="544">
        <v>1750</v>
      </c>
      <c r="E154" s="545"/>
      <c r="F154" s="543">
        <f t="shared" si="50"/>
        <v>1750</v>
      </c>
      <c r="G154" s="303"/>
      <c r="H154" s="542"/>
      <c r="I154" s="543">
        <f t="shared" si="51"/>
        <v>0</v>
      </c>
      <c r="J154" s="303"/>
      <c r="K154" s="542"/>
      <c r="L154" s="543">
        <f t="shared" si="52"/>
        <v>0</v>
      </c>
      <c r="M154" s="53"/>
      <c r="N154" s="54"/>
      <c r="O154" s="55">
        <f t="shared" si="53"/>
        <v>0</v>
      </c>
      <c r="P154" s="57"/>
    </row>
    <row r="155" spans="1:16" ht="12" hidden="1" customHeight="1" x14ac:dyDescent="0.25">
      <c r="A155" s="50">
        <v>2364</v>
      </c>
      <c r="B155" s="88" t="s">
        <v>172</v>
      </c>
      <c r="C155" s="89">
        <f t="shared" si="48"/>
        <v>0</v>
      </c>
      <c r="D155" s="544"/>
      <c r="E155" s="545"/>
      <c r="F155" s="543">
        <f t="shared" si="50"/>
        <v>0</v>
      </c>
      <c r="G155" s="303"/>
      <c r="H155" s="542"/>
      <c r="I155" s="543">
        <f t="shared" si="51"/>
        <v>0</v>
      </c>
      <c r="J155" s="303"/>
      <c r="K155" s="542"/>
      <c r="L155" s="543">
        <f t="shared" si="52"/>
        <v>0</v>
      </c>
      <c r="M155" s="53"/>
      <c r="N155" s="54"/>
      <c r="O155" s="55">
        <f t="shared" si="53"/>
        <v>0</v>
      </c>
      <c r="P155" s="57"/>
    </row>
    <row r="156" spans="1:16" ht="12.75" hidden="1" customHeight="1" x14ac:dyDescent="0.25">
      <c r="A156" s="50">
        <v>2365</v>
      </c>
      <c r="B156" s="88" t="s">
        <v>173</v>
      </c>
      <c r="C156" s="89">
        <f t="shared" si="48"/>
        <v>0</v>
      </c>
      <c r="D156" s="544"/>
      <c r="E156" s="545"/>
      <c r="F156" s="543">
        <f t="shared" si="50"/>
        <v>0</v>
      </c>
      <c r="G156" s="303"/>
      <c r="H156" s="542"/>
      <c r="I156" s="543">
        <f t="shared" si="51"/>
        <v>0</v>
      </c>
      <c r="J156" s="303"/>
      <c r="K156" s="542"/>
      <c r="L156" s="543">
        <f t="shared" si="52"/>
        <v>0</v>
      </c>
      <c r="M156" s="53"/>
      <c r="N156" s="54"/>
      <c r="O156" s="55">
        <f t="shared" si="53"/>
        <v>0</v>
      </c>
      <c r="P156" s="57"/>
    </row>
    <row r="157" spans="1:16" ht="36" hidden="1" customHeight="1" x14ac:dyDescent="0.25">
      <c r="A157" s="50">
        <v>2366</v>
      </c>
      <c r="B157" s="88" t="s">
        <v>174</v>
      </c>
      <c r="C157" s="89">
        <f t="shared" si="48"/>
        <v>0</v>
      </c>
      <c r="D157" s="544"/>
      <c r="E157" s="545"/>
      <c r="F157" s="543">
        <f t="shared" si="50"/>
        <v>0</v>
      </c>
      <c r="G157" s="303"/>
      <c r="H157" s="542"/>
      <c r="I157" s="543">
        <f t="shared" si="51"/>
        <v>0</v>
      </c>
      <c r="J157" s="303"/>
      <c r="K157" s="542"/>
      <c r="L157" s="543">
        <f t="shared" si="52"/>
        <v>0</v>
      </c>
      <c r="M157" s="53"/>
      <c r="N157" s="54"/>
      <c r="O157" s="55">
        <f t="shared" si="53"/>
        <v>0</v>
      </c>
      <c r="P157" s="57"/>
    </row>
    <row r="158" spans="1:16" ht="48" hidden="1" customHeight="1" x14ac:dyDescent="0.25">
      <c r="A158" s="50">
        <v>2369</v>
      </c>
      <c r="B158" s="88" t="s">
        <v>175</v>
      </c>
      <c r="C158" s="89">
        <f t="shared" si="48"/>
        <v>0</v>
      </c>
      <c r="D158" s="544"/>
      <c r="E158" s="545"/>
      <c r="F158" s="543">
        <f t="shared" si="50"/>
        <v>0</v>
      </c>
      <c r="G158" s="303"/>
      <c r="H158" s="542"/>
      <c r="I158" s="543">
        <f t="shared" si="51"/>
        <v>0</v>
      </c>
      <c r="J158" s="303"/>
      <c r="K158" s="542"/>
      <c r="L158" s="543">
        <f t="shared" si="52"/>
        <v>0</v>
      </c>
      <c r="M158" s="53"/>
      <c r="N158" s="54"/>
      <c r="O158" s="55">
        <f t="shared" si="53"/>
        <v>0</v>
      </c>
      <c r="P158" s="57"/>
    </row>
    <row r="159" spans="1:16" ht="12" customHeight="1" x14ac:dyDescent="0.25">
      <c r="A159" s="185">
        <v>2370</v>
      </c>
      <c r="B159" s="137" t="s">
        <v>176</v>
      </c>
      <c r="C159" s="142">
        <f t="shared" si="48"/>
        <v>8464</v>
      </c>
      <c r="D159" s="691">
        <v>2715</v>
      </c>
      <c r="E159" s="692"/>
      <c r="F159" s="667">
        <f t="shared" si="50"/>
        <v>2715</v>
      </c>
      <c r="G159" s="312">
        <v>698</v>
      </c>
      <c r="H159" s="666"/>
      <c r="I159" s="667">
        <f t="shared" si="51"/>
        <v>698</v>
      </c>
      <c r="J159" s="312">
        <v>5051</v>
      </c>
      <c r="K159" s="666"/>
      <c r="L159" s="667">
        <f t="shared" si="52"/>
        <v>5051</v>
      </c>
      <c r="M159" s="143"/>
      <c r="N159" s="144"/>
      <c r="O159" s="140">
        <f t="shared" si="53"/>
        <v>0</v>
      </c>
      <c r="P159" s="128"/>
    </row>
    <row r="160" spans="1:16" hidden="1" x14ac:dyDescent="0.25">
      <c r="A160" s="185">
        <v>2380</v>
      </c>
      <c r="B160" s="137" t="s">
        <v>177</v>
      </c>
      <c r="C160" s="142">
        <f t="shared" si="48"/>
        <v>0</v>
      </c>
      <c r="D160" s="317">
        <f t="shared" ref="D160:O160" si="54">SUM(D161:D162)</f>
        <v>0</v>
      </c>
      <c r="E160" s="686">
        <f t="shared" si="54"/>
        <v>0</v>
      </c>
      <c r="F160" s="667">
        <f t="shared" si="54"/>
        <v>0</v>
      </c>
      <c r="G160" s="317">
        <f t="shared" si="54"/>
        <v>0</v>
      </c>
      <c r="H160" s="686">
        <f t="shared" si="54"/>
        <v>0</v>
      </c>
      <c r="I160" s="667">
        <f t="shared" si="54"/>
        <v>0</v>
      </c>
      <c r="J160" s="317">
        <f t="shared" si="54"/>
        <v>0</v>
      </c>
      <c r="K160" s="686">
        <f t="shared" si="54"/>
        <v>0</v>
      </c>
      <c r="L160" s="667">
        <f t="shared" si="54"/>
        <v>0</v>
      </c>
      <c r="M160" s="186">
        <f t="shared" si="54"/>
        <v>0</v>
      </c>
      <c r="N160" s="187">
        <f t="shared" si="54"/>
        <v>0</v>
      </c>
      <c r="O160" s="140">
        <f t="shared" si="54"/>
        <v>0</v>
      </c>
      <c r="P160" s="128"/>
    </row>
    <row r="161" spans="1:16" ht="12" hidden="1" customHeight="1" x14ac:dyDescent="0.25">
      <c r="A161" s="43">
        <v>2381</v>
      </c>
      <c r="B161" s="81" t="s">
        <v>178</v>
      </c>
      <c r="C161" s="82">
        <f t="shared" si="48"/>
        <v>0</v>
      </c>
      <c r="D161" s="689"/>
      <c r="E161" s="690"/>
      <c r="F161" s="664">
        <f>D161+E161</f>
        <v>0</v>
      </c>
      <c r="G161" s="302"/>
      <c r="H161" s="628"/>
      <c r="I161" s="664">
        <f>G161+H161</f>
        <v>0</v>
      </c>
      <c r="J161" s="302"/>
      <c r="K161" s="628"/>
      <c r="L161" s="664">
        <f>K161+J161</f>
        <v>0</v>
      </c>
      <c r="M161" s="46"/>
      <c r="N161" s="47"/>
      <c r="O161" s="133">
        <f>N161+M161</f>
        <v>0</v>
      </c>
      <c r="P161" s="49"/>
    </row>
    <row r="162" spans="1:16" ht="24" hidden="1" customHeight="1" x14ac:dyDescent="0.25">
      <c r="A162" s="50">
        <v>2389</v>
      </c>
      <c r="B162" s="88" t="s">
        <v>179</v>
      </c>
      <c r="C162" s="89">
        <f t="shared" si="48"/>
        <v>0</v>
      </c>
      <c r="D162" s="544"/>
      <c r="E162" s="545"/>
      <c r="F162" s="543">
        <f>D162+E162</f>
        <v>0</v>
      </c>
      <c r="G162" s="303"/>
      <c r="H162" s="542"/>
      <c r="I162" s="543">
        <f>G162+H162</f>
        <v>0</v>
      </c>
      <c r="J162" s="303"/>
      <c r="K162" s="542"/>
      <c r="L162" s="543">
        <f>K162+J162</f>
        <v>0</v>
      </c>
      <c r="M162" s="53"/>
      <c r="N162" s="54"/>
      <c r="O162" s="55">
        <f>N162+M162</f>
        <v>0</v>
      </c>
      <c r="P162" s="57"/>
    </row>
    <row r="163" spans="1:16" ht="12" hidden="1" customHeight="1" x14ac:dyDescent="0.25">
      <c r="A163" s="185">
        <v>2390</v>
      </c>
      <c r="B163" s="137" t="s">
        <v>180</v>
      </c>
      <c r="C163" s="142">
        <f t="shared" si="48"/>
        <v>0</v>
      </c>
      <c r="D163" s="691"/>
      <c r="E163" s="692"/>
      <c r="F163" s="667">
        <f>D163+E163</f>
        <v>0</v>
      </c>
      <c r="G163" s="312"/>
      <c r="H163" s="666"/>
      <c r="I163" s="667">
        <f>G163+H163</f>
        <v>0</v>
      </c>
      <c r="J163" s="312"/>
      <c r="K163" s="666"/>
      <c r="L163" s="667">
        <f>K163+J163</f>
        <v>0</v>
      </c>
      <c r="M163" s="143"/>
      <c r="N163" s="144"/>
      <c r="O163" s="140">
        <f>N163+M163</f>
        <v>0</v>
      </c>
      <c r="P163" s="128"/>
    </row>
    <row r="164" spans="1:16" ht="12" hidden="1" customHeight="1" x14ac:dyDescent="0.25">
      <c r="A164" s="68">
        <v>2400</v>
      </c>
      <c r="B164" s="182" t="s">
        <v>181</v>
      </c>
      <c r="C164" s="69">
        <f t="shared" si="48"/>
        <v>0</v>
      </c>
      <c r="D164" s="330"/>
      <c r="E164" s="693"/>
      <c r="F164" s="638">
        <f>D164+E164</f>
        <v>0</v>
      </c>
      <c r="G164" s="320"/>
      <c r="H164" s="637"/>
      <c r="I164" s="638">
        <f>G164+H164</f>
        <v>0</v>
      </c>
      <c r="J164" s="320"/>
      <c r="K164" s="637"/>
      <c r="L164" s="638">
        <f>K164+J164</f>
        <v>0</v>
      </c>
      <c r="M164" s="70"/>
      <c r="N164" s="71"/>
      <c r="O164" s="72">
        <f>N164+M164</f>
        <v>0</v>
      </c>
      <c r="P164" s="76"/>
    </row>
    <row r="165" spans="1:16" ht="24" hidden="1" x14ac:dyDescent="0.25">
      <c r="A165" s="68">
        <v>2500</v>
      </c>
      <c r="B165" s="182" t="s">
        <v>182</v>
      </c>
      <c r="C165" s="69">
        <f t="shared" si="48"/>
        <v>0</v>
      </c>
      <c r="D165" s="316">
        <f>SUM(D166,D171)</f>
        <v>0</v>
      </c>
      <c r="E165" s="685">
        <f>SUM(E166,E171)</f>
        <v>0</v>
      </c>
      <c r="F165" s="638">
        <f>SUM(F166,F171)</f>
        <v>0</v>
      </c>
      <c r="G165" s="316">
        <f t="shared" ref="G165:M165" si="55">SUM(G166,G171)</f>
        <v>0</v>
      </c>
      <c r="H165" s="685">
        <f>SUM(H166,H171)</f>
        <v>0</v>
      </c>
      <c r="I165" s="638">
        <f>SUM(I166,I171)</f>
        <v>0</v>
      </c>
      <c r="J165" s="316">
        <f t="shared" si="55"/>
        <v>0</v>
      </c>
      <c r="K165" s="685">
        <f>SUM(K166,K171)</f>
        <v>0</v>
      </c>
      <c r="L165" s="638">
        <f>SUM(L166,L171)</f>
        <v>0</v>
      </c>
      <c r="M165" s="183">
        <f t="shared" si="55"/>
        <v>0</v>
      </c>
      <c r="N165" s="184">
        <f>SUM(N166,N171)</f>
        <v>0</v>
      </c>
      <c r="O165" s="72">
        <f>SUM(O166,O171)</f>
        <v>0</v>
      </c>
      <c r="P165" s="76"/>
    </row>
    <row r="166" spans="1:16" ht="16.5" hidden="1" customHeight="1" x14ac:dyDescent="0.25">
      <c r="A166" s="278">
        <v>2510</v>
      </c>
      <c r="B166" s="81" t="s">
        <v>183</v>
      </c>
      <c r="C166" s="82">
        <f t="shared" si="48"/>
        <v>0</v>
      </c>
      <c r="D166" s="319">
        <f>SUM(D167:D170)</f>
        <v>0</v>
      </c>
      <c r="E166" s="688">
        <f>SUM(E167:E170)</f>
        <v>0</v>
      </c>
      <c r="F166" s="664">
        <f>SUM(F167:F170)</f>
        <v>0</v>
      </c>
      <c r="G166" s="319">
        <f t="shared" ref="G166:M166" si="56">SUM(G167:G170)</f>
        <v>0</v>
      </c>
      <c r="H166" s="688">
        <f>SUM(H167:H170)</f>
        <v>0</v>
      </c>
      <c r="I166" s="664">
        <f>SUM(I167:I170)</f>
        <v>0</v>
      </c>
      <c r="J166" s="319">
        <f t="shared" si="56"/>
        <v>0</v>
      </c>
      <c r="K166" s="688">
        <f>SUM(K167:K170)</f>
        <v>0</v>
      </c>
      <c r="L166" s="664">
        <f>SUM(L167:L170)</f>
        <v>0</v>
      </c>
      <c r="M166" s="192">
        <f t="shared" si="56"/>
        <v>0</v>
      </c>
      <c r="N166" s="193">
        <f>SUM(N167:N170)</f>
        <v>0</v>
      </c>
      <c r="O166" s="133">
        <f>SUM(O167:O170)</f>
        <v>0</v>
      </c>
      <c r="P166" s="49"/>
    </row>
    <row r="167" spans="1:16" ht="24" hidden="1" customHeight="1" x14ac:dyDescent="0.25">
      <c r="A167" s="51">
        <v>2512</v>
      </c>
      <c r="B167" s="88" t="s">
        <v>184</v>
      </c>
      <c r="C167" s="89">
        <f t="shared" si="48"/>
        <v>0</v>
      </c>
      <c r="D167" s="544"/>
      <c r="E167" s="545"/>
      <c r="F167" s="543">
        <f t="shared" ref="F167:F172" si="57">D167+E167</f>
        <v>0</v>
      </c>
      <c r="G167" s="303"/>
      <c r="H167" s="542"/>
      <c r="I167" s="543">
        <f t="shared" ref="I167:I172" si="58">G167+H167</f>
        <v>0</v>
      </c>
      <c r="J167" s="303"/>
      <c r="K167" s="542"/>
      <c r="L167" s="543">
        <f t="shared" ref="L167:L172" si="59">K167+J167</f>
        <v>0</v>
      </c>
      <c r="M167" s="53"/>
      <c r="N167" s="54"/>
      <c r="O167" s="55">
        <f t="shared" ref="O167:O172" si="60">N167+M167</f>
        <v>0</v>
      </c>
      <c r="P167" s="57"/>
    </row>
    <row r="168" spans="1:16" ht="36" hidden="1" customHeight="1" x14ac:dyDescent="0.25">
      <c r="A168" s="51">
        <v>2513</v>
      </c>
      <c r="B168" s="88" t="s">
        <v>185</v>
      </c>
      <c r="C168" s="89">
        <f t="shared" si="48"/>
        <v>0</v>
      </c>
      <c r="D168" s="544"/>
      <c r="E168" s="545"/>
      <c r="F168" s="543">
        <f t="shared" si="57"/>
        <v>0</v>
      </c>
      <c r="G168" s="303"/>
      <c r="H168" s="542"/>
      <c r="I168" s="543">
        <f t="shared" si="58"/>
        <v>0</v>
      </c>
      <c r="J168" s="303"/>
      <c r="K168" s="542"/>
      <c r="L168" s="543">
        <f t="shared" si="59"/>
        <v>0</v>
      </c>
      <c r="M168" s="53"/>
      <c r="N168" s="54"/>
      <c r="O168" s="55">
        <f t="shared" si="60"/>
        <v>0</v>
      </c>
      <c r="P168" s="57"/>
    </row>
    <row r="169" spans="1:16" ht="24" hidden="1" customHeight="1" x14ac:dyDescent="0.25">
      <c r="A169" s="51">
        <v>2515</v>
      </c>
      <c r="B169" s="88" t="s">
        <v>186</v>
      </c>
      <c r="C169" s="89">
        <f t="shared" si="48"/>
        <v>0</v>
      </c>
      <c r="D169" s="544"/>
      <c r="E169" s="545"/>
      <c r="F169" s="543">
        <f t="shared" si="57"/>
        <v>0</v>
      </c>
      <c r="G169" s="303"/>
      <c r="H169" s="542"/>
      <c r="I169" s="543">
        <f t="shared" si="58"/>
        <v>0</v>
      </c>
      <c r="J169" s="303"/>
      <c r="K169" s="542"/>
      <c r="L169" s="543">
        <f t="shared" si="59"/>
        <v>0</v>
      </c>
      <c r="M169" s="53"/>
      <c r="N169" s="54"/>
      <c r="O169" s="55">
        <f t="shared" si="60"/>
        <v>0</v>
      </c>
      <c r="P169" s="57"/>
    </row>
    <row r="170" spans="1:16" ht="24" hidden="1" customHeight="1" x14ac:dyDescent="0.25">
      <c r="A170" s="51">
        <v>2519</v>
      </c>
      <c r="B170" s="88" t="s">
        <v>187</v>
      </c>
      <c r="C170" s="89">
        <f t="shared" si="48"/>
        <v>0</v>
      </c>
      <c r="D170" s="544"/>
      <c r="E170" s="545"/>
      <c r="F170" s="543">
        <f t="shared" si="57"/>
        <v>0</v>
      </c>
      <c r="G170" s="303"/>
      <c r="H170" s="542"/>
      <c r="I170" s="543">
        <f t="shared" si="58"/>
        <v>0</v>
      </c>
      <c r="J170" s="303"/>
      <c r="K170" s="542"/>
      <c r="L170" s="543">
        <f t="shared" si="59"/>
        <v>0</v>
      </c>
      <c r="M170" s="53"/>
      <c r="N170" s="54"/>
      <c r="O170" s="55">
        <f t="shared" si="60"/>
        <v>0</v>
      </c>
      <c r="P170" s="57"/>
    </row>
    <row r="171" spans="1:16" ht="24" hidden="1" customHeight="1" x14ac:dyDescent="0.25">
      <c r="A171" s="188">
        <v>2520</v>
      </c>
      <c r="B171" s="88" t="s">
        <v>188</v>
      </c>
      <c r="C171" s="89">
        <f t="shared" si="48"/>
        <v>0</v>
      </c>
      <c r="D171" s="544"/>
      <c r="E171" s="545"/>
      <c r="F171" s="543">
        <f t="shared" si="57"/>
        <v>0</v>
      </c>
      <c r="G171" s="303"/>
      <c r="H171" s="542"/>
      <c r="I171" s="543">
        <f t="shared" si="58"/>
        <v>0</v>
      </c>
      <c r="J171" s="303"/>
      <c r="K171" s="542"/>
      <c r="L171" s="543">
        <f t="shared" si="59"/>
        <v>0</v>
      </c>
      <c r="M171" s="53"/>
      <c r="N171" s="54"/>
      <c r="O171" s="55">
        <f t="shared" si="60"/>
        <v>0</v>
      </c>
      <c r="P171" s="57"/>
    </row>
    <row r="172" spans="1:16" s="206" customFormat="1" ht="36" hidden="1" customHeight="1" x14ac:dyDescent="0.25">
      <c r="A172" s="23">
        <v>2800</v>
      </c>
      <c r="B172" s="81" t="s">
        <v>189</v>
      </c>
      <c r="C172" s="82">
        <f t="shared" si="48"/>
        <v>0</v>
      </c>
      <c r="D172" s="302"/>
      <c r="E172" s="628"/>
      <c r="F172" s="664">
        <f t="shared" si="57"/>
        <v>0</v>
      </c>
      <c r="G172" s="302"/>
      <c r="H172" s="628"/>
      <c r="I172" s="664">
        <f t="shared" si="58"/>
        <v>0</v>
      </c>
      <c r="J172" s="302"/>
      <c r="K172" s="628"/>
      <c r="L172" s="664">
        <f t="shared" si="59"/>
        <v>0</v>
      </c>
      <c r="M172" s="46"/>
      <c r="N172" s="47"/>
      <c r="O172" s="133">
        <f t="shared" si="60"/>
        <v>0</v>
      </c>
      <c r="P172" s="49"/>
    </row>
    <row r="173" spans="1:16" hidden="1" x14ac:dyDescent="0.25">
      <c r="A173" s="679">
        <v>3000</v>
      </c>
      <c r="B173" s="679" t="s">
        <v>190</v>
      </c>
      <c r="C173" s="680">
        <f t="shared" si="48"/>
        <v>0</v>
      </c>
      <c r="D173" s="681">
        <f t="shared" ref="D173:O173" si="61">SUM(D174,D184)</f>
        <v>0</v>
      </c>
      <c r="E173" s="682">
        <f t="shared" si="61"/>
        <v>0</v>
      </c>
      <c r="F173" s="683">
        <f t="shared" si="61"/>
        <v>0</v>
      </c>
      <c r="G173" s="681">
        <f t="shared" si="61"/>
        <v>0</v>
      </c>
      <c r="H173" s="682">
        <f t="shared" si="61"/>
        <v>0</v>
      </c>
      <c r="I173" s="683">
        <f t="shared" si="61"/>
        <v>0</v>
      </c>
      <c r="J173" s="681">
        <f t="shared" si="61"/>
        <v>0</v>
      </c>
      <c r="K173" s="682">
        <f t="shared" si="61"/>
        <v>0</v>
      </c>
      <c r="L173" s="683">
        <f t="shared" si="61"/>
        <v>0</v>
      </c>
      <c r="M173" s="681">
        <f t="shared" si="61"/>
        <v>0</v>
      </c>
      <c r="N173" s="682">
        <f t="shared" si="61"/>
        <v>0</v>
      </c>
      <c r="O173" s="683">
        <f t="shared" si="61"/>
        <v>0</v>
      </c>
      <c r="P173" s="684"/>
    </row>
    <row r="174" spans="1:16" ht="24" hidden="1" x14ac:dyDescent="0.25">
      <c r="A174" s="68">
        <v>3200</v>
      </c>
      <c r="B174" s="207" t="s">
        <v>191</v>
      </c>
      <c r="C174" s="69">
        <f t="shared" si="48"/>
        <v>0</v>
      </c>
      <c r="D174" s="316">
        <f>SUM(D175,D179)</f>
        <v>0</v>
      </c>
      <c r="E174" s="685">
        <f>SUM(E175,E179)</f>
        <v>0</v>
      </c>
      <c r="F174" s="638">
        <f>SUM(F175,F179)</f>
        <v>0</v>
      </c>
      <c r="G174" s="316">
        <f t="shared" ref="G174:M174" si="62">SUM(G175,G179)</f>
        <v>0</v>
      </c>
      <c r="H174" s="685">
        <f>SUM(H175,H179)</f>
        <v>0</v>
      </c>
      <c r="I174" s="638">
        <f>SUM(I175,I179)</f>
        <v>0</v>
      </c>
      <c r="J174" s="316">
        <f t="shared" si="62"/>
        <v>0</v>
      </c>
      <c r="K174" s="685">
        <f>SUM(K175,K179)</f>
        <v>0</v>
      </c>
      <c r="L174" s="638">
        <f>SUM(L175,L179)</f>
        <v>0</v>
      </c>
      <c r="M174" s="183">
        <f t="shared" si="62"/>
        <v>0</v>
      </c>
      <c r="N174" s="184">
        <f>SUM(N175,N179)</f>
        <v>0</v>
      </c>
      <c r="O174" s="72">
        <f>SUM(O175,O179)</f>
        <v>0</v>
      </c>
      <c r="P174" s="76"/>
    </row>
    <row r="175" spans="1:16" ht="36" hidden="1" x14ac:dyDescent="0.25">
      <c r="A175" s="278">
        <v>3260</v>
      </c>
      <c r="B175" s="81" t="s">
        <v>192</v>
      </c>
      <c r="C175" s="82">
        <f t="shared" si="48"/>
        <v>0</v>
      </c>
      <c r="D175" s="319">
        <f t="shared" ref="D175:O175" si="63">SUM(D176:D178)</f>
        <v>0</v>
      </c>
      <c r="E175" s="688">
        <f t="shared" si="63"/>
        <v>0</v>
      </c>
      <c r="F175" s="664">
        <f t="shared" si="63"/>
        <v>0</v>
      </c>
      <c r="G175" s="319">
        <f t="shared" si="63"/>
        <v>0</v>
      </c>
      <c r="H175" s="688">
        <f t="shared" si="63"/>
        <v>0</v>
      </c>
      <c r="I175" s="664">
        <f t="shared" si="63"/>
        <v>0</v>
      </c>
      <c r="J175" s="319">
        <f t="shared" si="63"/>
        <v>0</v>
      </c>
      <c r="K175" s="688">
        <f t="shared" si="63"/>
        <v>0</v>
      </c>
      <c r="L175" s="664">
        <f t="shared" si="63"/>
        <v>0</v>
      </c>
      <c r="M175" s="192">
        <f t="shared" si="63"/>
        <v>0</v>
      </c>
      <c r="N175" s="193">
        <f t="shared" si="63"/>
        <v>0</v>
      </c>
      <c r="O175" s="133">
        <f t="shared" si="63"/>
        <v>0</v>
      </c>
      <c r="P175" s="49"/>
    </row>
    <row r="176" spans="1:16" ht="24" hidden="1" customHeight="1" x14ac:dyDescent="0.25">
      <c r="A176" s="51">
        <v>3261</v>
      </c>
      <c r="B176" s="88" t="s">
        <v>193</v>
      </c>
      <c r="C176" s="89">
        <f t="shared" si="48"/>
        <v>0</v>
      </c>
      <c r="D176" s="544"/>
      <c r="E176" s="545"/>
      <c r="F176" s="543">
        <f>D176+E176</f>
        <v>0</v>
      </c>
      <c r="G176" s="303"/>
      <c r="H176" s="542"/>
      <c r="I176" s="543">
        <f>G176+H176</f>
        <v>0</v>
      </c>
      <c r="J176" s="303"/>
      <c r="K176" s="542"/>
      <c r="L176" s="543">
        <f>K176+J176</f>
        <v>0</v>
      </c>
      <c r="M176" s="53"/>
      <c r="N176" s="54"/>
      <c r="O176" s="55">
        <f>N176+M176</f>
        <v>0</v>
      </c>
      <c r="P176" s="57"/>
    </row>
    <row r="177" spans="1:16" ht="36" hidden="1" customHeight="1" x14ac:dyDescent="0.25">
      <c r="A177" s="51">
        <v>3262</v>
      </c>
      <c r="B177" s="88" t="s">
        <v>194</v>
      </c>
      <c r="C177" s="89">
        <f t="shared" si="48"/>
        <v>0</v>
      </c>
      <c r="D177" s="544"/>
      <c r="E177" s="545"/>
      <c r="F177" s="543">
        <f>D177+E177</f>
        <v>0</v>
      </c>
      <c r="G177" s="303"/>
      <c r="H177" s="542"/>
      <c r="I177" s="543">
        <f>G177+H177</f>
        <v>0</v>
      </c>
      <c r="J177" s="303"/>
      <c r="K177" s="542"/>
      <c r="L177" s="543">
        <f>K177+J177</f>
        <v>0</v>
      </c>
      <c r="M177" s="53"/>
      <c r="N177" s="54"/>
      <c r="O177" s="55">
        <f>N177+M177</f>
        <v>0</v>
      </c>
      <c r="P177" s="57"/>
    </row>
    <row r="178" spans="1:16" ht="24" hidden="1" customHeight="1" x14ac:dyDescent="0.25">
      <c r="A178" s="51">
        <v>3263</v>
      </c>
      <c r="B178" s="88" t="s">
        <v>195</v>
      </c>
      <c r="C178" s="89">
        <f t="shared" si="48"/>
        <v>0</v>
      </c>
      <c r="D178" s="544"/>
      <c r="E178" s="545"/>
      <c r="F178" s="543">
        <f>D178+E178</f>
        <v>0</v>
      </c>
      <c r="G178" s="303"/>
      <c r="H178" s="542"/>
      <c r="I178" s="543">
        <f>G178+H178</f>
        <v>0</v>
      </c>
      <c r="J178" s="303"/>
      <c r="K178" s="542"/>
      <c r="L178" s="543">
        <f>K178+J178</f>
        <v>0</v>
      </c>
      <c r="M178" s="53"/>
      <c r="N178" s="54"/>
      <c r="O178" s="55">
        <f>N178+M178</f>
        <v>0</v>
      </c>
      <c r="P178" s="57"/>
    </row>
    <row r="179" spans="1:16" ht="84" hidden="1" x14ac:dyDescent="0.25">
      <c r="A179" s="278">
        <v>3290</v>
      </c>
      <c r="B179" s="81" t="s">
        <v>196</v>
      </c>
      <c r="C179" s="208">
        <f t="shared" si="48"/>
        <v>0</v>
      </c>
      <c r="D179" s="319">
        <f>SUM(D180:D183)</f>
        <v>0</v>
      </c>
      <c r="E179" s="688">
        <f>SUM(E180:E183)</f>
        <v>0</v>
      </c>
      <c r="F179" s="664">
        <f>SUM(F180:F183)</f>
        <v>0</v>
      </c>
      <c r="G179" s="319">
        <f t="shared" ref="G179:M179" si="64">SUM(G180:G183)</f>
        <v>0</v>
      </c>
      <c r="H179" s="688">
        <f>SUM(H180:H183)</f>
        <v>0</v>
      </c>
      <c r="I179" s="664">
        <f>SUM(I180:I183)</f>
        <v>0</v>
      </c>
      <c r="J179" s="319">
        <f t="shared" si="64"/>
        <v>0</v>
      </c>
      <c r="K179" s="688">
        <f>SUM(K180:K183)</f>
        <v>0</v>
      </c>
      <c r="L179" s="664">
        <f>SUM(L180:L183)</f>
        <v>0</v>
      </c>
      <c r="M179" s="192">
        <f t="shared" si="64"/>
        <v>0</v>
      </c>
      <c r="N179" s="193">
        <f>SUM(N180:N183)</f>
        <v>0</v>
      </c>
      <c r="O179" s="133">
        <f>SUM(O180:O183)</f>
        <v>0</v>
      </c>
      <c r="P179" s="49"/>
    </row>
    <row r="180" spans="1:16" ht="72" hidden="1" customHeight="1" x14ac:dyDescent="0.25">
      <c r="A180" s="51">
        <v>3291</v>
      </c>
      <c r="B180" s="88" t="s">
        <v>197</v>
      </c>
      <c r="C180" s="89">
        <f t="shared" si="48"/>
        <v>0</v>
      </c>
      <c r="D180" s="544"/>
      <c r="E180" s="545"/>
      <c r="F180" s="543">
        <f>D180+E180</f>
        <v>0</v>
      </c>
      <c r="G180" s="303"/>
      <c r="H180" s="542"/>
      <c r="I180" s="543">
        <f>G180+H180</f>
        <v>0</v>
      </c>
      <c r="J180" s="303"/>
      <c r="K180" s="542"/>
      <c r="L180" s="543">
        <f>K180+J180</f>
        <v>0</v>
      </c>
      <c r="M180" s="53"/>
      <c r="N180" s="54"/>
      <c r="O180" s="55">
        <f>N180+M180</f>
        <v>0</v>
      </c>
      <c r="P180" s="57"/>
    </row>
    <row r="181" spans="1:16" ht="72" hidden="1" customHeight="1" x14ac:dyDescent="0.25">
      <c r="A181" s="51">
        <v>3292</v>
      </c>
      <c r="B181" s="88" t="s">
        <v>198</v>
      </c>
      <c r="C181" s="89">
        <f t="shared" si="48"/>
        <v>0</v>
      </c>
      <c r="D181" s="544"/>
      <c r="E181" s="545"/>
      <c r="F181" s="543">
        <f>D181+E181</f>
        <v>0</v>
      </c>
      <c r="G181" s="303"/>
      <c r="H181" s="542"/>
      <c r="I181" s="543">
        <f>G181+H181</f>
        <v>0</v>
      </c>
      <c r="J181" s="303"/>
      <c r="K181" s="542"/>
      <c r="L181" s="543">
        <f>K181+J181</f>
        <v>0</v>
      </c>
      <c r="M181" s="53"/>
      <c r="N181" s="54"/>
      <c r="O181" s="55">
        <f>N181+M181</f>
        <v>0</v>
      </c>
      <c r="P181" s="57"/>
    </row>
    <row r="182" spans="1:16" ht="72" hidden="1" customHeight="1" x14ac:dyDescent="0.25">
      <c r="A182" s="51">
        <v>3293</v>
      </c>
      <c r="B182" s="88" t="s">
        <v>199</v>
      </c>
      <c r="C182" s="89">
        <f t="shared" si="48"/>
        <v>0</v>
      </c>
      <c r="D182" s="544"/>
      <c r="E182" s="545"/>
      <c r="F182" s="543">
        <f>D182+E182</f>
        <v>0</v>
      </c>
      <c r="G182" s="303"/>
      <c r="H182" s="542"/>
      <c r="I182" s="543">
        <f>G182+H182</f>
        <v>0</v>
      </c>
      <c r="J182" s="303"/>
      <c r="K182" s="542"/>
      <c r="L182" s="543">
        <f>K182+J182</f>
        <v>0</v>
      </c>
      <c r="M182" s="53"/>
      <c r="N182" s="54"/>
      <c r="O182" s="55">
        <f>N182+M182</f>
        <v>0</v>
      </c>
      <c r="P182" s="57"/>
    </row>
    <row r="183" spans="1:16" ht="60" hidden="1" customHeight="1" x14ac:dyDescent="0.25">
      <c r="A183" s="209">
        <v>3294</v>
      </c>
      <c r="B183" s="88" t="s">
        <v>200</v>
      </c>
      <c r="C183" s="208">
        <f t="shared" si="48"/>
        <v>0</v>
      </c>
      <c r="D183" s="694"/>
      <c r="E183" s="695"/>
      <c r="F183" s="696">
        <f>D183+E183</f>
        <v>0</v>
      </c>
      <c r="G183" s="321"/>
      <c r="H183" s="697"/>
      <c r="I183" s="696">
        <f>G183+H183</f>
        <v>0</v>
      </c>
      <c r="J183" s="321"/>
      <c r="K183" s="697"/>
      <c r="L183" s="696">
        <f>K183+J183</f>
        <v>0</v>
      </c>
      <c r="M183" s="213"/>
      <c r="N183" s="214"/>
      <c r="O183" s="212">
        <f>N183+M183</f>
        <v>0</v>
      </c>
      <c r="P183" s="215"/>
    </row>
    <row r="184" spans="1:16" ht="48" hidden="1" x14ac:dyDescent="0.25">
      <c r="A184" s="216">
        <v>3300</v>
      </c>
      <c r="B184" s="207" t="s">
        <v>201</v>
      </c>
      <c r="C184" s="217">
        <f t="shared" si="48"/>
        <v>0</v>
      </c>
      <c r="D184" s="322">
        <f>SUM(D185:D186)</f>
        <v>0</v>
      </c>
      <c r="E184" s="698">
        <f>SUM(E185:E186)</f>
        <v>0</v>
      </c>
      <c r="F184" s="699">
        <f>SUM(F185:F186)</f>
        <v>0</v>
      </c>
      <c r="G184" s="322">
        <f t="shared" ref="G184:M184" si="65">SUM(G185:G186)</f>
        <v>0</v>
      </c>
      <c r="H184" s="698">
        <f>SUM(H185:H186)</f>
        <v>0</v>
      </c>
      <c r="I184" s="699">
        <f>SUM(I185:I186)</f>
        <v>0</v>
      </c>
      <c r="J184" s="322">
        <f t="shared" si="65"/>
        <v>0</v>
      </c>
      <c r="K184" s="698">
        <f>SUM(K185:K186)</f>
        <v>0</v>
      </c>
      <c r="L184" s="699">
        <f>SUM(L185:L186)</f>
        <v>0</v>
      </c>
      <c r="M184" s="218">
        <f t="shared" si="65"/>
        <v>0</v>
      </c>
      <c r="N184" s="219">
        <f>SUM(N185:N186)</f>
        <v>0</v>
      </c>
      <c r="O184" s="220">
        <f>SUM(O185:O186)</f>
        <v>0</v>
      </c>
      <c r="P184" s="221"/>
    </row>
    <row r="185" spans="1:16" ht="48" hidden="1" customHeight="1" x14ac:dyDescent="0.25">
      <c r="A185" s="136">
        <v>3310</v>
      </c>
      <c r="B185" s="137" t="s">
        <v>202</v>
      </c>
      <c r="C185" s="142">
        <f t="shared" si="48"/>
        <v>0</v>
      </c>
      <c r="D185" s="691"/>
      <c r="E185" s="692"/>
      <c r="F185" s="667">
        <f>D185+E185</f>
        <v>0</v>
      </c>
      <c r="G185" s="312"/>
      <c r="H185" s="666"/>
      <c r="I185" s="667">
        <f>G185+H185</f>
        <v>0</v>
      </c>
      <c r="J185" s="312"/>
      <c r="K185" s="666"/>
      <c r="L185" s="667">
        <f>K185+J185</f>
        <v>0</v>
      </c>
      <c r="M185" s="143"/>
      <c r="N185" s="144"/>
      <c r="O185" s="140">
        <f>N185+M185</f>
        <v>0</v>
      </c>
      <c r="P185" s="128"/>
    </row>
    <row r="186" spans="1:16" ht="48.75" hidden="1" customHeight="1" x14ac:dyDescent="0.25">
      <c r="A186" s="44">
        <v>3320</v>
      </c>
      <c r="B186" s="81" t="s">
        <v>203</v>
      </c>
      <c r="C186" s="82">
        <f t="shared" si="48"/>
        <v>0</v>
      </c>
      <c r="D186" s="689"/>
      <c r="E186" s="690"/>
      <c r="F186" s="664">
        <f>D186+E186</f>
        <v>0</v>
      </c>
      <c r="G186" s="302"/>
      <c r="H186" s="628"/>
      <c r="I186" s="664">
        <f>G186+H186</f>
        <v>0</v>
      </c>
      <c r="J186" s="302"/>
      <c r="K186" s="628"/>
      <c r="L186" s="664">
        <f>K186+J186</f>
        <v>0</v>
      </c>
      <c r="M186" s="46"/>
      <c r="N186" s="47"/>
      <c r="O186" s="133">
        <f>N186+M186</f>
        <v>0</v>
      </c>
      <c r="P186" s="49"/>
    </row>
    <row r="187" spans="1:16" hidden="1" x14ac:dyDescent="0.25">
      <c r="A187" s="700">
        <v>4000</v>
      </c>
      <c r="B187" s="679" t="s">
        <v>204</v>
      </c>
      <c r="C187" s="680">
        <f t="shared" si="48"/>
        <v>0</v>
      </c>
      <c r="D187" s="681">
        <f t="shared" ref="D187:O187" si="66">SUM(D188,D191)</f>
        <v>0</v>
      </c>
      <c r="E187" s="682">
        <f t="shared" si="66"/>
        <v>0</v>
      </c>
      <c r="F187" s="683">
        <f t="shared" si="66"/>
        <v>0</v>
      </c>
      <c r="G187" s="681">
        <f t="shared" si="66"/>
        <v>0</v>
      </c>
      <c r="H187" s="682">
        <f t="shared" si="66"/>
        <v>0</v>
      </c>
      <c r="I187" s="683">
        <f t="shared" si="66"/>
        <v>0</v>
      </c>
      <c r="J187" s="681">
        <f t="shared" si="66"/>
        <v>0</v>
      </c>
      <c r="K187" s="682">
        <f t="shared" si="66"/>
        <v>0</v>
      </c>
      <c r="L187" s="683">
        <f t="shared" si="66"/>
        <v>0</v>
      </c>
      <c r="M187" s="681">
        <f t="shared" si="66"/>
        <v>0</v>
      </c>
      <c r="N187" s="179">
        <f t="shared" si="66"/>
        <v>0</v>
      </c>
      <c r="O187" s="180">
        <f t="shared" si="66"/>
        <v>0</v>
      </c>
      <c r="P187" s="181"/>
    </row>
    <row r="188" spans="1:16" ht="24" hidden="1" x14ac:dyDescent="0.25">
      <c r="A188" s="223">
        <v>4200</v>
      </c>
      <c r="B188" s="182" t="s">
        <v>205</v>
      </c>
      <c r="C188" s="69">
        <f t="shared" si="48"/>
        <v>0</v>
      </c>
      <c r="D188" s="316">
        <f t="shared" ref="D188:O188" si="67">SUM(D189,D190)</f>
        <v>0</v>
      </c>
      <c r="E188" s="685">
        <f t="shared" si="67"/>
        <v>0</v>
      </c>
      <c r="F188" s="638">
        <f t="shared" si="67"/>
        <v>0</v>
      </c>
      <c r="G188" s="316">
        <f t="shared" si="67"/>
        <v>0</v>
      </c>
      <c r="H188" s="685">
        <f t="shared" si="67"/>
        <v>0</v>
      </c>
      <c r="I188" s="638">
        <f t="shared" si="67"/>
        <v>0</v>
      </c>
      <c r="J188" s="316">
        <f t="shared" si="67"/>
        <v>0</v>
      </c>
      <c r="K188" s="685">
        <f t="shared" si="67"/>
        <v>0</v>
      </c>
      <c r="L188" s="638">
        <f t="shared" si="67"/>
        <v>0</v>
      </c>
      <c r="M188" s="183">
        <f t="shared" si="67"/>
        <v>0</v>
      </c>
      <c r="N188" s="184">
        <f t="shared" si="67"/>
        <v>0</v>
      </c>
      <c r="O188" s="72">
        <f t="shared" si="67"/>
        <v>0</v>
      </c>
      <c r="P188" s="76"/>
    </row>
    <row r="189" spans="1:16" ht="36" hidden="1" customHeight="1" x14ac:dyDescent="0.25">
      <c r="A189" s="278">
        <v>4240</v>
      </c>
      <c r="B189" s="81" t="s">
        <v>206</v>
      </c>
      <c r="C189" s="82">
        <f t="shared" si="48"/>
        <v>0</v>
      </c>
      <c r="D189" s="689"/>
      <c r="E189" s="690"/>
      <c r="F189" s="664">
        <f>D189+E189</f>
        <v>0</v>
      </c>
      <c r="G189" s="302"/>
      <c r="H189" s="628"/>
      <c r="I189" s="664">
        <f>G189+H189</f>
        <v>0</v>
      </c>
      <c r="J189" s="302"/>
      <c r="K189" s="628"/>
      <c r="L189" s="664">
        <f>K189+J189</f>
        <v>0</v>
      </c>
      <c r="M189" s="46"/>
      <c r="N189" s="47"/>
      <c r="O189" s="133">
        <f>N189+M189</f>
        <v>0</v>
      </c>
      <c r="P189" s="49"/>
    </row>
    <row r="190" spans="1:16" ht="24" hidden="1" customHeight="1" x14ac:dyDescent="0.25">
      <c r="A190" s="188">
        <v>4250</v>
      </c>
      <c r="B190" s="88" t="s">
        <v>207</v>
      </c>
      <c r="C190" s="89">
        <f t="shared" si="48"/>
        <v>0</v>
      </c>
      <c r="D190" s="544"/>
      <c r="E190" s="545"/>
      <c r="F190" s="543">
        <f>D190+E190</f>
        <v>0</v>
      </c>
      <c r="G190" s="303"/>
      <c r="H190" s="542"/>
      <c r="I190" s="543">
        <f>G190+H190</f>
        <v>0</v>
      </c>
      <c r="J190" s="303"/>
      <c r="K190" s="542"/>
      <c r="L190" s="543">
        <f>K190+J190</f>
        <v>0</v>
      </c>
      <c r="M190" s="53"/>
      <c r="N190" s="54"/>
      <c r="O190" s="55">
        <f>N190+M190</f>
        <v>0</v>
      </c>
      <c r="P190" s="57"/>
    </row>
    <row r="191" spans="1:16" hidden="1" x14ac:dyDescent="0.25">
      <c r="A191" s="68">
        <v>4300</v>
      </c>
      <c r="B191" s="182" t="s">
        <v>208</v>
      </c>
      <c r="C191" s="69">
        <f t="shared" si="48"/>
        <v>0</v>
      </c>
      <c r="D191" s="316">
        <f t="shared" ref="D191:O191" si="68">SUM(D192)</f>
        <v>0</v>
      </c>
      <c r="E191" s="685">
        <f t="shared" si="68"/>
        <v>0</v>
      </c>
      <c r="F191" s="638">
        <f t="shared" si="68"/>
        <v>0</v>
      </c>
      <c r="G191" s="316">
        <f t="shared" si="68"/>
        <v>0</v>
      </c>
      <c r="H191" s="685">
        <f t="shared" si="68"/>
        <v>0</v>
      </c>
      <c r="I191" s="638">
        <f t="shared" si="68"/>
        <v>0</v>
      </c>
      <c r="J191" s="316">
        <f t="shared" si="68"/>
        <v>0</v>
      </c>
      <c r="K191" s="685">
        <f t="shared" si="68"/>
        <v>0</v>
      </c>
      <c r="L191" s="638">
        <f t="shared" si="68"/>
        <v>0</v>
      </c>
      <c r="M191" s="183">
        <f t="shared" si="68"/>
        <v>0</v>
      </c>
      <c r="N191" s="184">
        <f t="shared" si="68"/>
        <v>0</v>
      </c>
      <c r="O191" s="72">
        <f t="shared" si="68"/>
        <v>0</v>
      </c>
      <c r="P191" s="76"/>
    </row>
    <row r="192" spans="1:16" ht="24" hidden="1" x14ac:dyDescent="0.25">
      <c r="A192" s="278">
        <v>4310</v>
      </c>
      <c r="B192" s="81" t="s">
        <v>209</v>
      </c>
      <c r="C192" s="82">
        <f t="shared" si="48"/>
        <v>0</v>
      </c>
      <c r="D192" s="319">
        <f t="shared" ref="D192:O192" si="69">SUM(D193:D193)</f>
        <v>0</v>
      </c>
      <c r="E192" s="688">
        <f t="shared" si="69"/>
        <v>0</v>
      </c>
      <c r="F192" s="664">
        <f t="shared" si="69"/>
        <v>0</v>
      </c>
      <c r="G192" s="319">
        <f t="shared" si="69"/>
        <v>0</v>
      </c>
      <c r="H192" s="688">
        <f t="shared" si="69"/>
        <v>0</v>
      </c>
      <c r="I192" s="664">
        <f t="shared" si="69"/>
        <v>0</v>
      </c>
      <c r="J192" s="319">
        <f t="shared" si="69"/>
        <v>0</v>
      </c>
      <c r="K192" s="688">
        <f t="shared" si="69"/>
        <v>0</v>
      </c>
      <c r="L192" s="664">
        <f t="shared" si="69"/>
        <v>0</v>
      </c>
      <c r="M192" s="192">
        <f t="shared" si="69"/>
        <v>0</v>
      </c>
      <c r="N192" s="193">
        <f t="shared" si="69"/>
        <v>0</v>
      </c>
      <c r="O192" s="133">
        <f t="shared" si="69"/>
        <v>0</v>
      </c>
      <c r="P192" s="49"/>
    </row>
    <row r="193" spans="1:16" ht="36" hidden="1" customHeight="1" x14ac:dyDescent="0.25">
      <c r="A193" s="51">
        <v>4311</v>
      </c>
      <c r="B193" s="88" t="s">
        <v>210</v>
      </c>
      <c r="C193" s="89">
        <f t="shared" si="48"/>
        <v>0</v>
      </c>
      <c r="D193" s="544"/>
      <c r="E193" s="545"/>
      <c r="F193" s="543">
        <f>D193+E193</f>
        <v>0</v>
      </c>
      <c r="G193" s="303"/>
      <c r="H193" s="542"/>
      <c r="I193" s="543">
        <f>G193+H193</f>
        <v>0</v>
      </c>
      <c r="J193" s="303"/>
      <c r="K193" s="542"/>
      <c r="L193" s="543">
        <f>K193+J193</f>
        <v>0</v>
      </c>
      <c r="M193" s="53"/>
      <c r="N193" s="54"/>
      <c r="O193" s="55">
        <f>N193+M193</f>
        <v>0</v>
      </c>
      <c r="P193" s="57"/>
    </row>
    <row r="194" spans="1:16" s="28" customFormat="1" ht="24" x14ac:dyDescent="0.25">
      <c r="A194" s="224"/>
      <c r="B194" s="23" t="s">
        <v>211</v>
      </c>
      <c r="C194" s="171">
        <f t="shared" si="48"/>
        <v>4050</v>
      </c>
      <c r="D194" s="314">
        <f t="shared" ref="D194:O194" si="70">SUM(D195,D230,D269,D283)</f>
        <v>3600</v>
      </c>
      <c r="E194" s="678">
        <f t="shared" si="70"/>
        <v>0</v>
      </c>
      <c r="F194" s="670">
        <f t="shared" si="70"/>
        <v>3600</v>
      </c>
      <c r="G194" s="314">
        <f t="shared" si="70"/>
        <v>150</v>
      </c>
      <c r="H194" s="678">
        <f t="shared" si="70"/>
        <v>0</v>
      </c>
      <c r="I194" s="670">
        <f t="shared" si="70"/>
        <v>150</v>
      </c>
      <c r="J194" s="314">
        <f t="shared" si="70"/>
        <v>600</v>
      </c>
      <c r="K194" s="678">
        <f t="shared" si="70"/>
        <v>-300</v>
      </c>
      <c r="L194" s="670">
        <f t="shared" si="70"/>
        <v>300</v>
      </c>
      <c r="M194" s="172">
        <f t="shared" si="70"/>
        <v>0</v>
      </c>
      <c r="N194" s="173">
        <f t="shared" si="70"/>
        <v>0</v>
      </c>
      <c r="O194" s="174">
        <f t="shared" si="70"/>
        <v>0</v>
      </c>
      <c r="P194" s="175"/>
    </row>
    <row r="195" spans="1:16" x14ac:dyDescent="0.25">
      <c r="A195" s="679">
        <v>5000</v>
      </c>
      <c r="B195" s="679" t="s">
        <v>212</v>
      </c>
      <c r="C195" s="680">
        <f t="shared" si="48"/>
        <v>4050</v>
      </c>
      <c r="D195" s="681">
        <f t="shared" ref="D195:O195" si="71">D196+D204</f>
        <v>3600</v>
      </c>
      <c r="E195" s="682">
        <f t="shared" si="71"/>
        <v>0</v>
      </c>
      <c r="F195" s="683">
        <f t="shared" si="71"/>
        <v>3600</v>
      </c>
      <c r="G195" s="681">
        <f t="shared" si="71"/>
        <v>150</v>
      </c>
      <c r="H195" s="682">
        <f t="shared" si="71"/>
        <v>0</v>
      </c>
      <c r="I195" s="683">
        <f t="shared" si="71"/>
        <v>150</v>
      </c>
      <c r="J195" s="681">
        <f t="shared" si="71"/>
        <v>600</v>
      </c>
      <c r="K195" s="682">
        <f t="shared" si="71"/>
        <v>-300</v>
      </c>
      <c r="L195" s="683">
        <f t="shared" si="71"/>
        <v>300</v>
      </c>
      <c r="M195" s="681">
        <f t="shared" si="71"/>
        <v>0</v>
      </c>
      <c r="N195" s="682">
        <f t="shared" si="71"/>
        <v>0</v>
      </c>
      <c r="O195" s="180">
        <f t="shared" si="71"/>
        <v>0</v>
      </c>
      <c r="P195" s="181"/>
    </row>
    <row r="196" spans="1:16" hidden="1" x14ac:dyDescent="0.25">
      <c r="A196" s="68">
        <v>5100</v>
      </c>
      <c r="B196" s="182" t="s">
        <v>213</v>
      </c>
      <c r="C196" s="69">
        <f t="shared" si="48"/>
        <v>0</v>
      </c>
      <c r="D196" s="316">
        <f t="shared" ref="D196:O196" si="72">D197+D198+D201+D202+D203</f>
        <v>0</v>
      </c>
      <c r="E196" s="685">
        <f t="shared" si="72"/>
        <v>0</v>
      </c>
      <c r="F196" s="638">
        <f t="shared" si="72"/>
        <v>0</v>
      </c>
      <c r="G196" s="316">
        <f t="shared" si="72"/>
        <v>0</v>
      </c>
      <c r="H196" s="685">
        <f t="shared" si="72"/>
        <v>0</v>
      </c>
      <c r="I196" s="638">
        <f t="shared" si="72"/>
        <v>0</v>
      </c>
      <c r="J196" s="316">
        <f t="shared" si="72"/>
        <v>0</v>
      </c>
      <c r="K196" s="685">
        <f t="shared" si="72"/>
        <v>0</v>
      </c>
      <c r="L196" s="638">
        <f t="shared" si="72"/>
        <v>0</v>
      </c>
      <c r="M196" s="183">
        <f t="shared" si="72"/>
        <v>0</v>
      </c>
      <c r="N196" s="184">
        <f t="shared" si="72"/>
        <v>0</v>
      </c>
      <c r="O196" s="72">
        <f t="shared" si="72"/>
        <v>0</v>
      </c>
      <c r="P196" s="76"/>
    </row>
    <row r="197" spans="1:16" ht="12" hidden="1" customHeight="1" x14ac:dyDescent="0.25">
      <c r="A197" s="278">
        <v>5110</v>
      </c>
      <c r="B197" s="81" t="s">
        <v>214</v>
      </c>
      <c r="C197" s="82">
        <f t="shared" si="48"/>
        <v>0</v>
      </c>
      <c r="D197" s="689"/>
      <c r="E197" s="690"/>
      <c r="F197" s="664">
        <f>D197+E197</f>
        <v>0</v>
      </c>
      <c r="G197" s="302"/>
      <c r="H197" s="628"/>
      <c r="I197" s="664">
        <f>G197+H197</f>
        <v>0</v>
      </c>
      <c r="J197" s="302"/>
      <c r="K197" s="628"/>
      <c r="L197" s="664">
        <f>K197+J197</f>
        <v>0</v>
      </c>
      <c r="M197" s="46"/>
      <c r="N197" s="47"/>
      <c r="O197" s="133">
        <f>N197+M197</f>
        <v>0</v>
      </c>
      <c r="P197" s="49"/>
    </row>
    <row r="198" spans="1:16" ht="24" hidden="1" x14ac:dyDescent="0.25">
      <c r="A198" s="188">
        <v>5120</v>
      </c>
      <c r="B198" s="88" t="s">
        <v>215</v>
      </c>
      <c r="C198" s="89">
        <f t="shared" si="48"/>
        <v>0</v>
      </c>
      <c r="D198" s="318">
        <f t="shared" ref="D198:O198" si="73">D199+D200</f>
        <v>0</v>
      </c>
      <c r="E198" s="687">
        <f t="shared" si="73"/>
        <v>0</v>
      </c>
      <c r="F198" s="543">
        <f t="shared" si="73"/>
        <v>0</v>
      </c>
      <c r="G198" s="318">
        <f t="shared" si="73"/>
        <v>0</v>
      </c>
      <c r="H198" s="687">
        <f t="shared" si="73"/>
        <v>0</v>
      </c>
      <c r="I198" s="543">
        <f t="shared" si="73"/>
        <v>0</v>
      </c>
      <c r="J198" s="318">
        <f t="shared" si="73"/>
        <v>0</v>
      </c>
      <c r="K198" s="687">
        <f t="shared" si="73"/>
        <v>0</v>
      </c>
      <c r="L198" s="543">
        <f t="shared" si="73"/>
        <v>0</v>
      </c>
      <c r="M198" s="189">
        <f t="shared" si="73"/>
        <v>0</v>
      </c>
      <c r="N198" s="190">
        <f t="shared" si="73"/>
        <v>0</v>
      </c>
      <c r="O198" s="55">
        <f t="shared" si="73"/>
        <v>0</v>
      </c>
      <c r="P198" s="57"/>
    </row>
    <row r="199" spans="1:16" ht="12" hidden="1" customHeight="1" x14ac:dyDescent="0.25">
      <c r="A199" s="51">
        <v>5121</v>
      </c>
      <c r="B199" s="88" t="s">
        <v>216</v>
      </c>
      <c r="C199" s="89">
        <f t="shared" si="48"/>
        <v>0</v>
      </c>
      <c r="D199" s="544"/>
      <c r="E199" s="545"/>
      <c r="F199" s="543">
        <f>D199+E199</f>
        <v>0</v>
      </c>
      <c r="G199" s="303"/>
      <c r="H199" s="542"/>
      <c r="I199" s="543">
        <f>G199+H199</f>
        <v>0</v>
      </c>
      <c r="J199" s="303"/>
      <c r="K199" s="542"/>
      <c r="L199" s="543">
        <f>K199+J199</f>
        <v>0</v>
      </c>
      <c r="M199" s="53"/>
      <c r="N199" s="54"/>
      <c r="O199" s="55">
        <f>N199+M199</f>
        <v>0</v>
      </c>
      <c r="P199" s="57"/>
    </row>
    <row r="200" spans="1:16" ht="24" hidden="1" customHeight="1" x14ac:dyDescent="0.25">
      <c r="A200" s="51">
        <v>5129</v>
      </c>
      <c r="B200" s="88" t="s">
        <v>217</v>
      </c>
      <c r="C200" s="89">
        <f t="shared" si="48"/>
        <v>0</v>
      </c>
      <c r="D200" s="544"/>
      <c r="E200" s="545"/>
      <c r="F200" s="543">
        <f>D200+E200</f>
        <v>0</v>
      </c>
      <c r="G200" s="303"/>
      <c r="H200" s="542"/>
      <c r="I200" s="543">
        <f>G200+H200</f>
        <v>0</v>
      </c>
      <c r="J200" s="303"/>
      <c r="K200" s="542"/>
      <c r="L200" s="543">
        <f>K200+J200</f>
        <v>0</v>
      </c>
      <c r="M200" s="53"/>
      <c r="N200" s="54"/>
      <c r="O200" s="55">
        <f>N200+M200</f>
        <v>0</v>
      </c>
      <c r="P200" s="57"/>
    </row>
    <row r="201" spans="1:16" ht="12" hidden="1" customHeight="1" x14ac:dyDescent="0.25">
      <c r="A201" s="188">
        <v>5130</v>
      </c>
      <c r="B201" s="88" t="s">
        <v>218</v>
      </c>
      <c r="C201" s="89">
        <f t="shared" si="48"/>
        <v>0</v>
      </c>
      <c r="D201" s="544"/>
      <c r="E201" s="545"/>
      <c r="F201" s="543">
        <f>D201+E201</f>
        <v>0</v>
      </c>
      <c r="G201" s="303"/>
      <c r="H201" s="542"/>
      <c r="I201" s="543">
        <f>G201+H201</f>
        <v>0</v>
      </c>
      <c r="J201" s="303"/>
      <c r="K201" s="542"/>
      <c r="L201" s="543">
        <f>K201+J201</f>
        <v>0</v>
      </c>
      <c r="M201" s="53"/>
      <c r="N201" s="54"/>
      <c r="O201" s="55">
        <f>N201+M201</f>
        <v>0</v>
      </c>
      <c r="P201" s="57"/>
    </row>
    <row r="202" spans="1:16" ht="12" hidden="1" customHeight="1" x14ac:dyDescent="0.25">
      <c r="A202" s="188">
        <v>5140</v>
      </c>
      <c r="B202" s="88" t="s">
        <v>219</v>
      </c>
      <c r="C202" s="89">
        <f t="shared" si="48"/>
        <v>0</v>
      </c>
      <c r="D202" s="544"/>
      <c r="E202" s="545"/>
      <c r="F202" s="543">
        <f>D202+E202</f>
        <v>0</v>
      </c>
      <c r="G202" s="303"/>
      <c r="H202" s="542"/>
      <c r="I202" s="543">
        <f>G202+H202</f>
        <v>0</v>
      </c>
      <c r="J202" s="303"/>
      <c r="K202" s="542"/>
      <c r="L202" s="543">
        <f>K202+J202</f>
        <v>0</v>
      </c>
      <c r="M202" s="53"/>
      <c r="N202" s="54"/>
      <c r="O202" s="55">
        <f>N202+M202</f>
        <v>0</v>
      </c>
      <c r="P202" s="57"/>
    </row>
    <row r="203" spans="1:16" ht="24" hidden="1" customHeight="1" x14ac:dyDescent="0.25">
      <c r="A203" s="188">
        <v>5170</v>
      </c>
      <c r="B203" s="88" t="s">
        <v>220</v>
      </c>
      <c r="C203" s="89">
        <f t="shared" si="48"/>
        <v>0</v>
      </c>
      <c r="D203" s="544"/>
      <c r="E203" s="545"/>
      <c r="F203" s="543">
        <f>D203+E203</f>
        <v>0</v>
      </c>
      <c r="G203" s="303"/>
      <c r="H203" s="542"/>
      <c r="I203" s="543">
        <f>G203+H203</f>
        <v>0</v>
      </c>
      <c r="J203" s="303"/>
      <c r="K203" s="542"/>
      <c r="L203" s="543">
        <f>K203+J203</f>
        <v>0</v>
      </c>
      <c r="M203" s="53"/>
      <c r="N203" s="54"/>
      <c r="O203" s="55">
        <f>N203+M203</f>
        <v>0</v>
      </c>
      <c r="P203" s="57"/>
    </row>
    <row r="204" spans="1:16" x14ac:dyDescent="0.25">
      <c r="A204" s="68">
        <v>5200</v>
      </c>
      <c r="B204" s="182" t="s">
        <v>221</v>
      </c>
      <c r="C204" s="69">
        <f t="shared" si="48"/>
        <v>4050</v>
      </c>
      <c r="D204" s="316">
        <f t="shared" ref="D204:O204" si="74">D205+D215+D216+D225+D226+D227+D229</f>
        <v>3600</v>
      </c>
      <c r="E204" s="685">
        <f t="shared" si="74"/>
        <v>0</v>
      </c>
      <c r="F204" s="638">
        <f t="shared" si="74"/>
        <v>3600</v>
      </c>
      <c r="G204" s="316">
        <f t="shared" si="74"/>
        <v>150</v>
      </c>
      <c r="H204" s="685">
        <f t="shared" si="74"/>
        <v>0</v>
      </c>
      <c r="I204" s="638">
        <f t="shared" si="74"/>
        <v>150</v>
      </c>
      <c r="J204" s="316">
        <f t="shared" si="74"/>
        <v>600</v>
      </c>
      <c r="K204" s="685">
        <f t="shared" si="74"/>
        <v>-300</v>
      </c>
      <c r="L204" s="638">
        <f t="shared" si="74"/>
        <v>300</v>
      </c>
      <c r="M204" s="183">
        <f t="shared" si="74"/>
        <v>0</v>
      </c>
      <c r="N204" s="184">
        <f t="shared" si="74"/>
        <v>0</v>
      </c>
      <c r="O204" s="72">
        <f t="shared" si="74"/>
        <v>0</v>
      </c>
      <c r="P204" s="76"/>
    </row>
    <row r="205" spans="1:16" hidden="1" x14ac:dyDescent="0.25">
      <c r="A205" s="185">
        <v>5210</v>
      </c>
      <c r="B205" s="137" t="s">
        <v>222</v>
      </c>
      <c r="C205" s="142">
        <f t="shared" si="48"/>
        <v>0</v>
      </c>
      <c r="D205" s="317">
        <f t="shared" ref="D205:O205" si="75">SUM(D206:D214)</f>
        <v>0</v>
      </c>
      <c r="E205" s="686">
        <f t="shared" si="75"/>
        <v>0</v>
      </c>
      <c r="F205" s="667">
        <f t="shared" si="75"/>
        <v>0</v>
      </c>
      <c r="G205" s="317">
        <f t="shared" si="75"/>
        <v>0</v>
      </c>
      <c r="H205" s="686">
        <f t="shared" si="75"/>
        <v>0</v>
      </c>
      <c r="I205" s="667">
        <f t="shared" si="75"/>
        <v>0</v>
      </c>
      <c r="J205" s="317">
        <f t="shared" si="75"/>
        <v>0</v>
      </c>
      <c r="K205" s="686">
        <f t="shared" si="75"/>
        <v>0</v>
      </c>
      <c r="L205" s="667">
        <f t="shared" si="75"/>
        <v>0</v>
      </c>
      <c r="M205" s="186">
        <f t="shared" si="75"/>
        <v>0</v>
      </c>
      <c r="N205" s="187">
        <f t="shared" si="75"/>
        <v>0</v>
      </c>
      <c r="O205" s="140">
        <f t="shared" si="75"/>
        <v>0</v>
      </c>
      <c r="P205" s="128"/>
    </row>
    <row r="206" spans="1:16" ht="12" hidden="1" customHeight="1" x14ac:dyDescent="0.25">
      <c r="A206" s="44">
        <v>5211</v>
      </c>
      <c r="B206" s="81" t="s">
        <v>223</v>
      </c>
      <c r="C206" s="82">
        <f t="shared" si="48"/>
        <v>0</v>
      </c>
      <c r="D206" s="689"/>
      <c r="E206" s="690"/>
      <c r="F206" s="664">
        <f t="shared" ref="F206:F215" si="76">D206+E206</f>
        <v>0</v>
      </c>
      <c r="G206" s="302"/>
      <c r="H206" s="628"/>
      <c r="I206" s="664">
        <f t="shared" ref="I206:I215" si="77">G206+H206</f>
        <v>0</v>
      </c>
      <c r="J206" s="302"/>
      <c r="K206" s="628"/>
      <c r="L206" s="664">
        <f t="shared" ref="L206:L215" si="78">K206+J206</f>
        <v>0</v>
      </c>
      <c r="M206" s="46"/>
      <c r="N206" s="47"/>
      <c r="O206" s="133">
        <f t="shared" ref="O206:O215" si="79">N206+M206</f>
        <v>0</v>
      </c>
      <c r="P206" s="49"/>
    </row>
    <row r="207" spans="1:16" ht="12" hidden="1" customHeight="1" x14ac:dyDescent="0.25">
      <c r="A207" s="51">
        <v>5212</v>
      </c>
      <c r="B207" s="88" t="s">
        <v>224</v>
      </c>
      <c r="C207" s="89">
        <f t="shared" si="48"/>
        <v>0</v>
      </c>
      <c r="D207" s="544"/>
      <c r="E207" s="545"/>
      <c r="F207" s="543">
        <f t="shared" si="76"/>
        <v>0</v>
      </c>
      <c r="G207" s="303"/>
      <c r="H207" s="542"/>
      <c r="I207" s="543">
        <f t="shared" si="77"/>
        <v>0</v>
      </c>
      <c r="J207" s="303"/>
      <c r="K207" s="542"/>
      <c r="L207" s="543">
        <f t="shared" si="78"/>
        <v>0</v>
      </c>
      <c r="M207" s="53"/>
      <c r="N207" s="54"/>
      <c r="O207" s="55">
        <f t="shared" si="79"/>
        <v>0</v>
      </c>
      <c r="P207" s="57"/>
    </row>
    <row r="208" spans="1:16" ht="12" hidden="1" customHeight="1" x14ac:dyDescent="0.25">
      <c r="A208" s="51">
        <v>5213</v>
      </c>
      <c r="B208" s="88" t="s">
        <v>225</v>
      </c>
      <c r="C208" s="89">
        <f t="shared" si="48"/>
        <v>0</v>
      </c>
      <c r="D208" s="544"/>
      <c r="E208" s="545"/>
      <c r="F208" s="543">
        <f t="shared" si="76"/>
        <v>0</v>
      </c>
      <c r="G208" s="303"/>
      <c r="H208" s="542"/>
      <c r="I208" s="543">
        <f t="shared" si="77"/>
        <v>0</v>
      </c>
      <c r="J208" s="303"/>
      <c r="K208" s="542"/>
      <c r="L208" s="543">
        <f t="shared" si="78"/>
        <v>0</v>
      </c>
      <c r="M208" s="53"/>
      <c r="N208" s="54"/>
      <c r="O208" s="55">
        <f t="shared" si="79"/>
        <v>0</v>
      </c>
      <c r="P208" s="57"/>
    </row>
    <row r="209" spans="1:16" ht="12" hidden="1" customHeight="1" x14ac:dyDescent="0.25">
      <c r="A209" s="51">
        <v>5214</v>
      </c>
      <c r="B209" s="88" t="s">
        <v>226</v>
      </c>
      <c r="C209" s="89">
        <f t="shared" si="48"/>
        <v>0</v>
      </c>
      <c r="D209" s="544"/>
      <c r="E209" s="545"/>
      <c r="F209" s="543">
        <f t="shared" si="76"/>
        <v>0</v>
      </c>
      <c r="G209" s="303"/>
      <c r="H209" s="542"/>
      <c r="I209" s="543">
        <f t="shared" si="77"/>
        <v>0</v>
      </c>
      <c r="J209" s="303"/>
      <c r="K209" s="542"/>
      <c r="L209" s="543">
        <f t="shared" si="78"/>
        <v>0</v>
      </c>
      <c r="M209" s="53"/>
      <c r="N209" s="54"/>
      <c r="O209" s="55">
        <f t="shared" si="79"/>
        <v>0</v>
      </c>
      <c r="P209" s="57"/>
    </row>
    <row r="210" spans="1:16" ht="12" hidden="1" customHeight="1" x14ac:dyDescent="0.25">
      <c r="A210" s="51">
        <v>5215</v>
      </c>
      <c r="B210" s="88" t="s">
        <v>227</v>
      </c>
      <c r="C210" s="89">
        <f t="shared" si="48"/>
        <v>0</v>
      </c>
      <c r="D210" s="544"/>
      <c r="E210" s="545"/>
      <c r="F210" s="543">
        <f t="shared" si="76"/>
        <v>0</v>
      </c>
      <c r="G210" s="303"/>
      <c r="H210" s="542"/>
      <c r="I210" s="543">
        <f t="shared" si="77"/>
        <v>0</v>
      </c>
      <c r="J210" s="303"/>
      <c r="K210" s="542"/>
      <c r="L210" s="543">
        <f t="shared" si="78"/>
        <v>0</v>
      </c>
      <c r="M210" s="53"/>
      <c r="N210" s="54"/>
      <c r="O210" s="55">
        <f t="shared" si="79"/>
        <v>0</v>
      </c>
      <c r="P210" s="57"/>
    </row>
    <row r="211" spans="1:16" ht="14.25" hidden="1" customHeight="1" x14ac:dyDescent="0.25">
      <c r="A211" s="51">
        <v>5216</v>
      </c>
      <c r="B211" s="88" t="s">
        <v>228</v>
      </c>
      <c r="C211" s="89">
        <f t="shared" si="48"/>
        <v>0</v>
      </c>
      <c r="D211" s="544"/>
      <c r="E211" s="545"/>
      <c r="F211" s="543">
        <f t="shared" si="76"/>
        <v>0</v>
      </c>
      <c r="G211" s="303"/>
      <c r="H211" s="542"/>
      <c r="I211" s="543">
        <f t="shared" si="77"/>
        <v>0</v>
      </c>
      <c r="J211" s="303"/>
      <c r="K211" s="542"/>
      <c r="L211" s="543">
        <f t="shared" si="78"/>
        <v>0</v>
      </c>
      <c r="M211" s="53"/>
      <c r="N211" s="54"/>
      <c r="O211" s="55">
        <f t="shared" si="79"/>
        <v>0</v>
      </c>
      <c r="P211" s="57"/>
    </row>
    <row r="212" spans="1:16" ht="12" hidden="1" customHeight="1" x14ac:dyDescent="0.25">
      <c r="A212" s="51">
        <v>5217</v>
      </c>
      <c r="B212" s="88" t="s">
        <v>229</v>
      </c>
      <c r="C212" s="89">
        <f t="shared" ref="C212:C275" si="80">F212+I212+L212+O212</f>
        <v>0</v>
      </c>
      <c r="D212" s="544"/>
      <c r="E212" s="545"/>
      <c r="F212" s="543">
        <f t="shared" si="76"/>
        <v>0</v>
      </c>
      <c r="G212" s="303"/>
      <c r="H212" s="542"/>
      <c r="I212" s="543">
        <f t="shared" si="77"/>
        <v>0</v>
      </c>
      <c r="J212" s="303"/>
      <c r="K212" s="542"/>
      <c r="L212" s="543">
        <f t="shared" si="78"/>
        <v>0</v>
      </c>
      <c r="M212" s="53"/>
      <c r="N212" s="54"/>
      <c r="O212" s="55">
        <f t="shared" si="79"/>
        <v>0</v>
      </c>
      <c r="P212" s="57"/>
    </row>
    <row r="213" spans="1:16" ht="12" hidden="1" customHeight="1" x14ac:dyDescent="0.25">
      <c r="A213" s="51">
        <v>5218</v>
      </c>
      <c r="B213" s="88" t="s">
        <v>230</v>
      </c>
      <c r="C213" s="89">
        <f t="shared" si="80"/>
        <v>0</v>
      </c>
      <c r="D213" s="544"/>
      <c r="E213" s="545"/>
      <c r="F213" s="543">
        <f t="shared" si="76"/>
        <v>0</v>
      </c>
      <c r="G213" s="303"/>
      <c r="H213" s="542"/>
      <c r="I213" s="543">
        <f t="shared" si="77"/>
        <v>0</v>
      </c>
      <c r="J213" s="303"/>
      <c r="K213" s="542"/>
      <c r="L213" s="543">
        <f t="shared" si="78"/>
        <v>0</v>
      </c>
      <c r="M213" s="53"/>
      <c r="N213" s="54"/>
      <c r="O213" s="55">
        <f t="shared" si="79"/>
        <v>0</v>
      </c>
      <c r="P213" s="57"/>
    </row>
    <row r="214" spans="1:16" ht="12" hidden="1" customHeight="1" x14ac:dyDescent="0.25">
      <c r="A214" s="51">
        <v>5219</v>
      </c>
      <c r="B214" s="88" t="s">
        <v>231</v>
      </c>
      <c r="C214" s="89">
        <f t="shared" si="80"/>
        <v>0</v>
      </c>
      <c r="D214" s="544"/>
      <c r="E214" s="545"/>
      <c r="F214" s="543">
        <f t="shared" si="76"/>
        <v>0</v>
      </c>
      <c r="G214" s="303"/>
      <c r="H214" s="542"/>
      <c r="I214" s="543">
        <f t="shared" si="77"/>
        <v>0</v>
      </c>
      <c r="J214" s="303"/>
      <c r="K214" s="542"/>
      <c r="L214" s="543">
        <f t="shared" si="78"/>
        <v>0</v>
      </c>
      <c r="M214" s="53"/>
      <c r="N214" s="54"/>
      <c r="O214" s="55">
        <f t="shared" si="79"/>
        <v>0</v>
      </c>
      <c r="P214" s="57"/>
    </row>
    <row r="215" spans="1:16" ht="13.5" hidden="1" customHeight="1" x14ac:dyDescent="0.25">
      <c r="A215" s="188">
        <v>5220</v>
      </c>
      <c r="B215" s="88" t="s">
        <v>232</v>
      </c>
      <c r="C215" s="89">
        <f t="shared" si="80"/>
        <v>0</v>
      </c>
      <c r="D215" s="544"/>
      <c r="E215" s="545"/>
      <c r="F215" s="543">
        <f t="shared" si="76"/>
        <v>0</v>
      </c>
      <c r="G215" s="303"/>
      <c r="H215" s="542"/>
      <c r="I215" s="543">
        <f t="shared" si="77"/>
        <v>0</v>
      </c>
      <c r="J215" s="303"/>
      <c r="K215" s="542"/>
      <c r="L215" s="543">
        <f t="shared" si="78"/>
        <v>0</v>
      </c>
      <c r="M215" s="53"/>
      <c r="N215" s="54"/>
      <c r="O215" s="55">
        <f t="shared" si="79"/>
        <v>0</v>
      </c>
      <c r="P215" s="57"/>
    </row>
    <row r="216" spans="1:16" x14ac:dyDescent="0.25">
      <c r="A216" s="188">
        <v>5230</v>
      </c>
      <c r="B216" s="88" t="s">
        <v>233</v>
      </c>
      <c r="C216" s="89">
        <f t="shared" si="80"/>
        <v>4050</v>
      </c>
      <c r="D216" s="318">
        <f t="shared" ref="D216:O216" si="81">SUM(D217:D224)</f>
        <v>3600</v>
      </c>
      <c r="E216" s="687">
        <f t="shared" si="81"/>
        <v>0</v>
      </c>
      <c r="F216" s="543">
        <f t="shared" si="81"/>
        <v>3600</v>
      </c>
      <c r="G216" s="318">
        <f t="shared" si="81"/>
        <v>150</v>
      </c>
      <c r="H216" s="687">
        <f t="shared" si="81"/>
        <v>0</v>
      </c>
      <c r="I216" s="543">
        <f t="shared" si="81"/>
        <v>150</v>
      </c>
      <c r="J216" s="318">
        <f t="shared" si="81"/>
        <v>600</v>
      </c>
      <c r="K216" s="687">
        <f t="shared" si="81"/>
        <v>-300</v>
      </c>
      <c r="L216" s="543">
        <f t="shared" si="81"/>
        <v>300</v>
      </c>
      <c r="M216" s="189">
        <f t="shared" si="81"/>
        <v>0</v>
      </c>
      <c r="N216" s="190">
        <f t="shared" si="81"/>
        <v>0</v>
      </c>
      <c r="O216" s="55">
        <f t="shared" si="81"/>
        <v>0</v>
      </c>
      <c r="P216" s="57"/>
    </row>
    <row r="217" spans="1:16" ht="12" hidden="1" customHeight="1" x14ac:dyDescent="0.25">
      <c r="A217" s="51">
        <v>5231</v>
      </c>
      <c r="B217" s="88" t="s">
        <v>234</v>
      </c>
      <c r="C217" s="89">
        <f t="shared" si="80"/>
        <v>0</v>
      </c>
      <c r="D217" s="544"/>
      <c r="E217" s="545"/>
      <c r="F217" s="543">
        <f t="shared" ref="F217:F226" si="82">D217+E217</f>
        <v>0</v>
      </c>
      <c r="G217" s="303"/>
      <c r="H217" s="542"/>
      <c r="I217" s="543">
        <f t="shared" ref="I217:I226" si="83">G217+H217</f>
        <v>0</v>
      </c>
      <c r="J217" s="303"/>
      <c r="K217" s="542"/>
      <c r="L217" s="543">
        <f t="shared" ref="L217:L226" si="84">K217+J217</f>
        <v>0</v>
      </c>
      <c r="M217" s="53"/>
      <c r="N217" s="54"/>
      <c r="O217" s="55">
        <f t="shared" ref="O217:O226" si="85">N217+M217</f>
        <v>0</v>
      </c>
      <c r="P217" s="57"/>
    </row>
    <row r="218" spans="1:16" ht="78.75" hidden="1" customHeight="1" x14ac:dyDescent="0.25">
      <c r="A218" s="51">
        <v>5232</v>
      </c>
      <c r="B218" s="88" t="s">
        <v>235</v>
      </c>
      <c r="C218" s="89">
        <f t="shared" si="80"/>
        <v>0</v>
      </c>
      <c r="D218" s="544"/>
      <c r="E218" s="545"/>
      <c r="F218" s="543">
        <f t="shared" si="82"/>
        <v>0</v>
      </c>
      <c r="G218" s="303"/>
      <c r="H218" s="542"/>
      <c r="I218" s="543">
        <f t="shared" si="83"/>
        <v>0</v>
      </c>
      <c r="J218" s="303">
        <v>300</v>
      </c>
      <c r="K218" s="286">
        <v>-300</v>
      </c>
      <c r="L218" s="543">
        <f t="shared" si="84"/>
        <v>0</v>
      </c>
      <c r="M218" s="53"/>
      <c r="N218" s="54"/>
      <c r="O218" s="55">
        <f t="shared" si="85"/>
        <v>0</v>
      </c>
      <c r="P218" s="57" t="s">
        <v>847</v>
      </c>
    </row>
    <row r="219" spans="1:16" ht="12" customHeight="1" x14ac:dyDescent="0.25">
      <c r="A219" s="51">
        <v>5233</v>
      </c>
      <c r="B219" s="88" t="s">
        <v>236</v>
      </c>
      <c r="C219" s="89">
        <f t="shared" si="80"/>
        <v>450</v>
      </c>
      <c r="D219" s="544"/>
      <c r="E219" s="545"/>
      <c r="F219" s="543">
        <f t="shared" si="82"/>
        <v>0</v>
      </c>
      <c r="G219" s="303">
        <v>150</v>
      </c>
      <c r="H219" s="542"/>
      <c r="I219" s="543">
        <f t="shared" si="83"/>
        <v>150</v>
      </c>
      <c r="J219" s="303">
        <v>300</v>
      </c>
      <c r="K219" s="542"/>
      <c r="L219" s="543">
        <f t="shared" si="84"/>
        <v>300</v>
      </c>
      <c r="M219" s="53"/>
      <c r="N219" s="54"/>
      <c r="O219" s="55">
        <f t="shared" si="85"/>
        <v>0</v>
      </c>
      <c r="P219" s="57"/>
    </row>
    <row r="220" spans="1:16" ht="24" hidden="1" customHeight="1" x14ac:dyDescent="0.25">
      <c r="A220" s="51">
        <v>5234</v>
      </c>
      <c r="B220" s="88" t="s">
        <v>237</v>
      </c>
      <c r="C220" s="89">
        <f t="shared" si="80"/>
        <v>0</v>
      </c>
      <c r="D220" s="544"/>
      <c r="E220" s="545"/>
      <c r="F220" s="543">
        <f t="shared" si="82"/>
        <v>0</v>
      </c>
      <c r="G220" s="303"/>
      <c r="H220" s="542"/>
      <c r="I220" s="543">
        <f t="shared" si="83"/>
        <v>0</v>
      </c>
      <c r="J220" s="303"/>
      <c r="K220" s="542"/>
      <c r="L220" s="543">
        <f t="shared" si="84"/>
        <v>0</v>
      </c>
      <c r="M220" s="53"/>
      <c r="N220" s="54"/>
      <c r="O220" s="55">
        <f t="shared" si="85"/>
        <v>0</v>
      </c>
      <c r="P220" s="57"/>
    </row>
    <row r="221" spans="1:16" ht="14.25" hidden="1" customHeight="1" x14ac:dyDescent="0.25">
      <c r="A221" s="51">
        <v>5236</v>
      </c>
      <c r="B221" s="88" t="s">
        <v>238</v>
      </c>
      <c r="C221" s="89">
        <f t="shared" si="80"/>
        <v>0</v>
      </c>
      <c r="D221" s="544"/>
      <c r="E221" s="545"/>
      <c r="F221" s="543">
        <f t="shared" si="82"/>
        <v>0</v>
      </c>
      <c r="G221" s="303"/>
      <c r="H221" s="542"/>
      <c r="I221" s="543">
        <f t="shared" si="83"/>
        <v>0</v>
      </c>
      <c r="J221" s="303"/>
      <c r="K221" s="542"/>
      <c r="L221" s="543">
        <f t="shared" si="84"/>
        <v>0</v>
      </c>
      <c r="M221" s="53"/>
      <c r="N221" s="54"/>
      <c r="O221" s="55">
        <f t="shared" si="85"/>
        <v>0</v>
      </c>
      <c r="P221" s="57"/>
    </row>
    <row r="222" spans="1:16" ht="14.25" hidden="1" customHeight="1" x14ac:dyDescent="0.25">
      <c r="A222" s="51">
        <v>5237</v>
      </c>
      <c r="B222" s="88" t="s">
        <v>239</v>
      </c>
      <c r="C222" s="89">
        <f t="shared" si="80"/>
        <v>0</v>
      </c>
      <c r="D222" s="544"/>
      <c r="E222" s="545"/>
      <c r="F222" s="543">
        <f t="shared" si="82"/>
        <v>0</v>
      </c>
      <c r="G222" s="303"/>
      <c r="H222" s="542"/>
      <c r="I222" s="543">
        <f t="shared" si="83"/>
        <v>0</v>
      </c>
      <c r="J222" s="303"/>
      <c r="K222" s="542"/>
      <c r="L222" s="543">
        <f t="shared" si="84"/>
        <v>0</v>
      </c>
      <c r="M222" s="53"/>
      <c r="N222" s="54"/>
      <c r="O222" s="55">
        <f t="shared" si="85"/>
        <v>0</v>
      </c>
      <c r="P222" s="57"/>
    </row>
    <row r="223" spans="1:16" ht="24" customHeight="1" x14ac:dyDescent="0.25">
      <c r="A223" s="51">
        <v>5238</v>
      </c>
      <c r="B223" s="88" t="s">
        <v>240</v>
      </c>
      <c r="C223" s="89">
        <f t="shared" si="80"/>
        <v>3600</v>
      </c>
      <c r="D223" s="544">
        <v>3600</v>
      </c>
      <c r="E223" s="545"/>
      <c r="F223" s="543">
        <f t="shared" si="82"/>
        <v>3600</v>
      </c>
      <c r="G223" s="303"/>
      <c r="H223" s="542"/>
      <c r="I223" s="543">
        <f t="shared" si="83"/>
        <v>0</v>
      </c>
      <c r="J223" s="303"/>
      <c r="K223" s="542"/>
      <c r="L223" s="543">
        <f t="shared" si="84"/>
        <v>0</v>
      </c>
      <c r="M223" s="53"/>
      <c r="N223" s="54"/>
      <c r="O223" s="55">
        <f t="shared" si="85"/>
        <v>0</v>
      </c>
      <c r="P223" s="57"/>
    </row>
    <row r="224" spans="1:16" ht="24" hidden="1" customHeight="1" x14ac:dyDescent="0.25">
      <c r="A224" s="51">
        <v>5239</v>
      </c>
      <c r="B224" s="88" t="s">
        <v>241</v>
      </c>
      <c r="C224" s="89">
        <f t="shared" si="80"/>
        <v>0</v>
      </c>
      <c r="D224" s="544"/>
      <c r="E224" s="545"/>
      <c r="F224" s="543">
        <f t="shared" si="82"/>
        <v>0</v>
      </c>
      <c r="G224" s="303"/>
      <c r="H224" s="542"/>
      <c r="I224" s="543">
        <f t="shared" si="83"/>
        <v>0</v>
      </c>
      <c r="J224" s="303"/>
      <c r="K224" s="542"/>
      <c r="L224" s="543">
        <f t="shared" si="84"/>
        <v>0</v>
      </c>
      <c r="M224" s="53"/>
      <c r="N224" s="54"/>
      <c r="O224" s="55">
        <f t="shared" si="85"/>
        <v>0</v>
      </c>
      <c r="P224" s="57"/>
    </row>
    <row r="225" spans="1:16" ht="24" hidden="1" customHeight="1" x14ac:dyDescent="0.25">
      <c r="A225" s="188">
        <v>5240</v>
      </c>
      <c r="B225" s="88" t="s">
        <v>242</v>
      </c>
      <c r="C225" s="89">
        <f t="shared" si="80"/>
        <v>0</v>
      </c>
      <c r="D225" s="544"/>
      <c r="E225" s="545"/>
      <c r="F225" s="543">
        <f t="shared" si="82"/>
        <v>0</v>
      </c>
      <c r="G225" s="303"/>
      <c r="H225" s="542"/>
      <c r="I225" s="543">
        <f t="shared" si="83"/>
        <v>0</v>
      </c>
      <c r="J225" s="303"/>
      <c r="K225" s="542"/>
      <c r="L225" s="543">
        <f t="shared" si="84"/>
        <v>0</v>
      </c>
      <c r="M225" s="53"/>
      <c r="N225" s="54"/>
      <c r="O225" s="55">
        <f t="shared" si="85"/>
        <v>0</v>
      </c>
      <c r="P225" s="57"/>
    </row>
    <row r="226" spans="1:16" ht="12" hidden="1" customHeight="1" x14ac:dyDescent="0.25">
      <c r="A226" s="188">
        <v>5250</v>
      </c>
      <c r="B226" s="88" t="s">
        <v>243</v>
      </c>
      <c r="C226" s="89">
        <f t="shared" si="80"/>
        <v>0</v>
      </c>
      <c r="D226" s="544"/>
      <c r="E226" s="545"/>
      <c r="F226" s="543">
        <f t="shared" si="82"/>
        <v>0</v>
      </c>
      <c r="G226" s="303"/>
      <c r="H226" s="542"/>
      <c r="I226" s="543">
        <f t="shared" si="83"/>
        <v>0</v>
      </c>
      <c r="J226" s="303"/>
      <c r="K226" s="542"/>
      <c r="L226" s="543">
        <f t="shared" si="84"/>
        <v>0</v>
      </c>
      <c r="M226" s="53"/>
      <c r="N226" s="54"/>
      <c r="O226" s="55">
        <f t="shared" si="85"/>
        <v>0</v>
      </c>
      <c r="P226" s="57"/>
    </row>
    <row r="227" spans="1:16" hidden="1" x14ac:dyDescent="0.25">
      <c r="A227" s="188">
        <v>5260</v>
      </c>
      <c r="B227" s="88" t="s">
        <v>244</v>
      </c>
      <c r="C227" s="89">
        <f t="shared" si="80"/>
        <v>0</v>
      </c>
      <c r="D227" s="318">
        <f t="shared" ref="D227:O227" si="86">SUM(D228)</f>
        <v>0</v>
      </c>
      <c r="E227" s="687">
        <f t="shared" si="86"/>
        <v>0</v>
      </c>
      <c r="F227" s="543">
        <f t="shared" si="86"/>
        <v>0</v>
      </c>
      <c r="G227" s="318">
        <f t="shared" si="86"/>
        <v>0</v>
      </c>
      <c r="H227" s="687">
        <f t="shared" si="86"/>
        <v>0</v>
      </c>
      <c r="I227" s="543">
        <f t="shared" si="86"/>
        <v>0</v>
      </c>
      <c r="J227" s="318">
        <f t="shared" si="86"/>
        <v>0</v>
      </c>
      <c r="K227" s="687">
        <f t="shared" si="86"/>
        <v>0</v>
      </c>
      <c r="L227" s="543">
        <f t="shared" si="86"/>
        <v>0</v>
      </c>
      <c r="M227" s="189">
        <f t="shared" si="86"/>
        <v>0</v>
      </c>
      <c r="N227" s="190">
        <f t="shared" si="86"/>
        <v>0</v>
      </c>
      <c r="O227" s="55">
        <f t="shared" si="86"/>
        <v>0</v>
      </c>
      <c r="P227" s="57"/>
    </row>
    <row r="228" spans="1:16" ht="24" hidden="1" customHeight="1" x14ac:dyDescent="0.25">
      <c r="A228" s="51">
        <v>5269</v>
      </c>
      <c r="B228" s="88" t="s">
        <v>245</v>
      </c>
      <c r="C228" s="89">
        <f t="shared" si="80"/>
        <v>0</v>
      </c>
      <c r="D228" s="544"/>
      <c r="E228" s="545"/>
      <c r="F228" s="543">
        <f>D228+E228</f>
        <v>0</v>
      </c>
      <c r="G228" s="303"/>
      <c r="H228" s="542"/>
      <c r="I228" s="543">
        <f>G228+H228</f>
        <v>0</v>
      </c>
      <c r="J228" s="303"/>
      <c r="K228" s="542"/>
      <c r="L228" s="543">
        <f>K228+J228</f>
        <v>0</v>
      </c>
      <c r="M228" s="53"/>
      <c r="N228" s="54"/>
      <c r="O228" s="55">
        <f>N228+M228</f>
        <v>0</v>
      </c>
      <c r="P228" s="57"/>
    </row>
    <row r="229" spans="1:16" ht="24" hidden="1" customHeight="1" x14ac:dyDescent="0.25">
      <c r="A229" s="185">
        <v>5270</v>
      </c>
      <c r="B229" s="137" t="s">
        <v>246</v>
      </c>
      <c r="C229" s="142">
        <f t="shared" si="80"/>
        <v>0</v>
      </c>
      <c r="D229" s="691"/>
      <c r="E229" s="692"/>
      <c r="F229" s="667">
        <f>D229+E229</f>
        <v>0</v>
      </c>
      <c r="G229" s="312"/>
      <c r="H229" s="666"/>
      <c r="I229" s="667">
        <f>G229+H229</f>
        <v>0</v>
      </c>
      <c r="J229" s="312"/>
      <c r="K229" s="666"/>
      <c r="L229" s="667">
        <f>K229+J229</f>
        <v>0</v>
      </c>
      <c r="M229" s="143"/>
      <c r="N229" s="144"/>
      <c r="O229" s="140">
        <f>N229+M229</f>
        <v>0</v>
      </c>
      <c r="P229" s="128"/>
    </row>
    <row r="230" spans="1:16" hidden="1" x14ac:dyDescent="0.25">
      <c r="A230" s="679">
        <v>6000</v>
      </c>
      <c r="B230" s="679" t="s">
        <v>247</v>
      </c>
      <c r="C230" s="680">
        <f t="shared" si="80"/>
        <v>0</v>
      </c>
      <c r="D230" s="681">
        <f t="shared" ref="D230:O230" si="87">D231+D251+D259</f>
        <v>0</v>
      </c>
      <c r="E230" s="682">
        <f t="shared" si="87"/>
        <v>0</v>
      </c>
      <c r="F230" s="683">
        <f t="shared" si="87"/>
        <v>0</v>
      </c>
      <c r="G230" s="681">
        <f t="shared" si="87"/>
        <v>0</v>
      </c>
      <c r="H230" s="682">
        <f t="shared" si="87"/>
        <v>0</v>
      </c>
      <c r="I230" s="683">
        <f t="shared" si="87"/>
        <v>0</v>
      </c>
      <c r="J230" s="681">
        <f t="shared" si="87"/>
        <v>0</v>
      </c>
      <c r="K230" s="682">
        <f t="shared" si="87"/>
        <v>0</v>
      </c>
      <c r="L230" s="683">
        <f t="shared" si="87"/>
        <v>0</v>
      </c>
      <c r="M230" s="681">
        <f t="shared" si="87"/>
        <v>0</v>
      </c>
      <c r="N230" s="682">
        <f t="shared" si="87"/>
        <v>0</v>
      </c>
      <c r="O230" s="683">
        <f t="shared" si="87"/>
        <v>0</v>
      </c>
      <c r="P230" s="684"/>
    </row>
    <row r="231" spans="1:16" ht="14.25" hidden="1" customHeight="1" x14ac:dyDescent="0.25">
      <c r="A231" s="216">
        <v>6200</v>
      </c>
      <c r="B231" s="207" t="s">
        <v>248</v>
      </c>
      <c r="C231" s="217">
        <f t="shared" si="80"/>
        <v>0</v>
      </c>
      <c r="D231" s="322">
        <f t="shared" ref="D231:O231" si="88">SUM(D232,D233,D235,D238,D244,D245,D246)</f>
        <v>0</v>
      </c>
      <c r="E231" s="698">
        <f t="shared" si="88"/>
        <v>0</v>
      </c>
      <c r="F231" s="699">
        <f t="shared" si="88"/>
        <v>0</v>
      </c>
      <c r="G231" s="322">
        <f t="shared" si="88"/>
        <v>0</v>
      </c>
      <c r="H231" s="698">
        <f t="shared" si="88"/>
        <v>0</v>
      </c>
      <c r="I231" s="699">
        <f t="shared" si="88"/>
        <v>0</v>
      </c>
      <c r="J231" s="322">
        <f t="shared" si="88"/>
        <v>0</v>
      </c>
      <c r="K231" s="698">
        <f t="shared" si="88"/>
        <v>0</v>
      </c>
      <c r="L231" s="699">
        <f t="shared" si="88"/>
        <v>0</v>
      </c>
      <c r="M231" s="218">
        <f t="shared" si="88"/>
        <v>0</v>
      </c>
      <c r="N231" s="219">
        <f t="shared" si="88"/>
        <v>0</v>
      </c>
      <c r="O231" s="220">
        <f t="shared" si="88"/>
        <v>0</v>
      </c>
      <c r="P231" s="221"/>
    </row>
    <row r="232" spans="1:16" ht="24" hidden="1" customHeight="1" x14ac:dyDescent="0.25">
      <c r="A232" s="278">
        <v>6220</v>
      </c>
      <c r="B232" s="81" t="s">
        <v>249</v>
      </c>
      <c r="C232" s="82">
        <f t="shared" si="80"/>
        <v>0</v>
      </c>
      <c r="D232" s="689"/>
      <c r="E232" s="690"/>
      <c r="F232" s="664">
        <f>D232+E232</f>
        <v>0</v>
      </c>
      <c r="G232" s="302"/>
      <c r="H232" s="628"/>
      <c r="I232" s="664">
        <f>G232+H232</f>
        <v>0</v>
      </c>
      <c r="J232" s="302"/>
      <c r="K232" s="628"/>
      <c r="L232" s="664">
        <f>K232+J232</f>
        <v>0</v>
      </c>
      <c r="M232" s="46"/>
      <c r="N232" s="47"/>
      <c r="O232" s="133">
        <f>N232+M232</f>
        <v>0</v>
      </c>
      <c r="P232" s="49"/>
    </row>
    <row r="233" spans="1:16" hidden="1" x14ac:dyDescent="0.25">
      <c r="A233" s="188">
        <v>6230</v>
      </c>
      <c r="B233" s="88" t="s">
        <v>250</v>
      </c>
      <c r="C233" s="89">
        <f t="shared" si="80"/>
        <v>0</v>
      </c>
      <c r="D233" s="318">
        <f t="shared" ref="D233:O233" si="89">SUM(D234)</f>
        <v>0</v>
      </c>
      <c r="E233" s="687">
        <f t="shared" si="89"/>
        <v>0</v>
      </c>
      <c r="F233" s="543">
        <f t="shared" si="89"/>
        <v>0</v>
      </c>
      <c r="G233" s="318">
        <f t="shared" si="89"/>
        <v>0</v>
      </c>
      <c r="H233" s="687">
        <f t="shared" si="89"/>
        <v>0</v>
      </c>
      <c r="I233" s="543">
        <f t="shared" si="89"/>
        <v>0</v>
      </c>
      <c r="J233" s="318">
        <f t="shared" si="89"/>
        <v>0</v>
      </c>
      <c r="K233" s="687">
        <f t="shared" si="89"/>
        <v>0</v>
      </c>
      <c r="L233" s="543">
        <f t="shared" si="89"/>
        <v>0</v>
      </c>
      <c r="M233" s="189">
        <f t="shared" si="89"/>
        <v>0</v>
      </c>
      <c r="N233" s="190">
        <f t="shared" si="89"/>
        <v>0</v>
      </c>
      <c r="O233" s="55">
        <f t="shared" si="89"/>
        <v>0</v>
      </c>
      <c r="P233" s="57"/>
    </row>
    <row r="234" spans="1:16" ht="24" hidden="1" customHeight="1" x14ac:dyDescent="0.25">
      <c r="A234" s="51">
        <v>6239</v>
      </c>
      <c r="B234" s="81" t="s">
        <v>251</v>
      </c>
      <c r="C234" s="89">
        <f t="shared" si="80"/>
        <v>0</v>
      </c>
      <c r="D234" s="689"/>
      <c r="E234" s="690"/>
      <c r="F234" s="664">
        <f>D234+E234</f>
        <v>0</v>
      </c>
      <c r="G234" s="302"/>
      <c r="H234" s="628"/>
      <c r="I234" s="664">
        <f>G234+H234</f>
        <v>0</v>
      </c>
      <c r="J234" s="302"/>
      <c r="K234" s="628"/>
      <c r="L234" s="664">
        <f>K234+J234</f>
        <v>0</v>
      </c>
      <c r="M234" s="46"/>
      <c r="N234" s="47"/>
      <c r="O234" s="133">
        <f>N234+M234</f>
        <v>0</v>
      </c>
      <c r="P234" s="49"/>
    </row>
    <row r="235" spans="1:16" ht="24" hidden="1" x14ac:dyDescent="0.25">
      <c r="A235" s="188">
        <v>6240</v>
      </c>
      <c r="B235" s="88" t="s">
        <v>252</v>
      </c>
      <c r="C235" s="89">
        <f t="shared" si="80"/>
        <v>0</v>
      </c>
      <c r="D235" s="318">
        <f t="shared" ref="D235:O235" si="90">SUM(D236:D237)</f>
        <v>0</v>
      </c>
      <c r="E235" s="687">
        <f t="shared" si="90"/>
        <v>0</v>
      </c>
      <c r="F235" s="543">
        <f t="shared" si="90"/>
        <v>0</v>
      </c>
      <c r="G235" s="318">
        <f t="shared" si="90"/>
        <v>0</v>
      </c>
      <c r="H235" s="687">
        <f t="shared" si="90"/>
        <v>0</v>
      </c>
      <c r="I235" s="543">
        <f t="shared" si="90"/>
        <v>0</v>
      </c>
      <c r="J235" s="318">
        <f t="shared" si="90"/>
        <v>0</v>
      </c>
      <c r="K235" s="687">
        <f t="shared" si="90"/>
        <v>0</v>
      </c>
      <c r="L235" s="543">
        <f t="shared" si="90"/>
        <v>0</v>
      </c>
      <c r="M235" s="189">
        <f t="shared" si="90"/>
        <v>0</v>
      </c>
      <c r="N235" s="190">
        <f t="shared" si="90"/>
        <v>0</v>
      </c>
      <c r="O235" s="55">
        <f t="shared" si="90"/>
        <v>0</v>
      </c>
      <c r="P235" s="57"/>
    </row>
    <row r="236" spans="1:16" ht="12" hidden="1" customHeight="1" x14ac:dyDescent="0.25">
      <c r="A236" s="51">
        <v>6241</v>
      </c>
      <c r="B236" s="88" t="s">
        <v>253</v>
      </c>
      <c r="C236" s="89">
        <f t="shared" si="80"/>
        <v>0</v>
      </c>
      <c r="D236" s="544"/>
      <c r="E236" s="545"/>
      <c r="F236" s="543">
        <f>D236+E236</f>
        <v>0</v>
      </c>
      <c r="G236" s="303"/>
      <c r="H236" s="542"/>
      <c r="I236" s="543">
        <f>G236+H236</f>
        <v>0</v>
      </c>
      <c r="J236" s="303"/>
      <c r="K236" s="542"/>
      <c r="L236" s="543">
        <f>K236+J236</f>
        <v>0</v>
      </c>
      <c r="M236" s="53"/>
      <c r="N236" s="54"/>
      <c r="O236" s="55">
        <f>N236+M236</f>
        <v>0</v>
      </c>
      <c r="P236" s="57"/>
    </row>
    <row r="237" spans="1:16" ht="12" hidden="1" customHeight="1" x14ac:dyDescent="0.25">
      <c r="A237" s="51">
        <v>6242</v>
      </c>
      <c r="B237" s="88" t="s">
        <v>254</v>
      </c>
      <c r="C237" s="89">
        <f t="shared" si="80"/>
        <v>0</v>
      </c>
      <c r="D237" s="544"/>
      <c r="E237" s="545"/>
      <c r="F237" s="543">
        <f>D237+E237</f>
        <v>0</v>
      </c>
      <c r="G237" s="303"/>
      <c r="H237" s="542"/>
      <c r="I237" s="543">
        <f>G237+H237</f>
        <v>0</v>
      </c>
      <c r="J237" s="303"/>
      <c r="K237" s="542"/>
      <c r="L237" s="543">
        <f>K237+J237</f>
        <v>0</v>
      </c>
      <c r="M237" s="53"/>
      <c r="N237" s="54"/>
      <c r="O237" s="55">
        <f>N237+M237</f>
        <v>0</v>
      </c>
      <c r="P237" s="57"/>
    </row>
    <row r="238" spans="1:16" ht="25.5" hidden="1" customHeight="1" x14ac:dyDescent="0.25">
      <c r="A238" s="188">
        <v>6250</v>
      </c>
      <c r="B238" s="88" t="s">
        <v>255</v>
      </c>
      <c r="C238" s="89">
        <f t="shared" si="80"/>
        <v>0</v>
      </c>
      <c r="D238" s="318">
        <f t="shared" ref="D238:O238" si="91">SUM(D239:D243)</f>
        <v>0</v>
      </c>
      <c r="E238" s="687">
        <f t="shared" si="91"/>
        <v>0</v>
      </c>
      <c r="F238" s="543">
        <f t="shared" si="91"/>
        <v>0</v>
      </c>
      <c r="G238" s="318">
        <f t="shared" si="91"/>
        <v>0</v>
      </c>
      <c r="H238" s="687">
        <f t="shared" si="91"/>
        <v>0</v>
      </c>
      <c r="I238" s="543">
        <f t="shared" si="91"/>
        <v>0</v>
      </c>
      <c r="J238" s="318">
        <f t="shared" si="91"/>
        <v>0</v>
      </c>
      <c r="K238" s="687">
        <f t="shared" si="91"/>
        <v>0</v>
      </c>
      <c r="L238" s="543">
        <f t="shared" si="91"/>
        <v>0</v>
      </c>
      <c r="M238" s="189">
        <f t="shared" si="91"/>
        <v>0</v>
      </c>
      <c r="N238" s="190">
        <f t="shared" si="91"/>
        <v>0</v>
      </c>
      <c r="O238" s="55">
        <f t="shared" si="91"/>
        <v>0</v>
      </c>
      <c r="P238" s="57"/>
    </row>
    <row r="239" spans="1:16" ht="14.25" hidden="1" customHeight="1" x14ac:dyDescent="0.25">
      <c r="A239" s="51">
        <v>6252</v>
      </c>
      <c r="B239" s="88" t="s">
        <v>256</v>
      </c>
      <c r="C239" s="89">
        <f t="shared" si="80"/>
        <v>0</v>
      </c>
      <c r="D239" s="544"/>
      <c r="E239" s="545"/>
      <c r="F239" s="543">
        <f t="shared" ref="F239:F245" si="92">D239+E239</f>
        <v>0</v>
      </c>
      <c r="G239" s="303"/>
      <c r="H239" s="542"/>
      <c r="I239" s="543">
        <f t="shared" ref="I239:I245" si="93">G239+H239</f>
        <v>0</v>
      </c>
      <c r="J239" s="303"/>
      <c r="K239" s="542"/>
      <c r="L239" s="543">
        <f t="shared" ref="L239:L245" si="94">K239+J239</f>
        <v>0</v>
      </c>
      <c r="M239" s="53"/>
      <c r="N239" s="54"/>
      <c r="O239" s="55">
        <f t="shared" ref="O239:O245" si="95">N239+M239</f>
        <v>0</v>
      </c>
      <c r="P239" s="57"/>
    </row>
    <row r="240" spans="1:16" ht="14.25" hidden="1" customHeight="1" x14ac:dyDescent="0.25">
      <c r="A240" s="51">
        <v>6253</v>
      </c>
      <c r="B240" s="88" t="s">
        <v>257</v>
      </c>
      <c r="C240" s="89">
        <f t="shared" si="80"/>
        <v>0</v>
      </c>
      <c r="D240" s="544"/>
      <c r="E240" s="545"/>
      <c r="F240" s="543">
        <f t="shared" si="92"/>
        <v>0</v>
      </c>
      <c r="G240" s="303"/>
      <c r="H240" s="542"/>
      <c r="I240" s="543">
        <f t="shared" si="93"/>
        <v>0</v>
      </c>
      <c r="J240" s="303"/>
      <c r="K240" s="542"/>
      <c r="L240" s="543">
        <f t="shared" si="94"/>
        <v>0</v>
      </c>
      <c r="M240" s="53"/>
      <c r="N240" s="54"/>
      <c r="O240" s="55">
        <f t="shared" si="95"/>
        <v>0</v>
      </c>
      <c r="P240" s="57"/>
    </row>
    <row r="241" spans="1:16" ht="24" hidden="1" customHeight="1" x14ac:dyDescent="0.25">
      <c r="A241" s="51">
        <v>6254</v>
      </c>
      <c r="B241" s="88" t="s">
        <v>258</v>
      </c>
      <c r="C241" s="89">
        <f t="shared" si="80"/>
        <v>0</v>
      </c>
      <c r="D241" s="544"/>
      <c r="E241" s="545"/>
      <c r="F241" s="543">
        <f t="shared" si="92"/>
        <v>0</v>
      </c>
      <c r="G241" s="303"/>
      <c r="H241" s="542"/>
      <c r="I241" s="543">
        <f t="shared" si="93"/>
        <v>0</v>
      </c>
      <c r="J241" s="303"/>
      <c r="K241" s="542"/>
      <c r="L241" s="543">
        <f t="shared" si="94"/>
        <v>0</v>
      </c>
      <c r="M241" s="53"/>
      <c r="N241" s="54"/>
      <c r="O241" s="55">
        <f t="shared" si="95"/>
        <v>0</v>
      </c>
      <c r="P241" s="57"/>
    </row>
    <row r="242" spans="1:16" ht="24" hidden="1" customHeight="1" x14ac:dyDescent="0.25">
      <c r="A242" s="51">
        <v>6255</v>
      </c>
      <c r="B242" s="88" t="s">
        <v>259</v>
      </c>
      <c r="C242" s="89">
        <f t="shared" si="80"/>
        <v>0</v>
      </c>
      <c r="D242" s="544"/>
      <c r="E242" s="545"/>
      <c r="F242" s="543">
        <f t="shared" si="92"/>
        <v>0</v>
      </c>
      <c r="G242" s="303"/>
      <c r="H242" s="542"/>
      <c r="I242" s="543">
        <f t="shared" si="93"/>
        <v>0</v>
      </c>
      <c r="J242" s="303"/>
      <c r="K242" s="542"/>
      <c r="L242" s="543">
        <f t="shared" si="94"/>
        <v>0</v>
      </c>
      <c r="M242" s="53"/>
      <c r="N242" s="54"/>
      <c r="O242" s="55">
        <f t="shared" si="95"/>
        <v>0</v>
      </c>
      <c r="P242" s="57"/>
    </row>
    <row r="243" spans="1:16" ht="12" hidden="1" customHeight="1" x14ac:dyDescent="0.25">
      <c r="A243" s="51">
        <v>6259</v>
      </c>
      <c r="B243" s="88" t="s">
        <v>260</v>
      </c>
      <c r="C243" s="89">
        <f t="shared" si="80"/>
        <v>0</v>
      </c>
      <c r="D243" s="544"/>
      <c r="E243" s="545"/>
      <c r="F243" s="543">
        <f t="shared" si="92"/>
        <v>0</v>
      </c>
      <c r="G243" s="303"/>
      <c r="H243" s="542"/>
      <c r="I243" s="543">
        <f t="shared" si="93"/>
        <v>0</v>
      </c>
      <c r="J243" s="303"/>
      <c r="K243" s="542"/>
      <c r="L243" s="543">
        <f t="shared" si="94"/>
        <v>0</v>
      </c>
      <c r="M243" s="53"/>
      <c r="N243" s="54"/>
      <c r="O243" s="55">
        <f t="shared" si="95"/>
        <v>0</v>
      </c>
      <c r="P243" s="57"/>
    </row>
    <row r="244" spans="1:16" ht="24" hidden="1" customHeight="1" x14ac:dyDescent="0.25">
      <c r="A244" s="188">
        <v>6260</v>
      </c>
      <c r="B244" s="88" t="s">
        <v>261</v>
      </c>
      <c r="C244" s="89">
        <f t="shared" si="80"/>
        <v>0</v>
      </c>
      <c r="D244" s="544"/>
      <c r="E244" s="545"/>
      <c r="F244" s="543">
        <f t="shared" si="92"/>
        <v>0</v>
      </c>
      <c r="G244" s="303"/>
      <c r="H244" s="542"/>
      <c r="I244" s="543">
        <f t="shared" si="93"/>
        <v>0</v>
      </c>
      <c r="J244" s="303"/>
      <c r="K244" s="542"/>
      <c r="L244" s="543">
        <f t="shared" si="94"/>
        <v>0</v>
      </c>
      <c r="M244" s="53"/>
      <c r="N244" s="54"/>
      <c r="O244" s="55">
        <f t="shared" si="95"/>
        <v>0</v>
      </c>
      <c r="P244" s="57"/>
    </row>
    <row r="245" spans="1:16" ht="12" hidden="1" customHeight="1" x14ac:dyDescent="0.25">
      <c r="A245" s="188">
        <v>6270</v>
      </c>
      <c r="B245" s="88" t="s">
        <v>262</v>
      </c>
      <c r="C245" s="89">
        <f t="shared" si="80"/>
        <v>0</v>
      </c>
      <c r="D245" s="544"/>
      <c r="E245" s="545"/>
      <c r="F245" s="543">
        <f t="shared" si="92"/>
        <v>0</v>
      </c>
      <c r="G245" s="303"/>
      <c r="H245" s="542"/>
      <c r="I245" s="543">
        <f t="shared" si="93"/>
        <v>0</v>
      </c>
      <c r="J245" s="303"/>
      <c r="K245" s="542"/>
      <c r="L245" s="543">
        <f t="shared" si="94"/>
        <v>0</v>
      </c>
      <c r="M245" s="53"/>
      <c r="N245" s="54"/>
      <c r="O245" s="55">
        <f t="shared" si="95"/>
        <v>0</v>
      </c>
      <c r="P245" s="57"/>
    </row>
    <row r="246" spans="1:16" ht="24" hidden="1" x14ac:dyDescent="0.25">
      <c r="A246" s="278">
        <v>6290</v>
      </c>
      <c r="B246" s="81" t="s">
        <v>263</v>
      </c>
      <c r="C246" s="208">
        <f t="shared" si="80"/>
        <v>0</v>
      </c>
      <c r="D246" s="319">
        <f>SUM(D247:D250)</f>
        <v>0</v>
      </c>
      <c r="E246" s="688">
        <f>SUM(E247:E250)</f>
        <v>0</v>
      </c>
      <c r="F246" s="664">
        <f>SUM(F247:F250)</f>
        <v>0</v>
      </c>
      <c r="G246" s="319">
        <f t="shared" ref="G246:M246" si="96">SUM(G247:G250)</f>
        <v>0</v>
      </c>
      <c r="H246" s="688">
        <f>SUM(H247:H250)</f>
        <v>0</v>
      </c>
      <c r="I246" s="664">
        <f>SUM(I247:I250)</f>
        <v>0</v>
      </c>
      <c r="J246" s="319">
        <f t="shared" si="96"/>
        <v>0</v>
      </c>
      <c r="K246" s="688">
        <f>SUM(K247:K250)</f>
        <v>0</v>
      </c>
      <c r="L246" s="664">
        <f>SUM(L247:L250)</f>
        <v>0</v>
      </c>
      <c r="M246" s="192">
        <f t="shared" si="96"/>
        <v>0</v>
      </c>
      <c r="N246" s="193">
        <f>SUM(N247:N250)</f>
        <v>0</v>
      </c>
      <c r="O246" s="133">
        <f>SUM(O247:O250)</f>
        <v>0</v>
      </c>
      <c r="P246" s="49"/>
    </row>
    <row r="247" spans="1:16" ht="12" hidden="1" customHeight="1" x14ac:dyDescent="0.25">
      <c r="A247" s="51">
        <v>6291</v>
      </c>
      <c r="B247" s="88" t="s">
        <v>264</v>
      </c>
      <c r="C247" s="89">
        <f t="shared" si="80"/>
        <v>0</v>
      </c>
      <c r="D247" s="544"/>
      <c r="E247" s="545"/>
      <c r="F247" s="543">
        <f>D247+E247</f>
        <v>0</v>
      </c>
      <c r="G247" s="303"/>
      <c r="H247" s="542"/>
      <c r="I247" s="543">
        <f>G247+H247</f>
        <v>0</v>
      </c>
      <c r="J247" s="303"/>
      <c r="K247" s="542"/>
      <c r="L247" s="543">
        <f>K247+J247</f>
        <v>0</v>
      </c>
      <c r="M247" s="53"/>
      <c r="N247" s="54"/>
      <c r="O247" s="55">
        <f>N247+M247</f>
        <v>0</v>
      </c>
      <c r="P247" s="57"/>
    </row>
    <row r="248" spans="1:16" ht="12" hidden="1" customHeight="1" x14ac:dyDescent="0.25">
      <c r="A248" s="51">
        <v>6292</v>
      </c>
      <c r="B248" s="88" t="s">
        <v>265</v>
      </c>
      <c r="C248" s="89">
        <f t="shared" si="80"/>
        <v>0</v>
      </c>
      <c r="D248" s="544"/>
      <c r="E248" s="545"/>
      <c r="F248" s="543">
        <f>D248+E248</f>
        <v>0</v>
      </c>
      <c r="G248" s="303"/>
      <c r="H248" s="542"/>
      <c r="I248" s="543">
        <f>G248+H248</f>
        <v>0</v>
      </c>
      <c r="J248" s="303"/>
      <c r="K248" s="542"/>
      <c r="L248" s="543">
        <f>K248+J248</f>
        <v>0</v>
      </c>
      <c r="M248" s="53"/>
      <c r="N248" s="54"/>
      <c r="O248" s="55">
        <f>N248+M248</f>
        <v>0</v>
      </c>
      <c r="P248" s="57"/>
    </row>
    <row r="249" spans="1:16" ht="72" hidden="1" customHeight="1" x14ac:dyDescent="0.25">
      <c r="A249" s="51">
        <v>6296</v>
      </c>
      <c r="B249" s="88" t="s">
        <v>266</v>
      </c>
      <c r="C249" s="89">
        <f t="shared" si="80"/>
        <v>0</v>
      </c>
      <c r="D249" s="544"/>
      <c r="E249" s="545"/>
      <c r="F249" s="543">
        <f>D249+E249</f>
        <v>0</v>
      </c>
      <c r="G249" s="303"/>
      <c r="H249" s="542"/>
      <c r="I249" s="543">
        <f>G249+H249</f>
        <v>0</v>
      </c>
      <c r="J249" s="303"/>
      <c r="K249" s="542"/>
      <c r="L249" s="543">
        <f>K249+J249</f>
        <v>0</v>
      </c>
      <c r="M249" s="53"/>
      <c r="N249" s="54"/>
      <c r="O249" s="55">
        <f>N249+M249</f>
        <v>0</v>
      </c>
      <c r="P249" s="57"/>
    </row>
    <row r="250" spans="1:16" ht="39.75" hidden="1" customHeight="1" x14ac:dyDescent="0.25">
      <c r="A250" s="51">
        <v>6299</v>
      </c>
      <c r="B250" s="88" t="s">
        <v>267</v>
      </c>
      <c r="C250" s="89">
        <f t="shared" si="80"/>
        <v>0</v>
      </c>
      <c r="D250" s="544"/>
      <c r="E250" s="545"/>
      <c r="F250" s="543">
        <f>D250+E250</f>
        <v>0</v>
      </c>
      <c r="G250" s="303"/>
      <c r="H250" s="542"/>
      <c r="I250" s="543">
        <f>G250+H250</f>
        <v>0</v>
      </c>
      <c r="J250" s="303"/>
      <c r="K250" s="542"/>
      <c r="L250" s="543">
        <f>K250+J250</f>
        <v>0</v>
      </c>
      <c r="M250" s="53"/>
      <c r="N250" s="54"/>
      <c r="O250" s="55">
        <f>N250+M250</f>
        <v>0</v>
      </c>
      <c r="P250" s="57"/>
    </row>
    <row r="251" spans="1:16" hidden="1" x14ac:dyDescent="0.25">
      <c r="A251" s="68">
        <v>6300</v>
      </c>
      <c r="B251" s="182" t="s">
        <v>268</v>
      </c>
      <c r="C251" s="69">
        <f t="shared" si="80"/>
        <v>0</v>
      </c>
      <c r="D251" s="316">
        <f>SUM(D252,D257,D258)</f>
        <v>0</v>
      </c>
      <c r="E251" s="685">
        <f>SUM(E252,E257,E258)</f>
        <v>0</v>
      </c>
      <c r="F251" s="638">
        <f>SUM(F252,F257,F258)</f>
        <v>0</v>
      </c>
      <c r="G251" s="316">
        <f t="shared" ref="G251:M251" si="97">SUM(G252,G257,G258)</f>
        <v>0</v>
      </c>
      <c r="H251" s="685">
        <f>SUM(H252,H257,H258)</f>
        <v>0</v>
      </c>
      <c r="I251" s="638">
        <f>SUM(I252,I257,I258)</f>
        <v>0</v>
      </c>
      <c r="J251" s="316">
        <f t="shared" si="97"/>
        <v>0</v>
      </c>
      <c r="K251" s="685">
        <f>SUM(K252,K257,K258)</f>
        <v>0</v>
      </c>
      <c r="L251" s="638">
        <f>SUM(L252,L257,L258)</f>
        <v>0</v>
      </c>
      <c r="M251" s="183">
        <f t="shared" si="97"/>
        <v>0</v>
      </c>
      <c r="N251" s="184">
        <f>SUM(N252,N257,N258)</f>
        <v>0</v>
      </c>
      <c r="O251" s="72">
        <f>SUM(O252,O257,O258)</f>
        <v>0</v>
      </c>
      <c r="P251" s="76"/>
    </row>
    <row r="252" spans="1:16" ht="24" hidden="1" x14ac:dyDescent="0.25">
      <c r="A252" s="278">
        <v>6320</v>
      </c>
      <c r="B252" s="81" t="s">
        <v>269</v>
      </c>
      <c r="C252" s="208">
        <f t="shared" si="80"/>
        <v>0</v>
      </c>
      <c r="D252" s="319">
        <f>SUM(D253:D256)</f>
        <v>0</v>
      </c>
      <c r="E252" s="688">
        <f>SUM(E253:E256)</f>
        <v>0</v>
      </c>
      <c r="F252" s="664">
        <f>SUM(F253:F256)</f>
        <v>0</v>
      </c>
      <c r="G252" s="319">
        <f t="shared" ref="G252:M252" si="98">SUM(G253:G256)</f>
        <v>0</v>
      </c>
      <c r="H252" s="688">
        <f>SUM(H253:H256)</f>
        <v>0</v>
      </c>
      <c r="I252" s="664">
        <f>SUM(I253:I256)</f>
        <v>0</v>
      </c>
      <c r="J252" s="319">
        <f t="shared" si="98"/>
        <v>0</v>
      </c>
      <c r="K252" s="688">
        <f>SUM(K253:K256)</f>
        <v>0</v>
      </c>
      <c r="L252" s="664">
        <f>SUM(L253:L256)</f>
        <v>0</v>
      </c>
      <c r="M252" s="192">
        <f t="shared" si="98"/>
        <v>0</v>
      </c>
      <c r="N252" s="193">
        <f>SUM(N253:N256)</f>
        <v>0</v>
      </c>
      <c r="O252" s="133">
        <f>SUM(O253:O256)</f>
        <v>0</v>
      </c>
      <c r="P252" s="49"/>
    </row>
    <row r="253" spans="1:16" ht="12" hidden="1" customHeight="1" x14ac:dyDescent="0.25">
      <c r="A253" s="51">
        <v>6322</v>
      </c>
      <c r="B253" s="88" t="s">
        <v>270</v>
      </c>
      <c r="C253" s="89">
        <f t="shared" si="80"/>
        <v>0</v>
      </c>
      <c r="D253" s="544"/>
      <c r="E253" s="545"/>
      <c r="F253" s="543">
        <f t="shared" ref="F253:F258" si="99">D253+E253</f>
        <v>0</v>
      </c>
      <c r="G253" s="303"/>
      <c r="H253" s="542"/>
      <c r="I253" s="543">
        <f t="shared" ref="I253:I258" si="100">G253+H253</f>
        <v>0</v>
      </c>
      <c r="J253" s="303"/>
      <c r="K253" s="542"/>
      <c r="L253" s="543">
        <f t="shared" ref="L253:L258" si="101">K253+J253</f>
        <v>0</v>
      </c>
      <c r="M253" s="53"/>
      <c r="N253" s="54"/>
      <c r="O253" s="55">
        <f t="shared" ref="O253:O258" si="102">N253+M253</f>
        <v>0</v>
      </c>
      <c r="P253" s="57"/>
    </row>
    <row r="254" spans="1:16" ht="24" hidden="1" customHeight="1" x14ac:dyDescent="0.25">
      <c r="A254" s="51">
        <v>6323</v>
      </c>
      <c r="B254" s="88" t="s">
        <v>271</v>
      </c>
      <c r="C254" s="89">
        <f t="shared" si="80"/>
        <v>0</v>
      </c>
      <c r="D254" s="544"/>
      <c r="E254" s="545"/>
      <c r="F254" s="543">
        <f t="shared" si="99"/>
        <v>0</v>
      </c>
      <c r="G254" s="303"/>
      <c r="H254" s="542"/>
      <c r="I254" s="543">
        <f t="shared" si="100"/>
        <v>0</v>
      </c>
      <c r="J254" s="303"/>
      <c r="K254" s="542"/>
      <c r="L254" s="543">
        <f t="shared" si="101"/>
        <v>0</v>
      </c>
      <c r="M254" s="53"/>
      <c r="N254" s="54"/>
      <c r="O254" s="55">
        <f t="shared" si="102"/>
        <v>0</v>
      </c>
      <c r="P254" s="57"/>
    </row>
    <row r="255" spans="1:16" ht="24" hidden="1" customHeight="1" x14ac:dyDescent="0.25">
      <c r="A255" s="51">
        <v>6324</v>
      </c>
      <c r="B255" s="88" t="s">
        <v>272</v>
      </c>
      <c r="C255" s="89">
        <f t="shared" si="80"/>
        <v>0</v>
      </c>
      <c r="D255" s="544"/>
      <c r="E255" s="545"/>
      <c r="F255" s="543">
        <f t="shared" si="99"/>
        <v>0</v>
      </c>
      <c r="G255" s="303"/>
      <c r="H255" s="542"/>
      <c r="I255" s="543">
        <f t="shared" si="100"/>
        <v>0</v>
      </c>
      <c r="J255" s="303"/>
      <c r="K255" s="542"/>
      <c r="L255" s="543">
        <f t="shared" si="101"/>
        <v>0</v>
      </c>
      <c r="M255" s="53"/>
      <c r="N255" s="54"/>
      <c r="O255" s="55">
        <f t="shared" si="102"/>
        <v>0</v>
      </c>
      <c r="P255" s="57"/>
    </row>
    <row r="256" spans="1:16" ht="12" hidden="1" customHeight="1" x14ac:dyDescent="0.25">
      <c r="A256" s="44">
        <v>6329</v>
      </c>
      <c r="B256" s="81" t="s">
        <v>273</v>
      </c>
      <c r="C256" s="82">
        <f t="shared" si="80"/>
        <v>0</v>
      </c>
      <c r="D256" s="689"/>
      <c r="E256" s="690"/>
      <c r="F256" s="664">
        <f t="shared" si="99"/>
        <v>0</v>
      </c>
      <c r="G256" s="302"/>
      <c r="H256" s="628"/>
      <c r="I256" s="664">
        <f t="shared" si="100"/>
        <v>0</v>
      </c>
      <c r="J256" s="302"/>
      <c r="K256" s="628"/>
      <c r="L256" s="664">
        <f t="shared" si="101"/>
        <v>0</v>
      </c>
      <c r="M256" s="46"/>
      <c r="N256" s="47"/>
      <c r="O256" s="133">
        <f t="shared" si="102"/>
        <v>0</v>
      </c>
      <c r="P256" s="49"/>
    </row>
    <row r="257" spans="1:16" ht="24" hidden="1" customHeight="1" x14ac:dyDescent="0.25">
      <c r="A257" s="225">
        <v>6330</v>
      </c>
      <c r="B257" s="226" t="s">
        <v>274</v>
      </c>
      <c r="C257" s="208">
        <f t="shared" si="80"/>
        <v>0</v>
      </c>
      <c r="D257" s="694"/>
      <c r="E257" s="695"/>
      <c r="F257" s="696">
        <f t="shared" si="99"/>
        <v>0</v>
      </c>
      <c r="G257" s="321"/>
      <c r="H257" s="697"/>
      <c r="I257" s="696">
        <f t="shared" si="100"/>
        <v>0</v>
      </c>
      <c r="J257" s="321"/>
      <c r="K257" s="697"/>
      <c r="L257" s="696">
        <f t="shared" si="101"/>
        <v>0</v>
      </c>
      <c r="M257" s="213"/>
      <c r="N257" s="214"/>
      <c r="O257" s="212">
        <f t="shared" si="102"/>
        <v>0</v>
      </c>
      <c r="P257" s="215"/>
    </row>
    <row r="258" spans="1:16" ht="12" hidden="1" customHeight="1" x14ac:dyDescent="0.25">
      <c r="A258" s="188">
        <v>6360</v>
      </c>
      <c r="B258" s="88" t="s">
        <v>275</v>
      </c>
      <c r="C258" s="89">
        <f t="shared" si="80"/>
        <v>0</v>
      </c>
      <c r="D258" s="544"/>
      <c r="E258" s="545"/>
      <c r="F258" s="543">
        <f t="shared" si="99"/>
        <v>0</v>
      </c>
      <c r="G258" s="303"/>
      <c r="H258" s="542"/>
      <c r="I258" s="543">
        <f t="shared" si="100"/>
        <v>0</v>
      </c>
      <c r="J258" s="303"/>
      <c r="K258" s="542"/>
      <c r="L258" s="543">
        <f t="shared" si="101"/>
        <v>0</v>
      </c>
      <c r="M258" s="53"/>
      <c r="N258" s="54"/>
      <c r="O258" s="55">
        <f t="shared" si="102"/>
        <v>0</v>
      </c>
      <c r="P258" s="57"/>
    </row>
    <row r="259" spans="1:16" ht="36" hidden="1" x14ac:dyDescent="0.25">
      <c r="A259" s="68">
        <v>6400</v>
      </c>
      <c r="B259" s="182" t="s">
        <v>276</v>
      </c>
      <c r="C259" s="69">
        <f t="shared" si="80"/>
        <v>0</v>
      </c>
      <c r="D259" s="316">
        <f>SUM(D260,D264)</f>
        <v>0</v>
      </c>
      <c r="E259" s="685">
        <f>SUM(E260,E264)</f>
        <v>0</v>
      </c>
      <c r="F259" s="638">
        <f>SUM(F260,F264)</f>
        <v>0</v>
      </c>
      <c r="G259" s="316">
        <f t="shared" ref="G259:M259" si="103">SUM(G260,G264)</f>
        <v>0</v>
      </c>
      <c r="H259" s="685">
        <f>SUM(H260,H264)</f>
        <v>0</v>
      </c>
      <c r="I259" s="638">
        <f>SUM(I260,I264)</f>
        <v>0</v>
      </c>
      <c r="J259" s="316">
        <f t="shared" si="103"/>
        <v>0</v>
      </c>
      <c r="K259" s="685">
        <f>SUM(K260,K264)</f>
        <v>0</v>
      </c>
      <c r="L259" s="638">
        <f>SUM(L260,L264)</f>
        <v>0</v>
      </c>
      <c r="M259" s="183">
        <f t="shared" si="103"/>
        <v>0</v>
      </c>
      <c r="N259" s="184">
        <f>SUM(N260,N264)</f>
        <v>0</v>
      </c>
      <c r="O259" s="72">
        <f>SUM(O260,O264)</f>
        <v>0</v>
      </c>
      <c r="P259" s="76"/>
    </row>
    <row r="260" spans="1:16" ht="24" hidden="1" x14ac:dyDescent="0.25">
      <c r="A260" s="278">
        <v>6410</v>
      </c>
      <c r="B260" s="81" t="s">
        <v>277</v>
      </c>
      <c r="C260" s="82">
        <f t="shared" si="80"/>
        <v>0</v>
      </c>
      <c r="D260" s="319">
        <f>SUM(D261:D263)</f>
        <v>0</v>
      </c>
      <c r="E260" s="688">
        <f>SUM(E261:E263)</f>
        <v>0</v>
      </c>
      <c r="F260" s="664">
        <f>SUM(F261:F263)</f>
        <v>0</v>
      </c>
      <c r="G260" s="319">
        <f t="shared" ref="G260:M260" si="104">SUM(G261:G263)</f>
        <v>0</v>
      </c>
      <c r="H260" s="688">
        <f>SUM(H261:H263)</f>
        <v>0</v>
      </c>
      <c r="I260" s="664">
        <f>SUM(I261:I263)</f>
        <v>0</v>
      </c>
      <c r="J260" s="319">
        <f t="shared" si="104"/>
        <v>0</v>
      </c>
      <c r="K260" s="688">
        <f>SUM(K261:K263)</f>
        <v>0</v>
      </c>
      <c r="L260" s="664">
        <f>SUM(L261:L263)</f>
        <v>0</v>
      </c>
      <c r="M260" s="192">
        <f t="shared" si="104"/>
        <v>0</v>
      </c>
      <c r="N260" s="193">
        <f>SUM(N261:N263)</f>
        <v>0</v>
      </c>
      <c r="O260" s="133">
        <f>SUM(O261:O263)</f>
        <v>0</v>
      </c>
      <c r="P260" s="49"/>
    </row>
    <row r="261" spans="1:16" ht="12" hidden="1" customHeight="1" x14ac:dyDescent="0.25">
      <c r="A261" s="51">
        <v>6411</v>
      </c>
      <c r="B261" s="199" t="s">
        <v>278</v>
      </c>
      <c r="C261" s="89">
        <f t="shared" si="80"/>
        <v>0</v>
      </c>
      <c r="D261" s="544"/>
      <c r="E261" s="545"/>
      <c r="F261" s="543">
        <f>D261+E261</f>
        <v>0</v>
      </c>
      <c r="G261" s="303"/>
      <c r="H261" s="542"/>
      <c r="I261" s="543">
        <f>G261+H261</f>
        <v>0</v>
      </c>
      <c r="J261" s="303"/>
      <c r="K261" s="542"/>
      <c r="L261" s="543">
        <f>K261+J261</f>
        <v>0</v>
      </c>
      <c r="M261" s="53"/>
      <c r="N261" s="54"/>
      <c r="O261" s="55">
        <f>N261+M261</f>
        <v>0</v>
      </c>
      <c r="P261" s="57"/>
    </row>
    <row r="262" spans="1:16" ht="36" hidden="1" customHeight="1" x14ac:dyDescent="0.25">
      <c r="A262" s="51">
        <v>6412</v>
      </c>
      <c r="B262" s="88" t="s">
        <v>279</v>
      </c>
      <c r="C262" s="89">
        <f t="shared" si="80"/>
        <v>0</v>
      </c>
      <c r="D262" s="544"/>
      <c r="E262" s="545"/>
      <c r="F262" s="543">
        <f>D262+E262</f>
        <v>0</v>
      </c>
      <c r="G262" s="303"/>
      <c r="H262" s="542"/>
      <c r="I262" s="543">
        <f>G262+H262</f>
        <v>0</v>
      </c>
      <c r="J262" s="303"/>
      <c r="K262" s="542"/>
      <c r="L262" s="543">
        <f>K262+J262</f>
        <v>0</v>
      </c>
      <c r="M262" s="53"/>
      <c r="N262" s="54"/>
      <c r="O262" s="55">
        <f>N262+M262</f>
        <v>0</v>
      </c>
      <c r="P262" s="57"/>
    </row>
    <row r="263" spans="1:16" ht="36" hidden="1" customHeight="1" x14ac:dyDescent="0.25">
      <c r="A263" s="51">
        <v>6419</v>
      </c>
      <c r="B263" s="88" t="s">
        <v>280</v>
      </c>
      <c r="C263" s="89">
        <f t="shared" si="80"/>
        <v>0</v>
      </c>
      <c r="D263" s="544"/>
      <c r="E263" s="545"/>
      <c r="F263" s="543">
        <f>D263+E263</f>
        <v>0</v>
      </c>
      <c r="G263" s="303"/>
      <c r="H263" s="542"/>
      <c r="I263" s="543">
        <f>G263+H263</f>
        <v>0</v>
      </c>
      <c r="J263" s="303"/>
      <c r="K263" s="542"/>
      <c r="L263" s="543">
        <f>K263+J263</f>
        <v>0</v>
      </c>
      <c r="M263" s="53"/>
      <c r="N263" s="54"/>
      <c r="O263" s="55">
        <f>N263+M263</f>
        <v>0</v>
      </c>
      <c r="P263" s="57"/>
    </row>
    <row r="264" spans="1:16" ht="48" hidden="1" x14ac:dyDescent="0.25">
      <c r="A264" s="188">
        <v>6420</v>
      </c>
      <c r="B264" s="88" t="s">
        <v>281</v>
      </c>
      <c r="C264" s="89">
        <f t="shared" si="80"/>
        <v>0</v>
      </c>
      <c r="D264" s="318">
        <f t="shared" ref="D264:O264" si="105">SUM(D265:D268)</f>
        <v>0</v>
      </c>
      <c r="E264" s="687">
        <f t="shared" si="105"/>
        <v>0</v>
      </c>
      <c r="F264" s="543">
        <f t="shared" si="105"/>
        <v>0</v>
      </c>
      <c r="G264" s="318">
        <f t="shared" si="105"/>
        <v>0</v>
      </c>
      <c r="H264" s="687">
        <f t="shared" si="105"/>
        <v>0</v>
      </c>
      <c r="I264" s="543">
        <f t="shared" si="105"/>
        <v>0</v>
      </c>
      <c r="J264" s="318">
        <f t="shared" si="105"/>
        <v>0</v>
      </c>
      <c r="K264" s="687">
        <f t="shared" si="105"/>
        <v>0</v>
      </c>
      <c r="L264" s="543">
        <f t="shared" si="105"/>
        <v>0</v>
      </c>
      <c r="M264" s="189">
        <f t="shared" si="105"/>
        <v>0</v>
      </c>
      <c r="N264" s="190">
        <f t="shared" si="105"/>
        <v>0</v>
      </c>
      <c r="O264" s="55">
        <f t="shared" si="105"/>
        <v>0</v>
      </c>
      <c r="P264" s="57"/>
    </row>
    <row r="265" spans="1:16" ht="36" hidden="1" customHeight="1" x14ac:dyDescent="0.25">
      <c r="A265" s="51">
        <v>6421</v>
      </c>
      <c r="B265" s="88" t="s">
        <v>282</v>
      </c>
      <c r="C265" s="89">
        <f t="shared" si="80"/>
        <v>0</v>
      </c>
      <c r="D265" s="544"/>
      <c r="E265" s="545"/>
      <c r="F265" s="543">
        <f>D265+E265</f>
        <v>0</v>
      </c>
      <c r="G265" s="303"/>
      <c r="H265" s="542"/>
      <c r="I265" s="543">
        <f>G265+H265</f>
        <v>0</v>
      </c>
      <c r="J265" s="303"/>
      <c r="K265" s="542"/>
      <c r="L265" s="543">
        <f>K265+J265</f>
        <v>0</v>
      </c>
      <c r="M265" s="53"/>
      <c r="N265" s="54"/>
      <c r="O265" s="55">
        <f>N265+M265</f>
        <v>0</v>
      </c>
      <c r="P265" s="57"/>
    </row>
    <row r="266" spans="1:16" ht="12" hidden="1" customHeight="1" x14ac:dyDescent="0.25">
      <c r="A266" s="51">
        <v>6422</v>
      </c>
      <c r="B266" s="88" t="s">
        <v>283</v>
      </c>
      <c r="C266" s="89">
        <f t="shared" si="80"/>
        <v>0</v>
      </c>
      <c r="D266" s="544"/>
      <c r="E266" s="545"/>
      <c r="F266" s="543">
        <f>D266+E266</f>
        <v>0</v>
      </c>
      <c r="G266" s="303"/>
      <c r="H266" s="542"/>
      <c r="I266" s="543">
        <f>G266+H266</f>
        <v>0</v>
      </c>
      <c r="J266" s="303"/>
      <c r="K266" s="542"/>
      <c r="L266" s="543">
        <f>K266+J266</f>
        <v>0</v>
      </c>
      <c r="M266" s="53"/>
      <c r="N266" s="54"/>
      <c r="O266" s="55">
        <f>N266+M266</f>
        <v>0</v>
      </c>
      <c r="P266" s="57"/>
    </row>
    <row r="267" spans="1:16" ht="13.5" hidden="1" customHeight="1" x14ac:dyDescent="0.25">
      <c r="A267" s="51">
        <v>6423</v>
      </c>
      <c r="B267" s="88" t="s">
        <v>284</v>
      </c>
      <c r="C267" s="89">
        <f t="shared" si="80"/>
        <v>0</v>
      </c>
      <c r="D267" s="544"/>
      <c r="E267" s="545"/>
      <c r="F267" s="543">
        <f>D267+E267</f>
        <v>0</v>
      </c>
      <c r="G267" s="303"/>
      <c r="H267" s="542"/>
      <c r="I267" s="543">
        <f>G267+H267</f>
        <v>0</v>
      </c>
      <c r="J267" s="303"/>
      <c r="K267" s="542"/>
      <c r="L267" s="543">
        <f>K267+J267</f>
        <v>0</v>
      </c>
      <c r="M267" s="53"/>
      <c r="N267" s="54"/>
      <c r="O267" s="55">
        <f>N267+M267</f>
        <v>0</v>
      </c>
      <c r="P267" s="57"/>
    </row>
    <row r="268" spans="1:16" ht="36" hidden="1" customHeight="1" x14ac:dyDescent="0.25">
      <c r="A268" s="51">
        <v>6424</v>
      </c>
      <c r="B268" s="88" t="s">
        <v>285</v>
      </c>
      <c r="C268" s="89">
        <f t="shared" si="80"/>
        <v>0</v>
      </c>
      <c r="D268" s="544"/>
      <c r="E268" s="545"/>
      <c r="F268" s="543">
        <f>D268+E268</f>
        <v>0</v>
      </c>
      <c r="G268" s="303"/>
      <c r="H268" s="542"/>
      <c r="I268" s="543">
        <f>G268+H268</f>
        <v>0</v>
      </c>
      <c r="J268" s="303"/>
      <c r="K268" s="542"/>
      <c r="L268" s="543">
        <f>K268+J268</f>
        <v>0</v>
      </c>
      <c r="M268" s="53"/>
      <c r="N268" s="54"/>
      <c r="O268" s="55">
        <f>N268+M268</f>
        <v>0</v>
      </c>
      <c r="P268" s="57"/>
    </row>
    <row r="269" spans="1:16" ht="48" hidden="1" x14ac:dyDescent="0.25">
      <c r="A269" s="701">
        <v>7000</v>
      </c>
      <c r="B269" s="701" t="s">
        <v>286</v>
      </c>
      <c r="C269" s="702">
        <f t="shared" si="80"/>
        <v>0</v>
      </c>
      <c r="D269" s="703">
        <f t="shared" ref="D269:O269" si="106">SUM(D270,D281)</f>
        <v>0</v>
      </c>
      <c r="E269" s="704">
        <f t="shared" si="106"/>
        <v>0</v>
      </c>
      <c r="F269" s="705">
        <f t="shared" si="106"/>
        <v>0</v>
      </c>
      <c r="G269" s="703">
        <f t="shared" si="106"/>
        <v>0</v>
      </c>
      <c r="H269" s="704">
        <f t="shared" si="106"/>
        <v>0</v>
      </c>
      <c r="I269" s="705">
        <f t="shared" si="106"/>
        <v>0</v>
      </c>
      <c r="J269" s="703">
        <f t="shared" si="106"/>
        <v>0</v>
      </c>
      <c r="K269" s="704">
        <f t="shared" si="106"/>
        <v>0</v>
      </c>
      <c r="L269" s="705">
        <f t="shared" si="106"/>
        <v>0</v>
      </c>
      <c r="M269" s="703">
        <f t="shared" si="106"/>
        <v>0</v>
      </c>
      <c r="N269" s="704">
        <f t="shared" si="106"/>
        <v>0</v>
      </c>
      <c r="O269" s="705">
        <f t="shared" si="106"/>
        <v>0</v>
      </c>
      <c r="P269" s="706"/>
    </row>
    <row r="270" spans="1:16" ht="24" hidden="1" x14ac:dyDescent="0.25">
      <c r="A270" s="68">
        <v>7200</v>
      </c>
      <c r="B270" s="182" t="s">
        <v>287</v>
      </c>
      <c r="C270" s="69">
        <f t="shared" si="80"/>
        <v>0</v>
      </c>
      <c r="D270" s="316">
        <f t="shared" ref="D270:O270" si="107">SUM(D271,D272,D275,D276,D280)</f>
        <v>0</v>
      </c>
      <c r="E270" s="685">
        <f t="shared" si="107"/>
        <v>0</v>
      </c>
      <c r="F270" s="638">
        <f t="shared" si="107"/>
        <v>0</v>
      </c>
      <c r="G270" s="316">
        <f t="shared" si="107"/>
        <v>0</v>
      </c>
      <c r="H270" s="685">
        <f t="shared" si="107"/>
        <v>0</v>
      </c>
      <c r="I270" s="638">
        <f t="shared" si="107"/>
        <v>0</v>
      </c>
      <c r="J270" s="316">
        <f t="shared" si="107"/>
        <v>0</v>
      </c>
      <c r="K270" s="685">
        <f t="shared" si="107"/>
        <v>0</v>
      </c>
      <c r="L270" s="638">
        <f t="shared" si="107"/>
        <v>0</v>
      </c>
      <c r="M270" s="183">
        <f t="shared" si="107"/>
        <v>0</v>
      </c>
      <c r="N270" s="184">
        <f t="shared" si="107"/>
        <v>0</v>
      </c>
      <c r="O270" s="72">
        <f t="shared" si="107"/>
        <v>0</v>
      </c>
      <c r="P270" s="76"/>
    </row>
    <row r="271" spans="1:16" ht="24" hidden="1" customHeight="1" x14ac:dyDescent="0.25">
      <c r="A271" s="278">
        <v>7210</v>
      </c>
      <c r="B271" s="81" t="s">
        <v>288</v>
      </c>
      <c r="C271" s="82">
        <f t="shared" si="80"/>
        <v>0</v>
      </c>
      <c r="D271" s="689"/>
      <c r="E271" s="690"/>
      <c r="F271" s="664">
        <f>D271+E271</f>
        <v>0</v>
      </c>
      <c r="G271" s="302"/>
      <c r="H271" s="628"/>
      <c r="I271" s="664">
        <f>G271+H271</f>
        <v>0</v>
      </c>
      <c r="J271" s="302"/>
      <c r="K271" s="628"/>
      <c r="L271" s="664">
        <f>K271+J271</f>
        <v>0</v>
      </c>
      <c r="M271" s="46"/>
      <c r="N271" s="47"/>
      <c r="O271" s="133">
        <f>N271+M271</f>
        <v>0</v>
      </c>
      <c r="P271" s="49"/>
    </row>
    <row r="272" spans="1:16" s="233" customFormat="1" ht="24" hidden="1" x14ac:dyDescent="0.25">
      <c r="A272" s="188">
        <v>7220</v>
      </c>
      <c r="B272" s="88" t="s">
        <v>289</v>
      </c>
      <c r="C272" s="89">
        <f t="shared" si="80"/>
        <v>0</v>
      </c>
      <c r="D272" s="318">
        <f t="shared" ref="D272:O272" si="108">SUM(D273:D274)</f>
        <v>0</v>
      </c>
      <c r="E272" s="687">
        <f t="shared" si="108"/>
        <v>0</v>
      </c>
      <c r="F272" s="543">
        <f t="shared" si="108"/>
        <v>0</v>
      </c>
      <c r="G272" s="318">
        <f t="shared" si="108"/>
        <v>0</v>
      </c>
      <c r="H272" s="687">
        <f t="shared" si="108"/>
        <v>0</v>
      </c>
      <c r="I272" s="543">
        <f t="shared" si="108"/>
        <v>0</v>
      </c>
      <c r="J272" s="318">
        <f t="shared" si="108"/>
        <v>0</v>
      </c>
      <c r="K272" s="687">
        <f t="shared" si="108"/>
        <v>0</v>
      </c>
      <c r="L272" s="543">
        <f t="shared" si="108"/>
        <v>0</v>
      </c>
      <c r="M272" s="189">
        <f t="shared" si="108"/>
        <v>0</v>
      </c>
      <c r="N272" s="190">
        <f t="shared" si="108"/>
        <v>0</v>
      </c>
      <c r="O272" s="55">
        <f t="shared" si="108"/>
        <v>0</v>
      </c>
      <c r="P272" s="57"/>
    </row>
    <row r="273" spans="1:16" s="233" customFormat="1" ht="36" hidden="1" customHeight="1" x14ac:dyDescent="0.25">
      <c r="A273" s="51">
        <v>7221</v>
      </c>
      <c r="B273" s="88" t="s">
        <v>290</v>
      </c>
      <c r="C273" s="89">
        <f t="shared" si="80"/>
        <v>0</v>
      </c>
      <c r="D273" s="544"/>
      <c r="E273" s="545"/>
      <c r="F273" s="543">
        <f>D273+E273</f>
        <v>0</v>
      </c>
      <c r="G273" s="303"/>
      <c r="H273" s="542"/>
      <c r="I273" s="543">
        <f>G273+H273</f>
        <v>0</v>
      </c>
      <c r="J273" s="303"/>
      <c r="K273" s="542"/>
      <c r="L273" s="543">
        <f>K273+J273</f>
        <v>0</v>
      </c>
      <c r="M273" s="53"/>
      <c r="N273" s="54"/>
      <c r="O273" s="55">
        <f>N273+M273</f>
        <v>0</v>
      </c>
      <c r="P273" s="57"/>
    </row>
    <row r="274" spans="1:16" s="233" customFormat="1" ht="36" hidden="1" customHeight="1" x14ac:dyDescent="0.25">
      <c r="A274" s="51">
        <v>7222</v>
      </c>
      <c r="B274" s="88" t="s">
        <v>291</v>
      </c>
      <c r="C274" s="89">
        <f t="shared" si="80"/>
        <v>0</v>
      </c>
      <c r="D274" s="544"/>
      <c r="E274" s="545"/>
      <c r="F274" s="543">
        <f>D274+E274</f>
        <v>0</v>
      </c>
      <c r="G274" s="303"/>
      <c r="H274" s="542"/>
      <c r="I274" s="543">
        <f>G274+H274</f>
        <v>0</v>
      </c>
      <c r="J274" s="303"/>
      <c r="K274" s="542"/>
      <c r="L274" s="543">
        <f>K274+J274</f>
        <v>0</v>
      </c>
      <c r="M274" s="53"/>
      <c r="N274" s="54"/>
      <c r="O274" s="55">
        <f>N274+M274</f>
        <v>0</v>
      </c>
      <c r="P274" s="57"/>
    </row>
    <row r="275" spans="1:16" ht="24" hidden="1" customHeight="1" x14ac:dyDescent="0.25">
      <c r="A275" s="188">
        <v>7230</v>
      </c>
      <c r="B275" s="88" t="s">
        <v>292</v>
      </c>
      <c r="C275" s="89">
        <f t="shared" si="80"/>
        <v>0</v>
      </c>
      <c r="D275" s="544"/>
      <c r="E275" s="545"/>
      <c r="F275" s="543">
        <f>D275+E275</f>
        <v>0</v>
      </c>
      <c r="G275" s="303"/>
      <c r="H275" s="542"/>
      <c r="I275" s="543">
        <f>G275+H275</f>
        <v>0</v>
      </c>
      <c r="J275" s="303"/>
      <c r="K275" s="542"/>
      <c r="L275" s="543">
        <f>K275+J275</f>
        <v>0</v>
      </c>
      <c r="M275" s="53"/>
      <c r="N275" s="54"/>
      <c r="O275" s="55">
        <f>N275+M275</f>
        <v>0</v>
      </c>
      <c r="P275" s="57"/>
    </row>
    <row r="276" spans="1:16" ht="24" hidden="1" x14ac:dyDescent="0.25">
      <c r="A276" s="188">
        <v>7240</v>
      </c>
      <c r="B276" s="88" t="s">
        <v>293</v>
      </c>
      <c r="C276" s="89">
        <f t="shared" ref="C276:C301" si="109">F276+I276+L276+O276</f>
        <v>0</v>
      </c>
      <c r="D276" s="318">
        <f t="shared" ref="D276:O276" si="110">SUM(D277:D279)</f>
        <v>0</v>
      </c>
      <c r="E276" s="687">
        <f t="shared" si="110"/>
        <v>0</v>
      </c>
      <c r="F276" s="543">
        <f t="shared" si="110"/>
        <v>0</v>
      </c>
      <c r="G276" s="318">
        <f t="shared" si="110"/>
        <v>0</v>
      </c>
      <c r="H276" s="687">
        <f t="shared" si="110"/>
        <v>0</v>
      </c>
      <c r="I276" s="543">
        <f t="shared" si="110"/>
        <v>0</v>
      </c>
      <c r="J276" s="318">
        <f t="shared" si="110"/>
        <v>0</v>
      </c>
      <c r="K276" s="687">
        <f t="shared" si="110"/>
        <v>0</v>
      </c>
      <c r="L276" s="543">
        <f t="shared" si="110"/>
        <v>0</v>
      </c>
      <c r="M276" s="189">
        <f t="shared" si="110"/>
        <v>0</v>
      </c>
      <c r="N276" s="190">
        <f t="shared" si="110"/>
        <v>0</v>
      </c>
      <c r="O276" s="55">
        <f t="shared" si="110"/>
        <v>0</v>
      </c>
      <c r="P276" s="57"/>
    </row>
    <row r="277" spans="1:16" ht="48" hidden="1" customHeight="1" x14ac:dyDescent="0.25">
      <c r="A277" s="51">
        <v>7245</v>
      </c>
      <c r="B277" s="88" t="s">
        <v>294</v>
      </c>
      <c r="C277" s="89">
        <f t="shared" si="109"/>
        <v>0</v>
      </c>
      <c r="D277" s="544"/>
      <c r="E277" s="545"/>
      <c r="F277" s="543">
        <f>D277+E277</f>
        <v>0</v>
      </c>
      <c r="G277" s="303"/>
      <c r="H277" s="542"/>
      <c r="I277" s="543">
        <f>G277+H277</f>
        <v>0</v>
      </c>
      <c r="J277" s="303"/>
      <c r="K277" s="542"/>
      <c r="L277" s="543">
        <f>K277+J277</f>
        <v>0</v>
      </c>
      <c r="M277" s="53"/>
      <c r="N277" s="54"/>
      <c r="O277" s="55">
        <f>N277+M277</f>
        <v>0</v>
      </c>
      <c r="P277" s="57"/>
    </row>
    <row r="278" spans="1:16" ht="84.75" hidden="1" customHeight="1" x14ac:dyDescent="0.25">
      <c r="A278" s="51">
        <v>7246</v>
      </c>
      <c r="B278" s="88" t="s">
        <v>295</v>
      </c>
      <c r="C278" s="89">
        <f t="shared" si="109"/>
        <v>0</v>
      </c>
      <c r="D278" s="544"/>
      <c r="E278" s="545"/>
      <c r="F278" s="543">
        <f>D278+E278</f>
        <v>0</v>
      </c>
      <c r="G278" s="303"/>
      <c r="H278" s="542"/>
      <c r="I278" s="543">
        <f>G278+H278</f>
        <v>0</v>
      </c>
      <c r="J278" s="303"/>
      <c r="K278" s="542"/>
      <c r="L278" s="543">
        <f>K278+J278</f>
        <v>0</v>
      </c>
      <c r="M278" s="53"/>
      <c r="N278" s="54"/>
      <c r="O278" s="55">
        <f>N278+M278</f>
        <v>0</v>
      </c>
      <c r="P278" s="57"/>
    </row>
    <row r="279" spans="1:16" ht="36" hidden="1" customHeight="1" x14ac:dyDescent="0.25">
      <c r="A279" s="51">
        <v>7247</v>
      </c>
      <c r="B279" s="88" t="s">
        <v>296</v>
      </c>
      <c r="C279" s="89">
        <f t="shared" si="109"/>
        <v>0</v>
      </c>
      <c r="D279" s="544"/>
      <c r="E279" s="545"/>
      <c r="F279" s="543">
        <f>D279+E279</f>
        <v>0</v>
      </c>
      <c r="G279" s="303"/>
      <c r="H279" s="542"/>
      <c r="I279" s="543">
        <f>G279+H279</f>
        <v>0</v>
      </c>
      <c r="J279" s="303"/>
      <c r="K279" s="542"/>
      <c r="L279" s="543">
        <f>K279+J279</f>
        <v>0</v>
      </c>
      <c r="M279" s="53"/>
      <c r="N279" s="54"/>
      <c r="O279" s="55">
        <f>N279+M279</f>
        <v>0</v>
      </c>
      <c r="P279" s="57"/>
    </row>
    <row r="280" spans="1:16" ht="24" hidden="1" customHeight="1" x14ac:dyDescent="0.25">
      <c r="A280" s="278">
        <v>7260</v>
      </c>
      <c r="B280" s="81" t="s">
        <v>297</v>
      </c>
      <c r="C280" s="82">
        <f t="shared" si="109"/>
        <v>0</v>
      </c>
      <c r="D280" s="689"/>
      <c r="E280" s="690"/>
      <c r="F280" s="664">
        <f>D280+E280</f>
        <v>0</v>
      </c>
      <c r="G280" s="302"/>
      <c r="H280" s="628"/>
      <c r="I280" s="664">
        <f>G280+H280</f>
        <v>0</v>
      </c>
      <c r="J280" s="302"/>
      <c r="K280" s="628"/>
      <c r="L280" s="664">
        <f>K280+J280</f>
        <v>0</v>
      </c>
      <c r="M280" s="46"/>
      <c r="N280" s="47"/>
      <c r="O280" s="133">
        <f>N280+M280</f>
        <v>0</v>
      </c>
      <c r="P280" s="49"/>
    </row>
    <row r="281" spans="1:16" hidden="1" x14ac:dyDescent="0.25">
      <c r="A281" s="135">
        <v>7700</v>
      </c>
      <c r="B281" s="108" t="s">
        <v>298</v>
      </c>
      <c r="C281" s="109">
        <f t="shared" si="109"/>
        <v>0</v>
      </c>
      <c r="D281" s="324">
        <f t="shared" ref="D281:O281" si="111">D282</f>
        <v>0</v>
      </c>
      <c r="E281" s="707">
        <f t="shared" si="111"/>
        <v>0</v>
      </c>
      <c r="F281" s="663">
        <f t="shared" si="111"/>
        <v>0</v>
      </c>
      <c r="G281" s="324">
        <f t="shared" si="111"/>
        <v>0</v>
      </c>
      <c r="H281" s="707">
        <f t="shared" si="111"/>
        <v>0</v>
      </c>
      <c r="I281" s="663">
        <f t="shared" si="111"/>
        <v>0</v>
      </c>
      <c r="J281" s="324">
        <f t="shared" si="111"/>
        <v>0</v>
      </c>
      <c r="K281" s="707">
        <f t="shared" si="111"/>
        <v>0</v>
      </c>
      <c r="L281" s="663">
        <f t="shared" si="111"/>
        <v>0</v>
      </c>
      <c r="M281" s="234">
        <f t="shared" si="111"/>
        <v>0</v>
      </c>
      <c r="N281" s="235">
        <f t="shared" si="111"/>
        <v>0</v>
      </c>
      <c r="O281" s="130">
        <f t="shared" si="111"/>
        <v>0</v>
      </c>
      <c r="P281" s="118"/>
    </row>
    <row r="282" spans="1:16" ht="12" hidden="1" customHeight="1" x14ac:dyDescent="0.25">
      <c r="A282" s="185">
        <v>7720</v>
      </c>
      <c r="B282" s="81" t="s">
        <v>299</v>
      </c>
      <c r="C282" s="97">
        <f t="shared" si="109"/>
        <v>0</v>
      </c>
      <c r="D282" s="708"/>
      <c r="E282" s="709"/>
      <c r="F282" s="710">
        <f>D282+E282</f>
        <v>0</v>
      </c>
      <c r="G282" s="307"/>
      <c r="H282" s="652"/>
      <c r="I282" s="710">
        <f>G282+H282</f>
        <v>0</v>
      </c>
      <c r="J282" s="307"/>
      <c r="K282" s="652"/>
      <c r="L282" s="710">
        <f>K282+J282</f>
        <v>0</v>
      </c>
      <c r="M282" s="101"/>
      <c r="N282" s="102"/>
      <c r="O282" s="238">
        <f>N282+M282</f>
        <v>0</v>
      </c>
      <c r="P282" s="106"/>
    </row>
    <row r="283" spans="1:16" hidden="1" x14ac:dyDescent="0.25">
      <c r="A283" s="711">
        <v>9000</v>
      </c>
      <c r="B283" s="712" t="s">
        <v>300</v>
      </c>
      <c r="C283" s="713">
        <f t="shared" si="109"/>
        <v>0</v>
      </c>
      <c r="D283" s="714">
        <f t="shared" ref="D283:O284" si="112">D284</f>
        <v>0</v>
      </c>
      <c r="E283" s="715">
        <f t="shared" si="112"/>
        <v>0</v>
      </c>
      <c r="F283" s="716">
        <f t="shared" si="112"/>
        <v>0</v>
      </c>
      <c r="G283" s="714">
        <f>G284</f>
        <v>0</v>
      </c>
      <c r="H283" s="715">
        <f>H284</f>
        <v>0</v>
      </c>
      <c r="I283" s="716">
        <f>I284</f>
        <v>0</v>
      </c>
      <c r="J283" s="714">
        <f t="shared" si="112"/>
        <v>0</v>
      </c>
      <c r="K283" s="715">
        <f t="shared" si="112"/>
        <v>0</v>
      </c>
      <c r="L283" s="716">
        <f t="shared" si="112"/>
        <v>0</v>
      </c>
      <c r="M283" s="714">
        <f t="shared" si="112"/>
        <v>0</v>
      </c>
      <c r="N283" s="715">
        <f t="shared" si="112"/>
        <v>0</v>
      </c>
      <c r="O283" s="716">
        <f t="shared" si="112"/>
        <v>0</v>
      </c>
      <c r="P283" s="717"/>
    </row>
    <row r="284" spans="1:16" ht="24" hidden="1" x14ac:dyDescent="0.25">
      <c r="A284" s="246">
        <v>9200</v>
      </c>
      <c r="B284" s="88" t="s">
        <v>301</v>
      </c>
      <c r="C284" s="142">
        <f t="shared" si="109"/>
        <v>0</v>
      </c>
      <c r="D284" s="317">
        <f t="shared" si="112"/>
        <v>0</v>
      </c>
      <c r="E284" s="686">
        <f t="shared" si="112"/>
        <v>0</v>
      </c>
      <c r="F284" s="667">
        <f t="shared" si="112"/>
        <v>0</v>
      </c>
      <c r="G284" s="317">
        <f t="shared" si="112"/>
        <v>0</v>
      </c>
      <c r="H284" s="686">
        <f t="shared" si="112"/>
        <v>0</v>
      </c>
      <c r="I284" s="667">
        <f t="shared" si="112"/>
        <v>0</v>
      </c>
      <c r="J284" s="317">
        <f t="shared" si="112"/>
        <v>0</v>
      </c>
      <c r="K284" s="686">
        <f t="shared" si="112"/>
        <v>0</v>
      </c>
      <c r="L284" s="667">
        <f t="shared" si="112"/>
        <v>0</v>
      </c>
      <c r="M284" s="186">
        <f t="shared" si="112"/>
        <v>0</v>
      </c>
      <c r="N284" s="187">
        <f t="shared" si="112"/>
        <v>0</v>
      </c>
      <c r="O284" s="140">
        <f t="shared" si="112"/>
        <v>0</v>
      </c>
      <c r="P284" s="128"/>
    </row>
    <row r="285" spans="1:16" ht="24" hidden="1" customHeight="1" x14ac:dyDescent="0.25">
      <c r="A285" s="247">
        <v>9230</v>
      </c>
      <c r="B285" s="88" t="s">
        <v>302</v>
      </c>
      <c r="C285" s="142">
        <f t="shared" si="109"/>
        <v>0</v>
      </c>
      <c r="D285" s="691"/>
      <c r="E285" s="692"/>
      <c r="F285" s="667">
        <f>D285+E285</f>
        <v>0</v>
      </c>
      <c r="G285" s="312"/>
      <c r="H285" s="666"/>
      <c r="I285" s="667">
        <f>G285+H285</f>
        <v>0</v>
      </c>
      <c r="J285" s="312"/>
      <c r="K285" s="666"/>
      <c r="L285" s="667">
        <f>K285+J285</f>
        <v>0</v>
      </c>
      <c r="M285" s="143"/>
      <c r="N285" s="144"/>
      <c r="O285" s="140">
        <f>N285+M285</f>
        <v>0</v>
      </c>
      <c r="P285" s="128"/>
    </row>
    <row r="286" spans="1:16" hidden="1" x14ac:dyDescent="0.25">
      <c r="A286" s="199"/>
      <c r="B286" s="88" t="s">
        <v>303</v>
      </c>
      <c r="C286" s="89">
        <f t="shared" si="109"/>
        <v>0</v>
      </c>
      <c r="D286" s="318">
        <f t="shared" ref="D286:O286" si="113">SUM(D287:D288)</f>
        <v>0</v>
      </c>
      <c r="E286" s="687">
        <f t="shared" si="113"/>
        <v>0</v>
      </c>
      <c r="F286" s="543">
        <f t="shared" si="113"/>
        <v>0</v>
      </c>
      <c r="G286" s="318">
        <f t="shared" si="113"/>
        <v>0</v>
      </c>
      <c r="H286" s="687">
        <f t="shared" si="113"/>
        <v>0</v>
      </c>
      <c r="I286" s="543">
        <f t="shared" si="113"/>
        <v>0</v>
      </c>
      <c r="J286" s="318">
        <f t="shared" si="113"/>
        <v>0</v>
      </c>
      <c r="K286" s="687">
        <f t="shared" si="113"/>
        <v>0</v>
      </c>
      <c r="L286" s="543">
        <f t="shared" si="113"/>
        <v>0</v>
      </c>
      <c r="M286" s="189">
        <f t="shared" si="113"/>
        <v>0</v>
      </c>
      <c r="N286" s="190">
        <f t="shared" si="113"/>
        <v>0</v>
      </c>
      <c r="O286" s="55">
        <f t="shared" si="113"/>
        <v>0</v>
      </c>
      <c r="P286" s="57"/>
    </row>
    <row r="287" spans="1:16" ht="12" hidden="1" customHeight="1" x14ac:dyDescent="0.25">
      <c r="A287" s="199" t="s">
        <v>304</v>
      </c>
      <c r="B287" s="51" t="s">
        <v>305</v>
      </c>
      <c r="C287" s="89">
        <f t="shared" si="109"/>
        <v>0</v>
      </c>
      <c r="D287" s="544"/>
      <c r="E287" s="545"/>
      <c r="F287" s="543">
        <f>D287+E287</f>
        <v>0</v>
      </c>
      <c r="G287" s="303"/>
      <c r="H287" s="542"/>
      <c r="I287" s="543">
        <f>G287+H287</f>
        <v>0</v>
      </c>
      <c r="J287" s="303"/>
      <c r="K287" s="542"/>
      <c r="L287" s="543">
        <f>K287+J287</f>
        <v>0</v>
      </c>
      <c r="M287" s="53"/>
      <c r="N287" s="54"/>
      <c r="O287" s="55">
        <f>N287+M287</f>
        <v>0</v>
      </c>
      <c r="P287" s="57"/>
    </row>
    <row r="288" spans="1:16" ht="24" hidden="1" customHeight="1" x14ac:dyDescent="0.25">
      <c r="A288" s="199" t="s">
        <v>306</v>
      </c>
      <c r="B288" s="248" t="s">
        <v>307</v>
      </c>
      <c r="C288" s="82">
        <f t="shared" si="109"/>
        <v>0</v>
      </c>
      <c r="D288" s="689"/>
      <c r="E288" s="690"/>
      <c r="F288" s="664">
        <f>D288+E288</f>
        <v>0</v>
      </c>
      <c r="G288" s="302"/>
      <c r="H288" s="628"/>
      <c r="I288" s="664">
        <f>G288+H288</f>
        <v>0</v>
      </c>
      <c r="J288" s="302"/>
      <c r="K288" s="628"/>
      <c r="L288" s="664">
        <f>K288+J288</f>
        <v>0</v>
      </c>
      <c r="M288" s="46"/>
      <c r="N288" s="47"/>
      <c r="O288" s="133">
        <f>N288+M288</f>
        <v>0</v>
      </c>
      <c r="P288" s="49"/>
    </row>
    <row r="289" spans="1:16" ht="15.75" thickBot="1" x14ac:dyDescent="0.3">
      <c r="A289" s="249"/>
      <c r="B289" s="249" t="s">
        <v>308</v>
      </c>
      <c r="C289" s="250">
        <f t="shared" si="109"/>
        <v>577606</v>
      </c>
      <c r="D289" s="326">
        <f t="shared" ref="D289:O289" si="114">SUM(D286,D269,D230,D195,D187,D173,D75,D53,D283)</f>
        <v>322431</v>
      </c>
      <c r="E289" s="718">
        <f t="shared" si="114"/>
        <v>0</v>
      </c>
      <c r="F289" s="719">
        <f t="shared" si="114"/>
        <v>322431</v>
      </c>
      <c r="G289" s="326">
        <f t="shared" si="114"/>
        <v>187236</v>
      </c>
      <c r="H289" s="718">
        <f t="shared" si="114"/>
        <v>0</v>
      </c>
      <c r="I289" s="719">
        <f t="shared" si="114"/>
        <v>187236</v>
      </c>
      <c r="J289" s="326">
        <f t="shared" si="114"/>
        <v>67491</v>
      </c>
      <c r="K289" s="718">
        <f t="shared" si="114"/>
        <v>448</v>
      </c>
      <c r="L289" s="719">
        <f t="shared" si="114"/>
        <v>67939</v>
      </c>
      <c r="M289" s="251">
        <f t="shared" si="114"/>
        <v>0</v>
      </c>
      <c r="N289" s="252">
        <f t="shared" si="114"/>
        <v>0</v>
      </c>
      <c r="O289" s="253">
        <f t="shared" si="114"/>
        <v>0</v>
      </c>
      <c r="P289" s="254"/>
    </row>
    <row r="290" spans="1:16" s="28" customFormat="1" ht="13.5" thickTop="1" thickBot="1" x14ac:dyDescent="0.3">
      <c r="A290" s="1945" t="s">
        <v>309</v>
      </c>
      <c r="B290" s="1946"/>
      <c r="C290" s="255">
        <f t="shared" si="109"/>
        <v>-243</v>
      </c>
      <c r="D290" s="327">
        <f t="shared" ref="D290:I290" si="115">SUM(D24,D25,D41)-D51</f>
        <v>0</v>
      </c>
      <c r="E290" s="720">
        <f t="shared" si="115"/>
        <v>0</v>
      </c>
      <c r="F290" s="721">
        <f t="shared" si="115"/>
        <v>0</v>
      </c>
      <c r="G290" s="327">
        <f t="shared" si="115"/>
        <v>0</v>
      </c>
      <c r="H290" s="720">
        <f t="shared" si="115"/>
        <v>0</v>
      </c>
      <c r="I290" s="721">
        <f t="shared" si="115"/>
        <v>0</v>
      </c>
      <c r="J290" s="327">
        <f>(J26+J43)-J51</f>
        <v>-243</v>
      </c>
      <c r="K290" s="720">
        <f>(K26+K43)-K51</f>
        <v>0</v>
      </c>
      <c r="L290" s="721">
        <f>(L26+L43)-L51</f>
        <v>-243</v>
      </c>
      <c r="M290" s="256">
        <f>M45-M51</f>
        <v>0</v>
      </c>
      <c r="N290" s="257">
        <f>N45-N51</f>
        <v>0</v>
      </c>
      <c r="O290" s="258">
        <f>O45-O51</f>
        <v>0</v>
      </c>
      <c r="P290" s="259"/>
    </row>
    <row r="291" spans="1:16" s="28" customFormat="1" ht="12.75" thickTop="1" x14ac:dyDescent="0.25">
      <c r="A291" s="1947" t="s">
        <v>310</v>
      </c>
      <c r="B291" s="1948"/>
      <c r="C291" s="260">
        <f t="shared" si="109"/>
        <v>243</v>
      </c>
      <c r="D291" s="323">
        <f t="shared" ref="D291:O291" si="116">SUM(D292,D293)-D300+D301</f>
        <v>0</v>
      </c>
      <c r="E291" s="722">
        <f t="shared" si="116"/>
        <v>0</v>
      </c>
      <c r="F291" s="723">
        <f t="shared" si="116"/>
        <v>0</v>
      </c>
      <c r="G291" s="323">
        <f t="shared" si="116"/>
        <v>0</v>
      </c>
      <c r="H291" s="722">
        <f t="shared" si="116"/>
        <v>0</v>
      </c>
      <c r="I291" s="723">
        <f t="shared" si="116"/>
        <v>0</v>
      </c>
      <c r="J291" s="323">
        <f t="shared" si="116"/>
        <v>243</v>
      </c>
      <c r="K291" s="722">
        <f t="shared" si="116"/>
        <v>0</v>
      </c>
      <c r="L291" s="723">
        <f t="shared" si="116"/>
        <v>243</v>
      </c>
      <c r="M291" s="261">
        <f t="shared" si="116"/>
        <v>0</v>
      </c>
      <c r="N291" s="262">
        <f t="shared" si="116"/>
        <v>0</v>
      </c>
      <c r="O291" s="263">
        <f t="shared" si="116"/>
        <v>0</v>
      </c>
      <c r="P291" s="264"/>
    </row>
    <row r="292" spans="1:16" s="28" customFormat="1" ht="12.75" thickBot="1" x14ac:dyDescent="0.3">
      <c r="A292" s="156" t="s">
        <v>311</v>
      </c>
      <c r="B292" s="156" t="s">
        <v>312</v>
      </c>
      <c r="C292" s="157">
        <f t="shared" si="109"/>
        <v>243</v>
      </c>
      <c r="D292" s="328">
        <f t="shared" ref="D292:O292" si="117">D21-D286</f>
        <v>0</v>
      </c>
      <c r="E292" s="671">
        <f t="shared" si="117"/>
        <v>0</v>
      </c>
      <c r="F292" s="672">
        <f t="shared" si="117"/>
        <v>0</v>
      </c>
      <c r="G292" s="328">
        <f t="shared" si="117"/>
        <v>0</v>
      </c>
      <c r="H292" s="671">
        <f t="shared" si="117"/>
        <v>0</v>
      </c>
      <c r="I292" s="672">
        <f t="shared" si="117"/>
        <v>0</v>
      </c>
      <c r="J292" s="328">
        <f t="shared" si="117"/>
        <v>243</v>
      </c>
      <c r="K292" s="671">
        <f t="shared" si="117"/>
        <v>0</v>
      </c>
      <c r="L292" s="672">
        <f t="shared" si="117"/>
        <v>243</v>
      </c>
      <c r="M292" s="158">
        <f t="shared" si="117"/>
        <v>0</v>
      </c>
      <c r="N292" s="159">
        <f t="shared" si="117"/>
        <v>0</v>
      </c>
      <c r="O292" s="160">
        <f t="shared" si="117"/>
        <v>0</v>
      </c>
      <c r="P292" s="35"/>
    </row>
    <row r="293" spans="1:16" s="28" customFormat="1" ht="12.75" hidden="1" thickTop="1" x14ac:dyDescent="0.25">
      <c r="A293" s="265" t="s">
        <v>313</v>
      </c>
      <c r="B293" s="265" t="s">
        <v>314</v>
      </c>
      <c r="C293" s="260">
        <f t="shared" si="109"/>
        <v>0</v>
      </c>
      <c r="D293" s="323">
        <f t="shared" ref="D293:O293" si="118">SUM(D294,D296,D298)-SUM(D295,D297,D299)</f>
        <v>0</v>
      </c>
      <c r="E293" s="722">
        <f t="shared" si="118"/>
        <v>0</v>
      </c>
      <c r="F293" s="723">
        <f t="shared" si="118"/>
        <v>0</v>
      </c>
      <c r="G293" s="323">
        <f t="shared" si="118"/>
        <v>0</v>
      </c>
      <c r="H293" s="722">
        <f t="shared" si="118"/>
        <v>0</v>
      </c>
      <c r="I293" s="723">
        <f t="shared" si="118"/>
        <v>0</v>
      </c>
      <c r="J293" s="323">
        <f t="shared" si="118"/>
        <v>0</v>
      </c>
      <c r="K293" s="722">
        <f t="shared" si="118"/>
        <v>0</v>
      </c>
      <c r="L293" s="723">
        <f t="shared" si="118"/>
        <v>0</v>
      </c>
      <c r="M293" s="261">
        <f t="shared" si="118"/>
        <v>0</v>
      </c>
      <c r="N293" s="262">
        <f t="shared" si="118"/>
        <v>0</v>
      </c>
      <c r="O293" s="263">
        <f t="shared" si="118"/>
        <v>0</v>
      </c>
      <c r="P293" s="264"/>
    </row>
    <row r="294" spans="1:16" ht="12" hidden="1" customHeight="1" x14ac:dyDescent="0.25">
      <c r="A294" s="266" t="s">
        <v>315</v>
      </c>
      <c r="B294" s="141" t="s">
        <v>316</v>
      </c>
      <c r="C294" s="97">
        <f t="shared" si="109"/>
        <v>0</v>
      </c>
      <c r="D294" s="708"/>
      <c r="E294" s="709"/>
      <c r="F294" s="710">
        <f t="shared" ref="F294:F301" si="119">D294+E294</f>
        <v>0</v>
      </c>
      <c r="G294" s="307"/>
      <c r="H294" s="652"/>
      <c r="I294" s="710">
        <f t="shared" ref="I294:I301" si="120">G294+H294</f>
        <v>0</v>
      </c>
      <c r="J294" s="307"/>
      <c r="K294" s="652"/>
      <c r="L294" s="710">
        <f t="shared" ref="L294:L301" si="121">K294+J294</f>
        <v>0</v>
      </c>
      <c r="M294" s="101"/>
      <c r="N294" s="102"/>
      <c r="O294" s="238">
        <f t="shared" ref="O294:O301" si="122">N294+M294</f>
        <v>0</v>
      </c>
      <c r="P294" s="106"/>
    </row>
    <row r="295" spans="1:16" ht="24" hidden="1" customHeight="1" x14ac:dyDescent="0.25">
      <c r="A295" s="199" t="s">
        <v>317</v>
      </c>
      <c r="B295" s="50" t="s">
        <v>318</v>
      </c>
      <c r="C295" s="89">
        <f t="shared" si="109"/>
        <v>0</v>
      </c>
      <c r="D295" s="544"/>
      <c r="E295" s="545"/>
      <c r="F295" s="543">
        <f t="shared" si="119"/>
        <v>0</v>
      </c>
      <c r="G295" s="303"/>
      <c r="H295" s="542"/>
      <c r="I295" s="543">
        <f t="shared" si="120"/>
        <v>0</v>
      </c>
      <c r="J295" s="303"/>
      <c r="K295" s="542"/>
      <c r="L295" s="543">
        <f t="shared" si="121"/>
        <v>0</v>
      </c>
      <c r="M295" s="53"/>
      <c r="N295" s="54"/>
      <c r="O295" s="55">
        <f t="shared" si="122"/>
        <v>0</v>
      </c>
      <c r="P295" s="57"/>
    </row>
    <row r="296" spans="1:16" ht="12" hidden="1" customHeight="1" x14ac:dyDescent="0.25">
      <c r="A296" s="199" t="s">
        <v>319</v>
      </c>
      <c r="B296" s="50" t="s">
        <v>320</v>
      </c>
      <c r="C296" s="89">
        <f t="shared" si="109"/>
        <v>0</v>
      </c>
      <c r="D296" s="544"/>
      <c r="E296" s="545"/>
      <c r="F296" s="543">
        <f t="shared" si="119"/>
        <v>0</v>
      </c>
      <c r="G296" s="303"/>
      <c r="H296" s="542"/>
      <c r="I296" s="543">
        <f t="shared" si="120"/>
        <v>0</v>
      </c>
      <c r="J296" s="303"/>
      <c r="K296" s="542"/>
      <c r="L296" s="543">
        <f t="shared" si="121"/>
        <v>0</v>
      </c>
      <c r="M296" s="53"/>
      <c r="N296" s="54"/>
      <c r="O296" s="55">
        <f t="shared" si="122"/>
        <v>0</v>
      </c>
      <c r="P296" s="57"/>
    </row>
    <row r="297" spans="1:16" ht="24" hidden="1" customHeight="1" x14ac:dyDescent="0.25">
      <c r="A297" s="199" t="s">
        <v>321</v>
      </c>
      <c r="B297" s="50" t="s">
        <v>322</v>
      </c>
      <c r="C297" s="89">
        <f t="shared" si="109"/>
        <v>0</v>
      </c>
      <c r="D297" s="544"/>
      <c r="E297" s="545"/>
      <c r="F297" s="543">
        <f t="shared" si="119"/>
        <v>0</v>
      </c>
      <c r="G297" s="303"/>
      <c r="H297" s="542"/>
      <c r="I297" s="543">
        <f t="shared" si="120"/>
        <v>0</v>
      </c>
      <c r="J297" s="303"/>
      <c r="K297" s="542"/>
      <c r="L297" s="543">
        <f t="shared" si="121"/>
        <v>0</v>
      </c>
      <c r="M297" s="53"/>
      <c r="N297" s="54"/>
      <c r="O297" s="55">
        <f t="shared" si="122"/>
        <v>0</v>
      </c>
      <c r="P297" s="57"/>
    </row>
    <row r="298" spans="1:16" ht="12" hidden="1" customHeight="1" x14ac:dyDescent="0.25">
      <c r="A298" s="199" t="s">
        <v>323</v>
      </c>
      <c r="B298" s="50" t="s">
        <v>324</v>
      </c>
      <c r="C298" s="89">
        <f t="shared" si="109"/>
        <v>0</v>
      </c>
      <c r="D298" s="544"/>
      <c r="E298" s="545"/>
      <c r="F298" s="543">
        <f t="shared" si="119"/>
        <v>0</v>
      </c>
      <c r="G298" s="303"/>
      <c r="H298" s="542"/>
      <c r="I298" s="543">
        <f t="shared" si="120"/>
        <v>0</v>
      </c>
      <c r="J298" s="303"/>
      <c r="K298" s="542"/>
      <c r="L298" s="543">
        <f t="shared" si="121"/>
        <v>0</v>
      </c>
      <c r="M298" s="53"/>
      <c r="N298" s="54"/>
      <c r="O298" s="55">
        <f t="shared" si="122"/>
        <v>0</v>
      </c>
      <c r="P298" s="57"/>
    </row>
    <row r="299" spans="1:16" ht="24.75" hidden="1" customHeight="1" thickBot="1" x14ac:dyDescent="0.25">
      <c r="A299" s="267" t="s">
        <v>325</v>
      </c>
      <c r="B299" s="268" t="s">
        <v>326</v>
      </c>
      <c r="C299" s="208">
        <f t="shared" si="109"/>
        <v>0</v>
      </c>
      <c r="D299" s="694"/>
      <c r="E299" s="695"/>
      <c r="F299" s="696">
        <f t="shared" si="119"/>
        <v>0</v>
      </c>
      <c r="G299" s="321"/>
      <c r="H299" s="697"/>
      <c r="I299" s="696">
        <f t="shared" si="120"/>
        <v>0</v>
      </c>
      <c r="J299" s="321"/>
      <c r="K299" s="697"/>
      <c r="L299" s="696">
        <f t="shared" si="121"/>
        <v>0</v>
      </c>
      <c r="M299" s="213"/>
      <c r="N299" s="214"/>
      <c r="O299" s="212">
        <f t="shared" si="122"/>
        <v>0</v>
      </c>
      <c r="P299" s="215"/>
    </row>
    <row r="300" spans="1:16" s="28" customFormat="1" ht="13.5" hidden="1" customHeight="1" thickTop="1" thickBot="1" x14ac:dyDescent="0.3">
      <c r="A300" s="269" t="s">
        <v>327</v>
      </c>
      <c r="B300" s="269" t="s">
        <v>328</v>
      </c>
      <c r="C300" s="255">
        <f t="shared" si="109"/>
        <v>0</v>
      </c>
      <c r="D300" s="329"/>
      <c r="E300" s="724"/>
      <c r="F300" s="721">
        <f t="shared" si="119"/>
        <v>0</v>
      </c>
      <c r="G300" s="329"/>
      <c r="H300" s="724"/>
      <c r="I300" s="725">
        <f t="shared" si="120"/>
        <v>0</v>
      </c>
      <c r="J300" s="329"/>
      <c r="K300" s="724"/>
      <c r="L300" s="725">
        <f t="shared" si="121"/>
        <v>0</v>
      </c>
      <c r="M300" s="270"/>
      <c r="N300" s="271"/>
      <c r="O300" s="272">
        <f t="shared" si="122"/>
        <v>0</v>
      </c>
      <c r="P300" s="273"/>
    </row>
    <row r="301" spans="1:16" s="28" customFormat="1" ht="48.75" hidden="1" customHeight="1" thickTop="1" x14ac:dyDescent="0.25">
      <c r="A301" s="265" t="s">
        <v>329</v>
      </c>
      <c r="B301" s="274" t="s">
        <v>330</v>
      </c>
      <c r="C301" s="260">
        <f t="shared" si="109"/>
        <v>0</v>
      </c>
      <c r="D301" s="330"/>
      <c r="E301" s="693"/>
      <c r="F301" s="638">
        <f t="shared" si="119"/>
        <v>0</v>
      </c>
      <c r="G301" s="330"/>
      <c r="H301" s="693"/>
      <c r="I301" s="638">
        <f t="shared" si="120"/>
        <v>0</v>
      </c>
      <c r="J301" s="330"/>
      <c r="K301" s="693"/>
      <c r="L301" s="638">
        <f t="shared" si="121"/>
        <v>0</v>
      </c>
      <c r="M301" s="204"/>
      <c r="N301" s="205"/>
      <c r="O301" s="72">
        <f t="shared" si="122"/>
        <v>0</v>
      </c>
      <c r="P301" s="76"/>
    </row>
    <row r="302" spans="1:16" hidden="1" x14ac:dyDescent="0.25">
      <c r="A302" s="4"/>
      <c r="B302" s="4"/>
      <c r="C302" s="4"/>
      <c r="D302" s="296"/>
      <c r="E302" s="296"/>
      <c r="F302" s="296"/>
      <c r="G302" s="296"/>
      <c r="H302" s="296"/>
      <c r="I302" s="296"/>
      <c r="J302" s="296"/>
      <c r="K302" s="296"/>
      <c r="L302" s="296"/>
      <c r="M302" s="4"/>
      <c r="N302" s="4"/>
      <c r="O302" s="4"/>
      <c r="P302" s="4"/>
    </row>
    <row r="303" spans="1:16" hidden="1" x14ac:dyDescent="0.25">
      <c r="A303" s="4"/>
      <c r="B303" s="4"/>
      <c r="C303" s="4"/>
      <c r="D303" s="296"/>
      <c r="E303" s="296"/>
      <c r="F303" s="296"/>
      <c r="G303" s="296"/>
      <c r="H303" s="296"/>
      <c r="I303" s="296"/>
      <c r="J303" s="296"/>
      <c r="K303" s="296"/>
      <c r="L303" s="296"/>
      <c r="M303" s="4"/>
      <c r="N303" s="4"/>
      <c r="O303" s="4"/>
      <c r="P303" s="4"/>
    </row>
    <row r="304" spans="1:16" hidden="1" x14ac:dyDescent="0.25">
      <c r="A304" s="4"/>
      <c r="B304" s="4"/>
      <c r="C304" s="4"/>
      <c r="D304" s="296"/>
      <c r="E304" s="296"/>
      <c r="F304" s="296"/>
      <c r="G304" s="296"/>
      <c r="H304" s="296"/>
      <c r="I304" s="296"/>
      <c r="J304" s="296"/>
      <c r="K304" s="296"/>
      <c r="L304" s="296"/>
      <c r="M304" s="4"/>
      <c r="N304" s="4"/>
      <c r="O304" s="4"/>
      <c r="P304" s="4"/>
    </row>
    <row r="305" spans="1:16" hidden="1" x14ac:dyDescent="0.25">
      <c r="A305" s="4"/>
      <c r="B305" s="4"/>
      <c r="C305" s="4"/>
      <c r="D305" s="296"/>
      <c r="E305" s="296"/>
      <c r="F305" s="296"/>
      <c r="G305" s="296"/>
      <c r="H305" s="296"/>
      <c r="I305" s="296"/>
      <c r="J305" s="296"/>
      <c r="K305" s="296"/>
      <c r="L305" s="296"/>
      <c r="M305" s="4"/>
      <c r="N305" s="4"/>
      <c r="O305" s="4"/>
      <c r="P305" s="4"/>
    </row>
    <row r="306" spans="1:16" hidden="1" x14ac:dyDescent="0.25">
      <c r="A306" s="4"/>
      <c r="B306" s="4"/>
      <c r="C306" s="4"/>
      <c r="D306" s="296"/>
      <c r="E306" s="296"/>
      <c r="F306" s="296"/>
      <c r="G306" s="296"/>
      <c r="H306" s="296"/>
      <c r="I306" s="296"/>
      <c r="J306" s="296"/>
      <c r="K306" s="296"/>
      <c r="L306" s="296"/>
      <c r="M306" s="4"/>
      <c r="N306" s="4"/>
      <c r="O306" s="4"/>
      <c r="P306" s="4"/>
    </row>
    <row r="307" spans="1:16" hidden="1" x14ac:dyDescent="0.25">
      <c r="A307" s="4"/>
      <c r="B307" s="4"/>
      <c r="C307" s="4"/>
      <c r="D307" s="296"/>
      <c r="E307" s="296"/>
      <c r="F307" s="296"/>
      <c r="G307" s="296"/>
      <c r="H307" s="296"/>
      <c r="I307" s="296"/>
      <c r="J307" s="296"/>
      <c r="K307" s="296"/>
      <c r="L307" s="296"/>
      <c r="M307" s="4"/>
      <c r="N307" s="4"/>
      <c r="O307" s="4"/>
      <c r="P307" s="4"/>
    </row>
    <row r="308" spans="1:16" hidden="1" x14ac:dyDescent="0.25">
      <c r="A308" s="4"/>
      <c r="B308" s="4"/>
      <c r="C308" s="4"/>
      <c r="D308" s="296"/>
      <c r="E308" s="296"/>
      <c r="F308" s="296"/>
      <c r="G308" s="296"/>
      <c r="H308" s="296"/>
      <c r="I308" s="296"/>
      <c r="J308" s="296"/>
      <c r="K308" s="296"/>
      <c r="L308" s="296"/>
      <c r="M308" s="4"/>
      <c r="N308" s="4"/>
      <c r="O308" s="4"/>
      <c r="P308" s="4"/>
    </row>
    <row r="309" spans="1:16" hidden="1" x14ac:dyDescent="0.25">
      <c r="A309" s="4"/>
      <c r="B309" s="4"/>
      <c r="C309" s="4"/>
      <c r="D309" s="296"/>
      <c r="E309" s="296"/>
      <c r="F309" s="296"/>
      <c r="G309" s="296"/>
      <c r="H309" s="296"/>
      <c r="I309" s="296"/>
      <c r="J309" s="296"/>
      <c r="K309" s="296"/>
      <c r="L309" s="296"/>
      <c r="M309" s="4"/>
      <c r="N309" s="4"/>
      <c r="O309" s="4"/>
      <c r="P309" s="4"/>
    </row>
    <row r="310" spans="1:16" hidden="1" x14ac:dyDescent="0.25">
      <c r="A310" s="4"/>
      <c r="B310" s="4"/>
      <c r="C310" s="4"/>
      <c r="D310" s="296"/>
      <c r="E310" s="296"/>
      <c r="F310" s="296"/>
      <c r="G310" s="296"/>
      <c r="H310" s="296"/>
      <c r="I310" s="296"/>
      <c r="J310" s="296"/>
      <c r="K310" s="296"/>
      <c r="L310" s="296"/>
      <c r="M310" s="4"/>
      <c r="N310" s="4"/>
      <c r="O310" s="4"/>
      <c r="P310" s="4"/>
    </row>
    <row r="311" spans="1:16" hidden="1" x14ac:dyDescent="0.25">
      <c r="A311" s="4"/>
      <c r="B311" s="4"/>
      <c r="C311" s="4"/>
      <c r="D311" s="296"/>
      <c r="E311" s="296"/>
      <c r="F311" s="296"/>
      <c r="G311" s="296"/>
      <c r="H311" s="296"/>
      <c r="I311" s="296"/>
      <c r="J311" s="296"/>
      <c r="K311" s="296"/>
      <c r="L311" s="296"/>
      <c r="M311" s="4"/>
      <c r="N311" s="4"/>
      <c r="O311" s="4"/>
      <c r="P311" s="4"/>
    </row>
    <row r="312" spans="1:16" hidden="1" x14ac:dyDescent="0.25">
      <c r="A312" s="4"/>
      <c r="B312" s="4"/>
      <c r="C312" s="4"/>
      <c r="D312" s="296"/>
      <c r="E312" s="296"/>
      <c r="F312" s="296"/>
      <c r="G312" s="296"/>
      <c r="H312" s="296"/>
      <c r="I312" s="296"/>
      <c r="J312" s="296"/>
      <c r="K312" s="296"/>
      <c r="L312" s="296"/>
      <c r="M312" s="4"/>
    </row>
    <row r="313" spans="1:16" hidden="1" x14ac:dyDescent="0.25">
      <c r="A313" s="4"/>
      <c r="B313" s="4"/>
      <c r="C313" s="4"/>
      <c r="D313" s="296"/>
      <c r="E313" s="296"/>
      <c r="F313" s="296"/>
      <c r="G313" s="296"/>
      <c r="H313" s="296"/>
      <c r="I313" s="296"/>
      <c r="J313" s="296"/>
      <c r="K313" s="296"/>
      <c r="L313" s="296"/>
      <c r="M313" s="4"/>
    </row>
    <row r="314" spans="1:16" hidden="1" x14ac:dyDescent="0.25">
      <c r="A314" s="4"/>
      <c r="B314" s="4"/>
      <c r="C314" s="4"/>
      <c r="D314" s="296"/>
      <c r="E314" s="296"/>
      <c r="F314" s="296"/>
      <c r="G314" s="296"/>
      <c r="H314" s="296"/>
      <c r="I314" s="296"/>
      <c r="J314" s="296"/>
      <c r="K314" s="296"/>
      <c r="L314" s="296"/>
      <c r="M314" s="4"/>
    </row>
    <row r="315" spans="1:16" hidden="1" x14ac:dyDescent="0.25">
      <c r="A315" s="4"/>
      <c r="B315" s="4"/>
      <c r="C315" s="4"/>
      <c r="D315" s="296"/>
      <c r="E315" s="296"/>
      <c r="F315" s="296"/>
      <c r="G315" s="296"/>
      <c r="H315" s="296"/>
      <c r="I315" s="296"/>
      <c r="J315" s="296"/>
      <c r="K315" s="296"/>
      <c r="L315" s="296"/>
      <c r="M315" s="4"/>
    </row>
    <row r="316" spans="1:16" hidden="1" x14ac:dyDescent="0.25">
      <c r="A316" s="4"/>
      <c r="B316" s="4"/>
      <c r="C316" s="4"/>
      <c r="D316" s="296"/>
      <c r="E316" s="296"/>
      <c r="F316" s="296"/>
      <c r="G316" s="296"/>
      <c r="H316" s="296"/>
      <c r="I316" s="296"/>
      <c r="J316" s="296"/>
      <c r="K316" s="296"/>
      <c r="L316" s="296"/>
      <c r="M316" s="4"/>
    </row>
    <row r="317" spans="1:16" hidden="1" x14ac:dyDescent="0.25">
      <c r="A317" s="4"/>
      <c r="B317" s="4"/>
      <c r="C317" s="4"/>
      <c r="D317" s="296"/>
      <c r="E317" s="296"/>
      <c r="F317" s="296"/>
      <c r="G317" s="296"/>
      <c r="H317" s="296"/>
      <c r="I317" s="296"/>
      <c r="J317" s="296"/>
      <c r="K317" s="296"/>
      <c r="L317" s="296"/>
      <c r="M317" s="4"/>
    </row>
    <row r="318" spans="1:16" hidden="1" x14ac:dyDescent="0.25">
      <c r="A318" s="4"/>
      <c r="B318" s="4"/>
      <c r="C318" s="4"/>
      <c r="D318" s="296"/>
      <c r="E318" s="296"/>
      <c r="F318" s="296"/>
      <c r="G318" s="296"/>
      <c r="H318" s="296"/>
      <c r="I318" s="296"/>
      <c r="J318" s="296"/>
      <c r="K318" s="296"/>
      <c r="L318" s="296"/>
      <c r="M318" s="4"/>
    </row>
    <row r="319" spans="1:16" hidden="1" x14ac:dyDescent="0.25">
      <c r="A319" s="4"/>
      <c r="B319" s="4"/>
      <c r="C319" s="4"/>
      <c r="D319" s="296"/>
      <c r="E319" s="296"/>
      <c r="F319" s="296"/>
      <c r="G319" s="296"/>
      <c r="H319" s="296"/>
      <c r="I319" s="296"/>
      <c r="J319" s="296"/>
      <c r="K319" s="296"/>
      <c r="L319" s="296"/>
      <c r="M319" s="4"/>
    </row>
    <row r="320" spans="1:16" hidden="1" x14ac:dyDescent="0.25">
      <c r="A320" s="4"/>
      <c r="B320" s="4"/>
      <c r="C320" s="4"/>
      <c r="D320" s="296"/>
      <c r="E320" s="296"/>
      <c r="F320" s="296"/>
      <c r="G320" s="296"/>
      <c r="H320" s="296"/>
      <c r="I320" s="296"/>
      <c r="J320" s="296"/>
      <c r="K320" s="296"/>
      <c r="L320" s="296"/>
      <c r="M320" s="4"/>
    </row>
    <row r="321" spans="1:13" hidden="1" x14ac:dyDescent="0.25">
      <c r="A321" s="275"/>
      <c r="B321" s="275"/>
      <c r="C321" s="275"/>
      <c r="D321" s="296"/>
      <c r="E321" s="296"/>
      <c r="F321" s="296"/>
      <c r="G321" s="296"/>
      <c r="H321" s="296"/>
      <c r="I321" s="296"/>
      <c r="J321" s="296"/>
      <c r="K321" s="296"/>
      <c r="L321" s="296"/>
      <c r="M321" s="275"/>
    </row>
    <row r="322" spans="1:13" hidden="1" x14ac:dyDescent="0.25">
      <c r="A322" s="275"/>
      <c r="B322" s="275"/>
      <c r="C322" s="275"/>
      <c r="D322" s="296"/>
      <c r="E322" s="296"/>
      <c r="F322" s="296"/>
      <c r="G322" s="296"/>
      <c r="H322" s="296"/>
      <c r="I322" s="296"/>
      <c r="J322" s="296"/>
      <c r="K322" s="296"/>
      <c r="L322" s="296"/>
      <c r="M322" s="275"/>
    </row>
    <row r="323" spans="1:13" hidden="1" x14ac:dyDescent="0.25">
      <c r="A323" s="275"/>
      <c r="B323" s="275"/>
      <c r="C323" s="275"/>
      <c r="D323" s="296"/>
      <c r="E323" s="296"/>
      <c r="F323" s="296"/>
      <c r="G323" s="296"/>
      <c r="H323" s="296"/>
      <c r="I323" s="296"/>
      <c r="J323" s="296"/>
      <c r="K323" s="296"/>
      <c r="L323" s="296"/>
      <c r="M323" s="275"/>
    </row>
    <row r="324" spans="1:13" hidden="1" x14ac:dyDescent="0.25">
      <c r="A324" s="275"/>
      <c r="B324" s="275"/>
      <c r="C324" s="275"/>
      <c r="D324" s="296"/>
      <c r="E324" s="296"/>
      <c r="F324" s="296"/>
      <c r="G324" s="296"/>
      <c r="H324" s="296"/>
      <c r="I324" s="296"/>
      <c r="J324" s="296"/>
      <c r="K324" s="296"/>
      <c r="L324" s="296"/>
      <c r="M324" s="275"/>
    </row>
    <row r="325" spans="1:13" hidden="1" x14ac:dyDescent="0.25">
      <c r="A325" s="275"/>
      <c r="B325" s="275"/>
      <c r="C325" s="275"/>
      <c r="D325" s="296"/>
      <c r="E325" s="296"/>
      <c r="F325" s="296"/>
      <c r="G325" s="296"/>
      <c r="H325" s="296"/>
      <c r="I325" s="296"/>
      <c r="J325" s="296"/>
      <c r="K325" s="296"/>
      <c r="L325" s="296"/>
      <c r="M325" s="275"/>
    </row>
    <row r="326" spans="1:13" hidden="1" x14ac:dyDescent="0.25">
      <c r="A326" s="275"/>
      <c r="B326" s="275"/>
      <c r="C326" s="275"/>
      <c r="D326" s="296"/>
      <c r="E326" s="296"/>
      <c r="F326" s="296"/>
      <c r="G326" s="296"/>
      <c r="H326" s="296"/>
      <c r="I326" s="296"/>
      <c r="J326" s="296"/>
      <c r="K326" s="296"/>
      <c r="L326" s="296"/>
      <c r="M326" s="275"/>
    </row>
    <row r="327" spans="1:13" hidden="1" x14ac:dyDescent="0.25">
      <c r="A327" s="275"/>
      <c r="B327" s="275"/>
      <c r="C327" s="275"/>
      <c r="D327" s="296"/>
      <c r="E327" s="296"/>
      <c r="F327" s="296"/>
      <c r="G327" s="296"/>
      <c r="H327" s="296"/>
      <c r="I327" s="296"/>
      <c r="J327" s="296"/>
      <c r="K327" s="296"/>
      <c r="L327" s="296"/>
      <c r="M327" s="275"/>
    </row>
    <row r="328" spans="1:13" hidden="1" x14ac:dyDescent="0.25">
      <c r="A328" s="275"/>
      <c r="B328" s="275"/>
      <c r="C328" s="275"/>
      <c r="D328" s="296"/>
      <c r="E328" s="296"/>
      <c r="F328" s="296"/>
      <c r="G328" s="296"/>
      <c r="H328" s="296"/>
      <c r="I328" s="296"/>
      <c r="J328" s="296"/>
      <c r="K328" s="296"/>
      <c r="L328" s="296"/>
      <c r="M328" s="275"/>
    </row>
    <row r="329" spans="1:13" ht="15.75" thickTop="1" x14ac:dyDescent="0.25">
      <c r="A329" s="275"/>
      <c r="B329" s="275"/>
      <c r="C329" s="275"/>
      <c r="D329" s="296"/>
      <c r="E329" s="296"/>
      <c r="F329" s="296"/>
      <c r="G329" s="296"/>
      <c r="H329" s="296"/>
      <c r="I329" s="296"/>
      <c r="J329" s="296"/>
      <c r="K329" s="296"/>
      <c r="L329" s="296"/>
      <c r="M329" s="275"/>
    </row>
  </sheetData>
  <sheetProtection algorithmName="SHA-512" hashValue="6dHVK5DtSQhJXPP4vaHGtMcIRxfSQrS6JISKRWEtAIXsWQNvlL11Aig4hzlJKoeHMcn8Lzo5zRNBGrKBLLYuCg==" saltValue="5RhpfpGZqJbhMQWzTd0y3g==" spinCount="100000" sheet="1" objects="1" scenarios="1" formatCells="0" formatColumns="0" formatRows="0" deleteColumns="0"/>
  <autoFilter ref="A18:P301">
    <filterColumn colId="2">
      <filters>
        <filter val="1 029"/>
        <filter val="1 117"/>
        <filter val="1 204"/>
        <filter val="1 206"/>
        <filter val="1 282"/>
        <filter val="1 300"/>
        <filter val="1 353"/>
        <filter val="1 750"/>
        <filter val="1 902"/>
        <filter val="100"/>
        <filter val="12"/>
        <filter val="120"/>
        <filter val="122"/>
        <filter val="125 620"/>
        <filter val="13 454"/>
        <filter val="13 515"/>
        <filter val="14 500"/>
        <filter val="150"/>
        <filter val="16 486"/>
        <filter val="16 942"/>
        <filter val="17 638"/>
        <filter val="189"/>
        <filter val="2 128"/>
        <filter val="2 278"/>
        <filter val="2 905"/>
        <filter val="2 923"/>
        <filter val="20"/>
        <filter val="24 776"/>
        <filter val="26"/>
        <filter val="27 380"/>
        <filter val="3 005"/>
        <filter val="3 600"/>
        <filter val="3 717"/>
        <filter val="32"/>
        <filter val="349 212"/>
        <filter val="36 494"/>
        <filter val="389 423"/>
        <filter val="4 050"/>
        <filter val="4 172"/>
        <filter val="4 736"/>
        <filter val="40"/>
        <filter val="41 539"/>
        <filter val="431"/>
        <filter val="436"/>
        <filter val="450"/>
        <filter val="485"/>
        <filter val="5 221"/>
        <filter val="50"/>
        <filter val="500"/>
        <filter val="502"/>
        <filter val="509 667"/>
        <filter val="51 111"/>
        <filter val="515 043"/>
        <filter val="527"/>
        <filter val="573 556"/>
        <filter val="577 606"/>
        <filter val="58 513"/>
        <filter val="623"/>
        <filter val="64 626"/>
        <filter val="649"/>
        <filter val="67 208"/>
        <filter val="691"/>
        <filter val="-691"/>
        <filter val="7 221"/>
        <filter val="7 657"/>
        <filter val="7 872"/>
        <filter val="8 464"/>
        <filter val="8 538"/>
        <filter val="800"/>
        <filter val="98 24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48.pielikums Jūrmalas pilsētas domes
2019.gada 29.augusta saistošajiem noteikumiem Nr.31
(protokols Nr.12, 20.punkts)
 </firstHeader>
    <firstFooter>&amp;L&amp;9&amp;D; &amp;T&amp;R&amp;9&amp;P (&amp;N)</first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5" sqref="U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1228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1229</v>
      </c>
      <c r="D3" s="1977"/>
      <c r="E3" s="1977"/>
      <c r="F3" s="1977"/>
      <c r="G3" s="1977"/>
      <c r="H3" s="1977"/>
      <c r="I3" s="1977"/>
      <c r="J3" s="1977"/>
      <c r="K3" s="1977"/>
      <c r="L3" s="1977"/>
      <c r="M3" s="1977"/>
      <c r="N3" s="1977"/>
      <c r="O3" s="1977"/>
      <c r="P3" s="1978"/>
      <c r="Q3" s="276"/>
    </row>
    <row r="4" spans="1:17" ht="12.75" customHeight="1" x14ac:dyDescent="0.25">
      <c r="A4" s="5" t="s">
        <v>4</v>
      </c>
      <c r="B4" s="6"/>
      <c r="C4" s="1977" t="s">
        <v>1230</v>
      </c>
      <c r="D4" s="1977"/>
      <c r="E4" s="1977"/>
      <c r="F4" s="1977"/>
      <c r="G4" s="1977"/>
      <c r="H4" s="1977"/>
      <c r="I4" s="1977"/>
      <c r="J4" s="1977"/>
      <c r="K4" s="1977"/>
      <c r="L4" s="1977"/>
      <c r="M4" s="1977"/>
      <c r="N4" s="1977"/>
      <c r="O4" s="1977"/>
      <c r="P4" s="1978"/>
      <c r="Q4" s="276"/>
    </row>
    <row r="5" spans="1:17" ht="12.75" customHeight="1" x14ac:dyDescent="0.25">
      <c r="A5" s="7" t="s">
        <v>6</v>
      </c>
      <c r="B5" s="8"/>
      <c r="C5" s="1972" t="s">
        <v>1231</v>
      </c>
      <c r="D5" s="1972"/>
      <c r="E5" s="1972"/>
      <c r="F5" s="1972"/>
      <c r="G5" s="1972"/>
      <c r="H5" s="1972"/>
      <c r="I5" s="1972"/>
      <c r="J5" s="1972"/>
      <c r="K5" s="1972"/>
      <c r="L5" s="1972"/>
      <c r="M5" s="1972"/>
      <c r="N5" s="1972"/>
      <c r="O5" s="1972"/>
      <c r="P5" s="1973"/>
      <c r="Q5" s="276"/>
    </row>
    <row r="6" spans="1:17" ht="12.75" customHeight="1" x14ac:dyDescent="0.25">
      <c r="A6" s="7" t="s">
        <v>8</v>
      </c>
      <c r="B6" s="8"/>
      <c r="C6" s="1972" t="s">
        <v>836</v>
      </c>
      <c r="D6" s="1972"/>
      <c r="E6" s="1972"/>
      <c r="F6" s="1972"/>
      <c r="G6" s="1972"/>
      <c r="H6" s="1972"/>
      <c r="I6" s="1972"/>
      <c r="J6" s="1972"/>
      <c r="K6" s="1972"/>
      <c r="L6" s="1972"/>
      <c r="M6" s="1972"/>
      <c r="N6" s="1972"/>
      <c r="O6" s="1972"/>
      <c r="P6" s="1973"/>
      <c r="Q6" s="276"/>
    </row>
    <row r="7" spans="1:17" ht="24.75" customHeight="1" x14ac:dyDescent="0.25">
      <c r="A7" s="7" t="s">
        <v>10</v>
      </c>
      <c r="B7" s="8"/>
      <c r="C7" s="1977" t="s">
        <v>1256</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1232</v>
      </c>
      <c r="D9" s="1972" t="s">
        <v>1232</v>
      </c>
      <c r="E9" s="1972" t="s">
        <v>1232</v>
      </c>
      <c r="F9" s="1972" t="s">
        <v>1232</v>
      </c>
      <c r="G9" s="1972" t="s">
        <v>1232</v>
      </c>
      <c r="H9" s="1972" t="s">
        <v>1232</v>
      </c>
      <c r="I9" s="1972" t="s">
        <v>1232</v>
      </c>
      <c r="J9" s="1972" t="s">
        <v>1232</v>
      </c>
      <c r="K9" s="1972" t="s">
        <v>1232</v>
      </c>
      <c r="L9" s="1972" t="s">
        <v>1232</v>
      </c>
      <c r="M9" s="1972" t="s">
        <v>1232</v>
      </c>
      <c r="N9" s="1972" t="s">
        <v>1232</v>
      </c>
      <c r="O9" s="1972" t="s">
        <v>1232</v>
      </c>
      <c r="P9" s="1973" t="s">
        <v>1232</v>
      </c>
      <c r="Q9" s="276"/>
    </row>
    <row r="10" spans="1:17" ht="12.75" customHeight="1" x14ac:dyDescent="0.25">
      <c r="A10" s="7"/>
      <c r="B10" s="8" t="s">
        <v>15</v>
      </c>
      <c r="C10" s="1972" t="s">
        <v>1233</v>
      </c>
      <c r="D10" s="1972" t="s">
        <v>1233</v>
      </c>
      <c r="E10" s="1972" t="s">
        <v>1233</v>
      </c>
      <c r="F10" s="1972" t="s">
        <v>1233</v>
      </c>
      <c r="G10" s="1972" t="s">
        <v>1233</v>
      </c>
      <c r="H10" s="1972" t="s">
        <v>1233</v>
      </c>
      <c r="I10" s="1972" t="s">
        <v>1233</v>
      </c>
      <c r="J10" s="1972" t="s">
        <v>1233</v>
      </c>
      <c r="K10" s="1972" t="s">
        <v>1233</v>
      </c>
      <c r="L10" s="1972" t="s">
        <v>1233</v>
      </c>
      <c r="M10" s="1972" t="s">
        <v>1233</v>
      </c>
      <c r="N10" s="1972" t="s">
        <v>1233</v>
      </c>
      <c r="O10" s="1972" t="s">
        <v>1233</v>
      </c>
      <c r="P10" s="1973" t="s">
        <v>1233</v>
      </c>
      <c r="Q10" s="276"/>
    </row>
    <row r="11" spans="1:17" ht="12.75" customHeight="1" x14ac:dyDescent="0.25">
      <c r="A11" s="7"/>
      <c r="B11" s="8" t="s">
        <v>16</v>
      </c>
      <c r="C11" s="1972"/>
      <c r="D11" s="1972"/>
      <c r="E11" s="1972"/>
      <c r="F11" s="1972"/>
      <c r="G11" s="1972"/>
      <c r="H11" s="1972"/>
      <c r="I11" s="1972"/>
      <c r="J11" s="1972"/>
      <c r="K11" s="1972"/>
      <c r="L11" s="1972"/>
      <c r="M11" s="1972"/>
      <c r="N11" s="1972"/>
      <c r="O11" s="1972"/>
      <c r="P11" s="1973"/>
      <c r="Q11" s="276"/>
    </row>
    <row r="12" spans="1:17" ht="12.75" customHeight="1" x14ac:dyDescent="0.25">
      <c r="A12" s="7"/>
      <c r="B12" s="8" t="s">
        <v>17</v>
      </c>
      <c r="C12" s="1972" t="s">
        <v>1234</v>
      </c>
      <c r="D12" s="1972" t="s">
        <v>1234</v>
      </c>
      <c r="E12" s="1972" t="s">
        <v>1234</v>
      </c>
      <c r="F12" s="1972" t="s">
        <v>1234</v>
      </c>
      <c r="G12" s="1972" t="s">
        <v>1234</v>
      </c>
      <c r="H12" s="1972" t="s">
        <v>1234</v>
      </c>
      <c r="I12" s="1972" t="s">
        <v>1234</v>
      </c>
      <c r="J12" s="1972" t="s">
        <v>1234</v>
      </c>
      <c r="K12" s="1972" t="s">
        <v>1234</v>
      </c>
      <c r="L12" s="1972" t="s">
        <v>1234</v>
      </c>
      <c r="M12" s="1972" t="s">
        <v>1234</v>
      </c>
      <c r="N12" s="1972" t="s">
        <v>1234</v>
      </c>
      <c r="O12" s="1972" t="s">
        <v>1234</v>
      </c>
      <c r="P12" s="1973" t="s">
        <v>1234</v>
      </c>
      <c r="Q12" s="276"/>
    </row>
    <row r="13" spans="1:17" ht="12.75" customHeight="1" x14ac:dyDescent="0.25">
      <c r="A13" s="7"/>
      <c r="B13" s="8" t="s">
        <v>19</v>
      </c>
      <c r="C13" s="1972" t="s">
        <v>1235</v>
      </c>
      <c r="D13" s="1972" t="s">
        <v>1235</v>
      </c>
      <c r="E13" s="1972" t="s">
        <v>1235</v>
      </c>
      <c r="F13" s="1972" t="s">
        <v>1235</v>
      </c>
      <c r="G13" s="1972" t="s">
        <v>1235</v>
      </c>
      <c r="H13" s="1972" t="s">
        <v>1235</v>
      </c>
      <c r="I13" s="1972" t="s">
        <v>1235</v>
      </c>
      <c r="J13" s="1972" t="s">
        <v>1235</v>
      </c>
      <c r="K13" s="1972" t="s">
        <v>1235</v>
      </c>
      <c r="L13" s="1972" t="s">
        <v>1235</v>
      </c>
      <c r="M13" s="1972" t="s">
        <v>1235</v>
      </c>
      <c r="N13" s="1972" t="s">
        <v>1235</v>
      </c>
      <c r="O13" s="1972" t="s">
        <v>1235</v>
      </c>
      <c r="P13" s="1973" t="s">
        <v>1235</v>
      </c>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1201406</v>
      </c>
      <c r="D20" s="32">
        <f>SUM(D21,D24,D25,D41,D43)</f>
        <v>618951</v>
      </c>
      <c r="E20" s="33">
        <f>SUM(E21,E24,E25,E41,E43)</f>
        <v>-18000</v>
      </c>
      <c r="F20" s="34">
        <f>SUM(F21,F24,F25,F41,F43)</f>
        <v>600951</v>
      </c>
      <c r="G20" s="32">
        <f>SUM(G21,G24,G43)</f>
        <v>494776</v>
      </c>
      <c r="H20" s="33">
        <f>SUM(H21,H24,H43)</f>
        <v>0</v>
      </c>
      <c r="I20" s="34">
        <f>SUM(I21,I24,I43)</f>
        <v>494776</v>
      </c>
      <c r="J20" s="32">
        <f>SUM(J21,J26,J43)</f>
        <v>104090</v>
      </c>
      <c r="K20" s="33">
        <f>SUM(K21,K26,K43)</f>
        <v>1559</v>
      </c>
      <c r="L20" s="34">
        <f>SUM(L21,L26,L43)</f>
        <v>105649</v>
      </c>
      <c r="M20" s="32">
        <f>SUM(M21,M45)</f>
        <v>30</v>
      </c>
      <c r="N20" s="33">
        <f>SUM(N21,N45)</f>
        <v>0</v>
      </c>
      <c r="O20" s="34">
        <f>SUM(O21,O45)</f>
        <v>30</v>
      </c>
      <c r="P20" s="35"/>
    </row>
    <row r="21" spans="1:16" ht="12.75" thickTop="1" x14ac:dyDescent="0.25">
      <c r="A21" s="36"/>
      <c r="B21" s="37" t="s">
        <v>40</v>
      </c>
      <c r="C21" s="38">
        <f t="shared" si="0"/>
        <v>9073</v>
      </c>
      <c r="D21" s="39">
        <f t="shared" ref="D21:O21" si="1">SUM(D22:D23)</f>
        <v>0</v>
      </c>
      <c r="E21" s="40">
        <f t="shared" si="1"/>
        <v>0</v>
      </c>
      <c r="F21" s="41">
        <f t="shared" si="1"/>
        <v>0</v>
      </c>
      <c r="G21" s="39">
        <f t="shared" si="1"/>
        <v>0</v>
      </c>
      <c r="H21" s="40">
        <f t="shared" si="1"/>
        <v>0</v>
      </c>
      <c r="I21" s="41">
        <f t="shared" si="1"/>
        <v>0</v>
      </c>
      <c r="J21" s="39">
        <f t="shared" si="1"/>
        <v>9043</v>
      </c>
      <c r="K21" s="40">
        <f t="shared" si="1"/>
        <v>0</v>
      </c>
      <c r="L21" s="41">
        <f t="shared" si="1"/>
        <v>9043</v>
      </c>
      <c r="M21" s="39">
        <f t="shared" si="1"/>
        <v>30</v>
      </c>
      <c r="N21" s="40">
        <f t="shared" si="1"/>
        <v>0</v>
      </c>
      <c r="O21" s="41">
        <f t="shared" si="1"/>
        <v>30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F23+I23+L23+O23</f>
        <v>9073</v>
      </c>
      <c r="D23" s="53"/>
      <c r="E23" s="54"/>
      <c r="F23" s="55">
        <f>D23+E23</f>
        <v>0</v>
      </c>
      <c r="G23" s="53"/>
      <c r="H23" s="54"/>
      <c r="I23" s="55">
        <f>G23+H23</f>
        <v>0</v>
      </c>
      <c r="J23" s="53">
        <v>9043</v>
      </c>
      <c r="K23" s="54"/>
      <c r="L23" s="56">
        <f>K23+J23</f>
        <v>9043</v>
      </c>
      <c r="M23" s="53">
        <v>30</v>
      </c>
      <c r="N23" s="54"/>
      <c r="O23" s="55">
        <f>N23+M23</f>
        <v>30</v>
      </c>
      <c r="P23" s="948"/>
    </row>
    <row r="24" spans="1:16" s="28" customFormat="1" ht="24.75" customHeight="1" thickBot="1" x14ac:dyDescent="0.3">
      <c r="A24" s="58">
        <v>19300</v>
      </c>
      <c r="B24" s="58" t="s">
        <v>43</v>
      </c>
      <c r="C24" s="59">
        <f>F24+I24</f>
        <v>1095727</v>
      </c>
      <c r="D24" s="60">
        <v>618951</v>
      </c>
      <c r="E24" s="61">
        <v>-18000</v>
      </c>
      <c r="F24" s="62">
        <f>D24+E24</f>
        <v>600951</v>
      </c>
      <c r="G24" s="60">
        <v>494776</v>
      </c>
      <c r="H24" s="61"/>
      <c r="I24" s="62">
        <f>G24+H24</f>
        <v>494776</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D25+E25</f>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 t="shared" ref="C26:C40" si="2">L26</f>
        <v>96542</v>
      </c>
      <c r="D26" s="73" t="s">
        <v>44</v>
      </c>
      <c r="E26" s="74" t="s">
        <v>44</v>
      </c>
      <c r="F26" s="75" t="s">
        <v>44</v>
      </c>
      <c r="G26" s="73" t="s">
        <v>44</v>
      </c>
      <c r="H26" s="74" t="s">
        <v>44</v>
      </c>
      <c r="I26" s="75" t="s">
        <v>44</v>
      </c>
      <c r="J26" s="77">
        <f>SUM(J27,J31,J33,J36)</f>
        <v>95047</v>
      </c>
      <c r="K26" s="78">
        <f>SUM(K27,K31,K33,K36)</f>
        <v>1495</v>
      </c>
      <c r="L26" s="79">
        <f>SUM(L27,L31,L33,L36)</f>
        <v>96542</v>
      </c>
      <c r="M26" s="77" t="s">
        <v>44</v>
      </c>
      <c r="N26" s="78" t="s">
        <v>44</v>
      </c>
      <c r="O26" s="79" t="s">
        <v>44</v>
      </c>
      <c r="P26" s="76"/>
    </row>
    <row r="27" spans="1:16" s="28" customFormat="1" ht="24" customHeight="1" x14ac:dyDescent="0.25">
      <c r="A27" s="80">
        <v>21350</v>
      </c>
      <c r="B27" s="68" t="s">
        <v>47</v>
      </c>
      <c r="C27" s="69">
        <f t="shared" si="2"/>
        <v>89727</v>
      </c>
      <c r="D27" s="73" t="s">
        <v>44</v>
      </c>
      <c r="E27" s="74" t="s">
        <v>44</v>
      </c>
      <c r="F27" s="75" t="s">
        <v>44</v>
      </c>
      <c r="G27" s="73" t="s">
        <v>44</v>
      </c>
      <c r="H27" s="74" t="s">
        <v>44</v>
      </c>
      <c r="I27" s="75" t="s">
        <v>44</v>
      </c>
      <c r="J27" s="77">
        <f>SUM(J28:J30)</f>
        <v>89727</v>
      </c>
      <c r="K27" s="78">
        <f>SUM(K28:K30)</f>
        <v>0</v>
      </c>
      <c r="L27" s="79">
        <f>SUM(L28:L30)</f>
        <v>89727</v>
      </c>
      <c r="M27" s="77" t="s">
        <v>44</v>
      </c>
      <c r="N27" s="78" t="s">
        <v>44</v>
      </c>
      <c r="O27" s="79" t="s">
        <v>44</v>
      </c>
      <c r="P27" s="76"/>
    </row>
    <row r="28" spans="1:16" ht="12" hidden="1" customHeight="1" x14ac:dyDescent="0.25">
      <c r="A28" s="43">
        <v>21351</v>
      </c>
      <c r="B28" s="81" t="s">
        <v>48</v>
      </c>
      <c r="C28" s="82">
        <f t="shared" si="2"/>
        <v>0</v>
      </c>
      <c r="D28" s="83" t="s">
        <v>44</v>
      </c>
      <c r="E28" s="84" t="s">
        <v>44</v>
      </c>
      <c r="F28" s="85" t="s">
        <v>44</v>
      </c>
      <c r="G28" s="83" t="s">
        <v>44</v>
      </c>
      <c r="H28" s="84" t="s">
        <v>44</v>
      </c>
      <c r="I28" s="85" t="s">
        <v>44</v>
      </c>
      <c r="J28" s="46"/>
      <c r="K28" s="47"/>
      <c r="L28" s="48">
        <f>K28+J28</f>
        <v>0</v>
      </c>
      <c r="M28" s="86" t="s">
        <v>44</v>
      </c>
      <c r="N28" s="87" t="s">
        <v>44</v>
      </c>
      <c r="O28" s="48" t="s">
        <v>44</v>
      </c>
      <c r="P28" s="49"/>
    </row>
    <row r="29" spans="1:16" ht="12" hidden="1" customHeight="1" x14ac:dyDescent="0.25">
      <c r="A29" s="50">
        <v>21352</v>
      </c>
      <c r="B29" s="88" t="s">
        <v>49</v>
      </c>
      <c r="C29" s="89">
        <f t="shared" si="2"/>
        <v>0</v>
      </c>
      <c r="D29" s="90" t="s">
        <v>44</v>
      </c>
      <c r="E29" s="91" t="s">
        <v>44</v>
      </c>
      <c r="F29" s="92" t="s">
        <v>44</v>
      </c>
      <c r="G29" s="90" t="s">
        <v>44</v>
      </c>
      <c r="H29" s="91" t="s">
        <v>44</v>
      </c>
      <c r="I29" s="92" t="s">
        <v>44</v>
      </c>
      <c r="J29" s="53"/>
      <c r="K29" s="54"/>
      <c r="L29" s="56">
        <f>K29+J29</f>
        <v>0</v>
      </c>
      <c r="M29" s="93" t="s">
        <v>44</v>
      </c>
      <c r="N29" s="94" t="s">
        <v>44</v>
      </c>
      <c r="O29" s="56" t="s">
        <v>44</v>
      </c>
      <c r="P29" s="57"/>
    </row>
    <row r="30" spans="1:16" ht="24" customHeight="1" x14ac:dyDescent="0.25">
      <c r="A30" s="50">
        <v>21359</v>
      </c>
      <c r="B30" s="88" t="s">
        <v>50</v>
      </c>
      <c r="C30" s="89">
        <f t="shared" si="2"/>
        <v>89727</v>
      </c>
      <c r="D30" s="90" t="s">
        <v>44</v>
      </c>
      <c r="E30" s="91" t="s">
        <v>44</v>
      </c>
      <c r="F30" s="92" t="s">
        <v>44</v>
      </c>
      <c r="G30" s="90" t="s">
        <v>44</v>
      </c>
      <c r="H30" s="91" t="s">
        <v>44</v>
      </c>
      <c r="I30" s="92" t="s">
        <v>44</v>
      </c>
      <c r="J30" s="53">
        <v>89727</v>
      </c>
      <c r="K30" s="54"/>
      <c r="L30" s="56">
        <f>K30+J30</f>
        <v>89727</v>
      </c>
      <c r="M30" s="93" t="s">
        <v>44</v>
      </c>
      <c r="N30" s="94" t="s">
        <v>44</v>
      </c>
      <c r="O30" s="56" t="s">
        <v>44</v>
      </c>
      <c r="P30" s="57"/>
    </row>
    <row r="31" spans="1:16" s="28" customFormat="1" ht="36" hidden="1" customHeight="1" x14ac:dyDescent="0.25">
      <c r="A31" s="80">
        <v>21370</v>
      </c>
      <c r="B31" s="68" t="s">
        <v>51</v>
      </c>
      <c r="C31" s="69">
        <f t="shared" si="2"/>
        <v>0</v>
      </c>
      <c r="D31" s="73" t="s">
        <v>44</v>
      </c>
      <c r="E31" s="74" t="s">
        <v>44</v>
      </c>
      <c r="F31" s="75" t="s">
        <v>44</v>
      </c>
      <c r="G31" s="73" t="s">
        <v>44</v>
      </c>
      <c r="H31" s="74" t="s">
        <v>44</v>
      </c>
      <c r="I31" s="75" t="s">
        <v>44</v>
      </c>
      <c r="J31" s="77">
        <f>SUM(J32)</f>
        <v>0</v>
      </c>
      <c r="K31" s="78">
        <f>SUM(K32)</f>
        <v>0</v>
      </c>
      <c r="L31" s="79">
        <f>SUM(L32)</f>
        <v>0</v>
      </c>
      <c r="M31" s="77" t="s">
        <v>44</v>
      </c>
      <c r="N31" s="78" t="s">
        <v>44</v>
      </c>
      <c r="O31" s="79" t="s">
        <v>44</v>
      </c>
      <c r="P31" s="76"/>
    </row>
    <row r="32" spans="1:16" ht="36" hidden="1" customHeight="1" x14ac:dyDescent="0.25">
      <c r="A32" s="95">
        <v>21379</v>
      </c>
      <c r="B32" s="96" t="s">
        <v>52</v>
      </c>
      <c r="C32" s="97">
        <f t="shared" si="2"/>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customHeight="1" x14ac:dyDescent="0.25">
      <c r="A33" s="80">
        <v>21380</v>
      </c>
      <c r="B33" s="68" t="s">
        <v>53</v>
      </c>
      <c r="C33" s="69">
        <f t="shared" si="2"/>
        <v>5320</v>
      </c>
      <c r="D33" s="73" t="s">
        <v>44</v>
      </c>
      <c r="E33" s="74" t="s">
        <v>44</v>
      </c>
      <c r="F33" s="75" t="s">
        <v>44</v>
      </c>
      <c r="G33" s="73" t="s">
        <v>44</v>
      </c>
      <c r="H33" s="74" t="s">
        <v>44</v>
      </c>
      <c r="I33" s="75" t="s">
        <v>44</v>
      </c>
      <c r="J33" s="77">
        <f>SUM(J34:J35)</f>
        <v>5320</v>
      </c>
      <c r="K33" s="78">
        <f>SUM(K34:K35)</f>
        <v>0</v>
      </c>
      <c r="L33" s="79">
        <f>SUM(L34:L35)</f>
        <v>5320</v>
      </c>
      <c r="M33" s="77" t="s">
        <v>44</v>
      </c>
      <c r="N33" s="78" t="s">
        <v>44</v>
      </c>
      <c r="O33" s="79" t="s">
        <v>44</v>
      </c>
      <c r="P33" s="76"/>
    </row>
    <row r="34" spans="1:16" ht="12" customHeight="1" x14ac:dyDescent="0.25">
      <c r="A34" s="44">
        <v>21381</v>
      </c>
      <c r="B34" s="81" t="s">
        <v>54</v>
      </c>
      <c r="C34" s="82">
        <f t="shared" si="2"/>
        <v>3220</v>
      </c>
      <c r="D34" s="83" t="s">
        <v>44</v>
      </c>
      <c r="E34" s="84" t="s">
        <v>44</v>
      </c>
      <c r="F34" s="85" t="s">
        <v>44</v>
      </c>
      <c r="G34" s="83" t="s">
        <v>44</v>
      </c>
      <c r="H34" s="84" t="s">
        <v>44</v>
      </c>
      <c r="I34" s="85" t="s">
        <v>44</v>
      </c>
      <c r="J34" s="46">
        <v>3220</v>
      </c>
      <c r="K34" s="47"/>
      <c r="L34" s="48">
        <f>K34+J34</f>
        <v>3220</v>
      </c>
      <c r="M34" s="86" t="s">
        <v>44</v>
      </c>
      <c r="N34" s="87" t="s">
        <v>44</v>
      </c>
      <c r="O34" s="48" t="s">
        <v>44</v>
      </c>
      <c r="P34" s="49"/>
    </row>
    <row r="35" spans="1:16" ht="24" customHeight="1" x14ac:dyDescent="0.25">
      <c r="A35" s="51">
        <v>21383</v>
      </c>
      <c r="B35" s="88" t="s">
        <v>55</v>
      </c>
      <c r="C35" s="89">
        <f t="shared" si="2"/>
        <v>2100</v>
      </c>
      <c r="D35" s="90" t="s">
        <v>44</v>
      </c>
      <c r="E35" s="91" t="s">
        <v>44</v>
      </c>
      <c r="F35" s="92" t="s">
        <v>44</v>
      </c>
      <c r="G35" s="90" t="s">
        <v>44</v>
      </c>
      <c r="H35" s="91" t="s">
        <v>44</v>
      </c>
      <c r="I35" s="92" t="s">
        <v>44</v>
      </c>
      <c r="J35" s="53">
        <v>2100</v>
      </c>
      <c r="K35" s="54"/>
      <c r="L35" s="56">
        <f>K35+J35</f>
        <v>2100</v>
      </c>
      <c r="M35" s="93" t="s">
        <v>44</v>
      </c>
      <c r="N35" s="94" t="s">
        <v>44</v>
      </c>
      <c r="O35" s="56" t="s">
        <v>44</v>
      </c>
      <c r="P35" s="57"/>
    </row>
    <row r="36" spans="1:16" s="28" customFormat="1" ht="25.5" customHeight="1" x14ac:dyDescent="0.25">
      <c r="A36" s="80">
        <v>21390</v>
      </c>
      <c r="B36" s="68" t="s">
        <v>56</v>
      </c>
      <c r="C36" s="69">
        <f t="shared" si="2"/>
        <v>1495</v>
      </c>
      <c r="D36" s="73" t="s">
        <v>44</v>
      </c>
      <c r="E36" s="74" t="s">
        <v>44</v>
      </c>
      <c r="F36" s="75" t="s">
        <v>44</v>
      </c>
      <c r="G36" s="73" t="s">
        <v>44</v>
      </c>
      <c r="H36" s="74" t="s">
        <v>44</v>
      </c>
      <c r="I36" s="75" t="s">
        <v>44</v>
      </c>
      <c r="J36" s="77">
        <f>SUM(J37:J40)</f>
        <v>0</v>
      </c>
      <c r="K36" s="78">
        <f>SUM(K37:K40)</f>
        <v>1495</v>
      </c>
      <c r="L36" s="79">
        <f>SUM(L37:L40)</f>
        <v>1495</v>
      </c>
      <c r="M36" s="77" t="s">
        <v>44</v>
      </c>
      <c r="N36" s="78" t="s">
        <v>44</v>
      </c>
      <c r="O36" s="79" t="s">
        <v>44</v>
      </c>
      <c r="P36" s="76"/>
    </row>
    <row r="37" spans="1:16" ht="24" hidden="1" customHeight="1" x14ac:dyDescent="0.25">
      <c r="A37" s="44">
        <v>21391</v>
      </c>
      <c r="B37" s="81" t="s">
        <v>57</v>
      </c>
      <c r="C37" s="82">
        <f t="shared" si="2"/>
        <v>0</v>
      </c>
      <c r="D37" s="83" t="s">
        <v>44</v>
      </c>
      <c r="E37" s="84" t="s">
        <v>44</v>
      </c>
      <c r="F37" s="85" t="s">
        <v>44</v>
      </c>
      <c r="G37" s="83" t="s">
        <v>44</v>
      </c>
      <c r="H37" s="84" t="s">
        <v>44</v>
      </c>
      <c r="I37" s="85" t="s">
        <v>44</v>
      </c>
      <c r="J37" s="46"/>
      <c r="K37" s="47"/>
      <c r="L37" s="48">
        <f>K37+J37</f>
        <v>0</v>
      </c>
      <c r="M37" s="86" t="s">
        <v>44</v>
      </c>
      <c r="N37" s="87" t="s">
        <v>44</v>
      </c>
      <c r="O37" s="48" t="s">
        <v>44</v>
      </c>
      <c r="P37" s="49"/>
    </row>
    <row r="38" spans="1:16" ht="12" hidden="1" customHeight="1" x14ac:dyDescent="0.25">
      <c r="A38" s="51">
        <v>21393</v>
      </c>
      <c r="B38" s="88" t="s">
        <v>58</v>
      </c>
      <c r="C38" s="89">
        <f t="shared" si="2"/>
        <v>0</v>
      </c>
      <c r="D38" s="90" t="s">
        <v>44</v>
      </c>
      <c r="E38" s="91" t="s">
        <v>44</v>
      </c>
      <c r="F38" s="92" t="s">
        <v>44</v>
      </c>
      <c r="G38" s="90" t="s">
        <v>44</v>
      </c>
      <c r="H38" s="91" t="s">
        <v>44</v>
      </c>
      <c r="I38" s="92" t="s">
        <v>44</v>
      </c>
      <c r="J38" s="53"/>
      <c r="K38" s="54"/>
      <c r="L38" s="56">
        <f>K38+J38</f>
        <v>0</v>
      </c>
      <c r="M38" s="93" t="s">
        <v>44</v>
      </c>
      <c r="N38" s="94" t="s">
        <v>44</v>
      </c>
      <c r="O38" s="56" t="s">
        <v>44</v>
      </c>
      <c r="P38" s="57"/>
    </row>
    <row r="39" spans="1:16" ht="12" hidden="1" customHeight="1" x14ac:dyDescent="0.25">
      <c r="A39" s="51">
        <v>21395</v>
      </c>
      <c r="B39" s="88" t="s">
        <v>59</v>
      </c>
      <c r="C39" s="89">
        <f t="shared" si="2"/>
        <v>0</v>
      </c>
      <c r="D39" s="90" t="s">
        <v>44</v>
      </c>
      <c r="E39" s="91" t="s">
        <v>44</v>
      </c>
      <c r="F39" s="92" t="s">
        <v>44</v>
      </c>
      <c r="G39" s="90" t="s">
        <v>44</v>
      </c>
      <c r="H39" s="91" t="s">
        <v>44</v>
      </c>
      <c r="I39" s="92" t="s">
        <v>44</v>
      </c>
      <c r="J39" s="53"/>
      <c r="K39" s="54"/>
      <c r="L39" s="56">
        <f>K39+J39</f>
        <v>0</v>
      </c>
      <c r="M39" s="93" t="s">
        <v>44</v>
      </c>
      <c r="N39" s="94" t="s">
        <v>44</v>
      </c>
      <c r="O39" s="56" t="s">
        <v>44</v>
      </c>
      <c r="P39" s="57"/>
    </row>
    <row r="40" spans="1:16" ht="26.25" customHeight="1" x14ac:dyDescent="0.25">
      <c r="A40" s="107">
        <v>21399</v>
      </c>
      <c r="B40" s="108" t="s">
        <v>60</v>
      </c>
      <c r="C40" s="109">
        <f t="shared" si="2"/>
        <v>1495</v>
      </c>
      <c r="D40" s="110" t="s">
        <v>44</v>
      </c>
      <c r="E40" s="111" t="s">
        <v>44</v>
      </c>
      <c r="F40" s="112" t="s">
        <v>44</v>
      </c>
      <c r="G40" s="110" t="s">
        <v>44</v>
      </c>
      <c r="H40" s="111" t="s">
        <v>44</v>
      </c>
      <c r="I40" s="112" t="s">
        <v>44</v>
      </c>
      <c r="J40" s="113"/>
      <c r="K40" s="949">
        <v>1495</v>
      </c>
      <c r="L40" s="115">
        <f>K40+J40</f>
        <v>1495</v>
      </c>
      <c r="M40" s="116" t="s">
        <v>44</v>
      </c>
      <c r="N40" s="117" t="s">
        <v>44</v>
      </c>
      <c r="O40" s="115" t="s">
        <v>44</v>
      </c>
      <c r="P40" s="845" t="s">
        <v>1236</v>
      </c>
    </row>
    <row r="41" spans="1:16" s="28" customFormat="1" ht="26.25" hidden="1" customHeight="1" x14ac:dyDescent="0.25">
      <c r="A41" s="119">
        <v>21420</v>
      </c>
      <c r="B41" s="120" t="s">
        <v>61</v>
      </c>
      <c r="C41" s="121">
        <f>F41</f>
        <v>0</v>
      </c>
      <c r="D41" s="122">
        <f>SUM(D42)</f>
        <v>0</v>
      </c>
      <c r="E41" s="123">
        <f>SUM(E42)</f>
        <v>0</v>
      </c>
      <c r="F41" s="124">
        <f>SUM(F42)</f>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2.5" customHeight="1" x14ac:dyDescent="0.25">
      <c r="A43" s="80">
        <v>21490</v>
      </c>
      <c r="B43" s="68" t="s">
        <v>63</v>
      </c>
      <c r="C43" s="131">
        <f>F43+I43+L43</f>
        <v>64</v>
      </c>
      <c r="D43" s="77">
        <f>D44</f>
        <v>0</v>
      </c>
      <c r="E43" s="78">
        <f>E44</f>
        <v>0</v>
      </c>
      <c r="F43" s="79">
        <f>F44</f>
        <v>0</v>
      </c>
      <c r="G43" s="77">
        <f t="shared" ref="G43:L43" si="3">G44</f>
        <v>0</v>
      </c>
      <c r="H43" s="78">
        <f t="shared" si="3"/>
        <v>0</v>
      </c>
      <c r="I43" s="79">
        <f t="shared" si="3"/>
        <v>0</v>
      </c>
      <c r="J43" s="77">
        <f t="shared" si="3"/>
        <v>0</v>
      </c>
      <c r="K43" s="78">
        <f t="shared" si="3"/>
        <v>64</v>
      </c>
      <c r="L43" s="79">
        <f t="shared" si="3"/>
        <v>64</v>
      </c>
      <c r="M43" s="77" t="s">
        <v>44</v>
      </c>
      <c r="N43" s="78" t="s">
        <v>44</v>
      </c>
      <c r="O43" s="79" t="s">
        <v>44</v>
      </c>
      <c r="P43" s="76"/>
    </row>
    <row r="44" spans="1:16" s="28" customFormat="1" ht="25.5" customHeight="1" x14ac:dyDescent="0.25">
      <c r="A44" s="51">
        <v>21499</v>
      </c>
      <c r="B44" s="88" t="s">
        <v>64</v>
      </c>
      <c r="C44" s="132">
        <f>F44+I44+L44</f>
        <v>64</v>
      </c>
      <c r="D44" s="46"/>
      <c r="E44" s="47"/>
      <c r="F44" s="133">
        <f>D44+E44</f>
        <v>0</v>
      </c>
      <c r="G44" s="46"/>
      <c r="H44" s="47"/>
      <c r="I44" s="133">
        <f>G44+H44</f>
        <v>0</v>
      </c>
      <c r="J44" s="46"/>
      <c r="K44" s="950">
        <v>64</v>
      </c>
      <c r="L44" s="48">
        <f>K44+J44</f>
        <v>64</v>
      </c>
      <c r="M44" s="86" t="s">
        <v>44</v>
      </c>
      <c r="N44" s="87" t="s">
        <v>44</v>
      </c>
      <c r="O44" s="48" t="s">
        <v>44</v>
      </c>
      <c r="P44" s="49" t="s">
        <v>1237</v>
      </c>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SUM(N46:N47)</f>
        <v>0</v>
      </c>
      <c r="O45" s="115">
        <f>SUM(O46:O47)</f>
        <v>0</v>
      </c>
      <c r="P45" s="118"/>
    </row>
    <row r="46" spans="1:16" ht="24" hidden="1" customHeight="1" x14ac:dyDescent="0.25">
      <c r="A46" s="136">
        <v>23410</v>
      </c>
      <c r="B46" s="137" t="s">
        <v>66</v>
      </c>
      <c r="C46" s="121">
        <f>O46</f>
        <v>0</v>
      </c>
      <c r="D46" s="125" t="s">
        <v>44</v>
      </c>
      <c r="E46" s="126" t="s">
        <v>44</v>
      </c>
      <c r="F46" s="127" t="s">
        <v>44</v>
      </c>
      <c r="G46" s="125" t="s">
        <v>44</v>
      </c>
      <c r="H46" s="126" t="s">
        <v>44</v>
      </c>
      <c r="I46" s="127" t="s">
        <v>44</v>
      </c>
      <c r="J46" s="125" t="s">
        <v>44</v>
      </c>
      <c r="K46" s="126" t="s">
        <v>44</v>
      </c>
      <c r="L46" s="127" t="s">
        <v>44</v>
      </c>
      <c r="M46" s="138"/>
      <c r="N46" s="139"/>
      <c r="O46" s="140">
        <f>N46+M46</f>
        <v>0</v>
      </c>
      <c r="P46" s="128"/>
    </row>
    <row r="47" spans="1:16" ht="24" hidden="1" customHeight="1" x14ac:dyDescent="0.25">
      <c r="A47" s="136">
        <v>23510</v>
      </c>
      <c r="B47" s="137" t="s">
        <v>67</v>
      </c>
      <c r="C47" s="121">
        <f>O47</f>
        <v>0</v>
      </c>
      <c r="D47" s="125" t="s">
        <v>44</v>
      </c>
      <c r="E47" s="126" t="s">
        <v>44</v>
      </c>
      <c r="F47" s="127" t="s">
        <v>44</v>
      </c>
      <c r="G47" s="125" t="s">
        <v>44</v>
      </c>
      <c r="H47" s="126" t="s">
        <v>44</v>
      </c>
      <c r="I47" s="127" t="s">
        <v>44</v>
      </c>
      <c r="J47" s="125" t="s">
        <v>44</v>
      </c>
      <c r="K47" s="126" t="s">
        <v>44</v>
      </c>
      <c r="L47" s="127" t="s">
        <v>44</v>
      </c>
      <c r="M47" s="138"/>
      <c r="N47" s="139"/>
      <c r="O47" s="140">
        <f>N47+M47</f>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1201406</v>
      </c>
      <c r="D50" s="158">
        <f t="shared" ref="D50:O50" si="4">SUM(D51,D286)</f>
        <v>618951</v>
      </c>
      <c r="E50" s="159">
        <f t="shared" si="4"/>
        <v>-18000</v>
      </c>
      <c r="F50" s="160">
        <f t="shared" si="4"/>
        <v>600951</v>
      </c>
      <c r="G50" s="158">
        <f t="shared" si="4"/>
        <v>494776</v>
      </c>
      <c r="H50" s="159">
        <f t="shared" si="4"/>
        <v>0</v>
      </c>
      <c r="I50" s="160">
        <f t="shared" si="4"/>
        <v>494776</v>
      </c>
      <c r="J50" s="32">
        <f t="shared" si="4"/>
        <v>104090</v>
      </c>
      <c r="K50" s="33">
        <f t="shared" si="4"/>
        <v>1559</v>
      </c>
      <c r="L50" s="34">
        <f t="shared" si="4"/>
        <v>105649</v>
      </c>
      <c r="M50" s="32">
        <f t="shared" si="4"/>
        <v>30</v>
      </c>
      <c r="N50" s="33">
        <f t="shared" si="4"/>
        <v>0</v>
      </c>
      <c r="O50" s="34">
        <f t="shared" si="4"/>
        <v>30</v>
      </c>
      <c r="P50" s="35"/>
    </row>
    <row r="51" spans="1:16" s="28" customFormat="1" ht="36.75" thickTop="1" x14ac:dyDescent="0.25">
      <c r="A51" s="161"/>
      <c r="B51" s="162" t="s">
        <v>70</v>
      </c>
      <c r="C51" s="163">
        <f t="shared" si="0"/>
        <v>1201406</v>
      </c>
      <c r="D51" s="164">
        <f t="shared" ref="D51:O51" si="5">SUM(D52,D194)</f>
        <v>618951</v>
      </c>
      <c r="E51" s="165">
        <f t="shared" si="5"/>
        <v>-18000</v>
      </c>
      <c r="F51" s="166">
        <f t="shared" si="5"/>
        <v>600951</v>
      </c>
      <c r="G51" s="164">
        <f t="shared" si="5"/>
        <v>494776</v>
      </c>
      <c r="H51" s="165">
        <f t="shared" si="5"/>
        <v>0</v>
      </c>
      <c r="I51" s="166">
        <f t="shared" si="5"/>
        <v>494776</v>
      </c>
      <c r="J51" s="167">
        <f t="shared" si="5"/>
        <v>104090</v>
      </c>
      <c r="K51" s="168">
        <f t="shared" si="5"/>
        <v>1559</v>
      </c>
      <c r="L51" s="169">
        <f t="shared" si="5"/>
        <v>105649</v>
      </c>
      <c r="M51" s="167">
        <f t="shared" si="5"/>
        <v>30</v>
      </c>
      <c r="N51" s="168">
        <f t="shared" si="5"/>
        <v>0</v>
      </c>
      <c r="O51" s="169">
        <f t="shared" si="5"/>
        <v>30</v>
      </c>
      <c r="P51" s="170"/>
    </row>
    <row r="52" spans="1:16" s="28" customFormat="1" ht="24" x14ac:dyDescent="0.25">
      <c r="A52" s="24"/>
      <c r="B52" s="22" t="s">
        <v>71</v>
      </c>
      <c r="C52" s="171">
        <f t="shared" si="0"/>
        <v>1106155</v>
      </c>
      <c r="D52" s="172">
        <f t="shared" ref="D52:O52" si="6">SUM(D53,D75,D173,D187)</f>
        <v>538270</v>
      </c>
      <c r="E52" s="173">
        <f t="shared" si="6"/>
        <v>-18000</v>
      </c>
      <c r="F52" s="174">
        <f t="shared" si="6"/>
        <v>520270</v>
      </c>
      <c r="G52" s="172">
        <f t="shared" si="6"/>
        <v>494776</v>
      </c>
      <c r="H52" s="173">
        <f t="shared" si="6"/>
        <v>0</v>
      </c>
      <c r="I52" s="174">
        <f t="shared" si="6"/>
        <v>494776</v>
      </c>
      <c r="J52" s="172">
        <f t="shared" si="6"/>
        <v>97384</v>
      </c>
      <c r="K52" s="173">
        <f t="shared" si="6"/>
        <v>-6305</v>
      </c>
      <c r="L52" s="174">
        <f t="shared" si="6"/>
        <v>91079</v>
      </c>
      <c r="M52" s="172">
        <f t="shared" si="6"/>
        <v>30</v>
      </c>
      <c r="N52" s="173">
        <f t="shared" si="6"/>
        <v>0</v>
      </c>
      <c r="O52" s="174">
        <f t="shared" si="6"/>
        <v>30</v>
      </c>
      <c r="P52" s="175"/>
    </row>
    <row r="53" spans="1:16" s="28" customFormat="1" x14ac:dyDescent="0.25">
      <c r="A53" s="176">
        <v>1000</v>
      </c>
      <c r="B53" s="176" t="s">
        <v>72</v>
      </c>
      <c r="C53" s="177">
        <f t="shared" si="0"/>
        <v>1008099</v>
      </c>
      <c r="D53" s="178">
        <f t="shared" ref="D53:O53" si="7">SUM(D54,D67)</f>
        <v>444104</v>
      </c>
      <c r="E53" s="179">
        <f t="shared" si="7"/>
        <v>6059</v>
      </c>
      <c r="F53" s="180">
        <f t="shared" si="7"/>
        <v>450163</v>
      </c>
      <c r="G53" s="178">
        <f t="shared" si="7"/>
        <v>494776</v>
      </c>
      <c r="H53" s="179">
        <f t="shared" si="7"/>
        <v>0</v>
      </c>
      <c r="I53" s="180">
        <f t="shared" si="7"/>
        <v>494776</v>
      </c>
      <c r="J53" s="178">
        <f t="shared" si="7"/>
        <v>66633</v>
      </c>
      <c r="K53" s="179">
        <f t="shared" si="7"/>
        <v>-3473</v>
      </c>
      <c r="L53" s="180">
        <f t="shared" si="7"/>
        <v>63160</v>
      </c>
      <c r="M53" s="178">
        <f t="shared" si="7"/>
        <v>0</v>
      </c>
      <c r="N53" s="179">
        <f t="shared" si="7"/>
        <v>0</v>
      </c>
      <c r="O53" s="180">
        <f t="shared" si="7"/>
        <v>0</v>
      </c>
      <c r="P53" s="181"/>
    </row>
    <row r="54" spans="1:16" x14ac:dyDescent="0.25">
      <c r="A54" s="68">
        <v>1100</v>
      </c>
      <c r="B54" s="182" t="s">
        <v>73</v>
      </c>
      <c r="C54" s="69">
        <f t="shared" si="0"/>
        <v>771899</v>
      </c>
      <c r="D54" s="183">
        <f t="shared" ref="D54:O54" si="8">SUM(D55,D58,D66)</f>
        <v>316618</v>
      </c>
      <c r="E54" s="184">
        <f t="shared" si="8"/>
        <v>5842</v>
      </c>
      <c r="F54" s="72">
        <f t="shared" si="8"/>
        <v>322460</v>
      </c>
      <c r="G54" s="183">
        <f t="shared" si="8"/>
        <v>401022</v>
      </c>
      <c r="H54" s="184">
        <f t="shared" si="8"/>
        <v>0</v>
      </c>
      <c r="I54" s="72">
        <f t="shared" si="8"/>
        <v>401022</v>
      </c>
      <c r="J54" s="183">
        <f t="shared" si="8"/>
        <v>51240</v>
      </c>
      <c r="K54" s="184">
        <f t="shared" si="8"/>
        <v>-2823</v>
      </c>
      <c r="L54" s="72">
        <f t="shared" si="8"/>
        <v>48417</v>
      </c>
      <c r="M54" s="183">
        <f t="shared" si="8"/>
        <v>0</v>
      </c>
      <c r="N54" s="184">
        <f t="shared" si="8"/>
        <v>0</v>
      </c>
      <c r="O54" s="72">
        <f t="shared" si="8"/>
        <v>0</v>
      </c>
      <c r="P54" s="76"/>
    </row>
    <row r="55" spans="1:16" x14ac:dyDescent="0.25">
      <c r="A55" s="185">
        <v>1110</v>
      </c>
      <c r="B55" s="137" t="s">
        <v>74</v>
      </c>
      <c r="C55" s="142">
        <f t="shared" si="0"/>
        <v>710805</v>
      </c>
      <c r="D55" s="186">
        <f t="shared" ref="D55:O55" si="9">SUM(D56:D57)</f>
        <v>284020</v>
      </c>
      <c r="E55" s="187">
        <f t="shared" si="9"/>
        <v>900</v>
      </c>
      <c r="F55" s="140">
        <f t="shared" si="9"/>
        <v>284920</v>
      </c>
      <c r="G55" s="186">
        <f t="shared" si="9"/>
        <v>377645</v>
      </c>
      <c r="H55" s="187">
        <f t="shared" si="9"/>
        <v>0</v>
      </c>
      <c r="I55" s="140">
        <f t="shared" si="9"/>
        <v>377645</v>
      </c>
      <c r="J55" s="186">
        <f t="shared" si="9"/>
        <v>51240</v>
      </c>
      <c r="K55" s="187">
        <f t="shared" si="9"/>
        <v>-3000</v>
      </c>
      <c r="L55" s="140">
        <f t="shared" si="9"/>
        <v>48240</v>
      </c>
      <c r="M55" s="186">
        <f t="shared" si="9"/>
        <v>0</v>
      </c>
      <c r="N55" s="187">
        <f t="shared" si="9"/>
        <v>0</v>
      </c>
      <c r="O55" s="140">
        <f t="shared" si="9"/>
        <v>0</v>
      </c>
      <c r="P55" s="128"/>
    </row>
    <row r="56" spans="1:16" ht="12" hidden="1" customHeight="1" x14ac:dyDescent="0.25">
      <c r="A56" s="44">
        <v>1111</v>
      </c>
      <c r="B56" s="81" t="s">
        <v>75</v>
      </c>
      <c r="C56" s="82">
        <f t="shared" si="0"/>
        <v>0</v>
      </c>
      <c r="D56" s="46"/>
      <c r="E56" s="47"/>
      <c r="F56" s="133">
        <f>D56+E56</f>
        <v>0</v>
      </c>
      <c r="G56" s="46"/>
      <c r="H56" s="47"/>
      <c r="I56" s="133">
        <f>G56+H56</f>
        <v>0</v>
      </c>
      <c r="J56" s="46"/>
      <c r="K56" s="47"/>
      <c r="L56" s="133">
        <f>K56+J56</f>
        <v>0</v>
      </c>
      <c r="M56" s="46"/>
      <c r="N56" s="47"/>
      <c r="O56" s="133">
        <f>N56+M56</f>
        <v>0</v>
      </c>
      <c r="P56" s="49"/>
    </row>
    <row r="57" spans="1:16" ht="24.75" customHeight="1" x14ac:dyDescent="0.25">
      <c r="A57" s="51">
        <v>1119</v>
      </c>
      <c r="B57" s="88" t="s">
        <v>76</v>
      </c>
      <c r="C57" s="89">
        <f t="shared" si="0"/>
        <v>710805</v>
      </c>
      <c r="D57" s="53">
        <v>284020</v>
      </c>
      <c r="E57" s="286">
        <v>900</v>
      </c>
      <c r="F57" s="55">
        <f>D57+E57</f>
        <v>284920</v>
      </c>
      <c r="G57" s="53">
        <v>377645</v>
      </c>
      <c r="H57" s="54"/>
      <c r="I57" s="55">
        <f>G57+H57</f>
        <v>377645</v>
      </c>
      <c r="J57" s="53">
        <v>51240</v>
      </c>
      <c r="K57" s="286">
        <v>-3000</v>
      </c>
      <c r="L57" s="55">
        <f>K57+J57</f>
        <v>48240</v>
      </c>
      <c r="M57" s="53"/>
      <c r="N57" s="54"/>
      <c r="O57" s="55">
        <f>N57+M57</f>
        <v>0</v>
      </c>
      <c r="P57" s="57" t="s">
        <v>1238</v>
      </c>
    </row>
    <row r="58" spans="1:16" x14ac:dyDescent="0.25">
      <c r="A58" s="188">
        <v>1140</v>
      </c>
      <c r="B58" s="88" t="s">
        <v>77</v>
      </c>
      <c r="C58" s="89">
        <f t="shared" si="0"/>
        <v>55975</v>
      </c>
      <c r="D58" s="189">
        <f t="shared" ref="D58:O58" si="10">SUM(D59:D65)</f>
        <v>32598</v>
      </c>
      <c r="E58" s="190">
        <f t="shared" si="10"/>
        <v>0</v>
      </c>
      <c r="F58" s="55">
        <f t="shared" si="10"/>
        <v>32598</v>
      </c>
      <c r="G58" s="189">
        <f t="shared" si="10"/>
        <v>23377</v>
      </c>
      <c r="H58" s="190">
        <f t="shared" si="10"/>
        <v>0</v>
      </c>
      <c r="I58" s="55">
        <f t="shared" si="10"/>
        <v>23377</v>
      </c>
      <c r="J58" s="189">
        <f t="shared" si="10"/>
        <v>0</v>
      </c>
      <c r="K58" s="190">
        <f t="shared" si="10"/>
        <v>0</v>
      </c>
      <c r="L58" s="55">
        <f t="shared" si="10"/>
        <v>0</v>
      </c>
      <c r="M58" s="189">
        <f t="shared" si="10"/>
        <v>0</v>
      </c>
      <c r="N58" s="190">
        <f t="shared" si="10"/>
        <v>0</v>
      </c>
      <c r="O58" s="55">
        <f t="shared" si="10"/>
        <v>0</v>
      </c>
      <c r="P58" s="57"/>
    </row>
    <row r="59" spans="1:16" ht="12" hidden="1" customHeight="1" x14ac:dyDescent="0.25">
      <c r="A59" s="51">
        <v>1141</v>
      </c>
      <c r="B59" s="88" t="s">
        <v>78</v>
      </c>
      <c r="C59" s="89">
        <f t="shared" si="0"/>
        <v>0</v>
      </c>
      <c r="D59" s="53"/>
      <c r="E59" s="54"/>
      <c r="F59" s="55">
        <f t="shared" ref="F59:F66" si="11">D59+E59</f>
        <v>0</v>
      </c>
      <c r="G59" s="53"/>
      <c r="H59" s="54"/>
      <c r="I59" s="55">
        <f t="shared" ref="I59:I66" si="12">G59+H59</f>
        <v>0</v>
      </c>
      <c r="J59" s="53"/>
      <c r="K59" s="54"/>
      <c r="L59" s="55">
        <f t="shared" ref="L59:L66" si="13">K59+J59</f>
        <v>0</v>
      </c>
      <c r="M59" s="53"/>
      <c r="N59" s="54"/>
      <c r="O59" s="55">
        <f t="shared" ref="O59:O66" si="14">N59+M59</f>
        <v>0</v>
      </c>
      <c r="P59" s="57"/>
    </row>
    <row r="60" spans="1:16" ht="24.75" hidden="1" customHeight="1" x14ac:dyDescent="0.25">
      <c r="A60" s="51">
        <v>1142</v>
      </c>
      <c r="B60" s="88" t="s">
        <v>79</v>
      </c>
      <c r="C60" s="89">
        <f t="shared" si="0"/>
        <v>0</v>
      </c>
      <c r="D60" s="53"/>
      <c r="E60" s="54"/>
      <c r="F60" s="55">
        <f t="shared" si="11"/>
        <v>0</v>
      </c>
      <c r="G60" s="53"/>
      <c r="H60" s="54"/>
      <c r="I60" s="55">
        <f t="shared" si="12"/>
        <v>0</v>
      </c>
      <c r="J60" s="53"/>
      <c r="K60" s="54"/>
      <c r="L60" s="55">
        <f t="shared" si="13"/>
        <v>0</v>
      </c>
      <c r="M60" s="53"/>
      <c r="N60" s="54"/>
      <c r="O60" s="55">
        <f t="shared" si="14"/>
        <v>0</v>
      </c>
      <c r="P60" s="57"/>
    </row>
    <row r="61" spans="1:16" ht="24" hidden="1" customHeight="1" x14ac:dyDescent="0.25">
      <c r="A61" s="51">
        <v>1145</v>
      </c>
      <c r="B61" s="88" t="s">
        <v>80</v>
      </c>
      <c r="C61" s="89">
        <f t="shared" si="0"/>
        <v>0</v>
      </c>
      <c r="D61" s="53"/>
      <c r="E61" s="54"/>
      <c r="F61" s="55">
        <f t="shared" si="11"/>
        <v>0</v>
      </c>
      <c r="G61" s="53"/>
      <c r="H61" s="54"/>
      <c r="I61" s="55">
        <f t="shared" si="12"/>
        <v>0</v>
      </c>
      <c r="J61" s="53"/>
      <c r="K61" s="54"/>
      <c r="L61" s="55">
        <f t="shared" si="13"/>
        <v>0</v>
      </c>
      <c r="M61" s="53"/>
      <c r="N61" s="54"/>
      <c r="O61" s="55">
        <f t="shared" si="14"/>
        <v>0</v>
      </c>
      <c r="P61" s="57"/>
    </row>
    <row r="62" spans="1:16" ht="27.75" hidden="1" customHeight="1" x14ac:dyDescent="0.25">
      <c r="A62" s="51">
        <v>1146</v>
      </c>
      <c r="B62" s="88" t="s">
        <v>81</v>
      </c>
      <c r="C62" s="89">
        <f t="shared" si="0"/>
        <v>0</v>
      </c>
      <c r="D62" s="53"/>
      <c r="E62" s="54"/>
      <c r="F62" s="55">
        <f t="shared" si="11"/>
        <v>0</v>
      </c>
      <c r="G62" s="53"/>
      <c r="H62" s="54"/>
      <c r="I62" s="55">
        <f t="shared" si="12"/>
        <v>0</v>
      </c>
      <c r="J62" s="53"/>
      <c r="K62" s="54"/>
      <c r="L62" s="55">
        <f t="shared" si="13"/>
        <v>0</v>
      </c>
      <c r="M62" s="53"/>
      <c r="N62" s="54"/>
      <c r="O62" s="55">
        <f t="shared" si="14"/>
        <v>0</v>
      </c>
      <c r="P62" s="57"/>
    </row>
    <row r="63" spans="1:16" ht="15" customHeight="1" x14ac:dyDescent="0.25">
      <c r="A63" s="51">
        <v>1147</v>
      </c>
      <c r="B63" s="88" t="s">
        <v>82</v>
      </c>
      <c r="C63" s="89">
        <f t="shared" si="0"/>
        <v>24342</v>
      </c>
      <c r="D63" s="53">
        <v>5950</v>
      </c>
      <c r="E63" s="286">
        <v>-741</v>
      </c>
      <c r="F63" s="55">
        <f t="shared" si="11"/>
        <v>5209</v>
      </c>
      <c r="G63" s="53">
        <v>19133</v>
      </c>
      <c r="H63" s="54"/>
      <c r="I63" s="55">
        <f t="shared" si="12"/>
        <v>19133</v>
      </c>
      <c r="J63" s="53"/>
      <c r="K63" s="54"/>
      <c r="L63" s="55">
        <f t="shared" si="13"/>
        <v>0</v>
      </c>
      <c r="M63" s="53"/>
      <c r="N63" s="54"/>
      <c r="O63" s="55">
        <f t="shared" si="14"/>
        <v>0</v>
      </c>
      <c r="P63" s="57" t="s">
        <v>1239</v>
      </c>
    </row>
    <row r="64" spans="1:16" ht="13.5" customHeight="1" x14ac:dyDescent="0.25">
      <c r="A64" s="51">
        <v>1148</v>
      </c>
      <c r="B64" s="88" t="s">
        <v>83</v>
      </c>
      <c r="C64" s="89">
        <f t="shared" si="0"/>
        <v>27389</v>
      </c>
      <c r="D64" s="53">
        <v>26648</v>
      </c>
      <c r="E64" s="286">
        <v>741</v>
      </c>
      <c r="F64" s="55">
        <f t="shared" si="11"/>
        <v>27389</v>
      </c>
      <c r="G64" s="53"/>
      <c r="H64" s="54"/>
      <c r="I64" s="55">
        <f t="shared" si="12"/>
        <v>0</v>
      </c>
      <c r="J64" s="53"/>
      <c r="K64" s="54"/>
      <c r="L64" s="55">
        <f t="shared" si="13"/>
        <v>0</v>
      </c>
      <c r="M64" s="53"/>
      <c r="N64" s="54"/>
      <c r="O64" s="55">
        <f t="shared" si="14"/>
        <v>0</v>
      </c>
      <c r="P64" s="57" t="s">
        <v>1240</v>
      </c>
    </row>
    <row r="65" spans="1:16" ht="27" customHeight="1" x14ac:dyDescent="0.25">
      <c r="A65" s="51">
        <v>1149</v>
      </c>
      <c r="B65" s="88" t="s">
        <v>84</v>
      </c>
      <c r="C65" s="89">
        <f t="shared" si="0"/>
        <v>4244</v>
      </c>
      <c r="D65" s="53"/>
      <c r="E65" s="54"/>
      <c r="F65" s="55">
        <f t="shared" si="11"/>
        <v>0</v>
      </c>
      <c r="G65" s="53">
        <v>4244</v>
      </c>
      <c r="H65" s="54"/>
      <c r="I65" s="55">
        <f t="shared" si="12"/>
        <v>4244</v>
      </c>
      <c r="J65" s="53"/>
      <c r="K65" s="54"/>
      <c r="L65" s="55">
        <f t="shared" si="13"/>
        <v>0</v>
      </c>
      <c r="M65" s="53"/>
      <c r="N65" s="54"/>
      <c r="O65" s="55">
        <f t="shared" si="14"/>
        <v>0</v>
      </c>
      <c r="P65" s="57"/>
    </row>
    <row r="66" spans="1:16" ht="37.5" customHeight="1" x14ac:dyDescent="0.25">
      <c r="A66" s="185">
        <v>1150</v>
      </c>
      <c r="B66" s="137" t="s">
        <v>85</v>
      </c>
      <c r="C66" s="142">
        <f t="shared" si="0"/>
        <v>5119</v>
      </c>
      <c r="D66" s="143"/>
      <c r="E66" s="951">
        <v>4942</v>
      </c>
      <c r="F66" s="140">
        <f t="shared" si="11"/>
        <v>4942</v>
      </c>
      <c r="G66" s="143"/>
      <c r="H66" s="144"/>
      <c r="I66" s="140">
        <f t="shared" si="12"/>
        <v>0</v>
      </c>
      <c r="J66" s="143"/>
      <c r="K66" s="951">
        <v>177</v>
      </c>
      <c r="L66" s="140">
        <f t="shared" si="13"/>
        <v>177</v>
      </c>
      <c r="M66" s="143"/>
      <c r="N66" s="144"/>
      <c r="O66" s="140">
        <f t="shared" si="14"/>
        <v>0</v>
      </c>
      <c r="P66" s="128" t="s">
        <v>1241</v>
      </c>
    </row>
    <row r="67" spans="1:16" ht="24" x14ac:dyDescent="0.25">
      <c r="A67" s="68">
        <v>1200</v>
      </c>
      <c r="B67" s="182" t="s">
        <v>86</v>
      </c>
      <c r="C67" s="69">
        <f t="shared" si="0"/>
        <v>236200</v>
      </c>
      <c r="D67" s="183">
        <f t="shared" ref="D67:O67" si="15">SUM(D68:D69)</f>
        <v>127486</v>
      </c>
      <c r="E67" s="184">
        <f t="shared" si="15"/>
        <v>217</v>
      </c>
      <c r="F67" s="72">
        <f t="shared" si="15"/>
        <v>127703</v>
      </c>
      <c r="G67" s="183">
        <f t="shared" si="15"/>
        <v>93754</v>
      </c>
      <c r="H67" s="184">
        <f t="shared" si="15"/>
        <v>0</v>
      </c>
      <c r="I67" s="72">
        <f t="shared" si="15"/>
        <v>93754</v>
      </c>
      <c r="J67" s="183">
        <f t="shared" si="15"/>
        <v>15393</v>
      </c>
      <c r="K67" s="184">
        <f t="shared" si="15"/>
        <v>-650</v>
      </c>
      <c r="L67" s="72">
        <f t="shared" si="15"/>
        <v>14743</v>
      </c>
      <c r="M67" s="183">
        <f t="shared" si="15"/>
        <v>0</v>
      </c>
      <c r="N67" s="184">
        <f t="shared" si="15"/>
        <v>0</v>
      </c>
      <c r="O67" s="72">
        <f t="shared" si="15"/>
        <v>0</v>
      </c>
      <c r="P67" s="76"/>
    </row>
    <row r="68" spans="1:16" ht="26.25" customHeight="1" x14ac:dyDescent="0.25">
      <c r="A68" s="729">
        <v>1210</v>
      </c>
      <c r="B68" s="81" t="s">
        <v>87</v>
      </c>
      <c r="C68" s="82">
        <f t="shared" si="0"/>
        <v>187214</v>
      </c>
      <c r="D68" s="46">
        <v>82375</v>
      </c>
      <c r="E68" s="950">
        <v>217</v>
      </c>
      <c r="F68" s="133">
        <f>D68+E68</f>
        <v>82592</v>
      </c>
      <c r="G68" s="46">
        <v>93054</v>
      </c>
      <c r="H68" s="950">
        <v>-700</v>
      </c>
      <c r="I68" s="133">
        <f>G68+H68</f>
        <v>92354</v>
      </c>
      <c r="J68" s="46">
        <v>12918</v>
      </c>
      <c r="K68" s="950">
        <v>-650</v>
      </c>
      <c r="L68" s="133">
        <f>K68+J68</f>
        <v>12268</v>
      </c>
      <c r="M68" s="46"/>
      <c r="N68" s="47"/>
      <c r="O68" s="133">
        <f>N68+M68</f>
        <v>0</v>
      </c>
      <c r="P68" s="57" t="s">
        <v>1242</v>
      </c>
    </row>
    <row r="69" spans="1:16" ht="24" x14ac:dyDescent="0.25">
      <c r="A69" s="188">
        <v>1220</v>
      </c>
      <c r="B69" s="88" t="s">
        <v>88</v>
      </c>
      <c r="C69" s="89">
        <f t="shared" si="0"/>
        <v>48986</v>
      </c>
      <c r="D69" s="189">
        <f t="shared" ref="D69:O69" si="16">SUM(D70:D74)</f>
        <v>45111</v>
      </c>
      <c r="E69" s="190">
        <f t="shared" si="16"/>
        <v>0</v>
      </c>
      <c r="F69" s="55">
        <f t="shared" si="16"/>
        <v>45111</v>
      </c>
      <c r="G69" s="189">
        <f t="shared" si="16"/>
        <v>700</v>
      </c>
      <c r="H69" s="190">
        <f t="shared" si="16"/>
        <v>700</v>
      </c>
      <c r="I69" s="55">
        <f t="shared" si="16"/>
        <v>1400</v>
      </c>
      <c r="J69" s="189">
        <f t="shared" si="16"/>
        <v>2475</v>
      </c>
      <c r="K69" s="190">
        <f t="shared" si="16"/>
        <v>0</v>
      </c>
      <c r="L69" s="55">
        <f t="shared" si="16"/>
        <v>2475</v>
      </c>
      <c r="M69" s="189">
        <f t="shared" si="16"/>
        <v>0</v>
      </c>
      <c r="N69" s="190">
        <f t="shared" si="16"/>
        <v>0</v>
      </c>
      <c r="O69" s="55">
        <f t="shared" si="16"/>
        <v>0</v>
      </c>
      <c r="P69" s="57"/>
    </row>
    <row r="70" spans="1:16" ht="48" customHeight="1" x14ac:dyDescent="0.25">
      <c r="A70" s="51">
        <v>1221</v>
      </c>
      <c r="B70" s="88" t="s">
        <v>89</v>
      </c>
      <c r="C70" s="89">
        <f t="shared" si="0"/>
        <v>30039</v>
      </c>
      <c r="D70" s="53">
        <v>26256</v>
      </c>
      <c r="E70" s="54"/>
      <c r="F70" s="55">
        <f>D70+E70</f>
        <v>26256</v>
      </c>
      <c r="G70" s="53">
        <v>700</v>
      </c>
      <c r="H70" s="286">
        <v>700</v>
      </c>
      <c r="I70" s="55">
        <f>G70+H70</f>
        <v>1400</v>
      </c>
      <c r="J70" s="53">
        <v>2383</v>
      </c>
      <c r="K70" s="54"/>
      <c r="L70" s="55">
        <f>K70+J70</f>
        <v>2383</v>
      </c>
      <c r="M70" s="53"/>
      <c r="N70" s="54"/>
      <c r="O70" s="55">
        <f>N70+M70</f>
        <v>0</v>
      </c>
      <c r="P70" s="57" t="s">
        <v>1243</v>
      </c>
    </row>
    <row r="71" spans="1:16" ht="12" hidden="1" customHeight="1" x14ac:dyDescent="0.25">
      <c r="A71" s="51">
        <v>1223</v>
      </c>
      <c r="B71" s="88" t="s">
        <v>90</v>
      </c>
      <c r="C71" s="89">
        <f t="shared" si="0"/>
        <v>0</v>
      </c>
      <c r="D71" s="53"/>
      <c r="E71" s="54"/>
      <c r="F71" s="55">
        <f>D71+E71</f>
        <v>0</v>
      </c>
      <c r="G71" s="53"/>
      <c r="H71" s="54"/>
      <c r="I71" s="55">
        <f>G71+H71</f>
        <v>0</v>
      </c>
      <c r="J71" s="53"/>
      <c r="K71" s="54"/>
      <c r="L71" s="55">
        <f>K71+J71</f>
        <v>0</v>
      </c>
      <c r="M71" s="53"/>
      <c r="N71" s="54"/>
      <c r="O71" s="55">
        <f>N71+M71</f>
        <v>0</v>
      </c>
      <c r="P71" s="57"/>
    </row>
    <row r="72" spans="1:16" ht="24" hidden="1" customHeight="1" x14ac:dyDescent="0.25">
      <c r="A72" s="51">
        <v>1225</v>
      </c>
      <c r="B72" s="88" t="s">
        <v>91</v>
      </c>
      <c r="C72" s="89">
        <f t="shared" si="0"/>
        <v>0</v>
      </c>
      <c r="D72" s="53"/>
      <c r="E72" s="54"/>
      <c r="F72" s="55">
        <f>D72+E72</f>
        <v>0</v>
      </c>
      <c r="G72" s="53"/>
      <c r="H72" s="54"/>
      <c r="I72" s="55">
        <f>G72+H72</f>
        <v>0</v>
      </c>
      <c r="J72" s="53"/>
      <c r="K72" s="54"/>
      <c r="L72" s="55">
        <f>K72+J72</f>
        <v>0</v>
      </c>
      <c r="M72" s="53"/>
      <c r="N72" s="54"/>
      <c r="O72" s="55">
        <f>N72+M72</f>
        <v>0</v>
      </c>
      <c r="P72" s="57"/>
    </row>
    <row r="73" spans="1:16" ht="36" customHeight="1" x14ac:dyDescent="0.25">
      <c r="A73" s="51">
        <v>1227</v>
      </c>
      <c r="B73" s="88" t="s">
        <v>92</v>
      </c>
      <c r="C73" s="89">
        <f t="shared" si="0"/>
        <v>18355</v>
      </c>
      <c r="D73" s="53">
        <v>18355</v>
      </c>
      <c r="E73" s="54"/>
      <c r="F73" s="55">
        <f>D73+E73</f>
        <v>18355</v>
      </c>
      <c r="G73" s="53"/>
      <c r="H73" s="54"/>
      <c r="I73" s="55">
        <f>G73+H73</f>
        <v>0</v>
      </c>
      <c r="J73" s="53"/>
      <c r="K73" s="54"/>
      <c r="L73" s="55">
        <f>K73+J73</f>
        <v>0</v>
      </c>
      <c r="M73" s="53"/>
      <c r="N73" s="54"/>
      <c r="O73" s="55">
        <f>N73+M73</f>
        <v>0</v>
      </c>
      <c r="P73" s="57"/>
    </row>
    <row r="74" spans="1:16" ht="48" customHeight="1" x14ac:dyDescent="0.25">
      <c r="A74" s="51">
        <v>1228</v>
      </c>
      <c r="B74" s="88" t="s">
        <v>93</v>
      </c>
      <c r="C74" s="89">
        <f t="shared" si="0"/>
        <v>592</v>
      </c>
      <c r="D74" s="53">
        <v>500</v>
      </c>
      <c r="E74" s="54"/>
      <c r="F74" s="55">
        <f>D74+E74</f>
        <v>500</v>
      </c>
      <c r="G74" s="53"/>
      <c r="H74" s="54"/>
      <c r="I74" s="55">
        <f>G74+H74</f>
        <v>0</v>
      </c>
      <c r="J74" s="53">
        <v>92</v>
      </c>
      <c r="K74" s="54"/>
      <c r="L74" s="55">
        <f>K74+J74</f>
        <v>92</v>
      </c>
      <c r="M74" s="53"/>
      <c r="N74" s="54"/>
      <c r="O74" s="55">
        <f>N74+M74</f>
        <v>0</v>
      </c>
      <c r="P74" s="57"/>
    </row>
    <row r="75" spans="1:16" x14ac:dyDescent="0.25">
      <c r="A75" s="176">
        <v>2000</v>
      </c>
      <c r="B75" s="176" t="s">
        <v>94</v>
      </c>
      <c r="C75" s="177">
        <f t="shared" si="0"/>
        <v>98056</v>
      </c>
      <c r="D75" s="178">
        <f t="shared" ref="D75:O75" si="17">SUM(D76,D83,D130,D164,D165,D172)</f>
        <v>94166</v>
      </c>
      <c r="E75" s="179">
        <f t="shared" si="17"/>
        <v>-24059</v>
      </c>
      <c r="F75" s="180">
        <f t="shared" si="17"/>
        <v>70107</v>
      </c>
      <c r="G75" s="178">
        <f t="shared" si="17"/>
        <v>0</v>
      </c>
      <c r="H75" s="179">
        <f t="shared" si="17"/>
        <v>0</v>
      </c>
      <c r="I75" s="180">
        <f t="shared" si="17"/>
        <v>0</v>
      </c>
      <c r="J75" s="178">
        <f t="shared" si="17"/>
        <v>30751</v>
      </c>
      <c r="K75" s="179">
        <f t="shared" si="17"/>
        <v>-2832</v>
      </c>
      <c r="L75" s="180">
        <f t="shared" si="17"/>
        <v>27919</v>
      </c>
      <c r="M75" s="178">
        <f t="shared" si="17"/>
        <v>30</v>
      </c>
      <c r="N75" s="179">
        <f t="shared" si="17"/>
        <v>0</v>
      </c>
      <c r="O75" s="180">
        <f t="shared" si="17"/>
        <v>30</v>
      </c>
      <c r="P75" s="181"/>
    </row>
    <row r="76" spans="1:16" ht="24" x14ac:dyDescent="0.25">
      <c r="A76" s="68">
        <v>2100</v>
      </c>
      <c r="B76" s="182" t="s">
        <v>95</v>
      </c>
      <c r="C76" s="69">
        <f t="shared" si="0"/>
        <v>3784</v>
      </c>
      <c r="D76" s="183">
        <f t="shared" ref="D76:O76" si="18">SUM(D77,D80)</f>
        <v>1984</v>
      </c>
      <c r="E76" s="184">
        <f t="shared" si="18"/>
        <v>0</v>
      </c>
      <c r="F76" s="72">
        <f t="shared" si="18"/>
        <v>1984</v>
      </c>
      <c r="G76" s="183">
        <f t="shared" si="18"/>
        <v>0</v>
      </c>
      <c r="H76" s="184">
        <f t="shared" si="18"/>
        <v>0</v>
      </c>
      <c r="I76" s="72">
        <f t="shared" si="18"/>
        <v>0</v>
      </c>
      <c r="J76" s="183">
        <f t="shared" si="18"/>
        <v>1196</v>
      </c>
      <c r="K76" s="184">
        <f t="shared" si="18"/>
        <v>604</v>
      </c>
      <c r="L76" s="72">
        <f t="shared" si="18"/>
        <v>1800</v>
      </c>
      <c r="M76" s="183">
        <f t="shared" si="18"/>
        <v>0</v>
      </c>
      <c r="N76" s="184">
        <f t="shared" si="18"/>
        <v>0</v>
      </c>
      <c r="O76" s="72">
        <f t="shared" si="18"/>
        <v>0</v>
      </c>
      <c r="P76" s="76"/>
    </row>
    <row r="77" spans="1:16" ht="24" x14ac:dyDescent="0.25">
      <c r="A77" s="729">
        <v>2110</v>
      </c>
      <c r="B77" s="81" t="s">
        <v>96</v>
      </c>
      <c r="C77" s="82">
        <f t="shared" si="0"/>
        <v>252</v>
      </c>
      <c r="D77" s="192">
        <f t="shared" ref="D77:O77" si="19">SUM(D78:D79)</f>
        <v>0</v>
      </c>
      <c r="E77" s="193">
        <f t="shared" si="19"/>
        <v>0</v>
      </c>
      <c r="F77" s="133">
        <f t="shared" si="19"/>
        <v>0</v>
      </c>
      <c r="G77" s="192">
        <f t="shared" si="19"/>
        <v>0</v>
      </c>
      <c r="H77" s="193">
        <f t="shared" si="19"/>
        <v>0</v>
      </c>
      <c r="I77" s="133">
        <f t="shared" si="19"/>
        <v>0</v>
      </c>
      <c r="J77" s="192">
        <f t="shared" si="19"/>
        <v>120</v>
      </c>
      <c r="K77" s="193">
        <f t="shared" si="19"/>
        <v>132</v>
      </c>
      <c r="L77" s="133">
        <f t="shared" si="19"/>
        <v>252</v>
      </c>
      <c r="M77" s="192">
        <f t="shared" si="19"/>
        <v>0</v>
      </c>
      <c r="N77" s="193">
        <f t="shared" si="19"/>
        <v>0</v>
      </c>
      <c r="O77" s="133">
        <f t="shared" si="19"/>
        <v>0</v>
      </c>
      <c r="P77" s="49"/>
    </row>
    <row r="78" spans="1:16" ht="12" customHeight="1" x14ac:dyDescent="0.25">
      <c r="A78" s="51">
        <v>2111</v>
      </c>
      <c r="B78" s="88" t="s">
        <v>97</v>
      </c>
      <c r="C78" s="89">
        <f t="shared" si="0"/>
        <v>72</v>
      </c>
      <c r="D78" s="194"/>
      <c r="E78" s="195"/>
      <c r="F78" s="55">
        <f>D78+E78</f>
        <v>0</v>
      </c>
      <c r="G78" s="53"/>
      <c r="H78" s="54"/>
      <c r="I78" s="55">
        <f>G78+H78</f>
        <v>0</v>
      </c>
      <c r="J78" s="53">
        <v>30</v>
      </c>
      <c r="K78" s="286">
        <f>54-12</f>
        <v>42</v>
      </c>
      <c r="L78" s="55">
        <f>K78+J78</f>
        <v>72</v>
      </c>
      <c r="M78" s="53"/>
      <c r="N78" s="54"/>
      <c r="O78" s="55">
        <f>N78+M78</f>
        <v>0</v>
      </c>
      <c r="P78" s="57" t="s">
        <v>1244</v>
      </c>
    </row>
    <row r="79" spans="1:16" ht="12" customHeight="1" x14ac:dyDescent="0.25">
      <c r="A79" s="51">
        <v>2112</v>
      </c>
      <c r="B79" s="88" t="s">
        <v>98</v>
      </c>
      <c r="C79" s="89">
        <f t="shared" si="0"/>
        <v>180</v>
      </c>
      <c r="D79" s="194"/>
      <c r="E79" s="195"/>
      <c r="F79" s="55">
        <f>D79+E79</f>
        <v>0</v>
      </c>
      <c r="G79" s="53"/>
      <c r="H79" s="54"/>
      <c r="I79" s="55">
        <f>G79+H79</f>
        <v>0</v>
      </c>
      <c r="J79" s="53">
        <v>90</v>
      </c>
      <c r="K79" s="286">
        <v>90</v>
      </c>
      <c r="L79" s="55">
        <f>K79+J79</f>
        <v>180</v>
      </c>
      <c r="M79" s="53"/>
      <c r="N79" s="54"/>
      <c r="O79" s="55">
        <f>N79+M79</f>
        <v>0</v>
      </c>
      <c r="P79" s="57" t="s">
        <v>1245</v>
      </c>
    </row>
    <row r="80" spans="1:16" ht="24" x14ac:dyDescent="0.25">
      <c r="A80" s="188">
        <v>2120</v>
      </c>
      <c r="B80" s="88" t="s">
        <v>99</v>
      </c>
      <c r="C80" s="89">
        <f t="shared" si="0"/>
        <v>3532</v>
      </c>
      <c r="D80" s="189">
        <f t="shared" ref="D80:O80" si="20">SUM(D81:D82)</f>
        <v>1984</v>
      </c>
      <c r="E80" s="190">
        <f t="shared" si="20"/>
        <v>0</v>
      </c>
      <c r="F80" s="55">
        <f t="shared" si="20"/>
        <v>1984</v>
      </c>
      <c r="G80" s="189">
        <f t="shared" si="20"/>
        <v>0</v>
      </c>
      <c r="H80" s="190">
        <f t="shared" si="20"/>
        <v>0</v>
      </c>
      <c r="I80" s="55">
        <f t="shared" si="20"/>
        <v>0</v>
      </c>
      <c r="J80" s="189">
        <f t="shared" si="20"/>
        <v>1076</v>
      </c>
      <c r="K80" s="190">
        <f t="shared" si="20"/>
        <v>472</v>
      </c>
      <c r="L80" s="55">
        <f t="shared" si="20"/>
        <v>1548</v>
      </c>
      <c r="M80" s="189">
        <f t="shared" si="20"/>
        <v>0</v>
      </c>
      <c r="N80" s="190">
        <f t="shared" si="20"/>
        <v>0</v>
      </c>
      <c r="O80" s="55">
        <f t="shared" si="20"/>
        <v>0</v>
      </c>
      <c r="P80" s="57"/>
    </row>
    <row r="81" spans="1:16" ht="12.75" customHeight="1" x14ac:dyDescent="0.25">
      <c r="A81" s="51">
        <v>2121</v>
      </c>
      <c r="B81" s="88" t="s">
        <v>97</v>
      </c>
      <c r="C81" s="89">
        <f t="shared" si="0"/>
        <v>1598</v>
      </c>
      <c r="D81" s="194">
        <v>684</v>
      </c>
      <c r="E81" s="195"/>
      <c r="F81" s="55">
        <f>D81+E81</f>
        <v>684</v>
      </c>
      <c r="G81" s="53"/>
      <c r="H81" s="54"/>
      <c r="I81" s="55">
        <f>G81+H81</f>
        <v>0</v>
      </c>
      <c r="J81" s="53">
        <v>442</v>
      </c>
      <c r="K81" s="286">
        <v>472</v>
      </c>
      <c r="L81" s="55">
        <f>K81+J81</f>
        <v>914</v>
      </c>
      <c r="M81" s="53"/>
      <c r="N81" s="54"/>
      <c r="O81" s="55">
        <f>N81+M81</f>
        <v>0</v>
      </c>
      <c r="P81" s="57" t="s">
        <v>1246</v>
      </c>
    </row>
    <row r="82" spans="1:16" ht="22.5" customHeight="1" x14ac:dyDescent="0.25">
      <c r="A82" s="51">
        <v>2122</v>
      </c>
      <c r="B82" s="88" t="s">
        <v>98</v>
      </c>
      <c r="C82" s="89">
        <f t="shared" si="0"/>
        <v>1934</v>
      </c>
      <c r="D82" s="194">
        <v>1300</v>
      </c>
      <c r="E82" s="195"/>
      <c r="F82" s="55">
        <f>D82+E82</f>
        <v>1300</v>
      </c>
      <c r="G82" s="53"/>
      <c r="H82" s="54"/>
      <c r="I82" s="55">
        <f>G82+H82</f>
        <v>0</v>
      </c>
      <c r="J82" s="53">
        <v>634</v>
      </c>
      <c r="K82" s="54"/>
      <c r="L82" s="55">
        <f>K82+J82</f>
        <v>634</v>
      </c>
      <c r="M82" s="53"/>
      <c r="N82" s="54"/>
      <c r="O82" s="55">
        <f>N82+M82</f>
        <v>0</v>
      </c>
      <c r="P82" s="57"/>
    </row>
    <row r="83" spans="1:16" x14ac:dyDescent="0.25">
      <c r="A83" s="68">
        <v>2200</v>
      </c>
      <c r="B83" s="182" t="s">
        <v>100</v>
      </c>
      <c r="C83" s="69">
        <f t="shared" si="0"/>
        <v>75067</v>
      </c>
      <c r="D83" s="183">
        <f t="shared" ref="D83:O83" si="21">SUM(D84,D89,D95,D103,D112,D116,D122,D128)</f>
        <v>83412</v>
      </c>
      <c r="E83" s="184">
        <f t="shared" si="21"/>
        <v>-24059</v>
      </c>
      <c r="F83" s="72">
        <f t="shared" si="21"/>
        <v>59353</v>
      </c>
      <c r="G83" s="183">
        <f t="shared" si="21"/>
        <v>0</v>
      </c>
      <c r="H83" s="184">
        <f t="shared" si="21"/>
        <v>0</v>
      </c>
      <c r="I83" s="72">
        <f t="shared" si="21"/>
        <v>0</v>
      </c>
      <c r="J83" s="183">
        <f t="shared" si="21"/>
        <v>21641</v>
      </c>
      <c r="K83" s="184">
        <f t="shared" si="21"/>
        <v>-5927</v>
      </c>
      <c r="L83" s="72">
        <f t="shared" si="21"/>
        <v>15714</v>
      </c>
      <c r="M83" s="183">
        <f t="shared" si="21"/>
        <v>0</v>
      </c>
      <c r="N83" s="184">
        <f t="shared" si="21"/>
        <v>0</v>
      </c>
      <c r="O83" s="72">
        <f t="shared" si="21"/>
        <v>0</v>
      </c>
      <c r="P83" s="76"/>
    </row>
    <row r="84" spans="1:16" x14ac:dyDescent="0.25">
      <c r="A84" s="185">
        <v>2210</v>
      </c>
      <c r="B84" s="137" t="s">
        <v>101</v>
      </c>
      <c r="C84" s="142">
        <f t="shared" ref="C84:C147" si="22">F84+I84+L84+O84</f>
        <v>619</v>
      </c>
      <c r="D84" s="186">
        <f t="shared" ref="D84:O84" si="23">SUM(D85:D88)</f>
        <v>207</v>
      </c>
      <c r="E84" s="187">
        <f t="shared" si="23"/>
        <v>0</v>
      </c>
      <c r="F84" s="140">
        <f t="shared" si="23"/>
        <v>207</v>
      </c>
      <c r="G84" s="186">
        <f t="shared" si="23"/>
        <v>0</v>
      </c>
      <c r="H84" s="187">
        <f t="shared" si="23"/>
        <v>0</v>
      </c>
      <c r="I84" s="140">
        <f t="shared" si="23"/>
        <v>0</v>
      </c>
      <c r="J84" s="186">
        <f t="shared" si="23"/>
        <v>348</v>
      </c>
      <c r="K84" s="187">
        <f t="shared" si="23"/>
        <v>64</v>
      </c>
      <c r="L84" s="140">
        <f t="shared" si="23"/>
        <v>412</v>
      </c>
      <c r="M84" s="186">
        <f t="shared" si="23"/>
        <v>0</v>
      </c>
      <c r="N84" s="187">
        <f t="shared" si="23"/>
        <v>0</v>
      </c>
      <c r="O84" s="140">
        <f t="shared" si="23"/>
        <v>0</v>
      </c>
      <c r="P84" s="128"/>
    </row>
    <row r="85" spans="1:16" ht="24" hidden="1" customHeight="1" x14ac:dyDescent="0.25">
      <c r="A85" s="44">
        <v>2211</v>
      </c>
      <c r="B85" s="81" t="s">
        <v>102</v>
      </c>
      <c r="C85" s="82">
        <f t="shared" si="22"/>
        <v>0</v>
      </c>
      <c r="D85" s="196"/>
      <c r="E85" s="197"/>
      <c r="F85" s="133">
        <f>D85+E85</f>
        <v>0</v>
      </c>
      <c r="G85" s="46"/>
      <c r="H85" s="47"/>
      <c r="I85" s="133">
        <f>G85+H85</f>
        <v>0</v>
      </c>
      <c r="J85" s="46"/>
      <c r="K85" s="47"/>
      <c r="L85" s="133">
        <f>K85+J85</f>
        <v>0</v>
      </c>
      <c r="M85" s="46"/>
      <c r="N85" s="47"/>
      <c r="O85" s="133">
        <f>N85+M85</f>
        <v>0</v>
      </c>
      <c r="P85" s="49"/>
    </row>
    <row r="86" spans="1:16" ht="36" customHeight="1" x14ac:dyDescent="0.25">
      <c r="A86" s="51">
        <v>2212</v>
      </c>
      <c r="B86" s="88" t="s">
        <v>103</v>
      </c>
      <c r="C86" s="89">
        <f t="shared" si="22"/>
        <v>414</v>
      </c>
      <c r="D86" s="194">
        <v>207</v>
      </c>
      <c r="E86" s="195"/>
      <c r="F86" s="55">
        <f>D86+E86</f>
        <v>207</v>
      </c>
      <c r="G86" s="53"/>
      <c r="H86" s="54"/>
      <c r="I86" s="55">
        <f>G86+H86</f>
        <v>0</v>
      </c>
      <c r="J86" s="53">
        <v>207</v>
      </c>
      <c r="K86" s="54"/>
      <c r="L86" s="55">
        <f>K86+J86</f>
        <v>207</v>
      </c>
      <c r="M86" s="53"/>
      <c r="N86" s="54"/>
      <c r="O86" s="55">
        <f>N86+M86</f>
        <v>0</v>
      </c>
      <c r="P86" s="57"/>
    </row>
    <row r="87" spans="1:16" ht="26.25" customHeight="1" x14ac:dyDescent="0.25">
      <c r="A87" s="51">
        <v>2214</v>
      </c>
      <c r="B87" s="88" t="s">
        <v>104</v>
      </c>
      <c r="C87" s="89">
        <f t="shared" si="22"/>
        <v>130</v>
      </c>
      <c r="D87" s="194"/>
      <c r="E87" s="195"/>
      <c r="F87" s="55">
        <f>D87+E87</f>
        <v>0</v>
      </c>
      <c r="G87" s="53"/>
      <c r="H87" s="54"/>
      <c r="I87" s="55">
        <f>G87+H87</f>
        <v>0</v>
      </c>
      <c r="J87" s="53">
        <v>66</v>
      </c>
      <c r="K87" s="286">
        <v>64</v>
      </c>
      <c r="L87" s="55">
        <f>K87+J87</f>
        <v>130</v>
      </c>
      <c r="M87" s="53"/>
      <c r="N87" s="54"/>
      <c r="O87" s="55">
        <f>N87+M87</f>
        <v>0</v>
      </c>
      <c r="P87" s="57" t="s">
        <v>1247</v>
      </c>
    </row>
    <row r="88" spans="1:16" ht="12" customHeight="1" x14ac:dyDescent="0.25">
      <c r="A88" s="51">
        <v>2219</v>
      </c>
      <c r="B88" s="88" t="s">
        <v>105</v>
      </c>
      <c r="C88" s="89">
        <f t="shared" si="22"/>
        <v>75</v>
      </c>
      <c r="D88" s="194"/>
      <c r="E88" s="195"/>
      <c r="F88" s="55">
        <f>D88+E88</f>
        <v>0</v>
      </c>
      <c r="G88" s="53"/>
      <c r="H88" s="54"/>
      <c r="I88" s="55">
        <f>G88+H88</f>
        <v>0</v>
      </c>
      <c r="J88" s="53">
        <v>75</v>
      </c>
      <c r="K88" s="54"/>
      <c r="L88" s="55">
        <f>K88+J88</f>
        <v>75</v>
      </c>
      <c r="M88" s="53"/>
      <c r="N88" s="54"/>
      <c r="O88" s="55">
        <f>N88+M88</f>
        <v>0</v>
      </c>
      <c r="P88" s="57"/>
    </row>
    <row r="89" spans="1:16" ht="24" x14ac:dyDescent="0.25">
      <c r="A89" s="188">
        <v>2220</v>
      </c>
      <c r="B89" s="88" t="s">
        <v>106</v>
      </c>
      <c r="C89" s="89">
        <f t="shared" si="22"/>
        <v>40704</v>
      </c>
      <c r="D89" s="189">
        <f t="shared" ref="D89:O89" si="24">SUM(D90:D94)</f>
        <v>63058</v>
      </c>
      <c r="E89" s="190">
        <f t="shared" si="24"/>
        <v>-24059</v>
      </c>
      <c r="F89" s="55">
        <f t="shared" si="24"/>
        <v>38999</v>
      </c>
      <c r="G89" s="189">
        <f t="shared" si="24"/>
        <v>0</v>
      </c>
      <c r="H89" s="190">
        <f t="shared" si="24"/>
        <v>0</v>
      </c>
      <c r="I89" s="55">
        <f t="shared" si="24"/>
        <v>0</v>
      </c>
      <c r="J89" s="189">
        <f t="shared" si="24"/>
        <v>8196</v>
      </c>
      <c r="K89" s="190">
        <f t="shared" si="24"/>
        <v>-6491</v>
      </c>
      <c r="L89" s="55">
        <f t="shared" si="24"/>
        <v>1705</v>
      </c>
      <c r="M89" s="189">
        <f t="shared" si="24"/>
        <v>0</v>
      </c>
      <c r="N89" s="190">
        <f t="shared" si="24"/>
        <v>0</v>
      </c>
      <c r="O89" s="55">
        <f t="shared" si="24"/>
        <v>0</v>
      </c>
      <c r="P89" s="57"/>
    </row>
    <row r="90" spans="1:16" ht="27" customHeight="1" x14ac:dyDescent="0.25">
      <c r="A90" s="51">
        <v>2221</v>
      </c>
      <c r="B90" s="88" t="s">
        <v>107</v>
      </c>
      <c r="C90" s="89">
        <f t="shared" si="22"/>
        <v>18467</v>
      </c>
      <c r="D90" s="194">
        <v>18447</v>
      </c>
      <c r="E90" s="545"/>
      <c r="F90" s="55">
        <f>D90+E90</f>
        <v>18447</v>
      </c>
      <c r="G90" s="53"/>
      <c r="H90" s="54"/>
      <c r="I90" s="55">
        <f>G90+H90</f>
        <v>0</v>
      </c>
      <c r="J90" s="53">
        <v>2123</v>
      </c>
      <c r="K90" s="286">
        <f>8-2123+12</f>
        <v>-2103</v>
      </c>
      <c r="L90" s="55">
        <f>K90+J90</f>
        <v>20</v>
      </c>
      <c r="M90" s="53"/>
      <c r="N90" s="54"/>
      <c r="O90" s="55">
        <f>N90+M90</f>
        <v>0</v>
      </c>
      <c r="P90" s="57" t="s">
        <v>1248</v>
      </c>
    </row>
    <row r="91" spans="1:16" ht="12.75" customHeight="1" x14ac:dyDescent="0.25">
      <c r="A91" s="51">
        <v>2222</v>
      </c>
      <c r="B91" s="88" t="s">
        <v>108</v>
      </c>
      <c r="C91" s="89">
        <f t="shared" si="22"/>
        <v>2125</v>
      </c>
      <c r="D91" s="194">
        <v>1362</v>
      </c>
      <c r="E91" s="283">
        <v>118</v>
      </c>
      <c r="F91" s="55">
        <f>D91+E91</f>
        <v>1480</v>
      </c>
      <c r="G91" s="53"/>
      <c r="H91" s="54"/>
      <c r="I91" s="55">
        <f>G91+H91</f>
        <v>0</v>
      </c>
      <c r="J91" s="53">
        <v>610</v>
      </c>
      <c r="K91" s="286">
        <v>35</v>
      </c>
      <c r="L91" s="55">
        <f>K91+J91</f>
        <v>645</v>
      </c>
      <c r="M91" s="53"/>
      <c r="N91" s="54"/>
      <c r="O91" s="55">
        <f>N91+M91</f>
        <v>0</v>
      </c>
      <c r="P91" s="952" t="s">
        <v>1249</v>
      </c>
    </row>
    <row r="92" spans="1:16" ht="13.5" customHeight="1" x14ac:dyDescent="0.25">
      <c r="A92" s="51">
        <v>2223</v>
      </c>
      <c r="B92" s="88" t="s">
        <v>109</v>
      </c>
      <c r="C92" s="89">
        <f t="shared" si="22"/>
        <v>19696</v>
      </c>
      <c r="D92" s="194">
        <v>43249</v>
      </c>
      <c r="E92" s="283">
        <v>-24177</v>
      </c>
      <c r="F92" s="55">
        <f>D92+E92</f>
        <v>19072</v>
      </c>
      <c r="G92" s="53"/>
      <c r="H92" s="54"/>
      <c r="I92" s="55">
        <f>G92+H92</f>
        <v>0</v>
      </c>
      <c r="J92" s="53">
        <v>5059</v>
      </c>
      <c r="K92" s="286">
        <f>624-5059</f>
        <v>-4435</v>
      </c>
      <c r="L92" s="55">
        <f>K92+J92</f>
        <v>624</v>
      </c>
      <c r="M92" s="53"/>
      <c r="N92" s="54"/>
      <c r="O92" s="55">
        <f>N92+M92</f>
        <v>0</v>
      </c>
      <c r="P92" s="952" t="s">
        <v>1250</v>
      </c>
    </row>
    <row r="93" spans="1:16" ht="48.75" customHeight="1" x14ac:dyDescent="0.25">
      <c r="A93" s="51">
        <v>2224</v>
      </c>
      <c r="B93" s="88" t="s">
        <v>110</v>
      </c>
      <c r="C93" s="89">
        <f t="shared" si="22"/>
        <v>416</v>
      </c>
      <c r="D93" s="194"/>
      <c r="E93" s="545"/>
      <c r="F93" s="55">
        <f>D93+E93</f>
        <v>0</v>
      </c>
      <c r="G93" s="53"/>
      <c r="H93" s="54"/>
      <c r="I93" s="55">
        <f>G93+H93</f>
        <v>0</v>
      </c>
      <c r="J93" s="53">
        <v>404</v>
      </c>
      <c r="K93" s="286">
        <v>12</v>
      </c>
      <c r="L93" s="55">
        <f>K93+J93</f>
        <v>416</v>
      </c>
      <c r="M93" s="53"/>
      <c r="N93" s="54"/>
      <c r="O93" s="55">
        <f>N93+M93</f>
        <v>0</v>
      </c>
      <c r="P93" s="57" t="s">
        <v>1251</v>
      </c>
    </row>
    <row r="94" spans="1:16" ht="24" hidden="1" customHeight="1" x14ac:dyDescent="0.25">
      <c r="A94" s="51">
        <v>2229</v>
      </c>
      <c r="B94" s="88" t="s">
        <v>111</v>
      </c>
      <c r="C94" s="89">
        <f t="shared" si="22"/>
        <v>0</v>
      </c>
      <c r="D94" s="194"/>
      <c r="E94" s="195"/>
      <c r="F94" s="55">
        <f>D94+E94</f>
        <v>0</v>
      </c>
      <c r="G94" s="53"/>
      <c r="H94" s="54"/>
      <c r="I94" s="55">
        <f>G94+H94</f>
        <v>0</v>
      </c>
      <c r="J94" s="53"/>
      <c r="K94" s="54"/>
      <c r="L94" s="55">
        <f>K94+J94</f>
        <v>0</v>
      </c>
      <c r="M94" s="53"/>
      <c r="N94" s="54"/>
      <c r="O94" s="55">
        <f>N94+M94</f>
        <v>0</v>
      </c>
      <c r="P94" s="57"/>
    </row>
    <row r="95" spans="1:16" ht="36" x14ac:dyDescent="0.25">
      <c r="A95" s="188">
        <v>2230</v>
      </c>
      <c r="B95" s="88" t="s">
        <v>112</v>
      </c>
      <c r="C95" s="89">
        <f t="shared" si="22"/>
        <v>2463</v>
      </c>
      <c r="D95" s="189">
        <f t="shared" ref="D95:O95" si="25">SUM(D96:D102)</f>
        <v>1583</v>
      </c>
      <c r="E95" s="190">
        <f t="shared" si="25"/>
        <v>0</v>
      </c>
      <c r="F95" s="55">
        <f t="shared" si="25"/>
        <v>1583</v>
      </c>
      <c r="G95" s="189">
        <f t="shared" si="25"/>
        <v>0</v>
      </c>
      <c r="H95" s="190">
        <f t="shared" si="25"/>
        <v>0</v>
      </c>
      <c r="I95" s="55">
        <f t="shared" si="25"/>
        <v>0</v>
      </c>
      <c r="J95" s="189">
        <f t="shared" si="25"/>
        <v>880</v>
      </c>
      <c r="K95" s="190">
        <f t="shared" si="25"/>
        <v>0</v>
      </c>
      <c r="L95" s="55">
        <f t="shared" si="25"/>
        <v>880</v>
      </c>
      <c r="M95" s="189">
        <f t="shared" si="25"/>
        <v>0</v>
      </c>
      <c r="N95" s="190">
        <f t="shared" si="25"/>
        <v>0</v>
      </c>
      <c r="O95" s="55">
        <f t="shared" si="25"/>
        <v>0</v>
      </c>
      <c r="P95" s="57"/>
    </row>
    <row r="96" spans="1:16" ht="24" hidden="1" customHeight="1" x14ac:dyDescent="0.25">
      <c r="A96" s="51">
        <v>2231</v>
      </c>
      <c r="B96" s="88" t="s">
        <v>113</v>
      </c>
      <c r="C96" s="89">
        <f t="shared" si="22"/>
        <v>0</v>
      </c>
      <c r="D96" s="194"/>
      <c r="E96" s="195"/>
      <c r="F96" s="55">
        <f t="shared" ref="F96:F102" si="26">D96+E96</f>
        <v>0</v>
      </c>
      <c r="G96" s="53"/>
      <c r="H96" s="54"/>
      <c r="I96" s="55">
        <f t="shared" ref="I96:I102" si="27">G96+H96</f>
        <v>0</v>
      </c>
      <c r="J96" s="53"/>
      <c r="K96" s="54"/>
      <c r="L96" s="55">
        <f t="shared" ref="L96:L102" si="28">K96+J96</f>
        <v>0</v>
      </c>
      <c r="M96" s="53"/>
      <c r="N96" s="54"/>
      <c r="O96" s="55">
        <f t="shared" ref="O96:O102" si="29">N96+M96</f>
        <v>0</v>
      </c>
      <c r="P96" s="57"/>
    </row>
    <row r="97" spans="1:16" ht="24.75" hidden="1" customHeight="1" x14ac:dyDescent="0.25">
      <c r="A97" s="51">
        <v>2232</v>
      </c>
      <c r="B97" s="88" t="s">
        <v>114</v>
      </c>
      <c r="C97" s="89">
        <f t="shared" si="22"/>
        <v>0</v>
      </c>
      <c r="D97" s="194"/>
      <c r="E97" s="195"/>
      <c r="F97" s="55">
        <f t="shared" si="26"/>
        <v>0</v>
      </c>
      <c r="G97" s="53"/>
      <c r="H97" s="54"/>
      <c r="I97" s="55">
        <f t="shared" si="27"/>
        <v>0</v>
      </c>
      <c r="J97" s="53"/>
      <c r="K97" s="54"/>
      <c r="L97" s="55">
        <f t="shared" si="28"/>
        <v>0</v>
      </c>
      <c r="M97" s="53"/>
      <c r="N97" s="54"/>
      <c r="O97" s="55">
        <f t="shared" si="29"/>
        <v>0</v>
      </c>
      <c r="P97" s="57"/>
    </row>
    <row r="98" spans="1:16" ht="24" hidden="1" customHeight="1" x14ac:dyDescent="0.25">
      <c r="A98" s="44">
        <v>2233</v>
      </c>
      <c r="B98" s="81" t="s">
        <v>115</v>
      </c>
      <c r="C98" s="82">
        <f t="shared" si="22"/>
        <v>0</v>
      </c>
      <c r="D98" s="196"/>
      <c r="E98" s="197"/>
      <c r="F98" s="133">
        <f t="shared" si="26"/>
        <v>0</v>
      </c>
      <c r="G98" s="46"/>
      <c r="H98" s="47"/>
      <c r="I98" s="133">
        <f t="shared" si="27"/>
        <v>0</v>
      </c>
      <c r="J98" s="46"/>
      <c r="K98" s="47"/>
      <c r="L98" s="133">
        <f t="shared" si="28"/>
        <v>0</v>
      </c>
      <c r="M98" s="46"/>
      <c r="N98" s="47"/>
      <c r="O98" s="133">
        <f t="shared" si="29"/>
        <v>0</v>
      </c>
      <c r="P98" s="49"/>
    </row>
    <row r="99" spans="1:16" ht="36" hidden="1" customHeight="1" x14ac:dyDescent="0.25">
      <c r="A99" s="51">
        <v>2234</v>
      </c>
      <c r="B99" s="88" t="s">
        <v>116</v>
      </c>
      <c r="C99" s="89">
        <f t="shared" si="22"/>
        <v>0</v>
      </c>
      <c r="D99" s="194"/>
      <c r="E99" s="195"/>
      <c r="F99" s="55">
        <f t="shared" si="26"/>
        <v>0</v>
      </c>
      <c r="G99" s="53"/>
      <c r="H99" s="54"/>
      <c r="I99" s="55">
        <f t="shared" si="27"/>
        <v>0</v>
      </c>
      <c r="J99" s="53"/>
      <c r="K99" s="54"/>
      <c r="L99" s="55">
        <f t="shared" si="28"/>
        <v>0</v>
      </c>
      <c r="M99" s="53"/>
      <c r="N99" s="54"/>
      <c r="O99" s="55">
        <f t="shared" si="29"/>
        <v>0</v>
      </c>
      <c r="P99" s="57"/>
    </row>
    <row r="100" spans="1:16" ht="24" customHeight="1" x14ac:dyDescent="0.25">
      <c r="A100" s="51">
        <v>2235</v>
      </c>
      <c r="B100" s="88" t="s">
        <v>117</v>
      </c>
      <c r="C100" s="89">
        <f t="shared" si="22"/>
        <v>570</v>
      </c>
      <c r="D100" s="194">
        <v>300</v>
      </c>
      <c r="E100" s="195"/>
      <c r="F100" s="55">
        <f t="shared" si="26"/>
        <v>300</v>
      </c>
      <c r="G100" s="53"/>
      <c r="H100" s="54"/>
      <c r="I100" s="55">
        <f t="shared" si="27"/>
        <v>0</v>
      </c>
      <c r="J100" s="53">
        <v>270</v>
      </c>
      <c r="K100" s="54"/>
      <c r="L100" s="55">
        <f t="shared" si="28"/>
        <v>270</v>
      </c>
      <c r="M100" s="53"/>
      <c r="N100" s="54"/>
      <c r="O100" s="55">
        <f t="shared" si="29"/>
        <v>0</v>
      </c>
      <c r="P100" s="57"/>
    </row>
    <row r="101" spans="1:16" ht="12" hidden="1" customHeight="1" x14ac:dyDescent="0.25">
      <c r="A101" s="51">
        <v>2236</v>
      </c>
      <c r="B101" s="88" t="s">
        <v>118</v>
      </c>
      <c r="C101" s="89">
        <f t="shared" si="22"/>
        <v>0</v>
      </c>
      <c r="D101" s="194"/>
      <c r="E101" s="195"/>
      <c r="F101" s="55">
        <f t="shared" si="26"/>
        <v>0</v>
      </c>
      <c r="G101" s="53"/>
      <c r="H101" s="54"/>
      <c r="I101" s="55">
        <f t="shared" si="27"/>
        <v>0</v>
      </c>
      <c r="J101" s="53"/>
      <c r="K101" s="54"/>
      <c r="L101" s="55">
        <f t="shared" si="28"/>
        <v>0</v>
      </c>
      <c r="M101" s="53"/>
      <c r="N101" s="54"/>
      <c r="O101" s="55">
        <f t="shared" si="29"/>
        <v>0</v>
      </c>
      <c r="P101" s="57"/>
    </row>
    <row r="102" spans="1:16" ht="24" customHeight="1" x14ac:dyDescent="0.25">
      <c r="A102" s="51">
        <v>2239</v>
      </c>
      <c r="B102" s="88" t="s">
        <v>119</v>
      </c>
      <c r="C102" s="89">
        <f t="shared" si="22"/>
        <v>1893</v>
      </c>
      <c r="D102" s="194">
        <v>1283</v>
      </c>
      <c r="E102" s="195"/>
      <c r="F102" s="55">
        <f t="shared" si="26"/>
        <v>1283</v>
      </c>
      <c r="G102" s="53"/>
      <c r="H102" s="54"/>
      <c r="I102" s="55">
        <f t="shared" si="27"/>
        <v>0</v>
      </c>
      <c r="J102" s="53">
        <v>610</v>
      </c>
      <c r="K102" s="54"/>
      <c r="L102" s="55">
        <f t="shared" si="28"/>
        <v>610</v>
      </c>
      <c r="M102" s="53"/>
      <c r="N102" s="54"/>
      <c r="O102" s="55">
        <f t="shared" si="29"/>
        <v>0</v>
      </c>
      <c r="P102" s="57"/>
    </row>
    <row r="103" spans="1:16" ht="36" x14ac:dyDescent="0.25">
      <c r="A103" s="188">
        <v>2240</v>
      </c>
      <c r="B103" s="88" t="s">
        <v>120</v>
      </c>
      <c r="C103" s="89">
        <f t="shared" si="22"/>
        <v>14037</v>
      </c>
      <c r="D103" s="189">
        <f t="shared" ref="D103:O103" si="30">SUM(D104:D111)</f>
        <v>11331</v>
      </c>
      <c r="E103" s="190">
        <f t="shared" si="30"/>
        <v>0</v>
      </c>
      <c r="F103" s="55">
        <f t="shared" si="30"/>
        <v>11331</v>
      </c>
      <c r="G103" s="189">
        <f t="shared" si="30"/>
        <v>0</v>
      </c>
      <c r="H103" s="190">
        <f t="shared" si="30"/>
        <v>0</v>
      </c>
      <c r="I103" s="55">
        <f t="shared" si="30"/>
        <v>0</v>
      </c>
      <c r="J103" s="189">
        <f t="shared" si="30"/>
        <v>2706</v>
      </c>
      <c r="K103" s="190">
        <f t="shared" si="30"/>
        <v>0</v>
      </c>
      <c r="L103" s="55">
        <f t="shared" si="30"/>
        <v>2706</v>
      </c>
      <c r="M103" s="189">
        <f t="shared" si="30"/>
        <v>0</v>
      </c>
      <c r="N103" s="190">
        <f t="shared" si="30"/>
        <v>0</v>
      </c>
      <c r="O103" s="55">
        <f t="shared" si="30"/>
        <v>0</v>
      </c>
      <c r="P103" s="57"/>
    </row>
    <row r="104" spans="1:16" ht="12" hidden="1" customHeight="1" x14ac:dyDescent="0.25">
      <c r="A104" s="51">
        <v>2241</v>
      </c>
      <c r="B104" s="88" t="s">
        <v>121</v>
      </c>
      <c r="C104" s="89">
        <f t="shared" si="22"/>
        <v>0</v>
      </c>
      <c r="D104" s="194"/>
      <c r="E104" s="195"/>
      <c r="F104" s="55">
        <f t="shared" ref="F104:F111" si="31">D104+E104</f>
        <v>0</v>
      </c>
      <c r="G104" s="53"/>
      <c r="H104" s="54"/>
      <c r="I104" s="55">
        <f t="shared" ref="I104:I111" si="32">G104+H104</f>
        <v>0</v>
      </c>
      <c r="J104" s="53"/>
      <c r="K104" s="54"/>
      <c r="L104" s="55">
        <f t="shared" ref="L104:L111" si="33">K104+J104</f>
        <v>0</v>
      </c>
      <c r="M104" s="53"/>
      <c r="N104" s="54"/>
      <c r="O104" s="55">
        <f t="shared" ref="O104:O111" si="34">N104+M104</f>
        <v>0</v>
      </c>
      <c r="P104" s="57"/>
    </row>
    <row r="105" spans="1:16" ht="24" hidden="1" customHeight="1" x14ac:dyDescent="0.25">
      <c r="A105" s="51">
        <v>2242</v>
      </c>
      <c r="B105" s="88" t="s">
        <v>122</v>
      </c>
      <c r="C105" s="89">
        <f t="shared" si="22"/>
        <v>0</v>
      </c>
      <c r="D105" s="194"/>
      <c r="E105" s="195"/>
      <c r="F105" s="55">
        <f t="shared" si="31"/>
        <v>0</v>
      </c>
      <c r="G105" s="53"/>
      <c r="H105" s="54"/>
      <c r="I105" s="55">
        <f t="shared" si="32"/>
        <v>0</v>
      </c>
      <c r="J105" s="53"/>
      <c r="K105" s="54"/>
      <c r="L105" s="55">
        <f t="shared" si="33"/>
        <v>0</v>
      </c>
      <c r="M105" s="53"/>
      <c r="N105" s="54"/>
      <c r="O105" s="55">
        <f t="shared" si="34"/>
        <v>0</v>
      </c>
      <c r="P105" s="57"/>
    </row>
    <row r="106" spans="1:16" ht="25.5" customHeight="1" x14ac:dyDescent="0.25">
      <c r="A106" s="51">
        <v>2243</v>
      </c>
      <c r="B106" s="88" t="s">
        <v>123</v>
      </c>
      <c r="C106" s="89">
        <f t="shared" si="22"/>
        <v>1883</v>
      </c>
      <c r="D106" s="194"/>
      <c r="E106" s="195"/>
      <c r="F106" s="55">
        <f t="shared" si="31"/>
        <v>0</v>
      </c>
      <c r="G106" s="53"/>
      <c r="H106" s="54"/>
      <c r="I106" s="55">
        <f t="shared" si="32"/>
        <v>0</v>
      </c>
      <c r="J106" s="53">
        <v>1883</v>
      </c>
      <c r="K106" s="54"/>
      <c r="L106" s="55">
        <f t="shared" si="33"/>
        <v>1883</v>
      </c>
      <c r="M106" s="53"/>
      <c r="N106" s="54"/>
      <c r="O106" s="55">
        <f t="shared" si="34"/>
        <v>0</v>
      </c>
      <c r="P106" s="57"/>
    </row>
    <row r="107" spans="1:16" ht="12" customHeight="1" x14ac:dyDescent="0.25">
      <c r="A107" s="51">
        <v>2244</v>
      </c>
      <c r="B107" s="88" t="s">
        <v>124</v>
      </c>
      <c r="C107" s="89">
        <f t="shared" si="22"/>
        <v>12154</v>
      </c>
      <c r="D107" s="194">
        <v>11331</v>
      </c>
      <c r="E107" s="195"/>
      <c r="F107" s="55">
        <f t="shared" si="31"/>
        <v>11331</v>
      </c>
      <c r="G107" s="53"/>
      <c r="H107" s="54"/>
      <c r="I107" s="55">
        <f t="shared" si="32"/>
        <v>0</v>
      </c>
      <c r="J107" s="53">
        <v>823</v>
      </c>
      <c r="K107" s="54"/>
      <c r="L107" s="55">
        <f t="shared" si="33"/>
        <v>823</v>
      </c>
      <c r="M107" s="53"/>
      <c r="N107" s="54"/>
      <c r="O107" s="55">
        <f t="shared" si="34"/>
        <v>0</v>
      </c>
      <c r="P107" s="57"/>
    </row>
    <row r="108" spans="1:16" ht="24" hidden="1" customHeight="1" x14ac:dyDescent="0.25">
      <c r="A108" s="51">
        <v>2246</v>
      </c>
      <c r="B108" s="88" t="s">
        <v>125</v>
      </c>
      <c r="C108" s="89">
        <f t="shared" si="22"/>
        <v>0</v>
      </c>
      <c r="D108" s="194"/>
      <c r="E108" s="195"/>
      <c r="F108" s="55">
        <f t="shared" si="31"/>
        <v>0</v>
      </c>
      <c r="G108" s="53"/>
      <c r="H108" s="54"/>
      <c r="I108" s="55">
        <f t="shared" si="32"/>
        <v>0</v>
      </c>
      <c r="J108" s="53"/>
      <c r="K108" s="54"/>
      <c r="L108" s="55">
        <f t="shared" si="33"/>
        <v>0</v>
      </c>
      <c r="M108" s="53"/>
      <c r="N108" s="54"/>
      <c r="O108" s="55">
        <f t="shared" si="34"/>
        <v>0</v>
      </c>
      <c r="P108" s="57"/>
    </row>
    <row r="109" spans="1:16" ht="12" hidden="1" customHeight="1" x14ac:dyDescent="0.25">
      <c r="A109" s="51">
        <v>2247</v>
      </c>
      <c r="B109" s="88" t="s">
        <v>126</v>
      </c>
      <c r="C109" s="89">
        <f t="shared" si="22"/>
        <v>0</v>
      </c>
      <c r="D109" s="194"/>
      <c r="E109" s="195"/>
      <c r="F109" s="55">
        <f t="shared" si="31"/>
        <v>0</v>
      </c>
      <c r="G109" s="53"/>
      <c r="H109" s="54"/>
      <c r="I109" s="55">
        <f t="shared" si="32"/>
        <v>0</v>
      </c>
      <c r="J109" s="53"/>
      <c r="K109" s="54"/>
      <c r="L109" s="55">
        <f t="shared" si="33"/>
        <v>0</v>
      </c>
      <c r="M109" s="53"/>
      <c r="N109" s="54"/>
      <c r="O109" s="55">
        <f t="shared" si="34"/>
        <v>0</v>
      </c>
      <c r="P109" s="57"/>
    </row>
    <row r="110" spans="1:16" ht="24" hidden="1" customHeight="1" x14ac:dyDescent="0.25">
      <c r="A110" s="51">
        <v>2248</v>
      </c>
      <c r="B110" s="88" t="s">
        <v>127</v>
      </c>
      <c r="C110" s="89">
        <f t="shared" si="22"/>
        <v>0</v>
      </c>
      <c r="D110" s="194"/>
      <c r="E110" s="195"/>
      <c r="F110" s="55">
        <f t="shared" si="31"/>
        <v>0</v>
      </c>
      <c r="G110" s="53"/>
      <c r="H110" s="54"/>
      <c r="I110" s="55">
        <f t="shared" si="32"/>
        <v>0</v>
      </c>
      <c r="J110" s="53"/>
      <c r="K110" s="54"/>
      <c r="L110" s="55">
        <f t="shared" si="33"/>
        <v>0</v>
      </c>
      <c r="M110" s="53"/>
      <c r="N110" s="54"/>
      <c r="O110" s="55">
        <f t="shared" si="34"/>
        <v>0</v>
      </c>
      <c r="P110" s="57"/>
    </row>
    <row r="111" spans="1:16" ht="24" hidden="1" customHeight="1" x14ac:dyDescent="0.25">
      <c r="A111" s="51">
        <v>2249</v>
      </c>
      <c r="B111" s="88" t="s">
        <v>128</v>
      </c>
      <c r="C111" s="89">
        <f t="shared" si="22"/>
        <v>0</v>
      </c>
      <c r="D111" s="194"/>
      <c r="E111" s="195"/>
      <c r="F111" s="55">
        <f t="shared" si="31"/>
        <v>0</v>
      </c>
      <c r="G111" s="53"/>
      <c r="H111" s="54"/>
      <c r="I111" s="55">
        <f t="shared" si="32"/>
        <v>0</v>
      </c>
      <c r="J111" s="53"/>
      <c r="K111" s="54"/>
      <c r="L111" s="55">
        <f t="shared" si="33"/>
        <v>0</v>
      </c>
      <c r="M111" s="53"/>
      <c r="N111" s="54"/>
      <c r="O111" s="55">
        <f t="shared" si="34"/>
        <v>0</v>
      </c>
      <c r="P111" s="57"/>
    </row>
    <row r="112" spans="1:16" x14ac:dyDescent="0.25">
      <c r="A112" s="188">
        <v>2250</v>
      </c>
      <c r="B112" s="88" t="s">
        <v>129</v>
      </c>
      <c r="C112" s="89">
        <f t="shared" si="22"/>
        <v>765</v>
      </c>
      <c r="D112" s="189">
        <f t="shared" ref="D112:O112" si="35">SUM(D113:D115)</f>
        <v>329</v>
      </c>
      <c r="E112" s="190">
        <f t="shared" si="35"/>
        <v>0</v>
      </c>
      <c r="F112" s="55">
        <f t="shared" si="35"/>
        <v>329</v>
      </c>
      <c r="G112" s="189">
        <f t="shared" si="35"/>
        <v>0</v>
      </c>
      <c r="H112" s="190">
        <f t="shared" si="35"/>
        <v>0</v>
      </c>
      <c r="I112" s="55">
        <f t="shared" si="35"/>
        <v>0</v>
      </c>
      <c r="J112" s="189">
        <f t="shared" si="35"/>
        <v>436</v>
      </c>
      <c r="K112" s="190">
        <f t="shared" si="35"/>
        <v>0</v>
      </c>
      <c r="L112" s="55">
        <f t="shared" si="35"/>
        <v>436</v>
      </c>
      <c r="M112" s="189">
        <f t="shared" si="35"/>
        <v>0</v>
      </c>
      <c r="N112" s="190">
        <f t="shared" si="35"/>
        <v>0</v>
      </c>
      <c r="O112" s="55">
        <f t="shared" si="35"/>
        <v>0</v>
      </c>
      <c r="P112" s="57"/>
    </row>
    <row r="113" spans="1:16" ht="12" hidden="1" customHeight="1" x14ac:dyDescent="0.25">
      <c r="A113" s="51">
        <v>2251</v>
      </c>
      <c r="B113" s="88" t="s">
        <v>130</v>
      </c>
      <c r="C113" s="89">
        <f t="shared" si="22"/>
        <v>0</v>
      </c>
      <c r="D113" s="194"/>
      <c r="E113" s="195"/>
      <c r="F113" s="55">
        <f>D113+E113</f>
        <v>0</v>
      </c>
      <c r="G113" s="53"/>
      <c r="H113" s="54"/>
      <c r="I113" s="55">
        <f>G113+H113</f>
        <v>0</v>
      </c>
      <c r="J113" s="53"/>
      <c r="K113" s="54"/>
      <c r="L113" s="55">
        <f>K113+J113</f>
        <v>0</v>
      </c>
      <c r="M113" s="53"/>
      <c r="N113" s="54"/>
      <c r="O113" s="55">
        <f>N113+M113</f>
        <v>0</v>
      </c>
      <c r="P113" s="57"/>
    </row>
    <row r="114" spans="1:16" ht="24" customHeight="1" x14ac:dyDescent="0.25">
      <c r="A114" s="51">
        <v>2252</v>
      </c>
      <c r="B114" s="88" t="s">
        <v>131</v>
      </c>
      <c r="C114" s="89">
        <f t="shared" si="22"/>
        <v>329</v>
      </c>
      <c r="D114" s="194">
        <v>329</v>
      </c>
      <c r="E114" s="195"/>
      <c r="F114" s="55">
        <f>D114+E114</f>
        <v>329</v>
      </c>
      <c r="G114" s="53"/>
      <c r="H114" s="54"/>
      <c r="I114" s="55">
        <f>G114+H114</f>
        <v>0</v>
      </c>
      <c r="J114" s="53"/>
      <c r="K114" s="54"/>
      <c r="L114" s="55">
        <f>K114+J114</f>
        <v>0</v>
      </c>
      <c r="M114" s="53"/>
      <c r="N114" s="54"/>
      <c r="O114" s="55">
        <f>N114+M114</f>
        <v>0</v>
      </c>
      <c r="P114" s="57"/>
    </row>
    <row r="115" spans="1:16" ht="24" customHeight="1" x14ac:dyDescent="0.25">
      <c r="A115" s="51">
        <v>2259</v>
      </c>
      <c r="B115" s="88" t="s">
        <v>132</v>
      </c>
      <c r="C115" s="89">
        <f t="shared" si="22"/>
        <v>436</v>
      </c>
      <c r="D115" s="194"/>
      <c r="E115" s="195"/>
      <c r="F115" s="55">
        <f>D115+E115</f>
        <v>0</v>
      </c>
      <c r="G115" s="53"/>
      <c r="H115" s="54"/>
      <c r="I115" s="55">
        <f>G115+H115</f>
        <v>0</v>
      </c>
      <c r="J115" s="53">
        <v>436</v>
      </c>
      <c r="K115" s="54"/>
      <c r="L115" s="55">
        <f>K115+J115</f>
        <v>436</v>
      </c>
      <c r="M115" s="53"/>
      <c r="N115" s="54"/>
      <c r="O115" s="55">
        <f>N115+M115</f>
        <v>0</v>
      </c>
      <c r="P115" s="57"/>
    </row>
    <row r="116" spans="1:16" x14ac:dyDescent="0.25">
      <c r="A116" s="188">
        <v>2260</v>
      </c>
      <c r="B116" s="88" t="s">
        <v>133</v>
      </c>
      <c r="C116" s="89">
        <f t="shared" si="22"/>
        <v>3956</v>
      </c>
      <c r="D116" s="189">
        <f t="shared" ref="D116:O116" si="36">SUM(D117:D121)</f>
        <v>26</v>
      </c>
      <c r="E116" s="190">
        <f t="shared" si="36"/>
        <v>0</v>
      </c>
      <c r="F116" s="55">
        <f t="shared" si="36"/>
        <v>26</v>
      </c>
      <c r="G116" s="189">
        <f t="shared" si="36"/>
        <v>0</v>
      </c>
      <c r="H116" s="190">
        <f t="shared" si="36"/>
        <v>0</v>
      </c>
      <c r="I116" s="55">
        <f t="shared" si="36"/>
        <v>0</v>
      </c>
      <c r="J116" s="189">
        <f t="shared" si="36"/>
        <v>3430</v>
      </c>
      <c r="K116" s="190">
        <f t="shared" si="36"/>
        <v>500</v>
      </c>
      <c r="L116" s="55">
        <f t="shared" si="36"/>
        <v>3930</v>
      </c>
      <c r="M116" s="189">
        <f t="shared" si="36"/>
        <v>0</v>
      </c>
      <c r="N116" s="190">
        <f t="shared" si="36"/>
        <v>0</v>
      </c>
      <c r="O116" s="55">
        <f t="shared" si="36"/>
        <v>0</v>
      </c>
      <c r="P116" s="57"/>
    </row>
    <row r="117" spans="1:16" ht="12" hidden="1" customHeight="1" x14ac:dyDescent="0.25">
      <c r="A117" s="51">
        <v>2261</v>
      </c>
      <c r="B117" s="88" t="s">
        <v>134</v>
      </c>
      <c r="C117" s="89">
        <f t="shared" si="22"/>
        <v>0</v>
      </c>
      <c r="D117" s="194"/>
      <c r="E117" s="195"/>
      <c r="F117" s="55">
        <f>D117+E117</f>
        <v>0</v>
      </c>
      <c r="G117" s="53"/>
      <c r="H117" s="54"/>
      <c r="I117" s="55">
        <f>G117+H117</f>
        <v>0</v>
      </c>
      <c r="J117" s="53"/>
      <c r="K117" s="54"/>
      <c r="L117" s="55">
        <f>K117+J117</f>
        <v>0</v>
      </c>
      <c r="M117" s="53"/>
      <c r="N117" s="54"/>
      <c r="O117" s="55">
        <f>N117+M117</f>
        <v>0</v>
      </c>
      <c r="P117" s="57"/>
    </row>
    <row r="118" spans="1:16" ht="15" customHeight="1" x14ac:dyDescent="0.25">
      <c r="A118" s="51">
        <v>2262</v>
      </c>
      <c r="B118" s="88" t="s">
        <v>135</v>
      </c>
      <c r="C118" s="89">
        <f t="shared" si="22"/>
        <v>3767</v>
      </c>
      <c r="D118" s="194"/>
      <c r="E118" s="195"/>
      <c r="F118" s="55">
        <f>D118+E118</f>
        <v>0</v>
      </c>
      <c r="G118" s="53"/>
      <c r="H118" s="54"/>
      <c r="I118" s="55">
        <f>G118+H118</f>
        <v>0</v>
      </c>
      <c r="J118" s="53">
        <v>3267</v>
      </c>
      <c r="K118" s="286">
        <v>500</v>
      </c>
      <c r="L118" s="55">
        <f>K118+J118</f>
        <v>3767</v>
      </c>
      <c r="M118" s="53"/>
      <c r="N118" s="54"/>
      <c r="O118" s="55">
        <f>N118+M118</f>
        <v>0</v>
      </c>
      <c r="P118" s="57" t="s">
        <v>1252</v>
      </c>
    </row>
    <row r="119" spans="1:16" ht="12" hidden="1" customHeight="1" x14ac:dyDescent="0.25">
      <c r="A119" s="51">
        <v>2263</v>
      </c>
      <c r="B119" s="88" t="s">
        <v>136</v>
      </c>
      <c r="C119" s="89">
        <f t="shared" si="22"/>
        <v>0</v>
      </c>
      <c r="D119" s="194"/>
      <c r="E119" s="195"/>
      <c r="F119" s="55">
        <f>D119+E119</f>
        <v>0</v>
      </c>
      <c r="G119" s="53"/>
      <c r="H119" s="54"/>
      <c r="I119" s="55">
        <f>G119+H119</f>
        <v>0</v>
      </c>
      <c r="J119" s="53"/>
      <c r="K119" s="54"/>
      <c r="L119" s="55">
        <f>K119+J119</f>
        <v>0</v>
      </c>
      <c r="M119" s="53"/>
      <c r="N119" s="54"/>
      <c r="O119" s="55">
        <f>N119+M119</f>
        <v>0</v>
      </c>
      <c r="P119" s="57"/>
    </row>
    <row r="120" spans="1:16" ht="24" customHeight="1" x14ac:dyDescent="0.25">
      <c r="A120" s="51">
        <v>2264</v>
      </c>
      <c r="B120" s="88" t="s">
        <v>137</v>
      </c>
      <c r="C120" s="89">
        <f t="shared" si="22"/>
        <v>163</v>
      </c>
      <c r="D120" s="194"/>
      <c r="E120" s="195"/>
      <c r="F120" s="55">
        <f>D120+E120</f>
        <v>0</v>
      </c>
      <c r="G120" s="53"/>
      <c r="H120" s="54"/>
      <c r="I120" s="55">
        <f>G120+H120</f>
        <v>0</v>
      </c>
      <c r="J120" s="53">
        <v>163</v>
      </c>
      <c r="K120" s="54"/>
      <c r="L120" s="55">
        <f>K120+J120</f>
        <v>163</v>
      </c>
      <c r="M120" s="53"/>
      <c r="N120" s="54"/>
      <c r="O120" s="55">
        <f>N120+M120</f>
        <v>0</v>
      </c>
      <c r="P120" s="57"/>
    </row>
    <row r="121" spans="1:16" ht="12" customHeight="1" x14ac:dyDescent="0.25">
      <c r="A121" s="51">
        <v>2269</v>
      </c>
      <c r="B121" s="88" t="s">
        <v>138</v>
      </c>
      <c r="C121" s="89">
        <f t="shared" si="22"/>
        <v>26</v>
      </c>
      <c r="D121" s="194">
        <v>26</v>
      </c>
      <c r="E121" s="195"/>
      <c r="F121" s="55">
        <f>D121+E121</f>
        <v>26</v>
      </c>
      <c r="G121" s="53"/>
      <c r="H121" s="54"/>
      <c r="I121" s="55">
        <f>G121+H121</f>
        <v>0</v>
      </c>
      <c r="J121" s="53"/>
      <c r="K121" s="54"/>
      <c r="L121" s="55">
        <f>K121+J121</f>
        <v>0</v>
      </c>
      <c r="M121" s="53"/>
      <c r="N121" s="54"/>
      <c r="O121" s="55">
        <f>N121+M121</f>
        <v>0</v>
      </c>
      <c r="P121" s="57"/>
    </row>
    <row r="122" spans="1:16" x14ac:dyDescent="0.25">
      <c r="A122" s="188">
        <v>2270</v>
      </c>
      <c r="B122" s="88" t="s">
        <v>139</v>
      </c>
      <c r="C122" s="89">
        <f t="shared" si="22"/>
        <v>12523</v>
      </c>
      <c r="D122" s="189">
        <f t="shared" ref="D122:O122" si="37">SUM(D123:D127)</f>
        <v>6878</v>
      </c>
      <c r="E122" s="190">
        <f t="shared" si="37"/>
        <v>0</v>
      </c>
      <c r="F122" s="55">
        <f t="shared" si="37"/>
        <v>6878</v>
      </c>
      <c r="G122" s="189">
        <f t="shared" si="37"/>
        <v>0</v>
      </c>
      <c r="H122" s="190">
        <f t="shared" si="37"/>
        <v>0</v>
      </c>
      <c r="I122" s="55">
        <f t="shared" si="37"/>
        <v>0</v>
      </c>
      <c r="J122" s="189">
        <f t="shared" si="37"/>
        <v>5645</v>
      </c>
      <c r="K122" s="190">
        <f t="shared" si="37"/>
        <v>0</v>
      </c>
      <c r="L122" s="55">
        <f t="shared" si="37"/>
        <v>5645</v>
      </c>
      <c r="M122" s="189">
        <f t="shared" si="37"/>
        <v>0</v>
      </c>
      <c r="N122" s="190">
        <f t="shared" si="37"/>
        <v>0</v>
      </c>
      <c r="O122" s="55">
        <f t="shared" si="37"/>
        <v>0</v>
      </c>
      <c r="P122" s="57"/>
    </row>
    <row r="123" spans="1:16" ht="12" hidden="1" customHeight="1" x14ac:dyDescent="0.25">
      <c r="A123" s="51">
        <v>2272</v>
      </c>
      <c r="B123" s="199" t="s">
        <v>140</v>
      </c>
      <c r="C123" s="89">
        <f t="shared" si="22"/>
        <v>0</v>
      </c>
      <c r="D123" s="194"/>
      <c r="E123" s="195"/>
      <c r="F123" s="55">
        <f>D123+E123</f>
        <v>0</v>
      </c>
      <c r="G123" s="53"/>
      <c r="H123" s="54"/>
      <c r="I123" s="55">
        <f>G123+H123</f>
        <v>0</v>
      </c>
      <c r="J123" s="53"/>
      <c r="K123" s="54"/>
      <c r="L123" s="55">
        <f>K123+J123</f>
        <v>0</v>
      </c>
      <c r="M123" s="53"/>
      <c r="N123" s="54"/>
      <c r="O123" s="55">
        <f>N123+M123</f>
        <v>0</v>
      </c>
      <c r="P123" s="57"/>
    </row>
    <row r="124" spans="1:16" ht="24" hidden="1" customHeight="1" x14ac:dyDescent="0.25">
      <c r="A124" s="51">
        <v>2274</v>
      </c>
      <c r="B124" s="200" t="s">
        <v>141</v>
      </c>
      <c r="C124" s="89">
        <f t="shared" si="22"/>
        <v>0</v>
      </c>
      <c r="D124" s="194"/>
      <c r="E124" s="195"/>
      <c r="F124" s="55">
        <f>D124+E124</f>
        <v>0</v>
      </c>
      <c r="G124" s="53"/>
      <c r="H124" s="54"/>
      <c r="I124" s="55">
        <f>G124+H124</f>
        <v>0</v>
      </c>
      <c r="J124" s="53"/>
      <c r="K124" s="54"/>
      <c r="L124" s="55">
        <f>K124+J124</f>
        <v>0</v>
      </c>
      <c r="M124" s="53"/>
      <c r="N124" s="54"/>
      <c r="O124" s="55">
        <f>N124+M124</f>
        <v>0</v>
      </c>
      <c r="P124" s="57"/>
    </row>
    <row r="125" spans="1:16" ht="24" hidden="1" customHeight="1" x14ac:dyDescent="0.25">
      <c r="A125" s="51">
        <v>2275</v>
      </c>
      <c r="B125" s="88" t="s">
        <v>142</v>
      </c>
      <c r="C125" s="89">
        <f t="shared" si="22"/>
        <v>0</v>
      </c>
      <c r="D125" s="194"/>
      <c r="E125" s="195"/>
      <c r="F125" s="55">
        <f>D125+E125</f>
        <v>0</v>
      </c>
      <c r="G125" s="53"/>
      <c r="H125" s="54"/>
      <c r="I125" s="55">
        <f>G125+H125</f>
        <v>0</v>
      </c>
      <c r="J125" s="53"/>
      <c r="K125" s="54"/>
      <c r="L125" s="55">
        <f>K125+J125</f>
        <v>0</v>
      </c>
      <c r="M125" s="53"/>
      <c r="N125" s="54"/>
      <c r="O125" s="55">
        <f>N125+M125</f>
        <v>0</v>
      </c>
      <c r="P125" s="57"/>
    </row>
    <row r="126" spans="1:16" ht="36" hidden="1" customHeight="1" x14ac:dyDescent="0.25">
      <c r="A126" s="51">
        <v>2276</v>
      </c>
      <c r="B126" s="88" t="s">
        <v>143</v>
      </c>
      <c r="C126" s="89">
        <f t="shared" si="22"/>
        <v>0</v>
      </c>
      <c r="D126" s="194"/>
      <c r="E126" s="195"/>
      <c r="F126" s="55">
        <f>D126+E126</f>
        <v>0</v>
      </c>
      <c r="G126" s="53"/>
      <c r="H126" s="54"/>
      <c r="I126" s="55">
        <f>G126+H126</f>
        <v>0</v>
      </c>
      <c r="J126" s="53"/>
      <c r="K126" s="54"/>
      <c r="L126" s="55">
        <f>K126+J126</f>
        <v>0</v>
      </c>
      <c r="M126" s="53"/>
      <c r="N126" s="54"/>
      <c r="O126" s="55">
        <f>N126+M126</f>
        <v>0</v>
      </c>
      <c r="P126" s="57"/>
    </row>
    <row r="127" spans="1:16" ht="24" customHeight="1" x14ac:dyDescent="0.25">
      <c r="A127" s="51">
        <v>2279</v>
      </c>
      <c r="B127" s="88" t="s">
        <v>144</v>
      </c>
      <c r="C127" s="89">
        <f t="shared" si="22"/>
        <v>12523</v>
      </c>
      <c r="D127" s="194">
        <v>6878</v>
      </c>
      <c r="E127" s="195"/>
      <c r="F127" s="55">
        <f>D127+E127</f>
        <v>6878</v>
      </c>
      <c r="G127" s="53"/>
      <c r="H127" s="54"/>
      <c r="I127" s="55">
        <f>G127+H127</f>
        <v>0</v>
      </c>
      <c r="J127" s="53">
        <v>5645</v>
      </c>
      <c r="K127" s="54"/>
      <c r="L127" s="55">
        <f>K127+J127</f>
        <v>5645</v>
      </c>
      <c r="M127" s="53"/>
      <c r="N127" s="54"/>
      <c r="O127" s="55">
        <f>N127+M127</f>
        <v>0</v>
      </c>
      <c r="P127" s="57"/>
    </row>
    <row r="128" spans="1:16" ht="48" hidden="1" x14ac:dyDescent="0.25">
      <c r="A128" s="729">
        <v>2280</v>
      </c>
      <c r="B128" s="81" t="s">
        <v>145</v>
      </c>
      <c r="C128" s="82">
        <f t="shared" si="22"/>
        <v>0</v>
      </c>
      <c r="D128" s="192">
        <f t="shared" ref="D128:O128" si="38">SUM(D129)</f>
        <v>0</v>
      </c>
      <c r="E128" s="193">
        <f t="shared" si="38"/>
        <v>0</v>
      </c>
      <c r="F128" s="133">
        <f t="shared" si="38"/>
        <v>0</v>
      </c>
      <c r="G128" s="192">
        <f t="shared" si="38"/>
        <v>0</v>
      </c>
      <c r="H128" s="193">
        <f t="shared" si="38"/>
        <v>0</v>
      </c>
      <c r="I128" s="133">
        <f t="shared" si="38"/>
        <v>0</v>
      </c>
      <c r="J128" s="192">
        <f t="shared" si="38"/>
        <v>0</v>
      </c>
      <c r="K128" s="193">
        <f t="shared" si="38"/>
        <v>0</v>
      </c>
      <c r="L128" s="133">
        <f t="shared" si="38"/>
        <v>0</v>
      </c>
      <c r="M128" s="192">
        <f t="shared" si="38"/>
        <v>0</v>
      </c>
      <c r="N128" s="193">
        <f t="shared" si="38"/>
        <v>0</v>
      </c>
      <c r="O128" s="133">
        <f t="shared" si="38"/>
        <v>0</v>
      </c>
      <c r="P128" s="49"/>
    </row>
    <row r="129" spans="1:16" ht="24" hidden="1" customHeight="1" x14ac:dyDescent="0.25">
      <c r="A129" s="51">
        <v>2283</v>
      </c>
      <c r="B129" s="88" t="s">
        <v>146</v>
      </c>
      <c r="C129" s="89">
        <f t="shared" si="2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22"/>
        <v>19205</v>
      </c>
      <c r="D130" s="183">
        <f t="shared" ref="D130:O130" si="39">SUM(D131,D136,D140,D141,D144,D151,D159,D160,D163)</f>
        <v>8770</v>
      </c>
      <c r="E130" s="184">
        <f t="shared" si="39"/>
        <v>0</v>
      </c>
      <c r="F130" s="72">
        <f t="shared" si="39"/>
        <v>8770</v>
      </c>
      <c r="G130" s="183">
        <f t="shared" si="39"/>
        <v>0</v>
      </c>
      <c r="H130" s="184">
        <f t="shared" si="39"/>
        <v>0</v>
      </c>
      <c r="I130" s="72">
        <f t="shared" si="39"/>
        <v>0</v>
      </c>
      <c r="J130" s="183">
        <f t="shared" si="39"/>
        <v>7914</v>
      </c>
      <c r="K130" s="184">
        <f t="shared" si="39"/>
        <v>2491</v>
      </c>
      <c r="L130" s="72">
        <f t="shared" si="39"/>
        <v>10405</v>
      </c>
      <c r="M130" s="183">
        <f t="shared" si="39"/>
        <v>30</v>
      </c>
      <c r="N130" s="184">
        <f t="shared" si="39"/>
        <v>0</v>
      </c>
      <c r="O130" s="72">
        <f t="shared" si="39"/>
        <v>30</v>
      </c>
      <c r="P130" s="76"/>
    </row>
    <row r="131" spans="1:16" ht="24" x14ac:dyDescent="0.25">
      <c r="A131" s="729">
        <v>2310</v>
      </c>
      <c r="B131" s="81" t="s">
        <v>148</v>
      </c>
      <c r="C131" s="82">
        <f t="shared" si="22"/>
        <v>9842</v>
      </c>
      <c r="D131" s="192">
        <f t="shared" ref="D131:O131" si="40">SUM(D132:D135)</f>
        <v>3511</v>
      </c>
      <c r="E131" s="193">
        <f t="shared" si="40"/>
        <v>0</v>
      </c>
      <c r="F131" s="133">
        <f t="shared" si="40"/>
        <v>3511</v>
      </c>
      <c r="G131" s="192">
        <f t="shared" si="40"/>
        <v>0</v>
      </c>
      <c r="H131" s="193">
        <f t="shared" si="40"/>
        <v>0</v>
      </c>
      <c r="I131" s="133">
        <f t="shared" si="40"/>
        <v>0</v>
      </c>
      <c r="J131" s="192">
        <f t="shared" si="40"/>
        <v>3840</v>
      </c>
      <c r="K131" s="193">
        <f t="shared" si="40"/>
        <v>2491</v>
      </c>
      <c r="L131" s="133">
        <f t="shared" si="40"/>
        <v>6331</v>
      </c>
      <c r="M131" s="192">
        <f t="shared" si="40"/>
        <v>0</v>
      </c>
      <c r="N131" s="193">
        <f t="shared" si="40"/>
        <v>0</v>
      </c>
      <c r="O131" s="133">
        <f t="shared" si="40"/>
        <v>0</v>
      </c>
      <c r="P131" s="49"/>
    </row>
    <row r="132" spans="1:16" ht="14.25" customHeight="1" x14ac:dyDescent="0.25">
      <c r="A132" s="51">
        <v>2311</v>
      </c>
      <c r="B132" s="88" t="s">
        <v>149</v>
      </c>
      <c r="C132" s="89">
        <f t="shared" si="22"/>
        <v>2505</v>
      </c>
      <c r="D132" s="194">
        <v>693</v>
      </c>
      <c r="E132" s="195"/>
      <c r="F132" s="55">
        <f>D132+E132</f>
        <v>693</v>
      </c>
      <c r="G132" s="53"/>
      <c r="H132" s="54"/>
      <c r="I132" s="55">
        <f>G132+H132</f>
        <v>0</v>
      </c>
      <c r="J132" s="53">
        <v>996</v>
      </c>
      <c r="K132" s="286">
        <v>816</v>
      </c>
      <c r="L132" s="55">
        <f>K132+J132</f>
        <v>1812</v>
      </c>
      <c r="M132" s="53"/>
      <c r="N132" s="54"/>
      <c r="O132" s="55">
        <f>N132+M132</f>
        <v>0</v>
      </c>
      <c r="P132" s="57" t="s">
        <v>1253</v>
      </c>
    </row>
    <row r="133" spans="1:16" ht="15" customHeight="1" x14ac:dyDescent="0.25">
      <c r="A133" s="51">
        <v>2312</v>
      </c>
      <c r="B133" s="88" t="s">
        <v>150</v>
      </c>
      <c r="C133" s="89">
        <f t="shared" si="22"/>
        <v>5393</v>
      </c>
      <c r="D133" s="194">
        <v>2458</v>
      </c>
      <c r="E133" s="195"/>
      <c r="F133" s="55">
        <f>D133+E133</f>
        <v>2458</v>
      </c>
      <c r="G133" s="53"/>
      <c r="H133" s="54"/>
      <c r="I133" s="55">
        <f>G133+H133</f>
        <v>0</v>
      </c>
      <c r="J133" s="53">
        <v>1260</v>
      </c>
      <c r="K133" s="286">
        <v>1675</v>
      </c>
      <c r="L133" s="55">
        <f>K133+J133</f>
        <v>2935</v>
      </c>
      <c r="M133" s="53"/>
      <c r="N133" s="54"/>
      <c r="O133" s="55">
        <f>N133+M133</f>
        <v>0</v>
      </c>
      <c r="P133" s="57" t="s">
        <v>1254</v>
      </c>
    </row>
    <row r="134" spans="1:16" ht="12" customHeight="1" x14ac:dyDescent="0.25">
      <c r="A134" s="51">
        <v>2313</v>
      </c>
      <c r="B134" s="88" t="s">
        <v>151</v>
      </c>
      <c r="C134" s="89">
        <f t="shared" si="22"/>
        <v>360</v>
      </c>
      <c r="D134" s="194">
        <v>360</v>
      </c>
      <c r="E134" s="195"/>
      <c r="F134" s="55">
        <f>D134+E134</f>
        <v>360</v>
      </c>
      <c r="G134" s="53"/>
      <c r="H134" s="54"/>
      <c r="I134" s="55">
        <f>G134+H134</f>
        <v>0</v>
      </c>
      <c r="J134" s="53"/>
      <c r="K134" s="54"/>
      <c r="L134" s="55">
        <f>K134+J134</f>
        <v>0</v>
      </c>
      <c r="M134" s="53"/>
      <c r="N134" s="54"/>
      <c r="O134" s="55">
        <f>N134+M134</f>
        <v>0</v>
      </c>
      <c r="P134" s="57"/>
    </row>
    <row r="135" spans="1:16" ht="36" customHeight="1" x14ac:dyDescent="0.25">
      <c r="A135" s="51">
        <v>2314</v>
      </c>
      <c r="B135" s="88" t="s">
        <v>152</v>
      </c>
      <c r="C135" s="89">
        <f t="shared" si="22"/>
        <v>1584</v>
      </c>
      <c r="D135" s="194"/>
      <c r="E135" s="195"/>
      <c r="F135" s="55">
        <f>D135+E135</f>
        <v>0</v>
      </c>
      <c r="G135" s="53"/>
      <c r="H135" s="54"/>
      <c r="I135" s="55">
        <f>G135+H135</f>
        <v>0</v>
      </c>
      <c r="J135" s="53">
        <v>1584</v>
      </c>
      <c r="K135" s="54"/>
      <c r="L135" s="55">
        <f>K135+J135</f>
        <v>1584</v>
      </c>
      <c r="M135" s="53"/>
      <c r="N135" s="54"/>
      <c r="O135" s="55">
        <f>N135+M135</f>
        <v>0</v>
      </c>
      <c r="P135" s="57"/>
    </row>
    <row r="136" spans="1:16" x14ac:dyDescent="0.25">
      <c r="A136" s="188">
        <v>2320</v>
      </c>
      <c r="B136" s="88" t="s">
        <v>153</v>
      </c>
      <c r="C136" s="89">
        <f t="shared" si="22"/>
        <v>549</v>
      </c>
      <c r="D136" s="189">
        <f t="shared" ref="D136:O136" si="41">SUM(D137:D139)</f>
        <v>0</v>
      </c>
      <c r="E136" s="190">
        <f t="shared" si="41"/>
        <v>0</v>
      </c>
      <c r="F136" s="55">
        <f t="shared" si="41"/>
        <v>0</v>
      </c>
      <c r="G136" s="189">
        <f t="shared" si="41"/>
        <v>0</v>
      </c>
      <c r="H136" s="190">
        <f t="shared" si="41"/>
        <v>0</v>
      </c>
      <c r="I136" s="55">
        <f t="shared" si="41"/>
        <v>0</v>
      </c>
      <c r="J136" s="189">
        <f t="shared" si="41"/>
        <v>549</v>
      </c>
      <c r="K136" s="190">
        <f t="shared" si="41"/>
        <v>0</v>
      </c>
      <c r="L136" s="55">
        <f t="shared" si="41"/>
        <v>549</v>
      </c>
      <c r="M136" s="189">
        <f t="shared" si="41"/>
        <v>0</v>
      </c>
      <c r="N136" s="190">
        <f t="shared" si="41"/>
        <v>0</v>
      </c>
      <c r="O136" s="55">
        <f t="shared" si="41"/>
        <v>0</v>
      </c>
      <c r="P136" s="57"/>
    </row>
    <row r="137" spans="1:16" ht="12" hidden="1" customHeight="1" x14ac:dyDescent="0.25">
      <c r="A137" s="51">
        <v>2321</v>
      </c>
      <c r="B137" s="88" t="s">
        <v>154</v>
      </c>
      <c r="C137" s="89">
        <f t="shared" si="22"/>
        <v>0</v>
      </c>
      <c r="D137" s="194"/>
      <c r="E137" s="195"/>
      <c r="F137" s="55">
        <f>D137+E137</f>
        <v>0</v>
      </c>
      <c r="G137" s="53"/>
      <c r="H137" s="54"/>
      <c r="I137" s="55">
        <f>G137+H137</f>
        <v>0</v>
      </c>
      <c r="J137" s="53"/>
      <c r="K137" s="54"/>
      <c r="L137" s="55">
        <f>K137+J137</f>
        <v>0</v>
      </c>
      <c r="M137" s="53"/>
      <c r="N137" s="54"/>
      <c r="O137" s="55">
        <f>N137+M137</f>
        <v>0</v>
      </c>
      <c r="P137" s="57"/>
    </row>
    <row r="138" spans="1:16" ht="12" customHeight="1" x14ac:dyDescent="0.25">
      <c r="A138" s="51">
        <v>2322</v>
      </c>
      <c r="B138" s="88" t="s">
        <v>155</v>
      </c>
      <c r="C138" s="89">
        <f t="shared" si="22"/>
        <v>549</v>
      </c>
      <c r="D138" s="194"/>
      <c r="E138" s="195"/>
      <c r="F138" s="55">
        <f>D138+E138</f>
        <v>0</v>
      </c>
      <c r="G138" s="53"/>
      <c r="H138" s="54"/>
      <c r="I138" s="55">
        <f>G138+H138</f>
        <v>0</v>
      </c>
      <c r="J138" s="53">
        <v>549</v>
      </c>
      <c r="K138" s="54"/>
      <c r="L138" s="55">
        <f>K138+J138</f>
        <v>549</v>
      </c>
      <c r="M138" s="53"/>
      <c r="N138" s="54"/>
      <c r="O138" s="55">
        <f>N138+M138</f>
        <v>0</v>
      </c>
      <c r="P138" s="57"/>
    </row>
    <row r="139" spans="1:16" ht="10.5" hidden="1" customHeight="1" x14ac:dyDescent="0.25">
      <c r="A139" s="51">
        <v>2329</v>
      </c>
      <c r="B139" s="88" t="s">
        <v>156</v>
      </c>
      <c r="C139" s="89">
        <f t="shared" si="22"/>
        <v>0</v>
      </c>
      <c r="D139" s="194"/>
      <c r="E139" s="195"/>
      <c r="F139" s="55">
        <f>D139+E139</f>
        <v>0</v>
      </c>
      <c r="G139" s="53"/>
      <c r="H139" s="54"/>
      <c r="I139" s="55">
        <f>G139+H139</f>
        <v>0</v>
      </c>
      <c r="J139" s="53"/>
      <c r="K139" s="54"/>
      <c r="L139" s="55">
        <f>K139+J139</f>
        <v>0</v>
      </c>
      <c r="M139" s="53"/>
      <c r="N139" s="54"/>
      <c r="O139" s="55">
        <f>N139+M139</f>
        <v>0</v>
      </c>
      <c r="P139" s="57"/>
    </row>
    <row r="140" spans="1:16" ht="12" hidden="1" customHeight="1" x14ac:dyDescent="0.25">
      <c r="A140" s="188">
        <v>2330</v>
      </c>
      <c r="B140" s="88" t="s">
        <v>157</v>
      </c>
      <c r="C140" s="89">
        <f t="shared" si="22"/>
        <v>0</v>
      </c>
      <c r="D140" s="194"/>
      <c r="E140" s="195"/>
      <c r="F140" s="55">
        <f>D140+E140</f>
        <v>0</v>
      </c>
      <c r="G140" s="53"/>
      <c r="H140" s="54"/>
      <c r="I140" s="55">
        <f>G140+H140</f>
        <v>0</v>
      </c>
      <c r="J140" s="53"/>
      <c r="K140" s="54"/>
      <c r="L140" s="55">
        <f>K140+J140</f>
        <v>0</v>
      </c>
      <c r="M140" s="53"/>
      <c r="N140" s="54"/>
      <c r="O140" s="55">
        <f>N140+M140</f>
        <v>0</v>
      </c>
      <c r="P140" s="57"/>
    </row>
    <row r="141" spans="1:16" ht="48" x14ac:dyDescent="0.25">
      <c r="A141" s="188">
        <v>2340</v>
      </c>
      <c r="B141" s="88" t="s">
        <v>158</v>
      </c>
      <c r="C141" s="89">
        <f t="shared" si="22"/>
        <v>150</v>
      </c>
      <c r="D141" s="189">
        <f t="shared" ref="D141:O141" si="42">SUM(D142:D143)</f>
        <v>109</v>
      </c>
      <c r="E141" s="190">
        <f t="shared" si="42"/>
        <v>0</v>
      </c>
      <c r="F141" s="55">
        <f t="shared" si="42"/>
        <v>109</v>
      </c>
      <c r="G141" s="189">
        <f t="shared" si="42"/>
        <v>0</v>
      </c>
      <c r="H141" s="190">
        <f t="shared" si="42"/>
        <v>0</v>
      </c>
      <c r="I141" s="55">
        <f t="shared" si="42"/>
        <v>0</v>
      </c>
      <c r="J141" s="189">
        <f t="shared" si="42"/>
        <v>41</v>
      </c>
      <c r="K141" s="190">
        <f t="shared" si="42"/>
        <v>0</v>
      </c>
      <c r="L141" s="55">
        <f t="shared" si="42"/>
        <v>41</v>
      </c>
      <c r="M141" s="189">
        <f t="shared" si="42"/>
        <v>0</v>
      </c>
      <c r="N141" s="190">
        <f t="shared" si="42"/>
        <v>0</v>
      </c>
      <c r="O141" s="55">
        <f t="shared" si="42"/>
        <v>0</v>
      </c>
      <c r="P141" s="57"/>
    </row>
    <row r="142" spans="1:16" ht="12" customHeight="1" x14ac:dyDescent="0.25">
      <c r="A142" s="51">
        <v>2341</v>
      </c>
      <c r="B142" s="88" t="s">
        <v>159</v>
      </c>
      <c r="C142" s="89">
        <f t="shared" si="22"/>
        <v>150</v>
      </c>
      <c r="D142" s="194">
        <v>109</v>
      </c>
      <c r="E142" s="195"/>
      <c r="F142" s="55">
        <f>D142+E142</f>
        <v>109</v>
      </c>
      <c r="G142" s="53"/>
      <c r="H142" s="54"/>
      <c r="I142" s="55">
        <f>G142+H142</f>
        <v>0</v>
      </c>
      <c r="J142" s="53">
        <v>41</v>
      </c>
      <c r="K142" s="54"/>
      <c r="L142" s="55">
        <f>K142+J142</f>
        <v>41</v>
      </c>
      <c r="M142" s="53"/>
      <c r="N142" s="54"/>
      <c r="O142" s="55">
        <f>N142+M142</f>
        <v>0</v>
      </c>
      <c r="P142" s="57"/>
    </row>
    <row r="143" spans="1:16" ht="24" hidden="1" customHeight="1" x14ac:dyDescent="0.25">
      <c r="A143" s="51">
        <v>2344</v>
      </c>
      <c r="B143" s="88" t="s">
        <v>160</v>
      </c>
      <c r="C143" s="89">
        <f t="shared" si="22"/>
        <v>0</v>
      </c>
      <c r="D143" s="194"/>
      <c r="E143" s="195"/>
      <c r="F143" s="55">
        <f>D143+E143</f>
        <v>0</v>
      </c>
      <c r="G143" s="53"/>
      <c r="H143" s="54"/>
      <c r="I143" s="55">
        <f>G143+H143</f>
        <v>0</v>
      </c>
      <c r="J143" s="53"/>
      <c r="K143" s="54"/>
      <c r="L143" s="55">
        <f>K143+J143</f>
        <v>0</v>
      </c>
      <c r="M143" s="53"/>
      <c r="N143" s="54"/>
      <c r="O143" s="55">
        <f>N143+M143</f>
        <v>0</v>
      </c>
      <c r="P143" s="57"/>
    </row>
    <row r="144" spans="1:16" ht="24" x14ac:dyDescent="0.25">
      <c r="A144" s="185">
        <v>2350</v>
      </c>
      <c r="B144" s="137" t="s">
        <v>161</v>
      </c>
      <c r="C144" s="142">
        <f t="shared" si="22"/>
        <v>4244</v>
      </c>
      <c r="D144" s="186">
        <f t="shared" ref="D144:O144" si="43">SUM(D145:D150)</f>
        <v>1800</v>
      </c>
      <c r="E144" s="187">
        <f t="shared" si="43"/>
        <v>0</v>
      </c>
      <c r="F144" s="140">
        <f t="shared" si="43"/>
        <v>1800</v>
      </c>
      <c r="G144" s="186">
        <f t="shared" si="43"/>
        <v>0</v>
      </c>
      <c r="H144" s="187">
        <f t="shared" si="43"/>
        <v>0</v>
      </c>
      <c r="I144" s="140">
        <f t="shared" si="43"/>
        <v>0</v>
      </c>
      <c r="J144" s="186">
        <f t="shared" si="43"/>
        <v>2444</v>
      </c>
      <c r="K144" s="187">
        <f t="shared" si="43"/>
        <v>0</v>
      </c>
      <c r="L144" s="140">
        <f t="shared" si="43"/>
        <v>2444</v>
      </c>
      <c r="M144" s="186">
        <f t="shared" si="43"/>
        <v>0</v>
      </c>
      <c r="N144" s="187">
        <f t="shared" si="43"/>
        <v>0</v>
      </c>
      <c r="O144" s="140">
        <f t="shared" si="43"/>
        <v>0</v>
      </c>
      <c r="P144" s="128"/>
    </row>
    <row r="145" spans="1:16" ht="12" customHeight="1" x14ac:dyDescent="0.25">
      <c r="A145" s="44">
        <v>2351</v>
      </c>
      <c r="B145" s="81" t="s">
        <v>162</v>
      </c>
      <c r="C145" s="82">
        <f t="shared" si="22"/>
        <v>100</v>
      </c>
      <c r="D145" s="196"/>
      <c r="E145" s="197"/>
      <c r="F145" s="133">
        <f t="shared" ref="F145:F150" si="44">D145+E145</f>
        <v>0</v>
      </c>
      <c r="G145" s="46"/>
      <c r="H145" s="47"/>
      <c r="I145" s="133">
        <f t="shared" ref="I145:I150" si="45">G145+H145</f>
        <v>0</v>
      </c>
      <c r="J145" s="46">
        <v>100</v>
      </c>
      <c r="K145" s="47"/>
      <c r="L145" s="133">
        <f t="shared" ref="L145:L150" si="46">K145+J145</f>
        <v>100</v>
      </c>
      <c r="M145" s="46"/>
      <c r="N145" s="47"/>
      <c r="O145" s="133">
        <f t="shared" ref="O145:O150" si="47">N145+M145</f>
        <v>0</v>
      </c>
      <c r="P145" s="49"/>
    </row>
    <row r="146" spans="1:16" ht="12" customHeight="1" x14ac:dyDescent="0.25">
      <c r="A146" s="51">
        <v>2352</v>
      </c>
      <c r="B146" s="88" t="s">
        <v>163</v>
      </c>
      <c r="C146" s="89">
        <f t="shared" si="22"/>
        <v>4094</v>
      </c>
      <c r="D146" s="194">
        <v>1800</v>
      </c>
      <c r="E146" s="195"/>
      <c r="F146" s="55">
        <f t="shared" si="44"/>
        <v>1800</v>
      </c>
      <c r="G146" s="53"/>
      <c r="H146" s="54"/>
      <c r="I146" s="55">
        <f t="shared" si="45"/>
        <v>0</v>
      </c>
      <c r="J146" s="53">
        <v>2294</v>
      </c>
      <c r="K146" s="54"/>
      <c r="L146" s="55">
        <f t="shared" si="46"/>
        <v>2294</v>
      </c>
      <c r="M146" s="53"/>
      <c r="N146" s="54"/>
      <c r="O146" s="55">
        <f t="shared" si="47"/>
        <v>0</v>
      </c>
      <c r="P146" s="57"/>
    </row>
    <row r="147" spans="1:16" ht="24" hidden="1" customHeight="1" x14ac:dyDescent="0.25">
      <c r="A147" s="51">
        <v>2353</v>
      </c>
      <c r="B147" s="88" t="s">
        <v>164</v>
      </c>
      <c r="C147" s="89">
        <f t="shared" si="22"/>
        <v>0</v>
      </c>
      <c r="D147" s="194"/>
      <c r="E147" s="195"/>
      <c r="F147" s="55">
        <f t="shared" si="44"/>
        <v>0</v>
      </c>
      <c r="G147" s="53"/>
      <c r="H147" s="54"/>
      <c r="I147" s="55">
        <f t="shared" si="45"/>
        <v>0</v>
      </c>
      <c r="J147" s="53"/>
      <c r="K147" s="54"/>
      <c r="L147" s="55">
        <f t="shared" si="46"/>
        <v>0</v>
      </c>
      <c r="M147" s="53"/>
      <c r="N147" s="54"/>
      <c r="O147" s="55">
        <f t="shared" si="47"/>
        <v>0</v>
      </c>
      <c r="P147" s="57"/>
    </row>
    <row r="148" spans="1:16" ht="24" hidden="1" customHeight="1" x14ac:dyDescent="0.25">
      <c r="A148" s="51">
        <v>2354</v>
      </c>
      <c r="B148" s="88" t="s">
        <v>165</v>
      </c>
      <c r="C148" s="89">
        <f t="shared" ref="C148:C211" si="48">F148+I148+L148+O148</f>
        <v>0</v>
      </c>
      <c r="D148" s="194"/>
      <c r="E148" s="195"/>
      <c r="F148" s="55">
        <f t="shared" si="44"/>
        <v>0</v>
      </c>
      <c r="G148" s="53"/>
      <c r="H148" s="54"/>
      <c r="I148" s="55">
        <f t="shared" si="45"/>
        <v>0</v>
      </c>
      <c r="J148" s="53"/>
      <c r="K148" s="54"/>
      <c r="L148" s="55">
        <f t="shared" si="46"/>
        <v>0</v>
      </c>
      <c r="M148" s="53"/>
      <c r="N148" s="54"/>
      <c r="O148" s="55">
        <f t="shared" si="47"/>
        <v>0</v>
      </c>
      <c r="P148" s="57"/>
    </row>
    <row r="149" spans="1:16" ht="24" customHeight="1" x14ac:dyDescent="0.25">
      <c r="A149" s="51">
        <v>2355</v>
      </c>
      <c r="B149" s="88" t="s">
        <v>166</v>
      </c>
      <c r="C149" s="89">
        <f t="shared" si="48"/>
        <v>50</v>
      </c>
      <c r="D149" s="194"/>
      <c r="E149" s="195"/>
      <c r="F149" s="55">
        <f t="shared" si="44"/>
        <v>0</v>
      </c>
      <c r="G149" s="53"/>
      <c r="H149" s="54"/>
      <c r="I149" s="55">
        <f t="shared" si="45"/>
        <v>0</v>
      </c>
      <c r="J149" s="53">
        <v>50</v>
      </c>
      <c r="K149" s="542"/>
      <c r="L149" s="55">
        <f t="shared" si="46"/>
        <v>50</v>
      </c>
      <c r="M149" s="53"/>
      <c r="N149" s="54"/>
      <c r="O149" s="55">
        <f t="shared" si="47"/>
        <v>0</v>
      </c>
      <c r="P149" s="57"/>
    </row>
    <row r="150" spans="1:16" ht="24" hidden="1" customHeight="1" x14ac:dyDescent="0.25">
      <c r="A150" s="51">
        <v>2359</v>
      </c>
      <c r="B150" s="88" t="s">
        <v>167</v>
      </c>
      <c r="C150" s="89">
        <f t="shared" si="48"/>
        <v>0</v>
      </c>
      <c r="D150" s="194"/>
      <c r="E150" s="195"/>
      <c r="F150" s="55">
        <f t="shared" si="44"/>
        <v>0</v>
      </c>
      <c r="G150" s="53"/>
      <c r="H150" s="54"/>
      <c r="I150" s="55">
        <f t="shared" si="45"/>
        <v>0</v>
      </c>
      <c r="J150" s="53"/>
      <c r="K150" s="54"/>
      <c r="L150" s="55">
        <f t="shared" si="46"/>
        <v>0</v>
      </c>
      <c r="M150" s="53"/>
      <c r="N150" s="54"/>
      <c r="O150" s="55">
        <f t="shared" si="47"/>
        <v>0</v>
      </c>
      <c r="P150" s="57"/>
    </row>
    <row r="151" spans="1:16" ht="24.75" customHeight="1" x14ac:dyDescent="0.25">
      <c r="A151" s="188">
        <v>2360</v>
      </c>
      <c r="B151" s="88" t="s">
        <v>168</v>
      </c>
      <c r="C151" s="89">
        <f t="shared" si="48"/>
        <v>2185</v>
      </c>
      <c r="D151" s="189">
        <f t="shared" ref="D151:O151" si="49">SUM(D152:D158)</f>
        <v>1645</v>
      </c>
      <c r="E151" s="190">
        <f t="shared" si="49"/>
        <v>0</v>
      </c>
      <c r="F151" s="55">
        <f t="shared" si="49"/>
        <v>1645</v>
      </c>
      <c r="G151" s="189">
        <f t="shared" si="49"/>
        <v>0</v>
      </c>
      <c r="H151" s="190">
        <f t="shared" si="49"/>
        <v>0</v>
      </c>
      <c r="I151" s="55">
        <f t="shared" si="49"/>
        <v>0</v>
      </c>
      <c r="J151" s="189">
        <f t="shared" si="49"/>
        <v>540</v>
      </c>
      <c r="K151" s="190">
        <f t="shared" si="49"/>
        <v>0</v>
      </c>
      <c r="L151" s="55">
        <f t="shared" si="49"/>
        <v>540</v>
      </c>
      <c r="M151" s="189">
        <f t="shared" si="49"/>
        <v>0</v>
      </c>
      <c r="N151" s="190">
        <f t="shared" si="49"/>
        <v>0</v>
      </c>
      <c r="O151" s="55">
        <f t="shared" si="49"/>
        <v>0</v>
      </c>
      <c r="P151" s="57"/>
    </row>
    <row r="152" spans="1:16" ht="12" customHeight="1" x14ac:dyDescent="0.25">
      <c r="A152" s="50">
        <v>2361</v>
      </c>
      <c r="B152" s="88" t="s">
        <v>169</v>
      </c>
      <c r="C152" s="89">
        <f t="shared" si="48"/>
        <v>540</v>
      </c>
      <c r="D152" s="194"/>
      <c r="E152" s="195"/>
      <c r="F152" s="55">
        <f t="shared" ref="F152:F159" si="50">D152+E152</f>
        <v>0</v>
      </c>
      <c r="G152" s="53"/>
      <c r="H152" s="54"/>
      <c r="I152" s="55">
        <f t="shared" ref="I152:I159" si="51">G152+H152</f>
        <v>0</v>
      </c>
      <c r="J152" s="53">
        <v>540</v>
      </c>
      <c r="K152" s="54"/>
      <c r="L152" s="55">
        <f t="shared" ref="L152:L159" si="52">K152+J152</f>
        <v>540</v>
      </c>
      <c r="M152" s="53"/>
      <c r="N152" s="54"/>
      <c r="O152" s="55">
        <f t="shared" ref="O152:O159" si="53">N152+M152</f>
        <v>0</v>
      </c>
      <c r="P152" s="57"/>
    </row>
    <row r="153" spans="1:16" ht="24" hidden="1" customHeight="1" x14ac:dyDescent="0.25">
      <c r="A153" s="50">
        <v>2362</v>
      </c>
      <c r="B153" s="88" t="s">
        <v>170</v>
      </c>
      <c r="C153" s="89">
        <f t="shared" si="48"/>
        <v>0</v>
      </c>
      <c r="D153" s="194"/>
      <c r="E153" s="195"/>
      <c r="F153" s="55">
        <f t="shared" si="50"/>
        <v>0</v>
      </c>
      <c r="G153" s="53"/>
      <c r="H153" s="54"/>
      <c r="I153" s="55">
        <f t="shared" si="51"/>
        <v>0</v>
      </c>
      <c r="J153" s="53"/>
      <c r="K153" s="54"/>
      <c r="L153" s="55">
        <f t="shared" si="52"/>
        <v>0</v>
      </c>
      <c r="M153" s="53"/>
      <c r="N153" s="54"/>
      <c r="O153" s="55">
        <f t="shared" si="53"/>
        <v>0</v>
      </c>
      <c r="P153" s="57"/>
    </row>
    <row r="154" spans="1:16" ht="12" customHeight="1" x14ac:dyDescent="0.25">
      <c r="A154" s="50">
        <v>2363</v>
      </c>
      <c r="B154" s="88" t="s">
        <v>171</v>
      </c>
      <c r="C154" s="89">
        <f t="shared" si="48"/>
        <v>1645</v>
      </c>
      <c r="D154" s="194">
        <v>1645</v>
      </c>
      <c r="E154" s="195"/>
      <c r="F154" s="55">
        <f t="shared" si="50"/>
        <v>1645</v>
      </c>
      <c r="G154" s="53"/>
      <c r="H154" s="54"/>
      <c r="I154" s="55">
        <f t="shared" si="51"/>
        <v>0</v>
      </c>
      <c r="J154" s="53"/>
      <c r="K154" s="54"/>
      <c r="L154" s="55">
        <f t="shared" si="52"/>
        <v>0</v>
      </c>
      <c r="M154" s="53"/>
      <c r="N154" s="54"/>
      <c r="O154" s="55">
        <f t="shared" si="53"/>
        <v>0</v>
      </c>
      <c r="P154" s="57"/>
    </row>
    <row r="155" spans="1:16" ht="12" hidden="1" customHeight="1" x14ac:dyDescent="0.25">
      <c r="A155" s="50">
        <v>2364</v>
      </c>
      <c r="B155" s="88" t="s">
        <v>172</v>
      </c>
      <c r="C155" s="89">
        <f t="shared" si="48"/>
        <v>0</v>
      </c>
      <c r="D155" s="194"/>
      <c r="E155" s="195"/>
      <c r="F155" s="55">
        <f t="shared" si="50"/>
        <v>0</v>
      </c>
      <c r="G155" s="53"/>
      <c r="H155" s="54"/>
      <c r="I155" s="55">
        <f t="shared" si="51"/>
        <v>0</v>
      </c>
      <c r="J155" s="53"/>
      <c r="K155" s="54"/>
      <c r="L155" s="55">
        <f t="shared" si="52"/>
        <v>0</v>
      </c>
      <c r="M155" s="53"/>
      <c r="N155" s="54"/>
      <c r="O155" s="55">
        <f t="shared" si="53"/>
        <v>0</v>
      </c>
      <c r="P155" s="57"/>
    </row>
    <row r="156" spans="1:16" ht="12.75" hidden="1" customHeight="1" x14ac:dyDescent="0.25">
      <c r="A156" s="50">
        <v>2365</v>
      </c>
      <c r="B156" s="88" t="s">
        <v>173</v>
      </c>
      <c r="C156" s="89">
        <f t="shared" si="48"/>
        <v>0</v>
      </c>
      <c r="D156" s="194"/>
      <c r="E156" s="195"/>
      <c r="F156" s="55">
        <f t="shared" si="50"/>
        <v>0</v>
      </c>
      <c r="G156" s="53"/>
      <c r="H156" s="54"/>
      <c r="I156" s="55">
        <f t="shared" si="51"/>
        <v>0</v>
      </c>
      <c r="J156" s="53"/>
      <c r="K156" s="54"/>
      <c r="L156" s="55">
        <f t="shared" si="52"/>
        <v>0</v>
      </c>
      <c r="M156" s="53"/>
      <c r="N156" s="54"/>
      <c r="O156" s="55">
        <f t="shared" si="53"/>
        <v>0</v>
      </c>
      <c r="P156" s="57"/>
    </row>
    <row r="157" spans="1:16" ht="36" hidden="1" customHeight="1" x14ac:dyDescent="0.25">
      <c r="A157" s="50">
        <v>2366</v>
      </c>
      <c r="B157" s="88" t="s">
        <v>174</v>
      </c>
      <c r="C157" s="89">
        <f t="shared" si="48"/>
        <v>0</v>
      </c>
      <c r="D157" s="194"/>
      <c r="E157" s="195"/>
      <c r="F157" s="55">
        <f t="shared" si="50"/>
        <v>0</v>
      </c>
      <c r="G157" s="53"/>
      <c r="H157" s="54"/>
      <c r="I157" s="55">
        <f t="shared" si="51"/>
        <v>0</v>
      </c>
      <c r="J157" s="53"/>
      <c r="K157" s="54"/>
      <c r="L157" s="55">
        <f t="shared" si="52"/>
        <v>0</v>
      </c>
      <c r="M157" s="53"/>
      <c r="N157" s="54"/>
      <c r="O157" s="55">
        <f t="shared" si="53"/>
        <v>0</v>
      </c>
      <c r="P157" s="57"/>
    </row>
    <row r="158" spans="1:16" ht="48" hidden="1" customHeight="1" x14ac:dyDescent="0.25">
      <c r="A158" s="50">
        <v>2369</v>
      </c>
      <c r="B158" s="88" t="s">
        <v>175</v>
      </c>
      <c r="C158" s="89">
        <f t="shared" si="48"/>
        <v>0</v>
      </c>
      <c r="D158" s="194"/>
      <c r="E158" s="195"/>
      <c r="F158" s="55">
        <f t="shared" si="50"/>
        <v>0</v>
      </c>
      <c r="G158" s="53"/>
      <c r="H158" s="54"/>
      <c r="I158" s="55">
        <f t="shared" si="51"/>
        <v>0</v>
      </c>
      <c r="J158" s="53"/>
      <c r="K158" s="54"/>
      <c r="L158" s="55">
        <f t="shared" si="52"/>
        <v>0</v>
      </c>
      <c r="M158" s="53"/>
      <c r="N158" s="54"/>
      <c r="O158" s="55">
        <f t="shared" si="53"/>
        <v>0</v>
      </c>
      <c r="P158" s="57"/>
    </row>
    <row r="159" spans="1:16" ht="12" customHeight="1" x14ac:dyDescent="0.25">
      <c r="A159" s="185">
        <v>2370</v>
      </c>
      <c r="B159" s="137" t="s">
        <v>176</v>
      </c>
      <c r="C159" s="142">
        <f t="shared" si="48"/>
        <v>2235</v>
      </c>
      <c r="D159" s="202">
        <v>1705</v>
      </c>
      <c r="E159" s="203"/>
      <c r="F159" s="140">
        <f t="shared" si="50"/>
        <v>1705</v>
      </c>
      <c r="G159" s="143"/>
      <c r="H159" s="144"/>
      <c r="I159" s="140">
        <f t="shared" si="51"/>
        <v>0</v>
      </c>
      <c r="J159" s="143">
        <v>500</v>
      </c>
      <c r="K159" s="144"/>
      <c r="L159" s="140">
        <f t="shared" si="52"/>
        <v>500</v>
      </c>
      <c r="M159" s="143">
        <v>30</v>
      </c>
      <c r="N159" s="144"/>
      <c r="O159" s="140">
        <f t="shared" si="53"/>
        <v>30</v>
      </c>
      <c r="P159" s="128"/>
    </row>
    <row r="160" spans="1:16" hidden="1" x14ac:dyDescent="0.25">
      <c r="A160" s="185">
        <v>2380</v>
      </c>
      <c r="B160" s="137" t="s">
        <v>177</v>
      </c>
      <c r="C160" s="142">
        <f t="shared" si="48"/>
        <v>0</v>
      </c>
      <c r="D160" s="186">
        <f t="shared" ref="D160:O160" si="54">SUM(D161:D162)</f>
        <v>0</v>
      </c>
      <c r="E160" s="187">
        <f t="shared" si="54"/>
        <v>0</v>
      </c>
      <c r="F160" s="140">
        <f t="shared" si="54"/>
        <v>0</v>
      </c>
      <c r="G160" s="186">
        <f t="shared" si="54"/>
        <v>0</v>
      </c>
      <c r="H160" s="187">
        <f t="shared" si="54"/>
        <v>0</v>
      </c>
      <c r="I160" s="140">
        <f t="shared" si="54"/>
        <v>0</v>
      </c>
      <c r="J160" s="186">
        <f t="shared" si="54"/>
        <v>0</v>
      </c>
      <c r="K160" s="187">
        <f t="shared" si="54"/>
        <v>0</v>
      </c>
      <c r="L160" s="140">
        <f t="shared" si="54"/>
        <v>0</v>
      </c>
      <c r="M160" s="186">
        <f t="shared" si="54"/>
        <v>0</v>
      </c>
      <c r="N160" s="187">
        <f t="shared" si="54"/>
        <v>0</v>
      </c>
      <c r="O160" s="140">
        <f t="shared" si="54"/>
        <v>0</v>
      </c>
      <c r="P160" s="128"/>
    </row>
    <row r="161" spans="1:16" ht="12" hidden="1" customHeight="1" x14ac:dyDescent="0.25">
      <c r="A161" s="43">
        <v>2381</v>
      </c>
      <c r="B161" s="81" t="s">
        <v>178</v>
      </c>
      <c r="C161" s="82">
        <f t="shared" si="48"/>
        <v>0</v>
      </c>
      <c r="D161" s="196"/>
      <c r="E161" s="197"/>
      <c r="F161" s="133">
        <f>D161+E161</f>
        <v>0</v>
      </c>
      <c r="G161" s="46"/>
      <c r="H161" s="47"/>
      <c r="I161" s="133">
        <f>G161+H161</f>
        <v>0</v>
      </c>
      <c r="J161" s="46"/>
      <c r="K161" s="47"/>
      <c r="L161" s="133">
        <f>K161+J161</f>
        <v>0</v>
      </c>
      <c r="M161" s="46"/>
      <c r="N161" s="47"/>
      <c r="O161" s="133">
        <f>N161+M161</f>
        <v>0</v>
      </c>
      <c r="P161" s="49"/>
    </row>
    <row r="162" spans="1:16" ht="24" hidden="1" customHeight="1" x14ac:dyDescent="0.25">
      <c r="A162" s="50">
        <v>2389</v>
      </c>
      <c r="B162" s="88" t="s">
        <v>179</v>
      </c>
      <c r="C162" s="89">
        <f t="shared" si="48"/>
        <v>0</v>
      </c>
      <c r="D162" s="194"/>
      <c r="E162" s="195"/>
      <c r="F162" s="55">
        <f>D162+E162</f>
        <v>0</v>
      </c>
      <c r="G162" s="53"/>
      <c r="H162" s="54"/>
      <c r="I162" s="55">
        <f>G162+H162</f>
        <v>0</v>
      </c>
      <c r="J162" s="53"/>
      <c r="K162" s="54"/>
      <c r="L162" s="55">
        <f>K162+J162</f>
        <v>0</v>
      </c>
      <c r="M162" s="53"/>
      <c r="N162" s="54"/>
      <c r="O162" s="55">
        <f>N162+M162</f>
        <v>0</v>
      </c>
      <c r="P162" s="57"/>
    </row>
    <row r="163" spans="1:16" ht="12" hidden="1" customHeight="1" x14ac:dyDescent="0.25">
      <c r="A163" s="185">
        <v>2390</v>
      </c>
      <c r="B163" s="137" t="s">
        <v>180</v>
      </c>
      <c r="C163" s="142">
        <f t="shared" si="48"/>
        <v>0</v>
      </c>
      <c r="D163" s="202"/>
      <c r="E163" s="203"/>
      <c r="F163" s="140">
        <f>D163+E163</f>
        <v>0</v>
      </c>
      <c r="G163" s="143"/>
      <c r="H163" s="144"/>
      <c r="I163" s="140">
        <f>G163+H163</f>
        <v>0</v>
      </c>
      <c r="J163" s="143"/>
      <c r="K163" s="144"/>
      <c r="L163" s="140">
        <f>K163+J163</f>
        <v>0</v>
      </c>
      <c r="M163" s="143"/>
      <c r="N163" s="144"/>
      <c r="O163" s="140">
        <f>N163+M163</f>
        <v>0</v>
      </c>
      <c r="P163" s="128"/>
    </row>
    <row r="164" spans="1:16" ht="12" hidden="1" customHeight="1" x14ac:dyDescent="0.25">
      <c r="A164" s="68">
        <v>2400</v>
      </c>
      <c r="B164" s="182" t="s">
        <v>181</v>
      </c>
      <c r="C164" s="69">
        <f t="shared" si="48"/>
        <v>0</v>
      </c>
      <c r="D164" s="204"/>
      <c r="E164" s="205"/>
      <c r="F164" s="72">
        <f>D164+E164</f>
        <v>0</v>
      </c>
      <c r="G164" s="70"/>
      <c r="H164" s="71"/>
      <c r="I164" s="72">
        <f>G164+H164</f>
        <v>0</v>
      </c>
      <c r="J164" s="70"/>
      <c r="K164" s="71"/>
      <c r="L164" s="72">
        <f>K164+J164</f>
        <v>0</v>
      </c>
      <c r="M164" s="70"/>
      <c r="N164" s="71"/>
      <c r="O164" s="72">
        <f>N164+M164</f>
        <v>0</v>
      </c>
      <c r="P164" s="76"/>
    </row>
    <row r="165" spans="1:16" ht="24" hidden="1" x14ac:dyDescent="0.25">
      <c r="A165" s="68">
        <v>2500</v>
      </c>
      <c r="B165" s="182" t="s">
        <v>182</v>
      </c>
      <c r="C165" s="69">
        <f t="shared" si="48"/>
        <v>0</v>
      </c>
      <c r="D165" s="183">
        <f>SUM(D166,D171)</f>
        <v>0</v>
      </c>
      <c r="E165" s="184">
        <f>SUM(E166,E171)</f>
        <v>0</v>
      </c>
      <c r="F165" s="72">
        <f>SUM(F166,F171)</f>
        <v>0</v>
      </c>
      <c r="G165" s="183">
        <f t="shared" ref="G165:M165" si="55">SUM(G166,G171)</f>
        <v>0</v>
      </c>
      <c r="H165" s="184">
        <f>SUM(H166,H171)</f>
        <v>0</v>
      </c>
      <c r="I165" s="72">
        <f>SUM(I166,I171)</f>
        <v>0</v>
      </c>
      <c r="J165" s="183">
        <f t="shared" si="55"/>
        <v>0</v>
      </c>
      <c r="K165" s="184">
        <f>SUM(K166,K171)</f>
        <v>0</v>
      </c>
      <c r="L165" s="72">
        <f>SUM(L166,L171)</f>
        <v>0</v>
      </c>
      <c r="M165" s="183">
        <f t="shared" si="55"/>
        <v>0</v>
      </c>
      <c r="N165" s="184">
        <f>SUM(N166,N171)</f>
        <v>0</v>
      </c>
      <c r="O165" s="72">
        <f>SUM(O166,O171)</f>
        <v>0</v>
      </c>
      <c r="P165" s="76"/>
    </row>
    <row r="166" spans="1:16" ht="16.5" hidden="1" customHeight="1" x14ac:dyDescent="0.25">
      <c r="A166" s="729">
        <v>2510</v>
      </c>
      <c r="B166" s="81" t="s">
        <v>183</v>
      </c>
      <c r="C166" s="82">
        <f t="shared" si="48"/>
        <v>0</v>
      </c>
      <c r="D166" s="192">
        <f>SUM(D167:D170)</f>
        <v>0</v>
      </c>
      <c r="E166" s="193">
        <f>SUM(E167:E170)</f>
        <v>0</v>
      </c>
      <c r="F166" s="133">
        <f>SUM(F167:F170)</f>
        <v>0</v>
      </c>
      <c r="G166" s="192">
        <f t="shared" ref="G166:M166" si="56">SUM(G167:G170)</f>
        <v>0</v>
      </c>
      <c r="H166" s="193">
        <f>SUM(H167:H170)</f>
        <v>0</v>
      </c>
      <c r="I166" s="133">
        <f>SUM(I167:I170)</f>
        <v>0</v>
      </c>
      <c r="J166" s="192">
        <f t="shared" si="56"/>
        <v>0</v>
      </c>
      <c r="K166" s="193">
        <f>SUM(K167:K170)</f>
        <v>0</v>
      </c>
      <c r="L166" s="133">
        <f>SUM(L167:L170)</f>
        <v>0</v>
      </c>
      <c r="M166" s="192">
        <f t="shared" si="56"/>
        <v>0</v>
      </c>
      <c r="N166" s="193">
        <f>SUM(N167:N170)</f>
        <v>0</v>
      </c>
      <c r="O166" s="133">
        <f>SUM(O167:O170)</f>
        <v>0</v>
      </c>
      <c r="P166" s="49"/>
    </row>
    <row r="167" spans="1:16" ht="24" hidden="1" customHeight="1" x14ac:dyDescent="0.25">
      <c r="A167" s="51">
        <v>2512</v>
      </c>
      <c r="B167" s="88" t="s">
        <v>184</v>
      </c>
      <c r="C167" s="89">
        <f t="shared" si="48"/>
        <v>0</v>
      </c>
      <c r="D167" s="194"/>
      <c r="E167" s="195"/>
      <c r="F167" s="55">
        <f t="shared" ref="F167:F172" si="57">D167+E167</f>
        <v>0</v>
      </c>
      <c r="G167" s="53"/>
      <c r="H167" s="54"/>
      <c r="I167" s="55">
        <f t="shared" ref="I167:I172" si="58">G167+H167</f>
        <v>0</v>
      </c>
      <c r="J167" s="53"/>
      <c r="K167" s="54"/>
      <c r="L167" s="55">
        <f t="shared" ref="L167:L172" si="59">K167+J167</f>
        <v>0</v>
      </c>
      <c r="M167" s="53"/>
      <c r="N167" s="54"/>
      <c r="O167" s="55">
        <f t="shared" ref="O167:O172" si="60">N167+M167</f>
        <v>0</v>
      </c>
      <c r="P167" s="57"/>
    </row>
    <row r="168" spans="1:16" ht="36" hidden="1" customHeight="1" x14ac:dyDescent="0.25">
      <c r="A168" s="51">
        <v>2513</v>
      </c>
      <c r="B168" s="88" t="s">
        <v>185</v>
      </c>
      <c r="C168" s="89">
        <f t="shared" si="48"/>
        <v>0</v>
      </c>
      <c r="D168" s="194"/>
      <c r="E168" s="195"/>
      <c r="F168" s="55">
        <f t="shared" si="57"/>
        <v>0</v>
      </c>
      <c r="G168" s="53"/>
      <c r="H168" s="54"/>
      <c r="I168" s="55">
        <f t="shared" si="58"/>
        <v>0</v>
      </c>
      <c r="J168" s="53"/>
      <c r="K168" s="54"/>
      <c r="L168" s="55">
        <f t="shared" si="59"/>
        <v>0</v>
      </c>
      <c r="M168" s="53"/>
      <c r="N168" s="54"/>
      <c r="O168" s="55">
        <f t="shared" si="60"/>
        <v>0</v>
      </c>
      <c r="P168" s="57"/>
    </row>
    <row r="169" spans="1:16" ht="24" hidden="1" customHeight="1" x14ac:dyDescent="0.25">
      <c r="A169" s="51">
        <v>2515</v>
      </c>
      <c r="B169" s="88" t="s">
        <v>186</v>
      </c>
      <c r="C169" s="89">
        <f t="shared" si="48"/>
        <v>0</v>
      </c>
      <c r="D169" s="194"/>
      <c r="E169" s="195"/>
      <c r="F169" s="55">
        <f t="shared" si="57"/>
        <v>0</v>
      </c>
      <c r="G169" s="53"/>
      <c r="H169" s="54"/>
      <c r="I169" s="55">
        <f t="shared" si="58"/>
        <v>0</v>
      </c>
      <c r="J169" s="53"/>
      <c r="K169" s="54"/>
      <c r="L169" s="55">
        <f t="shared" si="59"/>
        <v>0</v>
      </c>
      <c r="M169" s="53"/>
      <c r="N169" s="54"/>
      <c r="O169" s="55">
        <f t="shared" si="60"/>
        <v>0</v>
      </c>
      <c r="P169" s="57"/>
    </row>
    <row r="170" spans="1:16" ht="24" hidden="1" customHeight="1" x14ac:dyDescent="0.25">
      <c r="A170" s="51">
        <v>2519</v>
      </c>
      <c r="B170" s="88" t="s">
        <v>187</v>
      </c>
      <c r="C170" s="89">
        <f t="shared" si="48"/>
        <v>0</v>
      </c>
      <c r="D170" s="194"/>
      <c r="E170" s="195"/>
      <c r="F170" s="55">
        <f t="shared" si="57"/>
        <v>0</v>
      </c>
      <c r="G170" s="53"/>
      <c r="H170" s="54"/>
      <c r="I170" s="55">
        <f t="shared" si="58"/>
        <v>0</v>
      </c>
      <c r="J170" s="53"/>
      <c r="K170" s="54"/>
      <c r="L170" s="55">
        <f t="shared" si="59"/>
        <v>0</v>
      </c>
      <c r="M170" s="53"/>
      <c r="N170" s="54"/>
      <c r="O170" s="55">
        <f t="shared" si="60"/>
        <v>0</v>
      </c>
      <c r="P170" s="57"/>
    </row>
    <row r="171" spans="1:16" ht="24" hidden="1" customHeight="1" x14ac:dyDescent="0.25">
      <c r="A171" s="188">
        <v>2520</v>
      </c>
      <c r="B171" s="88" t="s">
        <v>188</v>
      </c>
      <c r="C171" s="89">
        <f t="shared" si="48"/>
        <v>0</v>
      </c>
      <c r="D171" s="194"/>
      <c r="E171" s="195"/>
      <c r="F171" s="55">
        <f t="shared" si="57"/>
        <v>0</v>
      </c>
      <c r="G171" s="53"/>
      <c r="H171" s="54"/>
      <c r="I171" s="55">
        <f t="shared" si="58"/>
        <v>0</v>
      </c>
      <c r="J171" s="53"/>
      <c r="K171" s="54"/>
      <c r="L171" s="55">
        <f t="shared" si="59"/>
        <v>0</v>
      </c>
      <c r="M171" s="53"/>
      <c r="N171" s="54"/>
      <c r="O171" s="55">
        <f t="shared" si="60"/>
        <v>0</v>
      </c>
      <c r="P171" s="57"/>
    </row>
    <row r="172" spans="1:16" s="206" customFormat="1" ht="36" hidden="1" customHeight="1" x14ac:dyDescent="0.25">
      <c r="A172" s="23">
        <v>2800</v>
      </c>
      <c r="B172" s="81" t="s">
        <v>189</v>
      </c>
      <c r="C172" s="82">
        <f t="shared" si="48"/>
        <v>0</v>
      </c>
      <c r="D172" s="46"/>
      <c r="E172" s="47"/>
      <c r="F172" s="133">
        <f t="shared" si="57"/>
        <v>0</v>
      </c>
      <c r="G172" s="46"/>
      <c r="H172" s="47"/>
      <c r="I172" s="133">
        <f t="shared" si="58"/>
        <v>0</v>
      </c>
      <c r="J172" s="46"/>
      <c r="K172" s="47"/>
      <c r="L172" s="133">
        <f t="shared" si="59"/>
        <v>0</v>
      </c>
      <c r="M172" s="46"/>
      <c r="N172" s="47"/>
      <c r="O172" s="133">
        <f t="shared" si="60"/>
        <v>0</v>
      </c>
      <c r="P172" s="49"/>
    </row>
    <row r="173" spans="1:16" hidden="1" x14ac:dyDescent="0.25">
      <c r="A173" s="176">
        <v>3000</v>
      </c>
      <c r="B173" s="176" t="s">
        <v>190</v>
      </c>
      <c r="C173" s="177">
        <f t="shared" si="48"/>
        <v>0</v>
      </c>
      <c r="D173" s="178">
        <f t="shared" ref="D173:O173" si="61">SUM(D174,D184)</f>
        <v>0</v>
      </c>
      <c r="E173" s="179">
        <f t="shared" si="61"/>
        <v>0</v>
      </c>
      <c r="F173" s="180">
        <f t="shared" si="61"/>
        <v>0</v>
      </c>
      <c r="G173" s="178">
        <f t="shared" si="61"/>
        <v>0</v>
      </c>
      <c r="H173" s="179">
        <f t="shared" si="61"/>
        <v>0</v>
      </c>
      <c r="I173" s="180">
        <f t="shared" si="61"/>
        <v>0</v>
      </c>
      <c r="J173" s="178">
        <f t="shared" si="61"/>
        <v>0</v>
      </c>
      <c r="K173" s="179">
        <f t="shared" si="61"/>
        <v>0</v>
      </c>
      <c r="L173" s="180">
        <f t="shared" si="61"/>
        <v>0</v>
      </c>
      <c r="M173" s="178">
        <f t="shared" si="61"/>
        <v>0</v>
      </c>
      <c r="N173" s="179">
        <f t="shared" si="61"/>
        <v>0</v>
      </c>
      <c r="O173" s="180">
        <f t="shared" si="61"/>
        <v>0</v>
      </c>
      <c r="P173" s="181"/>
    </row>
    <row r="174" spans="1:16" ht="24" hidden="1" x14ac:dyDescent="0.25">
      <c r="A174" s="68">
        <v>3200</v>
      </c>
      <c r="B174" s="207" t="s">
        <v>191</v>
      </c>
      <c r="C174" s="69">
        <f t="shared" si="48"/>
        <v>0</v>
      </c>
      <c r="D174" s="183">
        <f>SUM(D175,D179)</f>
        <v>0</v>
      </c>
      <c r="E174" s="184">
        <f>SUM(E175,E179)</f>
        <v>0</v>
      </c>
      <c r="F174" s="72">
        <f>SUM(F175,F179)</f>
        <v>0</v>
      </c>
      <c r="G174" s="183">
        <f t="shared" ref="G174:M174" si="62">SUM(G175,G179)</f>
        <v>0</v>
      </c>
      <c r="H174" s="184">
        <f>SUM(H175,H179)</f>
        <v>0</v>
      </c>
      <c r="I174" s="72">
        <f>SUM(I175,I179)</f>
        <v>0</v>
      </c>
      <c r="J174" s="183">
        <f t="shared" si="62"/>
        <v>0</v>
      </c>
      <c r="K174" s="184">
        <f>SUM(K175,K179)</f>
        <v>0</v>
      </c>
      <c r="L174" s="72">
        <f>SUM(L175,L179)</f>
        <v>0</v>
      </c>
      <c r="M174" s="183">
        <f t="shared" si="62"/>
        <v>0</v>
      </c>
      <c r="N174" s="184">
        <f>SUM(N175,N179)</f>
        <v>0</v>
      </c>
      <c r="O174" s="72">
        <f>SUM(O175,O179)</f>
        <v>0</v>
      </c>
      <c r="P174" s="76"/>
    </row>
    <row r="175" spans="1:16" ht="36" hidden="1" x14ac:dyDescent="0.25">
      <c r="A175" s="729">
        <v>3260</v>
      </c>
      <c r="B175" s="81" t="s">
        <v>192</v>
      </c>
      <c r="C175" s="82">
        <f t="shared" si="48"/>
        <v>0</v>
      </c>
      <c r="D175" s="192">
        <f t="shared" ref="D175:O175" si="63">SUM(D176:D178)</f>
        <v>0</v>
      </c>
      <c r="E175" s="193">
        <f t="shared" si="63"/>
        <v>0</v>
      </c>
      <c r="F175" s="133">
        <f t="shared" si="63"/>
        <v>0</v>
      </c>
      <c r="G175" s="192">
        <f t="shared" si="63"/>
        <v>0</v>
      </c>
      <c r="H175" s="193">
        <f t="shared" si="63"/>
        <v>0</v>
      </c>
      <c r="I175" s="133">
        <f t="shared" si="63"/>
        <v>0</v>
      </c>
      <c r="J175" s="192">
        <f t="shared" si="63"/>
        <v>0</v>
      </c>
      <c r="K175" s="193">
        <f t="shared" si="63"/>
        <v>0</v>
      </c>
      <c r="L175" s="133">
        <f t="shared" si="63"/>
        <v>0</v>
      </c>
      <c r="M175" s="192">
        <f t="shared" si="63"/>
        <v>0</v>
      </c>
      <c r="N175" s="193">
        <f t="shared" si="63"/>
        <v>0</v>
      </c>
      <c r="O175" s="133">
        <f t="shared" si="63"/>
        <v>0</v>
      </c>
      <c r="P175" s="49"/>
    </row>
    <row r="176" spans="1:16" ht="24" hidden="1" customHeight="1" x14ac:dyDescent="0.25">
      <c r="A176" s="51">
        <v>3261</v>
      </c>
      <c r="B176" s="88" t="s">
        <v>193</v>
      </c>
      <c r="C176" s="89">
        <f t="shared" si="48"/>
        <v>0</v>
      </c>
      <c r="D176" s="194"/>
      <c r="E176" s="195"/>
      <c r="F176" s="55">
        <f>D176+E176</f>
        <v>0</v>
      </c>
      <c r="G176" s="53"/>
      <c r="H176" s="54"/>
      <c r="I176" s="55">
        <f>G176+H176</f>
        <v>0</v>
      </c>
      <c r="J176" s="53"/>
      <c r="K176" s="54"/>
      <c r="L176" s="55">
        <f>K176+J176</f>
        <v>0</v>
      </c>
      <c r="M176" s="53"/>
      <c r="N176" s="54"/>
      <c r="O176" s="55">
        <f>N176+M176</f>
        <v>0</v>
      </c>
      <c r="P176" s="57"/>
    </row>
    <row r="177" spans="1:16" ht="36" hidden="1" customHeight="1" x14ac:dyDescent="0.25">
      <c r="A177" s="51">
        <v>3262</v>
      </c>
      <c r="B177" s="88" t="s">
        <v>194</v>
      </c>
      <c r="C177" s="89">
        <f t="shared" si="48"/>
        <v>0</v>
      </c>
      <c r="D177" s="194"/>
      <c r="E177" s="195"/>
      <c r="F177" s="55">
        <f>D177+E177</f>
        <v>0</v>
      </c>
      <c r="G177" s="53"/>
      <c r="H177" s="54"/>
      <c r="I177" s="55">
        <f>G177+H177</f>
        <v>0</v>
      </c>
      <c r="J177" s="53"/>
      <c r="K177" s="54"/>
      <c r="L177" s="55">
        <f>K177+J177</f>
        <v>0</v>
      </c>
      <c r="M177" s="53"/>
      <c r="N177" s="54"/>
      <c r="O177" s="55">
        <f>N177+M177</f>
        <v>0</v>
      </c>
      <c r="P177" s="57"/>
    </row>
    <row r="178" spans="1:16" ht="24" hidden="1" customHeight="1" x14ac:dyDescent="0.25">
      <c r="A178" s="51">
        <v>3263</v>
      </c>
      <c r="B178" s="88" t="s">
        <v>195</v>
      </c>
      <c r="C178" s="89">
        <f t="shared" si="48"/>
        <v>0</v>
      </c>
      <c r="D178" s="194"/>
      <c r="E178" s="195"/>
      <c r="F178" s="55">
        <f>D178+E178</f>
        <v>0</v>
      </c>
      <c r="G178" s="53"/>
      <c r="H178" s="54"/>
      <c r="I178" s="55">
        <f>G178+H178</f>
        <v>0</v>
      </c>
      <c r="J178" s="53"/>
      <c r="K178" s="54"/>
      <c r="L178" s="55">
        <f>K178+J178</f>
        <v>0</v>
      </c>
      <c r="M178" s="53"/>
      <c r="N178" s="54"/>
      <c r="O178" s="55">
        <f>N178+M178</f>
        <v>0</v>
      </c>
      <c r="P178" s="57"/>
    </row>
    <row r="179" spans="1:16" ht="84" hidden="1" x14ac:dyDescent="0.25">
      <c r="A179" s="729">
        <v>3290</v>
      </c>
      <c r="B179" s="81" t="s">
        <v>196</v>
      </c>
      <c r="C179" s="208">
        <f t="shared" si="48"/>
        <v>0</v>
      </c>
      <c r="D179" s="192">
        <f>SUM(D180:D183)</f>
        <v>0</v>
      </c>
      <c r="E179" s="193">
        <f>SUM(E180:E183)</f>
        <v>0</v>
      </c>
      <c r="F179" s="133">
        <f>SUM(F180:F183)</f>
        <v>0</v>
      </c>
      <c r="G179" s="192">
        <f t="shared" ref="G179:M179" si="64">SUM(G180:G183)</f>
        <v>0</v>
      </c>
      <c r="H179" s="193">
        <f>SUM(H180:H183)</f>
        <v>0</v>
      </c>
      <c r="I179" s="133">
        <f>SUM(I180:I183)</f>
        <v>0</v>
      </c>
      <c r="J179" s="192">
        <f t="shared" si="64"/>
        <v>0</v>
      </c>
      <c r="K179" s="193">
        <f>SUM(K180:K183)</f>
        <v>0</v>
      </c>
      <c r="L179" s="133">
        <f>SUM(L180:L183)</f>
        <v>0</v>
      </c>
      <c r="M179" s="192">
        <f t="shared" si="64"/>
        <v>0</v>
      </c>
      <c r="N179" s="193">
        <f>SUM(N180:N183)</f>
        <v>0</v>
      </c>
      <c r="O179" s="133">
        <f>SUM(O180:O183)</f>
        <v>0</v>
      </c>
      <c r="P179" s="49"/>
    </row>
    <row r="180" spans="1:16" ht="72" hidden="1" customHeight="1" x14ac:dyDescent="0.25">
      <c r="A180" s="51">
        <v>3291</v>
      </c>
      <c r="B180" s="88" t="s">
        <v>197</v>
      </c>
      <c r="C180" s="89">
        <f t="shared" si="48"/>
        <v>0</v>
      </c>
      <c r="D180" s="194"/>
      <c r="E180" s="195"/>
      <c r="F180" s="55">
        <f>D180+E180</f>
        <v>0</v>
      </c>
      <c r="G180" s="53"/>
      <c r="H180" s="54"/>
      <c r="I180" s="55">
        <f>G180+H180</f>
        <v>0</v>
      </c>
      <c r="J180" s="53"/>
      <c r="K180" s="54"/>
      <c r="L180" s="55">
        <f>K180+J180</f>
        <v>0</v>
      </c>
      <c r="M180" s="53"/>
      <c r="N180" s="54"/>
      <c r="O180" s="55">
        <f>N180+M180</f>
        <v>0</v>
      </c>
      <c r="P180" s="57"/>
    </row>
    <row r="181" spans="1:16" ht="72" hidden="1" customHeight="1" x14ac:dyDescent="0.25">
      <c r="A181" s="51">
        <v>3292</v>
      </c>
      <c r="B181" s="88" t="s">
        <v>198</v>
      </c>
      <c r="C181" s="89">
        <f t="shared" si="48"/>
        <v>0</v>
      </c>
      <c r="D181" s="194"/>
      <c r="E181" s="195"/>
      <c r="F181" s="55">
        <f>D181+E181</f>
        <v>0</v>
      </c>
      <c r="G181" s="53"/>
      <c r="H181" s="54"/>
      <c r="I181" s="55">
        <f>G181+H181</f>
        <v>0</v>
      </c>
      <c r="J181" s="53"/>
      <c r="K181" s="54"/>
      <c r="L181" s="55">
        <f>K181+J181</f>
        <v>0</v>
      </c>
      <c r="M181" s="53"/>
      <c r="N181" s="54"/>
      <c r="O181" s="55">
        <f>N181+M181</f>
        <v>0</v>
      </c>
      <c r="P181" s="57"/>
    </row>
    <row r="182" spans="1:16" ht="72" hidden="1" customHeight="1" x14ac:dyDescent="0.25">
      <c r="A182" s="51">
        <v>3293</v>
      </c>
      <c r="B182" s="88" t="s">
        <v>199</v>
      </c>
      <c r="C182" s="89">
        <f t="shared" si="48"/>
        <v>0</v>
      </c>
      <c r="D182" s="194"/>
      <c r="E182" s="195"/>
      <c r="F182" s="55">
        <f>D182+E182</f>
        <v>0</v>
      </c>
      <c r="G182" s="53"/>
      <c r="H182" s="54"/>
      <c r="I182" s="55">
        <f>G182+H182</f>
        <v>0</v>
      </c>
      <c r="J182" s="53"/>
      <c r="K182" s="54"/>
      <c r="L182" s="55">
        <f>K182+J182</f>
        <v>0</v>
      </c>
      <c r="M182" s="53"/>
      <c r="N182" s="54"/>
      <c r="O182" s="55">
        <f>N182+M182</f>
        <v>0</v>
      </c>
      <c r="P182" s="57"/>
    </row>
    <row r="183" spans="1:16" ht="60" hidden="1" customHeight="1" x14ac:dyDescent="0.25">
      <c r="A183" s="209">
        <v>3294</v>
      </c>
      <c r="B183" s="88" t="s">
        <v>200</v>
      </c>
      <c r="C183" s="208">
        <f t="shared" si="48"/>
        <v>0</v>
      </c>
      <c r="D183" s="210"/>
      <c r="E183" s="211"/>
      <c r="F183" s="212">
        <f>D183+E183</f>
        <v>0</v>
      </c>
      <c r="G183" s="213"/>
      <c r="H183" s="214"/>
      <c r="I183" s="212">
        <f>G183+H183</f>
        <v>0</v>
      </c>
      <c r="J183" s="213"/>
      <c r="K183" s="214"/>
      <c r="L183" s="212">
        <f>K183+J183</f>
        <v>0</v>
      </c>
      <c r="M183" s="213"/>
      <c r="N183" s="214"/>
      <c r="O183" s="212">
        <f>N183+M183</f>
        <v>0</v>
      </c>
      <c r="P183" s="215"/>
    </row>
    <row r="184" spans="1:16" ht="48" hidden="1" x14ac:dyDescent="0.25">
      <c r="A184" s="216">
        <v>3300</v>
      </c>
      <c r="B184" s="207" t="s">
        <v>201</v>
      </c>
      <c r="C184" s="217">
        <f t="shared" si="48"/>
        <v>0</v>
      </c>
      <c r="D184" s="218">
        <f>SUM(D185:D186)</f>
        <v>0</v>
      </c>
      <c r="E184" s="219">
        <f>SUM(E185:E186)</f>
        <v>0</v>
      </c>
      <c r="F184" s="220">
        <f>SUM(F185:F186)</f>
        <v>0</v>
      </c>
      <c r="G184" s="218">
        <f t="shared" ref="G184:M184" si="65">SUM(G185:G186)</f>
        <v>0</v>
      </c>
      <c r="H184" s="219">
        <f>SUM(H185:H186)</f>
        <v>0</v>
      </c>
      <c r="I184" s="220">
        <f>SUM(I185:I186)</f>
        <v>0</v>
      </c>
      <c r="J184" s="218">
        <f t="shared" si="65"/>
        <v>0</v>
      </c>
      <c r="K184" s="219">
        <f>SUM(K185:K186)</f>
        <v>0</v>
      </c>
      <c r="L184" s="220">
        <f>SUM(L185:L186)</f>
        <v>0</v>
      </c>
      <c r="M184" s="218">
        <f t="shared" si="65"/>
        <v>0</v>
      </c>
      <c r="N184" s="219">
        <f>SUM(N185:N186)</f>
        <v>0</v>
      </c>
      <c r="O184" s="220">
        <f>SUM(O185:O186)</f>
        <v>0</v>
      </c>
      <c r="P184" s="221"/>
    </row>
    <row r="185" spans="1:16" ht="48" hidden="1" customHeight="1" x14ac:dyDescent="0.25">
      <c r="A185" s="136">
        <v>3310</v>
      </c>
      <c r="B185" s="137" t="s">
        <v>202</v>
      </c>
      <c r="C185" s="142">
        <f t="shared" si="48"/>
        <v>0</v>
      </c>
      <c r="D185" s="202"/>
      <c r="E185" s="203"/>
      <c r="F185" s="140">
        <f>D185+E185</f>
        <v>0</v>
      </c>
      <c r="G185" s="143"/>
      <c r="H185" s="144"/>
      <c r="I185" s="140">
        <f>G185+H185</f>
        <v>0</v>
      </c>
      <c r="J185" s="143"/>
      <c r="K185" s="144"/>
      <c r="L185" s="140">
        <f>K185+J185</f>
        <v>0</v>
      </c>
      <c r="M185" s="143"/>
      <c r="N185" s="144"/>
      <c r="O185" s="140">
        <f>N185+M185</f>
        <v>0</v>
      </c>
      <c r="P185" s="128"/>
    </row>
    <row r="186" spans="1:16" ht="48.75" hidden="1" customHeight="1" x14ac:dyDescent="0.25">
      <c r="A186" s="44">
        <v>3320</v>
      </c>
      <c r="B186" s="81" t="s">
        <v>203</v>
      </c>
      <c r="C186" s="82">
        <f t="shared" si="48"/>
        <v>0</v>
      </c>
      <c r="D186" s="196"/>
      <c r="E186" s="197"/>
      <c r="F186" s="133">
        <f>D186+E186</f>
        <v>0</v>
      </c>
      <c r="G186" s="46"/>
      <c r="H186" s="47"/>
      <c r="I186" s="133">
        <f>G186+H186</f>
        <v>0</v>
      </c>
      <c r="J186" s="46"/>
      <c r="K186" s="47"/>
      <c r="L186" s="133">
        <f>K186+J186</f>
        <v>0</v>
      </c>
      <c r="M186" s="46"/>
      <c r="N186" s="47"/>
      <c r="O186" s="133">
        <f>N186+M186</f>
        <v>0</v>
      </c>
      <c r="P186" s="49"/>
    </row>
    <row r="187" spans="1:16" hidden="1" x14ac:dyDescent="0.25">
      <c r="A187" s="222">
        <v>4000</v>
      </c>
      <c r="B187" s="176" t="s">
        <v>204</v>
      </c>
      <c r="C187" s="177">
        <f t="shared" si="48"/>
        <v>0</v>
      </c>
      <c r="D187" s="178">
        <f t="shared" ref="D187:O187" si="66">SUM(D188,D191)</f>
        <v>0</v>
      </c>
      <c r="E187" s="179">
        <f t="shared" si="66"/>
        <v>0</v>
      </c>
      <c r="F187" s="180">
        <f t="shared" si="66"/>
        <v>0</v>
      </c>
      <c r="G187" s="178">
        <f t="shared" si="66"/>
        <v>0</v>
      </c>
      <c r="H187" s="179">
        <f t="shared" si="66"/>
        <v>0</v>
      </c>
      <c r="I187" s="180">
        <f t="shared" si="66"/>
        <v>0</v>
      </c>
      <c r="J187" s="178">
        <f t="shared" si="66"/>
        <v>0</v>
      </c>
      <c r="K187" s="179">
        <f t="shared" si="66"/>
        <v>0</v>
      </c>
      <c r="L187" s="180">
        <f t="shared" si="66"/>
        <v>0</v>
      </c>
      <c r="M187" s="178">
        <f t="shared" si="66"/>
        <v>0</v>
      </c>
      <c r="N187" s="179">
        <f t="shared" si="66"/>
        <v>0</v>
      </c>
      <c r="O187" s="180">
        <f t="shared" si="66"/>
        <v>0</v>
      </c>
      <c r="P187" s="181"/>
    </row>
    <row r="188" spans="1:16" ht="24" hidden="1" x14ac:dyDescent="0.25">
      <c r="A188" s="223">
        <v>4200</v>
      </c>
      <c r="B188" s="182" t="s">
        <v>205</v>
      </c>
      <c r="C188" s="69">
        <f t="shared" si="48"/>
        <v>0</v>
      </c>
      <c r="D188" s="183">
        <f t="shared" ref="D188:O188" si="67">SUM(D189,D190)</f>
        <v>0</v>
      </c>
      <c r="E188" s="184">
        <f t="shared" si="67"/>
        <v>0</v>
      </c>
      <c r="F188" s="72">
        <f t="shared" si="67"/>
        <v>0</v>
      </c>
      <c r="G188" s="183">
        <f t="shared" si="67"/>
        <v>0</v>
      </c>
      <c r="H188" s="184">
        <f t="shared" si="67"/>
        <v>0</v>
      </c>
      <c r="I188" s="72">
        <f t="shared" si="67"/>
        <v>0</v>
      </c>
      <c r="J188" s="183">
        <f t="shared" si="67"/>
        <v>0</v>
      </c>
      <c r="K188" s="184">
        <f t="shared" si="67"/>
        <v>0</v>
      </c>
      <c r="L188" s="72">
        <f t="shared" si="67"/>
        <v>0</v>
      </c>
      <c r="M188" s="183">
        <f t="shared" si="67"/>
        <v>0</v>
      </c>
      <c r="N188" s="184">
        <f t="shared" si="67"/>
        <v>0</v>
      </c>
      <c r="O188" s="72">
        <f t="shared" si="67"/>
        <v>0</v>
      </c>
      <c r="P188" s="76"/>
    </row>
    <row r="189" spans="1:16" ht="36" hidden="1" customHeight="1" x14ac:dyDescent="0.25">
      <c r="A189" s="729">
        <v>4240</v>
      </c>
      <c r="B189" s="81" t="s">
        <v>206</v>
      </c>
      <c r="C189" s="82">
        <f t="shared" si="48"/>
        <v>0</v>
      </c>
      <c r="D189" s="196"/>
      <c r="E189" s="197"/>
      <c r="F189" s="133">
        <f>D189+E189</f>
        <v>0</v>
      </c>
      <c r="G189" s="46"/>
      <c r="H189" s="47"/>
      <c r="I189" s="133">
        <f>G189+H189</f>
        <v>0</v>
      </c>
      <c r="J189" s="46"/>
      <c r="K189" s="47"/>
      <c r="L189" s="133">
        <f>K189+J189</f>
        <v>0</v>
      </c>
      <c r="M189" s="46"/>
      <c r="N189" s="47"/>
      <c r="O189" s="133">
        <f>N189+M189</f>
        <v>0</v>
      </c>
      <c r="P189" s="49"/>
    </row>
    <row r="190" spans="1:16" ht="24" hidden="1" customHeight="1" x14ac:dyDescent="0.25">
      <c r="A190" s="188">
        <v>4250</v>
      </c>
      <c r="B190" s="88" t="s">
        <v>207</v>
      </c>
      <c r="C190" s="89">
        <f t="shared" si="48"/>
        <v>0</v>
      </c>
      <c r="D190" s="194"/>
      <c r="E190" s="195"/>
      <c r="F190" s="55">
        <f>D190+E190</f>
        <v>0</v>
      </c>
      <c r="G190" s="53"/>
      <c r="H190" s="54"/>
      <c r="I190" s="55">
        <f>G190+H190</f>
        <v>0</v>
      </c>
      <c r="J190" s="53"/>
      <c r="K190" s="54"/>
      <c r="L190" s="55">
        <f>K190+J190</f>
        <v>0</v>
      </c>
      <c r="M190" s="53"/>
      <c r="N190" s="54"/>
      <c r="O190" s="55">
        <f>N190+M190</f>
        <v>0</v>
      </c>
      <c r="P190" s="57"/>
    </row>
    <row r="191" spans="1:16" hidden="1" x14ac:dyDescent="0.25">
      <c r="A191" s="68">
        <v>4300</v>
      </c>
      <c r="B191" s="182" t="s">
        <v>208</v>
      </c>
      <c r="C191" s="69">
        <f t="shared" si="48"/>
        <v>0</v>
      </c>
      <c r="D191" s="183">
        <f t="shared" ref="D191:O191" si="68">SUM(D192)</f>
        <v>0</v>
      </c>
      <c r="E191" s="184">
        <f t="shared" si="68"/>
        <v>0</v>
      </c>
      <c r="F191" s="72">
        <f t="shared" si="68"/>
        <v>0</v>
      </c>
      <c r="G191" s="183">
        <f t="shared" si="68"/>
        <v>0</v>
      </c>
      <c r="H191" s="184">
        <f t="shared" si="68"/>
        <v>0</v>
      </c>
      <c r="I191" s="72">
        <f t="shared" si="68"/>
        <v>0</v>
      </c>
      <c r="J191" s="183">
        <f t="shared" si="68"/>
        <v>0</v>
      </c>
      <c r="K191" s="184">
        <f t="shared" si="68"/>
        <v>0</v>
      </c>
      <c r="L191" s="72">
        <f t="shared" si="68"/>
        <v>0</v>
      </c>
      <c r="M191" s="183">
        <f t="shared" si="68"/>
        <v>0</v>
      </c>
      <c r="N191" s="184">
        <f t="shared" si="68"/>
        <v>0</v>
      </c>
      <c r="O191" s="72">
        <f t="shared" si="68"/>
        <v>0</v>
      </c>
      <c r="P191" s="76"/>
    </row>
    <row r="192" spans="1:16" ht="24" hidden="1" x14ac:dyDescent="0.25">
      <c r="A192" s="729">
        <v>4310</v>
      </c>
      <c r="B192" s="81" t="s">
        <v>209</v>
      </c>
      <c r="C192" s="82">
        <f t="shared" si="48"/>
        <v>0</v>
      </c>
      <c r="D192" s="192">
        <f t="shared" ref="D192:O192" si="69">SUM(D193:D193)</f>
        <v>0</v>
      </c>
      <c r="E192" s="193">
        <f t="shared" si="69"/>
        <v>0</v>
      </c>
      <c r="F192" s="133">
        <f t="shared" si="69"/>
        <v>0</v>
      </c>
      <c r="G192" s="192">
        <f t="shared" si="69"/>
        <v>0</v>
      </c>
      <c r="H192" s="193">
        <f t="shared" si="69"/>
        <v>0</v>
      </c>
      <c r="I192" s="133">
        <f t="shared" si="69"/>
        <v>0</v>
      </c>
      <c r="J192" s="192">
        <f t="shared" si="69"/>
        <v>0</v>
      </c>
      <c r="K192" s="193">
        <f t="shared" si="69"/>
        <v>0</v>
      </c>
      <c r="L192" s="133">
        <f t="shared" si="69"/>
        <v>0</v>
      </c>
      <c r="M192" s="192">
        <f t="shared" si="69"/>
        <v>0</v>
      </c>
      <c r="N192" s="193">
        <f t="shared" si="69"/>
        <v>0</v>
      </c>
      <c r="O192" s="133">
        <f t="shared" si="69"/>
        <v>0</v>
      </c>
      <c r="P192" s="49"/>
    </row>
    <row r="193" spans="1:16" ht="36" hidden="1" customHeight="1" x14ac:dyDescent="0.25">
      <c r="A193" s="51">
        <v>4311</v>
      </c>
      <c r="B193" s="88" t="s">
        <v>210</v>
      </c>
      <c r="C193" s="89">
        <f t="shared" si="48"/>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48"/>
        <v>95251</v>
      </c>
      <c r="D194" s="172">
        <f t="shared" ref="D194:O194" si="70">SUM(D195,D230,D269,D283)</f>
        <v>80681</v>
      </c>
      <c r="E194" s="173">
        <f t="shared" si="70"/>
        <v>0</v>
      </c>
      <c r="F194" s="174">
        <f t="shared" si="70"/>
        <v>80681</v>
      </c>
      <c r="G194" s="172">
        <f t="shared" si="70"/>
        <v>0</v>
      </c>
      <c r="H194" s="173">
        <f t="shared" si="70"/>
        <v>0</v>
      </c>
      <c r="I194" s="174">
        <f t="shared" si="70"/>
        <v>0</v>
      </c>
      <c r="J194" s="172">
        <f t="shared" si="70"/>
        <v>6706</v>
      </c>
      <c r="K194" s="173">
        <f t="shared" si="70"/>
        <v>7864</v>
      </c>
      <c r="L194" s="174">
        <f t="shared" si="70"/>
        <v>14570</v>
      </c>
      <c r="M194" s="172">
        <f t="shared" si="70"/>
        <v>0</v>
      </c>
      <c r="N194" s="173">
        <f t="shared" si="70"/>
        <v>0</v>
      </c>
      <c r="O194" s="174">
        <f t="shared" si="70"/>
        <v>0</v>
      </c>
      <c r="P194" s="175"/>
    </row>
    <row r="195" spans="1:16" x14ac:dyDescent="0.25">
      <c r="A195" s="176">
        <v>5000</v>
      </c>
      <c r="B195" s="176" t="s">
        <v>212</v>
      </c>
      <c r="C195" s="177">
        <f t="shared" si="48"/>
        <v>95251</v>
      </c>
      <c r="D195" s="178">
        <f t="shared" ref="D195:O195" si="71">D196+D204</f>
        <v>80681</v>
      </c>
      <c r="E195" s="179">
        <f t="shared" si="71"/>
        <v>0</v>
      </c>
      <c r="F195" s="180">
        <f t="shared" si="71"/>
        <v>80681</v>
      </c>
      <c r="G195" s="178">
        <f t="shared" si="71"/>
        <v>0</v>
      </c>
      <c r="H195" s="179">
        <f t="shared" si="71"/>
        <v>0</v>
      </c>
      <c r="I195" s="180">
        <f t="shared" si="71"/>
        <v>0</v>
      </c>
      <c r="J195" s="178">
        <f t="shared" si="71"/>
        <v>6706</v>
      </c>
      <c r="K195" s="179">
        <f t="shared" si="71"/>
        <v>7864</v>
      </c>
      <c r="L195" s="180">
        <f t="shared" si="71"/>
        <v>14570</v>
      </c>
      <c r="M195" s="178">
        <f t="shared" si="71"/>
        <v>0</v>
      </c>
      <c r="N195" s="179">
        <f t="shared" si="71"/>
        <v>0</v>
      </c>
      <c r="O195" s="180">
        <f t="shared" si="71"/>
        <v>0</v>
      </c>
      <c r="P195" s="181"/>
    </row>
    <row r="196" spans="1:16" hidden="1" x14ac:dyDescent="0.25">
      <c r="A196" s="68">
        <v>5100</v>
      </c>
      <c r="B196" s="182" t="s">
        <v>213</v>
      </c>
      <c r="C196" s="69">
        <f t="shared" si="48"/>
        <v>0</v>
      </c>
      <c r="D196" s="183">
        <f t="shared" ref="D196:O196" si="72">D197+D198+D201+D202+D203</f>
        <v>0</v>
      </c>
      <c r="E196" s="184">
        <f t="shared" si="72"/>
        <v>0</v>
      </c>
      <c r="F196" s="72">
        <f t="shared" si="72"/>
        <v>0</v>
      </c>
      <c r="G196" s="183">
        <f t="shared" si="72"/>
        <v>0</v>
      </c>
      <c r="H196" s="184">
        <f t="shared" si="72"/>
        <v>0</v>
      </c>
      <c r="I196" s="72">
        <f t="shared" si="72"/>
        <v>0</v>
      </c>
      <c r="J196" s="183">
        <f t="shared" si="72"/>
        <v>0</v>
      </c>
      <c r="K196" s="184">
        <f t="shared" si="72"/>
        <v>0</v>
      </c>
      <c r="L196" s="72">
        <f t="shared" si="72"/>
        <v>0</v>
      </c>
      <c r="M196" s="183">
        <f t="shared" si="72"/>
        <v>0</v>
      </c>
      <c r="N196" s="184">
        <f t="shared" si="72"/>
        <v>0</v>
      </c>
      <c r="O196" s="72">
        <f t="shared" si="72"/>
        <v>0</v>
      </c>
      <c r="P196" s="76"/>
    </row>
    <row r="197" spans="1:16" ht="12" hidden="1" customHeight="1" x14ac:dyDescent="0.25">
      <c r="A197" s="729">
        <v>5110</v>
      </c>
      <c r="B197" s="81" t="s">
        <v>214</v>
      </c>
      <c r="C197" s="82">
        <f t="shared" si="48"/>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48"/>
        <v>0</v>
      </c>
      <c r="D198" s="189">
        <f t="shared" ref="D198:O198" si="73">D199+D200</f>
        <v>0</v>
      </c>
      <c r="E198" s="190">
        <f t="shared" si="73"/>
        <v>0</v>
      </c>
      <c r="F198" s="55">
        <f t="shared" si="73"/>
        <v>0</v>
      </c>
      <c r="G198" s="189">
        <f t="shared" si="73"/>
        <v>0</v>
      </c>
      <c r="H198" s="190">
        <f t="shared" si="73"/>
        <v>0</v>
      </c>
      <c r="I198" s="55">
        <f t="shared" si="73"/>
        <v>0</v>
      </c>
      <c r="J198" s="189">
        <f t="shared" si="73"/>
        <v>0</v>
      </c>
      <c r="K198" s="190">
        <f t="shared" si="73"/>
        <v>0</v>
      </c>
      <c r="L198" s="55">
        <f t="shared" si="73"/>
        <v>0</v>
      </c>
      <c r="M198" s="189">
        <f t="shared" si="73"/>
        <v>0</v>
      </c>
      <c r="N198" s="190">
        <f t="shared" si="73"/>
        <v>0</v>
      </c>
      <c r="O198" s="55">
        <f t="shared" si="73"/>
        <v>0</v>
      </c>
      <c r="P198" s="57"/>
    </row>
    <row r="199" spans="1:16" ht="12" hidden="1" customHeight="1" x14ac:dyDescent="0.25">
      <c r="A199" s="51">
        <v>5121</v>
      </c>
      <c r="B199" s="88" t="s">
        <v>216</v>
      </c>
      <c r="C199" s="89">
        <f t="shared" si="48"/>
        <v>0</v>
      </c>
      <c r="D199" s="194"/>
      <c r="E199" s="195"/>
      <c r="F199" s="55">
        <f>D199+E199</f>
        <v>0</v>
      </c>
      <c r="G199" s="53"/>
      <c r="H199" s="54"/>
      <c r="I199" s="55">
        <f>G199+H199</f>
        <v>0</v>
      </c>
      <c r="J199" s="53"/>
      <c r="K199" s="54"/>
      <c r="L199" s="55">
        <f>K199+J199</f>
        <v>0</v>
      </c>
      <c r="M199" s="53"/>
      <c r="N199" s="54"/>
      <c r="O199" s="55">
        <f>N199+M199</f>
        <v>0</v>
      </c>
      <c r="P199" s="57"/>
    </row>
    <row r="200" spans="1:16" ht="24" hidden="1" customHeight="1" x14ac:dyDescent="0.25">
      <c r="A200" s="51">
        <v>5129</v>
      </c>
      <c r="B200" s="88" t="s">
        <v>217</v>
      </c>
      <c r="C200" s="89">
        <f t="shared" si="48"/>
        <v>0</v>
      </c>
      <c r="D200" s="194"/>
      <c r="E200" s="195"/>
      <c r="F200" s="55">
        <f>D200+E200</f>
        <v>0</v>
      </c>
      <c r="G200" s="53"/>
      <c r="H200" s="54"/>
      <c r="I200" s="55">
        <f>G200+H200</f>
        <v>0</v>
      </c>
      <c r="J200" s="53"/>
      <c r="K200" s="54"/>
      <c r="L200" s="55">
        <f>K200+J200</f>
        <v>0</v>
      </c>
      <c r="M200" s="53"/>
      <c r="N200" s="54"/>
      <c r="O200" s="55">
        <f>N200+M200</f>
        <v>0</v>
      </c>
      <c r="P200" s="57"/>
    </row>
    <row r="201" spans="1:16" ht="12" hidden="1" customHeight="1" x14ac:dyDescent="0.25">
      <c r="A201" s="188">
        <v>5130</v>
      </c>
      <c r="B201" s="88" t="s">
        <v>218</v>
      </c>
      <c r="C201" s="89">
        <f t="shared" si="48"/>
        <v>0</v>
      </c>
      <c r="D201" s="194"/>
      <c r="E201" s="195"/>
      <c r="F201" s="55">
        <f>D201+E201</f>
        <v>0</v>
      </c>
      <c r="G201" s="53"/>
      <c r="H201" s="54"/>
      <c r="I201" s="55">
        <f>G201+H201</f>
        <v>0</v>
      </c>
      <c r="J201" s="53"/>
      <c r="K201" s="54"/>
      <c r="L201" s="55">
        <f>K201+J201</f>
        <v>0</v>
      </c>
      <c r="M201" s="53"/>
      <c r="N201" s="54"/>
      <c r="O201" s="55">
        <f>N201+M201</f>
        <v>0</v>
      </c>
      <c r="P201" s="57"/>
    </row>
    <row r="202" spans="1:16" ht="12" hidden="1" customHeight="1" x14ac:dyDescent="0.25">
      <c r="A202" s="188">
        <v>5140</v>
      </c>
      <c r="B202" s="88" t="s">
        <v>219</v>
      </c>
      <c r="C202" s="89">
        <f t="shared" si="48"/>
        <v>0</v>
      </c>
      <c r="D202" s="194"/>
      <c r="E202" s="195"/>
      <c r="F202" s="55">
        <f>D202+E202</f>
        <v>0</v>
      </c>
      <c r="G202" s="53"/>
      <c r="H202" s="54"/>
      <c r="I202" s="55">
        <f>G202+H202</f>
        <v>0</v>
      </c>
      <c r="J202" s="53"/>
      <c r="K202" s="54"/>
      <c r="L202" s="55">
        <f>K202+J202</f>
        <v>0</v>
      </c>
      <c r="M202" s="53"/>
      <c r="N202" s="54"/>
      <c r="O202" s="55">
        <f>N202+M202</f>
        <v>0</v>
      </c>
      <c r="P202" s="57"/>
    </row>
    <row r="203" spans="1:16" ht="24" hidden="1" customHeight="1" x14ac:dyDescent="0.25">
      <c r="A203" s="188">
        <v>5170</v>
      </c>
      <c r="B203" s="88" t="s">
        <v>220</v>
      </c>
      <c r="C203" s="89">
        <f t="shared" si="48"/>
        <v>0</v>
      </c>
      <c r="D203" s="194"/>
      <c r="E203" s="195"/>
      <c r="F203" s="55">
        <f>D203+E203</f>
        <v>0</v>
      </c>
      <c r="G203" s="53"/>
      <c r="H203" s="54"/>
      <c r="I203" s="55">
        <f>G203+H203</f>
        <v>0</v>
      </c>
      <c r="J203" s="53"/>
      <c r="K203" s="54"/>
      <c r="L203" s="55">
        <f>K203+J203</f>
        <v>0</v>
      </c>
      <c r="M203" s="53"/>
      <c r="N203" s="54"/>
      <c r="O203" s="55">
        <f>N203+M203</f>
        <v>0</v>
      </c>
      <c r="P203" s="57"/>
    </row>
    <row r="204" spans="1:16" x14ac:dyDescent="0.25">
      <c r="A204" s="68">
        <v>5200</v>
      </c>
      <c r="B204" s="182" t="s">
        <v>221</v>
      </c>
      <c r="C204" s="69">
        <f t="shared" si="48"/>
        <v>95251</v>
      </c>
      <c r="D204" s="183">
        <f t="shared" ref="D204:O204" si="74">D205+D215+D216+D225+D226+D227+D229</f>
        <v>80681</v>
      </c>
      <c r="E204" s="184">
        <f t="shared" si="74"/>
        <v>0</v>
      </c>
      <c r="F204" s="72">
        <f t="shared" si="74"/>
        <v>80681</v>
      </c>
      <c r="G204" s="183">
        <f t="shared" si="74"/>
        <v>0</v>
      </c>
      <c r="H204" s="184">
        <f t="shared" si="74"/>
        <v>0</v>
      </c>
      <c r="I204" s="72">
        <f t="shared" si="74"/>
        <v>0</v>
      </c>
      <c r="J204" s="183">
        <f t="shared" si="74"/>
        <v>6706</v>
      </c>
      <c r="K204" s="184">
        <f t="shared" si="74"/>
        <v>7864</v>
      </c>
      <c r="L204" s="72">
        <f t="shared" si="74"/>
        <v>14570</v>
      </c>
      <c r="M204" s="183">
        <f t="shared" si="74"/>
        <v>0</v>
      </c>
      <c r="N204" s="184">
        <f t="shared" si="74"/>
        <v>0</v>
      </c>
      <c r="O204" s="72">
        <f t="shared" si="74"/>
        <v>0</v>
      </c>
      <c r="P204" s="76"/>
    </row>
    <row r="205" spans="1:16" hidden="1" x14ac:dyDescent="0.25">
      <c r="A205" s="185">
        <v>5210</v>
      </c>
      <c r="B205" s="137" t="s">
        <v>222</v>
      </c>
      <c r="C205" s="142">
        <f t="shared" si="48"/>
        <v>0</v>
      </c>
      <c r="D205" s="186">
        <f t="shared" ref="D205:O205" si="75">SUM(D206:D214)</f>
        <v>0</v>
      </c>
      <c r="E205" s="187">
        <f t="shared" si="75"/>
        <v>0</v>
      </c>
      <c r="F205" s="140">
        <f t="shared" si="75"/>
        <v>0</v>
      </c>
      <c r="G205" s="186">
        <f t="shared" si="75"/>
        <v>0</v>
      </c>
      <c r="H205" s="187">
        <f t="shared" si="75"/>
        <v>0</v>
      </c>
      <c r="I205" s="140">
        <f t="shared" si="75"/>
        <v>0</v>
      </c>
      <c r="J205" s="186">
        <f t="shared" si="75"/>
        <v>0</v>
      </c>
      <c r="K205" s="187">
        <f t="shared" si="75"/>
        <v>0</v>
      </c>
      <c r="L205" s="140">
        <f t="shared" si="75"/>
        <v>0</v>
      </c>
      <c r="M205" s="186">
        <f t="shared" si="75"/>
        <v>0</v>
      </c>
      <c r="N205" s="187">
        <f t="shared" si="75"/>
        <v>0</v>
      </c>
      <c r="O205" s="140">
        <f t="shared" si="75"/>
        <v>0</v>
      </c>
      <c r="P205" s="128"/>
    </row>
    <row r="206" spans="1:16" ht="12" hidden="1" customHeight="1" x14ac:dyDescent="0.25">
      <c r="A206" s="44">
        <v>5211</v>
      </c>
      <c r="B206" s="81" t="s">
        <v>223</v>
      </c>
      <c r="C206" s="82">
        <f t="shared" si="48"/>
        <v>0</v>
      </c>
      <c r="D206" s="196"/>
      <c r="E206" s="197"/>
      <c r="F206" s="133">
        <f t="shared" ref="F206:F215" si="76">D206+E206</f>
        <v>0</v>
      </c>
      <c r="G206" s="46"/>
      <c r="H206" s="47"/>
      <c r="I206" s="133">
        <f t="shared" ref="I206:I215" si="77">G206+H206</f>
        <v>0</v>
      </c>
      <c r="J206" s="46"/>
      <c r="K206" s="47"/>
      <c r="L206" s="133">
        <f t="shared" ref="L206:L215" si="78">K206+J206</f>
        <v>0</v>
      </c>
      <c r="M206" s="46"/>
      <c r="N206" s="47"/>
      <c r="O206" s="133">
        <f t="shared" ref="O206:O215" si="79">N206+M206</f>
        <v>0</v>
      </c>
      <c r="P206" s="49"/>
    </row>
    <row r="207" spans="1:16" ht="12" hidden="1" customHeight="1" x14ac:dyDescent="0.25">
      <c r="A207" s="51">
        <v>5212</v>
      </c>
      <c r="B207" s="88" t="s">
        <v>224</v>
      </c>
      <c r="C207" s="89">
        <f t="shared" si="48"/>
        <v>0</v>
      </c>
      <c r="D207" s="194"/>
      <c r="E207" s="195"/>
      <c r="F207" s="55">
        <f t="shared" si="76"/>
        <v>0</v>
      </c>
      <c r="G207" s="53"/>
      <c r="H207" s="54"/>
      <c r="I207" s="55">
        <f t="shared" si="77"/>
        <v>0</v>
      </c>
      <c r="J207" s="53"/>
      <c r="K207" s="54"/>
      <c r="L207" s="55">
        <f t="shared" si="78"/>
        <v>0</v>
      </c>
      <c r="M207" s="53"/>
      <c r="N207" s="54"/>
      <c r="O207" s="55">
        <f t="shared" si="79"/>
        <v>0</v>
      </c>
      <c r="P207" s="57"/>
    </row>
    <row r="208" spans="1:16" ht="12" hidden="1" customHeight="1" x14ac:dyDescent="0.25">
      <c r="A208" s="51">
        <v>5213</v>
      </c>
      <c r="B208" s="88" t="s">
        <v>225</v>
      </c>
      <c r="C208" s="89">
        <f t="shared" si="48"/>
        <v>0</v>
      </c>
      <c r="D208" s="194"/>
      <c r="E208" s="195"/>
      <c r="F208" s="55">
        <f t="shared" si="76"/>
        <v>0</v>
      </c>
      <c r="G208" s="53"/>
      <c r="H208" s="54"/>
      <c r="I208" s="55">
        <f t="shared" si="77"/>
        <v>0</v>
      </c>
      <c r="J208" s="53"/>
      <c r="K208" s="54"/>
      <c r="L208" s="55">
        <f t="shared" si="78"/>
        <v>0</v>
      </c>
      <c r="M208" s="53"/>
      <c r="N208" s="54"/>
      <c r="O208" s="55">
        <f t="shared" si="79"/>
        <v>0</v>
      </c>
      <c r="P208" s="57"/>
    </row>
    <row r="209" spans="1:16" ht="12" hidden="1" customHeight="1" x14ac:dyDescent="0.25">
      <c r="A209" s="51">
        <v>5214</v>
      </c>
      <c r="B209" s="88" t="s">
        <v>226</v>
      </c>
      <c r="C209" s="89">
        <f t="shared" si="48"/>
        <v>0</v>
      </c>
      <c r="D209" s="194"/>
      <c r="E209" s="195"/>
      <c r="F209" s="55">
        <f t="shared" si="76"/>
        <v>0</v>
      </c>
      <c r="G209" s="53"/>
      <c r="H209" s="54"/>
      <c r="I209" s="55">
        <f t="shared" si="77"/>
        <v>0</v>
      </c>
      <c r="J209" s="53"/>
      <c r="K209" s="54"/>
      <c r="L209" s="55">
        <f t="shared" si="78"/>
        <v>0</v>
      </c>
      <c r="M209" s="53"/>
      <c r="N209" s="54"/>
      <c r="O209" s="55">
        <f t="shared" si="79"/>
        <v>0</v>
      </c>
      <c r="P209" s="57"/>
    </row>
    <row r="210" spans="1:16" ht="12" hidden="1" customHeight="1" x14ac:dyDescent="0.25">
      <c r="A210" s="51">
        <v>5215</v>
      </c>
      <c r="B210" s="88" t="s">
        <v>227</v>
      </c>
      <c r="C210" s="89">
        <f t="shared" si="48"/>
        <v>0</v>
      </c>
      <c r="D210" s="194"/>
      <c r="E210" s="195"/>
      <c r="F210" s="55">
        <f t="shared" si="76"/>
        <v>0</v>
      </c>
      <c r="G210" s="53"/>
      <c r="H210" s="54"/>
      <c r="I210" s="55">
        <f t="shared" si="77"/>
        <v>0</v>
      </c>
      <c r="J210" s="53"/>
      <c r="K210" s="54"/>
      <c r="L210" s="55">
        <f t="shared" si="78"/>
        <v>0</v>
      </c>
      <c r="M210" s="53"/>
      <c r="N210" s="54"/>
      <c r="O210" s="55">
        <f t="shared" si="79"/>
        <v>0</v>
      </c>
      <c r="P210" s="57"/>
    </row>
    <row r="211" spans="1:16" ht="14.25" hidden="1" customHeight="1" x14ac:dyDescent="0.25">
      <c r="A211" s="51">
        <v>5216</v>
      </c>
      <c r="B211" s="88" t="s">
        <v>228</v>
      </c>
      <c r="C211" s="89">
        <f t="shared" si="48"/>
        <v>0</v>
      </c>
      <c r="D211" s="194"/>
      <c r="E211" s="195"/>
      <c r="F211" s="55">
        <f t="shared" si="76"/>
        <v>0</v>
      </c>
      <c r="G211" s="53"/>
      <c r="H211" s="54"/>
      <c r="I211" s="55">
        <f t="shared" si="77"/>
        <v>0</v>
      </c>
      <c r="J211" s="53"/>
      <c r="K211" s="54"/>
      <c r="L211" s="55">
        <f t="shared" si="78"/>
        <v>0</v>
      </c>
      <c r="M211" s="53"/>
      <c r="N211" s="54"/>
      <c r="O211" s="55">
        <f t="shared" si="79"/>
        <v>0</v>
      </c>
      <c r="P211" s="57"/>
    </row>
    <row r="212" spans="1:16" ht="12" hidden="1" customHeight="1" x14ac:dyDescent="0.25">
      <c r="A212" s="51">
        <v>5217</v>
      </c>
      <c r="B212" s="88" t="s">
        <v>229</v>
      </c>
      <c r="C212" s="89">
        <f t="shared" ref="C212:C275" si="80">F212+I212+L212+O212</f>
        <v>0</v>
      </c>
      <c r="D212" s="194"/>
      <c r="E212" s="195"/>
      <c r="F212" s="55">
        <f t="shared" si="76"/>
        <v>0</v>
      </c>
      <c r="G212" s="53"/>
      <c r="H212" s="54"/>
      <c r="I212" s="55">
        <f t="shared" si="77"/>
        <v>0</v>
      </c>
      <c r="J212" s="53"/>
      <c r="K212" s="54"/>
      <c r="L212" s="55">
        <f t="shared" si="78"/>
        <v>0</v>
      </c>
      <c r="M212" s="53"/>
      <c r="N212" s="54"/>
      <c r="O212" s="55">
        <f t="shared" si="79"/>
        <v>0</v>
      </c>
      <c r="P212" s="57"/>
    </row>
    <row r="213" spans="1:16" ht="12" hidden="1" customHeight="1" x14ac:dyDescent="0.25">
      <c r="A213" s="51">
        <v>5218</v>
      </c>
      <c r="B213" s="88" t="s">
        <v>230</v>
      </c>
      <c r="C213" s="89">
        <f t="shared" si="80"/>
        <v>0</v>
      </c>
      <c r="D213" s="194"/>
      <c r="E213" s="195"/>
      <c r="F213" s="55">
        <f t="shared" si="76"/>
        <v>0</v>
      </c>
      <c r="G213" s="53"/>
      <c r="H213" s="54"/>
      <c r="I213" s="55">
        <f t="shared" si="77"/>
        <v>0</v>
      </c>
      <c r="J213" s="53"/>
      <c r="K213" s="54"/>
      <c r="L213" s="55">
        <f t="shared" si="78"/>
        <v>0</v>
      </c>
      <c r="M213" s="53"/>
      <c r="N213" s="54"/>
      <c r="O213" s="55">
        <f t="shared" si="79"/>
        <v>0</v>
      </c>
      <c r="P213" s="57"/>
    </row>
    <row r="214" spans="1:16" ht="12" hidden="1" customHeight="1" x14ac:dyDescent="0.25">
      <c r="A214" s="51">
        <v>5219</v>
      </c>
      <c r="B214" s="88" t="s">
        <v>231</v>
      </c>
      <c r="C214" s="89">
        <f t="shared" si="80"/>
        <v>0</v>
      </c>
      <c r="D214" s="194"/>
      <c r="E214" s="195"/>
      <c r="F214" s="55">
        <f t="shared" si="76"/>
        <v>0</v>
      </c>
      <c r="G214" s="53"/>
      <c r="H214" s="54"/>
      <c r="I214" s="55">
        <f t="shared" si="77"/>
        <v>0</v>
      </c>
      <c r="J214" s="53"/>
      <c r="K214" s="54"/>
      <c r="L214" s="55">
        <f t="shared" si="78"/>
        <v>0</v>
      </c>
      <c r="M214" s="53"/>
      <c r="N214" s="54"/>
      <c r="O214" s="55">
        <f t="shared" si="79"/>
        <v>0</v>
      </c>
      <c r="P214" s="57"/>
    </row>
    <row r="215" spans="1:16" ht="13.5" hidden="1" customHeight="1" x14ac:dyDescent="0.25">
      <c r="A215" s="188">
        <v>5220</v>
      </c>
      <c r="B215" s="88" t="s">
        <v>232</v>
      </c>
      <c r="C215" s="89">
        <f t="shared" si="80"/>
        <v>0</v>
      </c>
      <c r="D215" s="194"/>
      <c r="E215" s="195"/>
      <c r="F215" s="55">
        <f t="shared" si="76"/>
        <v>0</v>
      </c>
      <c r="G215" s="53"/>
      <c r="H215" s="54"/>
      <c r="I215" s="55">
        <f t="shared" si="77"/>
        <v>0</v>
      </c>
      <c r="J215" s="53"/>
      <c r="K215" s="54"/>
      <c r="L215" s="55">
        <f t="shared" si="78"/>
        <v>0</v>
      </c>
      <c r="M215" s="53"/>
      <c r="N215" s="54"/>
      <c r="O215" s="55">
        <f t="shared" si="79"/>
        <v>0</v>
      </c>
      <c r="P215" s="57"/>
    </row>
    <row r="216" spans="1:16" x14ac:dyDescent="0.25">
      <c r="A216" s="188">
        <v>5230</v>
      </c>
      <c r="B216" s="88" t="s">
        <v>233</v>
      </c>
      <c r="C216" s="89">
        <f t="shared" si="80"/>
        <v>95251</v>
      </c>
      <c r="D216" s="189">
        <f t="shared" ref="D216:O216" si="81">SUM(D217:D224)</f>
        <v>80681</v>
      </c>
      <c r="E216" s="190">
        <f t="shared" si="81"/>
        <v>0</v>
      </c>
      <c r="F216" s="55">
        <f t="shared" si="81"/>
        <v>80681</v>
      </c>
      <c r="G216" s="189">
        <f t="shared" si="81"/>
        <v>0</v>
      </c>
      <c r="H216" s="190">
        <f t="shared" si="81"/>
        <v>0</v>
      </c>
      <c r="I216" s="55">
        <f t="shared" si="81"/>
        <v>0</v>
      </c>
      <c r="J216" s="189">
        <f t="shared" si="81"/>
        <v>6706</v>
      </c>
      <c r="K216" s="190">
        <f t="shared" si="81"/>
        <v>7864</v>
      </c>
      <c r="L216" s="55">
        <f t="shared" si="81"/>
        <v>14570</v>
      </c>
      <c r="M216" s="189">
        <f t="shared" si="81"/>
        <v>0</v>
      </c>
      <c r="N216" s="190">
        <f t="shared" si="81"/>
        <v>0</v>
      </c>
      <c r="O216" s="55">
        <f t="shared" si="81"/>
        <v>0</v>
      </c>
      <c r="P216" s="57"/>
    </row>
    <row r="217" spans="1:16" ht="12" hidden="1" customHeight="1" x14ac:dyDescent="0.25">
      <c r="A217" s="51">
        <v>5231</v>
      </c>
      <c r="B217" s="88" t="s">
        <v>234</v>
      </c>
      <c r="C217" s="89">
        <f t="shared" si="80"/>
        <v>0</v>
      </c>
      <c r="D217" s="194"/>
      <c r="E217" s="195"/>
      <c r="F217" s="55">
        <f t="shared" ref="F217:F226" si="82">D217+E217</f>
        <v>0</v>
      </c>
      <c r="G217" s="53"/>
      <c r="H217" s="54"/>
      <c r="I217" s="55">
        <f t="shared" ref="I217:I226" si="83">G217+H217</f>
        <v>0</v>
      </c>
      <c r="J217" s="53"/>
      <c r="K217" s="54"/>
      <c r="L217" s="55">
        <f t="shared" ref="L217:L226" si="84">K217+J217</f>
        <v>0</v>
      </c>
      <c r="M217" s="53"/>
      <c r="N217" s="54"/>
      <c r="O217" s="55">
        <f t="shared" ref="O217:O226" si="85">N217+M217</f>
        <v>0</v>
      </c>
      <c r="P217" s="57"/>
    </row>
    <row r="218" spans="1:16" ht="12" hidden="1" customHeight="1" x14ac:dyDescent="0.25">
      <c r="A218" s="51">
        <v>5232</v>
      </c>
      <c r="B218" s="88" t="s">
        <v>235</v>
      </c>
      <c r="C218" s="89">
        <f t="shared" si="80"/>
        <v>0</v>
      </c>
      <c r="D218" s="194"/>
      <c r="E218" s="195"/>
      <c r="F218" s="55">
        <f t="shared" si="82"/>
        <v>0</v>
      </c>
      <c r="G218" s="53"/>
      <c r="H218" s="54"/>
      <c r="I218" s="55">
        <f t="shared" si="83"/>
        <v>0</v>
      </c>
      <c r="J218" s="53"/>
      <c r="K218" s="54"/>
      <c r="L218" s="55">
        <f t="shared" si="84"/>
        <v>0</v>
      </c>
      <c r="M218" s="53"/>
      <c r="N218" s="54"/>
      <c r="O218" s="55">
        <f t="shared" si="85"/>
        <v>0</v>
      </c>
      <c r="P218" s="57"/>
    </row>
    <row r="219" spans="1:16" ht="12" customHeight="1" x14ac:dyDescent="0.25">
      <c r="A219" s="51">
        <v>5233</v>
      </c>
      <c r="B219" s="88" t="s">
        <v>236</v>
      </c>
      <c r="C219" s="89">
        <f t="shared" si="80"/>
        <v>400</v>
      </c>
      <c r="D219" s="194"/>
      <c r="E219" s="195"/>
      <c r="F219" s="55">
        <f t="shared" si="82"/>
        <v>0</v>
      </c>
      <c r="G219" s="53"/>
      <c r="H219" s="54"/>
      <c r="I219" s="55">
        <f t="shared" si="83"/>
        <v>0</v>
      </c>
      <c r="J219" s="53">
        <v>400</v>
      </c>
      <c r="K219" s="54"/>
      <c r="L219" s="55">
        <f t="shared" si="84"/>
        <v>400</v>
      </c>
      <c r="M219" s="53"/>
      <c r="N219" s="54"/>
      <c r="O219" s="55">
        <f t="shared" si="85"/>
        <v>0</v>
      </c>
      <c r="P219" s="57"/>
    </row>
    <row r="220" spans="1:16" ht="24" hidden="1" customHeight="1" x14ac:dyDescent="0.25">
      <c r="A220" s="51">
        <v>5234</v>
      </c>
      <c r="B220" s="88" t="s">
        <v>237</v>
      </c>
      <c r="C220" s="89">
        <f t="shared" si="80"/>
        <v>0</v>
      </c>
      <c r="D220" s="194"/>
      <c r="E220" s="195"/>
      <c r="F220" s="55">
        <f t="shared" si="82"/>
        <v>0</v>
      </c>
      <c r="G220" s="53"/>
      <c r="H220" s="54"/>
      <c r="I220" s="55">
        <f t="shared" si="83"/>
        <v>0</v>
      </c>
      <c r="J220" s="53"/>
      <c r="K220" s="54"/>
      <c r="L220" s="55">
        <f t="shared" si="84"/>
        <v>0</v>
      </c>
      <c r="M220" s="53"/>
      <c r="N220" s="54"/>
      <c r="O220" s="55">
        <f t="shared" si="85"/>
        <v>0</v>
      </c>
      <c r="P220" s="57"/>
    </row>
    <row r="221" spans="1:16" ht="14.25" hidden="1" customHeight="1" x14ac:dyDescent="0.25">
      <c r="A221" s="51">
        <v>5236</v>
      </c>
      <c r="B221" s="88" t="s">
        <v>238</v>
      </c>
      <c r="C221" s="89">
        <f t="shared" si="80"/>
        <v>0</v>
      </c>
      <c r="D221" s="194"/>
      <c r="E221" s="195"/>
      <c r="F221" s="55">
        <f t="shared" si="82"/>
        <v>0</v>
      </c>
      <c r="G221" s="53"/>
      <c r="H221" s="54"/>
      <c r="I221" s="55">
        <f t="shared" si="83"/>
        <v>0</v>
      </c>
      <c r="J221" s="53"/>
      <c r="K221" s="54"/>
      <c r="L221" s="55">
        <f t="shared" si="84"/>
        <v>0</v>
      </c>
      <c r="M221" s="53"/>
      <c r="N221" s="54"/>
      <c r="O221" s="55">
        <f t="shared" si="85"/>
        <v>0</v>
      </c>
      <c r="P221" s="57"/>
    </row>
    <row r="222" spans="1:16" ht="14.25" hidden="1" customHeight="1" x14ac:dyDescent="0.25">
      <c r="A222" s="51">
        <v>5237</v>
      </c>
      <c r="B222" s="88" t="s">
        <v>239</v>
      </c>
      <c r="C222" s="89">
        <f t="shared" si="80"/>
        <v>0</v>
      </c>
      <c r="D222" s="194"/>
      <c r="E222" s="195"/>
      <c r="F222" s="55">
        <f t="shared" si="82"/>
        <v>0</v>
      </c>
      <c r="G222" s="53"/>
      <c r="H222" s="54"/>
      <c r="I222" s="55">
        <f t="shared" si="83"/>
        <v>0</v>
      </c>
      <c r="J222" s="53"/>
      <c r="K222" s="54"/>
      <c r="L222" s="55">
        <f t="shared" si="84"/>
        <v>0</v>
      </c>
      <c r="M222" s="53"/>
      <c r="N222" s="54"/>
      <c r="O222" s="55">
        <f t="shared" si="85"/>
        <v>0</v>
      </c>
      <c r="P222" s="57"/>
    </row>
    <row r="223" spans="1:16" ht="24" customHeight="1" x14ac:dyDescent="0.25">
      <c r="A223" s="51">
        <v>5238</v>
      </c>
      <c r="B223" s="88" t="s">
        <v>240</v>
      </c>
      <c r="C223" s="89">
        <f t="shared" si="80"/>
        <v>11400</v>
      </c>
      <c r="D223" s="194">
        <v>11400</v>
      </c>
      <c r="E223" s="195"/>
      <c r="F223" s="55">
        <f t="shared" si="82"/>
        <v>11400</v>
      </c>
      <c r="G223" s="53"/>
      <c r="H223" s="54"/>
      <c r="I223" s="55">
        <f t="shared" si="83"/>
        <v>0</v>
      </c>
      <c r="J223" s="53"/>
      <c r="K223" s="54"/>
      <c r="L223" s="55">
        <f t="shared" si="84"/>
        <v>0</v>
      </c>
      <c r="M223" s="53"/>
      <c r="N223" s="54"/>
      <c r="O223" s="55">
        <f t="shared" si="85"/>
        <v>0</v>
      </c>
      <c r="P223" s="57"/>
    </row>
    <row r="224" spans="1:16" ht="27.75" customHeight="1" x14ac:dyDescent="0.25">
      <c r="A224" s="51">
        <v>5239</v>
      </c>
      <c r="B224" s="88" t="s">
        <v>241</v>
      </c>
      <c r="C224" s="89">
        <f t="shared" si="80"/>
        <v>83451</v>
      </c>
      <c r="D224" s="194">
        <v>69281</v>
      </c>
      <c r="E224" s="195"/>
      <c r="F224" s="55">
        <f t="shared" si="82"/>
        <v>69281</v>
      </c>
      <c r="G224" s="53"/>
      <c r="H224" s="54"/>
      <c r="I224" s="55">
        <f t="shared" si="83"/>
        <v>0</v>
      </c>
      <c r="J224" s="53">
        <v>6306</v>
      </c>
      <c r="K224" s="286">
        <v>7864</v>
      </c>
      <c r="L224" s="55">
        <f t="shared" si="84"/>
        <v>14170</v>
      </c>
      <c r="M224" s="53"/>
      <c r="N224" s="54"/>
      <c r="O224" s="55">
        <f t="shared" si="85"/>
        <v>0</v>
      </c>
      <c r="P224" s="57" t="s">
        <v>1255</v>
      </c>
    </row>
    <row r="225" spans="1:16" ht="24" hidden="1" customHeight="1" x14ac:dyDescent="0.25">
      <c r="A225" s="188">
        <v>5240</v>
      </c>
      <c r="B225" s="88" t="s">
        <v>242</v>
      </c>
      <c r="C225" s="89">
        <f t="shared" si="80"/>
        <v>0</v>
      </c>
      <c r="D225" s="194"/>
      <c r="E225" s="195"/>
      <c r="F225" s="55">
        <f t="shared" si="82"/>
        <v>0</v>
      </c>
      <c r="G225" s="53"/>
      <c r="H225" s="54"/>
      <c r="I225" s="55">
        <f t="shared" si="83"/>
        <v>0</v>
      </c>
      <c r="J225" s="53"/>
      <c r="K225" s="54"/>
      <c r="L225" s="55">
        <f t="shared" si="84"/>
        <v>0</v>
      </c>
      <c r="M225" s="53"/>
      <c r="N225" s="54"/>
      <c r="O225" s="55">
        <f t="shared" si="85"/>
        <v>0</v>
      </c>
      <c r="P225" s="57"/>
    </row>
    <row r="226" spans="1:16" ht="12" hidden="1" customHeight="1" x14ac:dyDescent="0.25">
      <c r="A226" s="188">
        <v>5250</v>
      </c>
      <c r="B226" s="88" t="s">
        <v>243</v>
      </c>
      <c r="C226" s="89">
        <f t="shared" si="80"/>
        <v>0</v>
      </c>
      <c r="D226" s="194"/>
      <c r="E226" s="195"/>
      <c r="F226" s="55">
        <f t="shared" si="82"/>
        <v>0</v>
      </c>
      <c r="G226" s="53"/>
      <c r="H226" s="54"/>
      <c r="I226" s="55">
        <f t="shared" si="83"/>
        <v>0</v>
      </c>
      <c r="J226" s="53"/>
      <c r="K226" s="54"/>
      <c r="L226" s="55">
        <f t="shared" si="84"/>
        <v>0</v>
      </c>
      <c r="M226" s="53"/>
      <c r="N226" s="54"/>
      <c r="O226" s="55">
        <f t="shared" si="85"/>
        <v>0</v>
      </c>
      <c r="P226" s="57"/>
    </row>
    <row r="227" spans="1:16" hidden="1" x14ac:dyDescent="0.25">
      <c r="A227" s="188">
        <v>5260</v>
      </c>
      <c r="B227" s="88" t="s">
        <v>244</v>
      </c>
      <c r="C227" s="89">
        <f t="shared" si="80"/>
        <v>0</v>
      </c>
      <c r="D227" s="189">
        <f t="shared" ref="D227:O227" si="86">SUM(D228)</f>
        <v>0</v>
      </c>
      <c r="E227" s="190">
        <f t="shared" si="86"/>
        <v>0</v>
      </c>
      <c r="F227" s="55">
        <f t="shared" si="86"/>
        <v>0</v>
      </c>
      <c r="G227" s="189">
        <f t="shared" si="86"/>
        <v>0</v>
      </c>
      <c r="H227" s="190">
        <f t="shared" si="86"/>
        <v>0</v>
      </c>
      <c r="I227" s="55">
        <f t="shared" si="86"/>
        <v>0</v>
      </c>
      <c r="J227" s="189">
        <f t="shared" si="86"/>
        <v>0</v>
      </c>
      <c r="K227" s="190">
        <f t="shared" si="86"/>
        <v>0</v>
      </c>
      <c r="L227" s="55">
        <f t="shared" si="86"/>
        <v>0</v>
      </c>
      <c r="M227" s="189">
        <f t="shared" si="86"/>
        <v>0</v>
      </c>
      <c r="N227" s="190">
        <f t="shared" si="86"/>
        <v>0</v>
      </c>
      <c r="O227" s="55">
        <f t="shared" si="86"/>
        <v>0</v>
      </c>
      <c r="P227" s="57"/>
    </row>
    <row r="228" spans="1:16" ht="24" hidden="1" customHeight="1" x14ac:dyDescent="0.25">
      <c r="A228" s="51">
        <v>5269</v>
      </c>
      <c r="B228" s="88" t="s">
        <v>245</v>
      </c>
      <c r="C228" s="89">
        <f t="shared" si="80"/>
        <v>0</v>
      </c>
      <c r="D228" s="194"/>
      <c r="E228" s="195"/>
      <c r="F228" s="55">
        <f>D228+E228</f>
        <v>0</v>
      </c>
      <c r="G228" s="53"/>
      <c r="H228" s="54"/>
      <c r="I228" s="55">
        <f>G228+H228</f>
        <v>0</v>
      </c>
      <c r="J228" s="53"/>
      <c r="K228" s="54"/>
      <c r="L228" s="55">
        <f>K228+J228</f>
        <v>0</v>
      </c>
      <c r="M228" s="53"/>
      <c r="N228" s="54"/>
      <c r="O228" s="55">
        <f>N228+M228</f>
        <v>0</v>
      </c>
      <c r="P228" s="57"/>
    </row>
    <row r="229" spans="1:16" ht="24" hidden="1" customHeight="1" x14ac:dyDescent="0.25">
      <c r="A229" s="185">
        <v>5270</v>
      </c>
      <c r="B229" s="137" t="s">
        <v>246</v>
      </c>
      <c r="C229" s="142">
        <f t="shared" si="80"/>
        <v>0</v>
      </c>
      <c r="D229" s="202"/>
      <c r="E229" s="203"/>
      <c r="F229" s="140">
        <f>D229+E229</f>
        <v>0</v>
      </c>
      <c r="G229" s="143"/>
      <c r="H229" s="144"/>
      <c r="I229" s="140">
        <f>G229+H229</f>
        <v>0</v>
      </c>
      <c r="J229" s="143"/>
      <c r="K229" s="144"/>
      <c r="L229" s="140">
        <f>K229+J229</f>
        <v>0</v>
      </c>
      <c r="M229" s="143"/>
      <c r="N229" s="144"/>
      <c r="O229" s="140">
        <f>N229+M229</f>
        <v>0</v>
      </c>
      <c r="P229" s="128"/>
    </row>
    <row r="230" spans="1:16" hidden="1" x14ac:dyDescent="0.25">
      <c r="A230" s="176">
        <v>6000</v>
      </c>
      <c r="B230" s="176" t="s">
        <v>247</v>
      </c>
      <c r="C230" s="177">
        <f t="shared" si="80"/>
        <v>0</v>
      </c>
      <c r="D230" s="178">
        <f t="shared" ref="D230:O230" si="87">D231+D251+D259</f>
        <v>0</v>
      </c>
      <c r="E230" s="179">
        <f t="shared" si="87"/>
        <v>0</v>
      </c>
      <c r="F230" s="180">
        <f t="shared" si="87"/>
        <v>0</v>
      </c>
      <c r="G230" s="178">
        <f t="shared" si="87"/>
        <v>0</v>
      </c>
      <c r="H230" s="179">
        <f t="shared" si="87"/>
        <v>0</v>
      </c>
      <c r="I230" s="180">
        <f t="shared" si="87"/>
        <v>0</v>
      </c>
      <c r="J230" s="178">
        <f t="shared" si="87"/>
        <v>0</v>
      </c>
      <c r="K230" s="179">
        <f t="shared" si="87"/>
        <v>0</v>
      </c>
      <c r="L230" s="180">
        <f t="shared" si="87"/>
        <v>0</v>
      </c>
      <c r="M230" s="178">
        <f t="shared" si="87"/>
        <v>0</v>
      </c>
      <c r="N230" s="179">
        <f t="shared" si="87"/>
        <v>0</v>
      </c>
      <c r="O230" s="180">
        <f t="shared" si="87"/>
        <v>0</v>
      </c>
      <c r="P230" s="181"/>
    </row>
    <row r="231" spans="1:16" ht="14.25" hidden="1" customHeight="1" x14ac:dyDescent="0.25">
      <c r="A231" s="216">
        <v>6200</v>
      </c>
      <c r="B231" s="207" t="s">
        <v>248</v>
      </c>
      <c r="C231" s="217">
        <f t="shared" si="80"/>
        <v>0</v>
      </c>
      <c r="D231" s="218">
        <f t="shared" ref="D231:O231" si="88">SUM(D232,D233,D235,D238,D244,D245,D246)</f>
        <v>0</v>
      </c>
      <c r="E231" s="219">
        <f t="shared" si="88"/>
        <v>0</v>
      </c>
      <c r="F231" s="220">
        <f t="shared" si="88"/>
        <v>0</v>
      </c>
      <c r="G231" s="218">
        <f t="shared" si="88"/>
        <v>0</v>
      </c>
      <c r="H231" s="219">
        <f t="shared" si="88"/>
        <v>0</v>
      </c>
      <c r="I231" s="220">
        <f t="shared" si="88"/>
        <v>0</v>
      </c>
      <c r="J231" s="218">
        <f t="shared" si="88"/>
        <v>0</v>
      </c>
      <c r="K231" s="219">
        <f t="shared" si="88"/>
        <v>0</v>
      </c>
      <c r="L231" s="220">
        <f t="shared" si="88"/>
        <v>0</v>
      </c>
      <c r="M231" s="218">
        <f t="shared" si="88"/>
        <v>0</v>
      </c>
      <c r="N231" s="219">
        <f t="shared" si="88"/>
        <v>0</v>
      </c>
      <c r="O231" s="220">
        <f t="shared" si="88"/>
        <v>0</v>
      </c>
      <c r="P231" s="221"/>
    </row>
    <row r="232" spans="1:16" ht="24" hidden="1" customHeight="1" x14ac:dyDescent="0.25">
      <c r="A232" s="729">
        <v>6220</v>
      </c>
      <c r="B232" s="81" t="s">
        <v>249</v>
      </c>
      <c r="C232" s="82">
        <f t="shared" si="80"/>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80"/>
        <v>0</v>
      </c>
      <c r="D233" s="189">
        <f t="shared" ref="D233:O233" si="89">SUM(D234)</f>
        <v>0</v>
      </c>
      <c r="E233" s="190">
        <f t="shared" si="89"/>
        <v>0</v>
      </c>
      <c r="F233" s="55">
        <f t="shared" si="89"/>
        <v>0</v>
      </c>
      <c r="G233" s="189">
        <f t="shared" si="89"/>
        <v>0</v>
      </c>
      <c r="H233" s="190">
        <f t="shared" si="89"/>
        <v>0</v>
      </c>
      <c r="I233" s="55">
        <f t="shared" si="89"/>
        <v>0</v>
      </c>
      <c r="J233" s="189">
        <f t="shared" si="89"/>
        <v>0</v>
      </c>
      <c r="K233" s="190">
        <f t="shared" si="89"/>
        <v>0</v>
      </c>
      <c r="L233" s="55">
        <f t="shared" si="89"/>
        <v>0</v>
      </c>
      <c r="M233" s="189">
        <f t="shared" si="89"/>
        <v>0</v>
      </c>
      <c r="N233" s="190">
        <f t="shared" si="89"/>
        <v>0</v>
      </c>
      <c r="O233" s="55">
        <f t="shared" si="89"/>
        <v>0</v>
      </c>
      <c r="P233" s="57"/>
    </row>
    <row r="234" spans="1:16" ht="24" hidden="1" customHeight="1" x14ac:dyDescent="0.25">
      <c r="A234" s="51">
        <v>6239</v>
      </c>
      <c r="B234" s="81" t="s">
        <v>251</v>
      </c>
      <c r="C234" s="89">
        <f t="shared" si="80"/>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80"/>
        <v>0</v>
      </c>
      <c r="D235" s="189">
        <f t="shared" ref="D235:O235" si="90">SUM(D236:D237)</f>
        <v>0</v>
      </c>
      <c r="E235" s="190">
        <f t="shared" si="90"/>
        <v>0</v>
      </c>
      <c r="F235" s="55">
        <f t="shared" si="90"/>
        <v>0</v>
      </c>
      <c r="G235" s="189">
        <f t="shared" si="90"/>
        <v>0</v>
      </c>
      <c r="H235" s="190">
        <f t="shared" si="90"/>
        <v>0</v>
      </c>
      <c r="I235" s="55">
        <f t="shared" si="90"/>
        <v>0</v>
      </c>
      <c r="J235" s="189">
        <f t="shared" si="90"/>
        <v>0</v>
      </c>
      <c r="K235" s="190">
        <f t="shared" si="90"/>
        <v>0</v>
      </c>
      <c r="L235" s="55">
        <f t="shared" si="90"/>
        <v>0</v>
      </c>
      <c r="M235" s="189">
        <f t="shared" si="90"/>
        <v>0</v>
      </c>
      <c r="N235" s="190">
        <f t="shared" si="90"/>
        <v>0</v>
      </c>
      <c r="O235" s="55">
        <f t="shared" si="90"/>
        <v>0</v>
      </c>
      <c r="P235" s="57"/>
    </row>
    <row r="236" spans="1:16" ht="12" hidden="1" customHeight="1" x14ac:dyDescent="0.25">
      <c r="A236" s="51">
        <v>6241</v>
      </c>
      <c r="B236" s="88" t="s">
        <v>253</v>
      </c>
      <c r="C236" s="89">
        <f t="shared" si="80"/>
        <v>0</v>
      </c>
      <c r="D236" s="194"/>
      <c r="E236" s="195"/>
      <c r="F236" s="55">
        <f>D236+E236</f>
        <v>0</v>
      </c>
      <c r="G236" s="53"/>
      <c r="H236" s="54"/>
      <c r="I236" s="55">
        <f>G236+H236</f>
        <v>0</v>
      </c>
      <c r="J236" s="53"/>
      <c r="K236" s="54"/>
      <c r="L236" s="55">
        <f>K236+J236</f>
        <v>0</v>
      </c>
      <c r="M236" s="53"/>
      <c r="N236" s="54"/>
      <c r="O236" s="55">
        <f>N236+M236</f>
        <v>0</v>
      </c>
      <c r="P236" s="57"/>
    </row>
    <row r="237" spans="1:16" ht="12" hidden="1" customHeight="1" x14ac:dyDescent="0.25">
      <c r="A237" s="51">
        <v>6242</v>
      </c>
      <c r="B237" s="88" t="s">
        <v>254</v>
      </c>
      <c r="C237" s="89">
        <f t="shared" si="80"/>
        <v>0</v>
      </c>
      <c r="D237" s="194"/>
      <c r="E237" s="195"/>
      <c r="F237" s="55">
        <f>D237+E237</f>
        <v>0</v>
      </c>
      <c r="G237" s="53"/>
      <c r="H237" s="54"/>
      <c r="I237" s="55">
        <f>G237+H237</f>
        <v>0</v>
      </c>
      <c r="J237" s="53"/>
      <c r="K237" s="54"/>
      <c r="L237" s="55">
        <f>K237+J237</f>
        <v>0</v>
      </c>
      <c r="M237" s="53"/>
      <c r="N237" s="54"/>
      <c r="O237" s="55">
        <f>N237+M237</f>
        <v>0</v>
      </c>
      <c r="P237" s="57"/>
    </row>
    <row r="238" spans="1:16" ht="25.5" hidden="1" customHeight="1" x14ac:dyDescent="0.25">
      <c r="A238" s="188">
        <v>6250</v>
      </c>
      <c r="B238" s="88" t="s">
        <v>255</v>
      </c>
      <c r="C238" s="89">
        <f t="shared" si="80"/>
        <v>0</v>
      </c>
      <c r="D238" s="189">
        <f t="shared" ref="D238:O238" si="91">SUM(D239:D243)</f>
        <v>0</v>
      </c>
      <c r="E238" s="190">
        <f t="shared" si="91"/>
        <v>0</v>
      </c>
      <c r="F238" s="55">
        <f t="shared" si="91"/>
        <v>0</v>
      </c>
      <c r="G238" s="189">
        <f t="shared" si="91"/>
        <v>0</v>
      </c>
      <c r="H238" s="190">
        <f t="shared" si="91"/>
        <v>0</v>
      </c>
      <c r="I238" s="55">
        <f t="shared" si="91"/>
        <v>0</v>
      </c>
      <c r="J238" s="189">
        <f t="shared" si="91"/>
        <v>0</v>
      </c>
      <c r="K238" s="190">
        <f t="shared" si="91"/>
        <v>0</v>
      </c>
      <c r="L238" s="55">
        <f t="shared" si="91"/>
        <v>0</v>
      </c>
      <c r="M238" s="189">
        <f t="shared" si="91"/>
        <v>0</v>
      </c>
      <c r="N238" s="190">
        <f t="shared" si="91"/>
        <v>0</v>
      </c>
      <c r="O238" s="55">
        <f t="shared" si="91"/>
        <v>0</v>
      </c>
      <c r="P238" s="57"/>
    </row>
    <row r="239" spans="1:16" ht="14.25" hidden="1" customHeight="1" x14ac:dyDescent="0.25">
      <c r="A239" s="51">
        <v>6252</v>
      </c>
      <c r="B239" s="88" t="s">
        <v>256</v>
      </c>
      <c r="C239" s="89">
        <f t="shared" si="80"/>
        <v>0</v>
      </c>
      <c r="D239" s="194"/>
      <c r="E239" s="195"/>
      <c r="F239" s="55">
        <f t="shared" ref="F239:F245" si="92">D239+E239</f>
        <v>0</v>
      </c>
      <c r="G239" s="53"/>
      <c r="H239" s="54"/>
      <c r="I239" s="55">
        <f t="shared" ref="I239:I245" si="93">G239+H239</f>
        <v>0</v>
      </c>
      <c r="J239" s="53"/>
      <c r="K239" s="54"/>
      <c r="L239" s="55">
        <f t="shared" ref="L239:L245" si="94">K239+J239</f>
        <v>0</v>
      </c>
      <c r="M239" s="53"/>
      <c r="N239" s="54"/>
      <c r="O239" s="55">
        <f t="shared" ref="O239:O245" si="95">N239+M239</f>
        <v>0</v>
      </c>
      <c r="P239" s="57"/>
    </row>
    <row r="240" spans="1:16" ht="14.25" hidden="1" customHeight="1" x14ac:dyDescent="0.25">
      <c r="A240" s="51">
        <v>6253</v>
      </c>
      <c r="B240" s="88" t="s">
        <v>257</v>
      </c>
      <c r="C240" s="89">
        <f t="shared" si="80"/>
        <v>0</v>
      </c>
      <c r="D240" s="194"/>
      <c r="E240" s="195"/>
      <c r="F240" s="55">
        <f t="shared" si="92"/>
        <v>0</v>
      </c>
      <c r="G240" s="53"/>
      <c r="H240" s="54"/>
      <c r="I240" s="55">
        <f t="shared" si="93"/>
        <v>0</v>
      </c>
      <c r="J240" s="53"/>
      <c r="K240" s="54"/>
      <c r="L240" s="55">
        <f t="shared" si="94"/>
        <v>0</v>
      </c>
      <c r="M240" s="53"/>
      <c r="N240" s="54"/>
      <c r="O240" s="55">
        <f t="shared" si="95"/>
        <v>0</v>
      </c>
      <c r="P240" s="57"/>
    </row>
    <row r="241" spans="1:16" ht="24" hidden="1" customHeight="1" x14ac:dyDescent="0.25">
      <c r="A241" s="51">
        <v>6254</v>
      </c>
      <c r="B241" s="88" t="s">
        <v>258</v>
      </c>
      <c r="C241" s="89">
        <f t="shared" si="80"/>
        <v>0</v>
      </c>
      <c r="D241" s="194"/>
      <c r="E241" s="195"/>
      <c r="F241" s="55">
        <f t="shared" si="92"/>
        <v>0</v>
      </c>
      <c r="G241" s="53"/>
      <c r="H241" s="54"/>
      <c r="I241" s="55">
        <f t="shared" si="93"/>
        <v>0</v>
      </c>
      <c r="J241" s="53"/>
      <c r="K241" s="54"/>
      <c r="L241" s="55">
        <f t="shared" si="94"/>
        <v>0</v>
      </c>
      <c r="M241" s="53"/>
      <c r="N241" s="54"/>
      <c r="O241" s="55">
        <f t="shared" si="95"/>
        <v>0</v>
      </c>
      <c r="P241" s="57"/>
    </row>
    <row r="242" spans="1:16" ht="24" hidden="1" customHeight="1" x14ac:dyDescent="0.25">
      <c r="A242" s="51">
        <v>6255</v>
      </c>
      <c r="B242" s="88" t="s">
        <v>259</v>
      </c>
      <c r="C242" s="89">
        <f t="shared" si="80"/>
        <v>0</v>
      </c>
      <c r="D242" s="194"/>
      <c r="E242" s="195"/>
      <c r="F242" s="55">
        <f t="shared" si="92"/>
        <v>0</v>
      </c>
      <c r="G242" s="53"/>
      <c r="H242" s="54"/>
      <c r="I242" s="55">
        <f t="shared" si="93"/>
        <v>0</v>
      </c>
      <c r="J242" s="53"/>
      <c r="K242" s="54"/>
      <c r="L242" s="55">
        <f t="shared" si="94"/>
        <v>0</v>
      </c>
      <c r="M242" s="53"/>
      <c r="N242" s="54"/>
      <c r="O242" s="55">
        <f t="shared" si="95"/>
        <v>0</v>
      </c>
      <c r="P242" s="57"/>
    </row>
    <row r="243" spans="1:16" ht="12" hidden="1" customHeight="1" x14ac:dyDescent="0.25">
      <c r="A243" s="51">
        <v>6259</v>
      </c>
      <c r="B243" s="88" t="s">
        <v>260</v>
      </c>
      <c r="C243" s="89">
        <f t="shared" si="80"/>
        <v>0</v>
      </c>
      <c r="D243" s="194"/>
      <c r="E243" s="195"/>
      <c r="F243" s="55">
        <f t="shared" si="92"/>
        <v>0</v>
      </c>
      <c r="G243" s="53"/>
      <c r="H243" s="54"/>
      <c r="I243" s="55">
        <f t="shared" si="93"/>
        <v>0</v>
      </c>
      <c r="J243" s="53"/>
      <c r="K243" s="54"/>
      <c r="L243" s="55">
        <f t="shared" si="94"/>
        <v>0</v>
      </c>
      <c r="M243" s="53"/>
      <c r="N243" s="54"/>
      <c r="O243" s="55">
        <f t="shared" si="95"/>
        <v>0</v>
      </c>
      <c r="P243" s="57"/>
    </row>
    <row r="244" spans="1:16" ht="24" hidden="1" customHeight="1" x14ac:dyDescent="0.25">
      <c r="A244" s="188">
        <v>6260</v>
      </c>
      <c r="B244" s="88" t="s">
        <v>261</v>
      </c>
      <c r="C244" s="89">
        <f t="shared" si="80"/>
        <v>0</v>
      </c>
      <c r="D244" s="194"/>
      <c r="E244" s="195"/>
      <c r="F244" s="55">
        <f t="shared" si="92"/>
        <v>0</v>
      </c>
      <c r="G244" s="53"/>
      <c r="H244" s="54"/>
      <c r="I244" s="55">
        <f t="shared" si="93"/>
        <v>0</v>
      </c>
      <c r="J244" s="53"/>
      <c r="K244" s="54"/>
      <c r="L244" s="55">
        <f t="shared" si="94"/>
        <v>0</v>
      </c>
      <c r="M244" s="53"/>
      <c r="N244" s="54"/>
      <c r="O244" s="55">
        <f t="shared" si="95"/>
        <v>0</v>
      </c>
      <c r="P244" s="57"/>
    </row>
    <row r="245" spans="1:16" ht="12" hidden="1" customHeight="1" x14ac:dyDescent="0.25">
      <c r="A245" s="188">
        <v>6270</v>
      </c>
      <c r="B245" s="88" t="s">
        <v>262</v>
      </c>
      <c r="C245" s="89">
        <f t="shared" si="80"/>
        <v>0</v>
      </c>
      <c r="D245" s="194"/>
      <c r="E245" s="195"/>
      <c r="F245" s="55">
        <f t="shared" si="92"/>
        <v>0</v>
      </c>
      <c r="G245" s="53"/>
      <c r="H245" s="54"/>
      <c r="I245" s="55">
        <f t="shared" si="93"/>
        <v>0</v>
      </c>
      <c r="J245" s="53"/>
      <c r="K245" s="54"/>
      <c r="L245" s="55">
        <f t="shared" si="94"/>
        <v>0</v>
      </c>
      <c r="M245" s="53"/>
      <c r="N245" s="54"/>
      <c r="O245" s="55">
        <f t="shared" si="95"/>
        <v>0</v>
      </c>
      <c r="P245" s="57"/>
    </row>
    <row r="246" spans="1:16" ht="24" hidden="1" x14ac:dyDescent="0.25">
      <c r="A246" s="729">
        <v>6290</v>
      </c>
      <c r="B246" s="81" t="s">
        <v>263</v>
      </c>
      <c r="C246" s="208">
        <f t="shared" si="80"/>
        <v>0</v>
      </c>
      <c r="D246" s="192">
        <f>SUM(D247:D250)</f>
        <v>0</v>
      </c>
      <c r="E246" s="193">
        <f>SUM(E247:E250)</f>
        <v>0</v>
      </c>
      <c r="F246" s="133">
        <f>SUM(F247:F250)</f>
        <v>0</v>
      </c>
      <c r="G246" s="192">
        <f t="shared" ref="G246:M246" si="96">SUM(G247:G250)</f>
        <v>0</v>
      </c>
      <c r="H246" s="193">
        <f>SUM(H247:H250)</f>
        <v>0</v>
      </c>
      <c r="I246" s="133">
        <f>SUM(I247:I250)</f>
        <v>0</v>
      </c>
      <c r="J246" s="192">
        <f t="shared" si="96"/>
        <v>0</v>
      </c>
      <c r="K246" s="193">
        <f>SUM(K247:K250)</f>
        <v>0</v>
      </c>
      <c r="L246" s="133">
        <f>SUM(L247:L250)</f>
        <v>0</v>
      </c>
      <c r="M246" s="192">
        <f t="shared" si="96"/>
        <v>0</v>
      </c>
      <c r="N246" s="193">
        <f>SUM(N247:N250)</f>
        <v>0</v>
      </c>
      <c r="O246" s="133">
        <f>SUM(O247:O250)</f>
        <v>0</v>
      </c>
      <c r="P246" s="49"/>
    </row>
    <row r="247" spans="1:16" ht="12" hidden="1" customHeight="1" x14ac:dyDescent="0.25">
      <c r="A247" s="51">
        <v>6291</v>
      </c>
      <c r="B247" s="88" t="s">
        <v>264</v>
      </c>
      <c r="C247" s="89">
        <f t="shared" si="80"/>
        <v>0</v>
      </c>
      <c r="D247" s="194"/>
      <c r="E247" s="195"/>
      <c r="F247" s="55">
        <f>D247+E247</f>
        <v>0</v>
      </c>
      <c r="G247" s="53"/>
      <c r="H247" s="54"/>
      <c r="I247" s="55">
        <f>G247+H247</f>
        <v>0</v>
      </c>
      <c r="J247" s="53"/>
      <c r="K247" s="54"/>
      <c r="L247" s="55">
        <f>K247+J247</f>
        <v>0</v>
      </c>
      <c r="M247" s="53"/>
      <c r="N247" s="54"/>
      <c r="O247" s="55">
        <f>N247+M247</f>
        <v>0</v>
      </c>
      <c r="P247" s="57"/>
    </row>
    <row r="248" spans="1:16" ht="12" hidden="1" customHeight="1" x14ac:dyDescent="0.25">
      <c r="A248" s="51">
        <v>6292</v>
      </c>
      <c r="B248" s="88" t="s">
        <v>265</v>
      </c>
      <c r="C248" s="89">
        <f t="shared" si="80"/>
        <v>0</v>
      </c>
      <c r="D248" s="194"/>
      <c r="E248" s="195"/>
      <c r="F248" s="55">
        <f>D248+E248</f>
        <v>0</v>
      </c>
      <c r="G248" s="53"/>
      <c r="H248" s="54"/>
      <c r="I248" s="55">
        <f>G248+H248</f>
        <v>0</v>
      </c>
      <c r="J248" s="53"/>
      <c r="K248" s="54"/>
      <c r="L248" s="55">
        <f>K248+J248</f>
        <v>0</v>
      </c>
      <c r="M248" s="53"/>
      <c r="N248" s="54"/>
      <c r="O248" s="55">
        <f>N248+M248</f>
        <v>0</v>
      </c>
      <c r="P248" s="57"/>
    </row>
    <row r="249" spans="1:16" ht="72" hidden="1" customHeight="1" x14ac:dyDescent="0.25">
      <c r="A249" s="51">
        <v>6296</v>
      </c>
      <c r="B249" s="88" t="s">
        <v>266</v>
      </c>
      <c r="C249" s="89">
        <f t="shared" si="80"/>
        <v>0</v>
      </c>
      <c r="D249" s="194"/>
      <c r="E249" s="195"/>
      <c r="F249" s="55">
        <f>D249+E249</f>
        <v>0</v>
      </c>
      <c r="G249" s="53"/>
      <c r="H249" s="54"/>
      <c r="I249" s="55">
        <f>G249+H249</f>
        <v>0</v>
      </c>
      <c r="J249" s="53"/>
      <c r="K249" s="54"/>
      <c r="L249" s="55">
        <f>K249+J249</f>
        <v>0</v>
      </c>
      <c r="M249" s="53"/>
      <c r="N249" s="54"/>
      <c r="O249" s="55">
        <f>N249+M249</f>
        <v>0</v>
      </c>
      <c r="P249" s="57"/>
    </row>
    <row r="250" spans="1:16" ht="39.75" hidden="1" customHeight="1" x14ac:dyDescent="0.25">
      <c r="A250" s="51">
        <v>6299</v>
      </c>
      <c r="B250" s="88" t="s">
        <v>267</v>
      </c>
      <c r="C250" s="89">
        <f t="shared" si="80"/>
        <v>0</v>
      </c>
      <c r="D250" s="194"/>
      <c r="E250" s="195"/>
      <c r="F250" s="55">
        <f>D250+E250</f>
        <v>0</v>
      </c>
      <c r="G250" s="53"/>
      <c r="H250" s="54"/>
      <c r="I250" s="55">
        <f>G250+H250</f>
        <v>0</v>
      </c>
      <c r="J250" s="53"/>
      <c r="K250" s="54"/>
      <c r="L250" s="55">
        <f>K250+J250</f>
        <v>0</v>
      </c>
      <c r="M250" s="53"/>
      <c r="N250" s="54"/>
      <c r="O250" s="55">
        <f>N250+M250</f>
        <v>0</v>
      </c>
      <c r="P250" s="57"/>
    </row>
    <row r="251" spans="1:16" hidden="1" x14ac:dyDescent="0.25">
      <c r="A251" s="68">
        <v>6300</v>
      </c>
      <c r="B251" s="182" t="s">
        <v>268</v>
      </c>
      <c r="C251" s="69">
        <f t="shared" si="80"/>
        <v>0</v>
      </c>
      <c r="D251" s="183">
        <f>SUM(D252,D257,D258)</f>
        <v>0</v>
      </c>
      <c r="E251" s="184">
        <f>SUM(E252,E257,E258)</f>
        <v>0</v>
      </c>
      <c r="F251" s="72">
        <f>SUM(F252,F257,F258)</f>
        <v>0</v>
      </c>
      <c r="G251" s="183">
        <f t="shared" ref="G251:M251" si="97">SUM(G252,G257,G258)</f>
        <v>0</v>
      </c>
      <c r="H251" s="184">
        <f>SUM(H252,H257,H258)</f>
        <v>0</v>
      </c>
      <c r="I251" s="72">
        <f>SUM(I252,I257,I258)</f>
        <v>0</v>
      </c>
      <c r="J251" s="183">
        <f t="shared" si="97"/>
        <v>0</v>
      </c>
      <c r="K251" s="184">
        <f>SUM(K252,K257,K258)</f>
        <v>0</v>
      </c>
      <c r="L251" s="72">
        <f>SUM(L252,L257,L258)</f>
        <v>0</v>
      </c>
      <c r="M251" s="183">
        <f t="shared" si="97"/>
        <v>0</v>
      </c>
      <c r="N251" s="184">
        <f>SUM(N252,N257,N258)</f>
        <v>0</v>
      </c>
      <c r="O251" s="72">
        <f>SUM(O252,O257,O258)</f>
        <v>0</v>
      </c>
      <c r="P251" s="76"/>
    </row>
    <row r="252" spans="1:16" ht="24" hidden="1" x14ac:dyDescent="0.25">
      <c r="A252" s="729">
        <v>6320</v>
      </c>
      <c r="B252" s="81" t="s">
        <v>269</v>
      </c>
      <c r="C252" s="208">
        <f t="shared" si="80"/>
        <v>0</v>
      </c>
      <c r="D252" s="192">
        <f>SUM(D253:D256)</f>
        <v>0</v>
      </c>
      <c r="E252" s="193">
        <f>SUM(E253:E256)</f>
        <v>0</v>
      </c>
      <c r="F252" s="133">
        <f>SUM(F253:F256)</f>
        <v>0</v>
      </c>
      <c r="G252" s="192">
        <f t="shared" ref="G252:M252" si="98">SUM(G253:G256)</f>
        <v>0</v>
      </c>
      <c r="H252" s="193">
        <f>SUM(H253:H256)</f>
        <v>0</v>
      </c>
      <c r="I252" s="133">
        <f>SUM(I253:I256)</f>
        <v>0</v>
      </c>
      <c r="J252" s="192">
        <f t="shared" si="98"/>
        <v>0</v>
      </c>
      <c r="K252" s="193">
        <f>SUM(K253:K256)</f>
        <v>0</v>
      </c>
      <c r="L252" s="133">
        <f>SUM(L253:L256)</f>
        <v>0</v>
      </c>
      <c r="M252" s="192">
        <f t="shared" si="98"/>
        <v>0</v>
      </c>
      <c r="N252" s="193">
        <f>SUM(N253:N256)</f>
        <v>0</v>
      </c>
      <c r="O252" s="133">
        <f>SUM(O253:O256)</f>
        <v>0</v>
      </c>
      <c r="P252" s="49"/>
    </row>
    <row r="253" spans="1:16" ht="12" hidden="1" customHeight="1" x14ac:dyDescent="0.25">
      <c r="A253" s="51">
        <v>6322</v>
      </c>
      <c r="B253" s="88" t="s">
        <v>270</v>
      </c>
      <c r="C253" s="89">
        <f t="shared" si="80"/>
        <v>0</v>
      </c>
      <c r="D253" s="194"/>
      <c r="E253" s="195"/>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row>
    <row r="254" spans="1:16" ht="24" hidden="1" customHeight="1" x14ac:dyDescent="0.25">
      <c r="A254" s="51">
        <v>6323</v>
      </c>
      <c r="B254" s="88" t="s">
        <v>271</v>
      </c>
      <c r="C254" s="89">
        <f t="shared" si="80"/>
        <v>0</v>
      </c>
      <c r="D254" s="194"/>
      <c r="E254" s="195"/>
      <c r="F254" s="55">
        <f t="shared" si="99"/>
        <v>0</v>
      </c>
      <c r="G254" s="53"/>
      <c r="H254" s="54"/>
      <c r="I254" s="55">
        <f t="shared" si="100"/>
        <v>0</v>
      </c>
      <c r="J254" s="53"/>
      <c r="K254" s="54"/>
      <c r="L254" s="55">
        <f t="shared" si="101"/>
        <v>0</v>
      </c>
      <c r="M254" s="53"/>
      <c r="N254" s="54"/>
      <c r="O254" s="55">
        <f t="shared" si="102"/>
        <v>0</v>
      </c>
      <c r="P254" s="57"/>
    </row>
    <row r="255" spans="1:16" ht="24" hidden="1" customHeight="1" x14ac:dyDescent="0.25">
      <c r="A255" s="51">
        <v>6324</v>
      </c>
      <c r="B255" s="88" t="s">
        <v>272</v>
      </c>
      <c r="C255" s="89">
        <f t="shared" si="80"/>
        <v>0</v>
      </c>
      <c r="D255" s="194"/>
      <c r="E255" s="195"/>
      <c r="F255" s="55">
        <f t="shared" si="99"/>
        <v>0</v>
      </c>
      <c r="G255" s="53"/>
      <c r="H255" s="54"/>
      <c r="I255" s="55">
        <f t="shared" si="100"/>
        <v>0</v>
      </c>
      <c r="J255" s="53"/>
      <c r="K255" s="54"/>
      <c r="L255" s="55">
        <f t="shared" si="101"/>
        <v>0</v>
      </c>
      <c r="M255" s="53"/>
      <c r="N255" s="54"/>
      <c r="O255" s="55">
        <f t="shared" si="102"/>
        <v>0</v>
      </c>
      <c r="P255" s="57"/>
    </row>
    <row r="256" spans="1:16" ht="12" hidden="1" customHeight="1" x14ac:dyDescent="0.25">
      <c r="A256" s="44">
        <v>6329</v>
      </c>
      <c r="B256" s="81" t="s">
        <v>273</v>
      </c>
      <c r="C256" s="82">
        <f t="shared" si="80"/>
        <v>0</v>
      </c>
      <c r="D256" s="196"/>
      <c r="E256" s="197"/>
      <c r="F256" s="133">
        <f t="shared" si="99"/>
        <v>0</v>
      </c>
      <c r="G256" s="46"/>
      <c r="H256" s="47"/>
      <c r="I256" s="133">
        <f t="shared" si="100"/>
        <v>0</v>
      </c>
      <c r="J256" s="46"/>
      <c r="K256" s="47"/>
      <c r="L256" s="133">
        <f t="shared" si="101"/>
        <v>0</v>
      </c>
      <c r="M256" s="46"/>
      <c r="N256" s="47"/>
      <c r="O256" s="133">
        <f t="shared" si="102"/>
        <v>0</v>
      </c>
      <c r="P256" s="49"/>
    </row>
    <row r="257" spans="1:16" ht="24" hidden="1" customHeight="1" x14ac:dyDescent="0.25">
      <c r="A257" s="225">
        <v>6330</v>
      </c>
      <c r="B257" s="226" t="s">
        <v>274</v>
      </c>
      <c r="C257" s="208">
        <f t="shared" si="80"/>
        <v>0</v>
      </c>
      <c r="D257" s="210"/>
      <c r="E257" s="211"/>
      <c r="F257" s="212">
        <f t="shared" si="99"/>
        <v>0</v>
      </c>
      <c r="G257" s="213"/>
      <c r="H257" s="214"/>
      <c r="I257" s="212">
        <f t="shared" si="100"/>
        <v>0</v>
      </c>
      <c r="J257" s="213"/>
      <c r="K257" s="214"/>
      <c r="L257" s="212">
        <f t="shared" si="101"/>
        <v>0</v>
      </c>
      <c r="M257" s="213"/>
      <c r="N257" s="214"/>
      <c r="O257" s="212">
        <f t="shared" si="102"/>
        <v>0</v>
      </c>
      <c r="P257" s="215"/>
    </row>
    <row r="258" spans="1:16" ht="12" hidden="1" customHeight="1" x14ac:dyDescent="0.25">
      <c r="A258" s="188">
        <v>6360</v>
      </c>
      <c r="B258" s="88" t="s">
        <v>275</v>
      </c>
      <c r="C258" s="89">
        <f t="shared" si="80"/>
        <v>0</v>
      </c>
      <c r="D258" s="194"/>
      <c r="E258" s="195"/>
      <c r="F258" s="55">
        <f t="shared" si="99"/>
        <v>0</v>
      </c>
      <c r="G258" s="53"/>
      <c r="H258" s="54"/>
      <c r="I258" s="55">
        <f t="shared" si="100"/>
        <v>0</v>
      </c>
      <c r="J258" s="53"/>
      <c r="K258" s="54"/>
      <c r="L258" s="55">
        <f t="shared" si="101"/>
        <v>0</v>
      </c>
      <c r="M258" s="53"/>
      <c r="N258" s="54"/>
      <c r="O258" s="55">
        <f t="shared" si="102"/>
        <v>0</v>
      </c>
      <c r="P258" s="57"/>
    </row>
    <row r="259" spans="1:16" ht="36" hidden="1" x14ac:dyDescent="0.25">
      <c r="A259" s="68">
        <v>6400</v>
      </c>
      <c r="B259" s="182" t="s">
        <v>276</v>
      </c>
      <c r="C259" s="69">
        <f t="shared" si="80"/>
        <v>0</v>
      </c>
      <c r="D259" s="183">
        <f>SUM(D260,D264)</f>
        <v>0</v>
      </c>
      <c r="E259" s="184">
        <f>SUM(E260,E264)</f>
        <v>0</v>
      </c>
      <c r="F259" s="72">
        <f>SUM(F260,F264)</f>
        <v>0</v>
      </c>
      <c r="G259" s="183">
        <f t="shared" ref="G259:M259" si="103">SUM(G260,G264)</f>
        <v>0</v>
      </c>
      <c r="H259" s="184">
        <f>SUM(H260,H264)</f>
        <v>0</v>
      </c>
      <c r="I259" s="72">
        <f>SUM(I260,I264)</f>
        <v>0</v>
      </c>
      <c r="J259" s="183">
        <f t="shared" si="103"/>
        <v>0</v>
      </c>
      <c r="K259" s="184">
        <f>SUM(K260,K264)</f>
        <v>0</v>
      </c>
      <c r="L259" s="72">
        <f>SUM(L260,L264)</f>
        <v>0</v>
      </c>
      <c r="M259" s="183">
        <f t="shared" si="103"/>
        <v>0</v>
      </c>
      <c r="N259" s="184">
        <f>SUM(N260,N264)</f>
        <v>0</v>
      </c>
      <c r="O259" s="72">
        <f>SUM(O260,O264)</f>
        <v>0</v>
      </c>
      <c r="P259" s="76"/>
    </row>
    <row r="260" spans="1:16" ht="24" hidden="1" x14ac:dyDescent="0.25">
      <c r="A260" s="729">
        <v>6410</v>
      </c>
      <c r="B260" s="81" t="s">
        <v>277</v>
      </c>
      <c r="C260" s="82">
        <f t="shared" si="80"/>
        <v>0</v>
      </c>
      <c r="D260" s="192">
        <f>SUM(D261:D263)</f>
        <v>0</v>
      </c>
      <c r="E260" s="193">
        <f>SUM(E261:E263)</f>
        <v>0</v>
      </c>
      <c r="F260" s="133">
        <f>SUM(F261:F263)</f>
        <v>0</v>
      </c>
      <c r="G260" s="192">
        <f t="shared" ref="G260:M260" si="104">SUM(G261:G263)</f>
        <v>0</v>
      </c>
      <c r="H260" s="193">
        <f>SUM(H261:H263)</f>
        <v>0</v>
      </c>
      <c r="I260" s="133">
        <f>SUM(I261:I263)</f>
        <v>0</v>
      </c>
      <c r="J260" s="192">
        <f t="shared" si="104"/>
        <v>0</v>
      </c>
      <c r="K260" s="193">
        <f>SUM(K261:K263)</f>
        <v>0</v>
      </c>
      <c r="L260" s="133">
        <f>SUM(L261:L263)</f>
        <v>0</v>
      </c>
      <c r="M260" s="192">
        <f t="shared" si="104"/>
        <v>0</v>
      </c>
      <c r="N260" s="193">
        <f>SUM(N261:N263)</f>
        <v>0</v>
      </c>
      <c r="O260" s="133">
        <f>SUM(O261:O263)</f>
        <v>0</v>
      </c>
      <c r="P260" s="49"/>
    </row>
    <row r="261" spans="1:16" ht="12" hidden="1" customHeight="1" x14ac:dyDescent="0.25">
      <c r="A261" s="51">
        <v>6411</v>
      </c>
      <c r="B261" s="199" t="s">
        <v>278</v>
      </c>
      <c r="C261" s="89">
        <f t="shared" si="80"/>
        <v>0</v>
      </c>
      <c r="D261" s="194"/>
      <c r="E261" s="195"/>
      <c r="F261" s="55">
        <f>D261+E261</f>
        <v>0</v>
      </c>
      <c r="G261" s="53"/>
      <c r="H261" s="54"/>
      <c r="I261" s="55">
        <f>G261+H261</f>
        <v>0</v>
      </c>
      <c r="J261" s="53"/>
      <c r="K261" s="54"/>
      <c r="L261" s="55">
        <f>K261+J261</f>
        <v>0</v>
      </c>
      <c r="M261" s="53"/>
      <c r="N261" s="54"/>
      <c r="O261" s="55">
        <f>N261+M261</f>
        <v>0</v>
      </c>
      <c r="P261" s="57"/>
    </row>
    <row r="262" spans="1:16" ht="36" hidden="1" customHeight="1" x14ac:dyDescent="0.25">
      <c r="A262" s="51">
        <v>6412</v>
      </c>
      <c r="B262" s="88" t="s">
        <v>279</v>
      </c>
      <c r="C262" s="89">
        <f t="shared" si="80"/>
        <v>0</v>
      </c>
      <c r="D262" s="194"/>
      <c r="E262" s="195"/>
      <c r="F262" s="55">
        <f>D262+E262</f>
        <v>0</v>
      </c>
      <c r="G262" s="53"/>
      <c r="H262" s="54"/>
      <c r="I262" s="55">
        <f>G262+H262</f>
        <v>0</v>
      </c>
      <c r="J262" s="53"/>
      <c r="K262" s="54"/>
      <c r="L262" s="55">
        <f>K262+J262</f>
        <v>0</v>
      </c>
      <c r="M262" s="53"/>
      <c r="N262" s="54"/>
      <c r="O262" s="55">
        <f>N262+M262</f>
        <v>0</v>
      </c>
      <c r="P262" s="57"/>
    </row>
    <row r="263" spans="1:16" ht="36" hidden="1" customHeight="1" x14ac:dyDescent="0.25">
      <c r="A263" s="51">
        <v>6419</v>
      </c>
      <c r="B263" s="88" t="s">
        <v>280</v>
      </c>
      <c r="C263" s="89">
        <f t="shared" si="80"/>
        <v>0</v>
      </c>
      <c r="D263" s="194"/>
      <c r="E263" s="195"/>
      <c r="F263" s="55">
        <f>D263+E263</f>
        <v>0</v>
      </c>
      <c r="G263" s="53"/>
      <c r="H263" s="54"/>
      <c r="I263" s="55">
        <f>G263+H263</f>
        <v>0</v>
      </c>
      <c r="J263" s="53"/>
      <c r="K263" s="54"/>
      <c r="L263" s="55">
        <f>K263+J263</f>
        <v>0</v>
      </c>
      <c r="M263" s="53"/>
      <c r="N263" s="54"/>
      <c r="O263" s="55">
        <f>N263+M263</f>
        <v>0</v>
      </c>
      <c r="P263" s="57"/>
    </row>
    <row r="264" spans="1:16" ht="48" hidden="1" x14ac:dyDescent="0.25">
      <c r="A264" s="188">
        <v>6420</v>
      </c>
      <c r="B264" s="88" t="s">
        <v>281</v>
      </c>
      <c r="C264" s="89">
        <f t="shared" si="80"/>
        <v>0</v>
      </c>
      <c r="D264" s="189">
        <f t="shared" ref="D264:O264" si="105">SUM(D265:D268)</f>
        <v>0</v>
      </c>
      <c r="E264" s="190">
        <f t="shared" si="105"/>
        <v>0</v>
      </c>
      <c r="F264" s="55">
        <f t="shared" si="105"/>
        <v>0</v>
      </c>
      <c r="G264" s="189">
        <f t="shared" si="105"/>
        <v>0</v>
      </c>
      <c r="H264" s="190">
        <f t="shared" si="105"/>
        <v>0</v>
      </c>
      <c r="I264" s="55">
        <f t="shared" si="105"/>
        <v>0</v>
      </c>
      <c r="J264" s="189">
        <f t="shared" si="105"/>
        <v>0</v>
      </c>
      <c r="K264" s="190">
        <f t="shared" si="105"/>
        <v>0</v>
      </c>
      <c r="L264" s="55">
        <f t="shared" si="105"/>
        <v>0</v>
      </c>
      <c r="M264" s="189">
        <f t="shared" si="105"/>
        <v>0</v>
      </c>
      <c r="N264" s="190">
        <f t="shared" si="105"/>
        <v>0</v>
      </c>
      <c r="O264" s="55">
        <f t="shared" si="105"/>
        <v>0</v>
      </c>
      <c r="P264" s="57"/>
    </row>
    <row r="265" spans="1:16" ht="36" hidden="1" customHeight="1" x14ac:dyDescent="0.25">
      <c r="A265" s="51">
        <v>6421</v>
      </c>
      <c r="B265" s="88" t="s">
        <v>282</v>
      </c>
      <c r="C265" s="89">
        <f t="shared" si="80"/>
        <v>0</v>
      </c>
      <c r="D265" s="194"/>
      <c r="E265" s="195"/>
      <c r="F265" s="55">
        <f>D265+E265</f>
        <v>0</v>
      </c>
      <c r="G265" s="53"/>
      <c r="H265" s="54"/>
      <c r="I265" s="55">
        <f>G265+H265</f>
        <v>0</v>
      </c>
      <c r="J265" s="53"/>
      <c r="K265" s="54"/>
      <c r="L265" s="55">
        <f>K265+J265</f>
        <v>0</v>
      </c>
      <c r="M265" s="53"/>
      <c r="N265" s="54"/>
      <c r="O265" s="55">
        <f>N265+M265</f>
        <v>0</v>
      </c>
      <c r="P265" s="57"/>
    </row>
    <row r="266" spans="1:16" ht="12" hidden="1" customHeight="1" x14ac:dyDescent="0.25">
      <c r="A266" s="51">
        <v>6422</v>
      </c>
      <c r="B266" s="88" t="s">
        <v>283</v>
      </c>
      <c r="C266" s="89">
        <f t="shared" si="80"/>
        <v>0</v>
      </c>
      <c r="D266" s="194"/>
      <c r="E266" s="195"/>
      <c r="F266" s="55">
        <f>D266+E266</f>
        <v>0</v>
      </c>
      <c r="G266" s="53"/>
      <c r="H266" s="54"/>
      <c r="I266" s="55">
        <f>G266+H266</f>
        <v>0</v>
      </c>
      <c r="J266" s="53"/>
      <c r="K266" s="54"/>
      <c r="L266" s="55">
        <f>K266+J266</f>
        <v>0</v>
      </c>
      <c r="M266" s="53"/>
      <c r="N266" s="54"/>
      <c r="O266" s="55">
        <f>N266+M266</f>
        <v>0</v>
      </c>
      <c r="P266" s="57"/>
    </row>
    <row r="267" spans="1:16" ht="13.5" hidden="1" customHeight="1" x14ac:dyDescent="0.25">
      <c r="A267" s="51">
        <v>6423</v>
      </c>
      <c r="B267" s="88" t="s">
        <v>284</v>
      </c>
      <c r="C267" s="89">
        <f t="shared" si="80"/>
        <v>0</v>
      </c>
      <c r="D267" s="194"/>
      <c r="E267" s="195"/>
      <c r="F267" s="55">
        <f>D267+E267</f>
        <v>0</v>
      </c>
      <c r="G267" s="53"/>
      <c r="H267" s="54"/>
      <c r="I267" s="55">
        <f>G267+H267</f>
        <v>0</v>
      </c>
      <c r="J267" s="53"/>
      <c r="K267" s="54"/>
      <c r="L267" s="55">
        <f>K267+J267</f>
        <v>0</v>
      </c>
      <c r="M267" s="53"/>
      <c r="N267" s="54"/>
      <c r="O267" s="55">
        <f>N267+M267</f>
        <v>0</v>
      </c>
      <c r="P267" s="57"/>
    </row>
    <row r="268" spans="1:16" ht="36" hidden="1" customHeight="1" x14ac:dyDescent="0.25">
      <c r="A268" s="51">
        <v>6424</v>
      </c>
      <c r="B268" s="88" t="s">
        <v>285</v>
      </c>
      <c r="C268" s="89">
        <f t="shared" si="80"/>
        <v>0</v>
      </c>
      <c r="D268" s="194"/>
      <c r="E268" s="195"/>
      <c r="F268" s="55">
        <f>D268+E268</f>
        <v>0</v>
      </c>
      <c r="G268" s="53"/>
      <c r="H268" s="54"/>
      <c r="I268" s="55">
        <f>G268+H268</f>
        <v>0</v>
      </c>
      <c r="J268" s="53"/>
      <c r="K268" s="54"/>
      <c r="L268" s="55">
        <f>K268+J268</f>
        <v>0</v>
      </c>
      <c r="M268" s="53"/>
      <c r="N268" s="54"/>
      <c r="O268" s="55">
        <f>N268+M268</f>
        <v>0</v>
      </c>
      <c r="P268" s="57"/>
    </row>
    <row r="269" spans="1:16" ht="48" hidden="1" x14ac:dyDescent="0.25">
      <c r="A269" s="227">
        <v>7000</v>
      </c>
      <c r="B269" s="227" t="s">
        <v>286</v>
      </c>
      <c r="C269" s="228">
        <f t="shared" si="80"/>
        <v>0</v>
      </c>
      <c r="D269" s="229">
        <f t="shared" ref="D269:O269" si="106">SUM(D270,D281)</f>
        <v>0</v>
      </c>
      <c r="E269" s="230">
        <f t="shared" si="106"/>
        <v>0</v>
      </c>
      <c r="F269" s="231">
        <f t="shared" si="106"/>
        <v>0</v>
      </c>
      <c r="G269" s="229">
        <f t="shared" si="106"/>
        <v>0</v>
      </c>
      <c r="H269" s="230">
        <f t="shared" si="106"/>
        <v>0</v>
      </c>
      <c r="I269" s="231">
        <f t="shared" si="106"/>
        <v>0</v>
      </c>
      <c r="J269" s="229">
        <f t="shared" si="106"/>
        <v>0</v>
      </c>
      <c r="K269" s="230">
        <f t="shared" si="106"/>
        <v>0</v>
      </c>
      <c r="L269" s="231">
        <f t="shared" si="106"/>
        <v>0</v>
      </c>
      <c r="M269" s="229">
        <f t="shared" si="106"/>
        <v>0</v>
      </c>
      <c r="N269" s="230">
        <f t="shared" si="106"/>
        <v>0</v>
      </c>
      <c r="O269" s="231">
        <f t="shared" si="106"/>
        <v>0</v>
      </c>
      <c r="P269" s="232"/>
    </row>
    <row r="270" spans="1:16" ht="24" hidden="1" x14ac:dyDescent="0.25">
      <c r="A270" s="68">
        <v>7200</v>
      </c>
      <c r="B270" s="182" t="s">
        <v>287</v>
      </c>
      <c r="C270" s="69">
        <f t="shared" si="80"/>
        <v>0</v>
      </c>
      <c r="D270" s="183">
        <f t="shared" ref="D270:O270" si="107">SUM(D271,D272,D275,D276,D280)</f>
        <v>0</v>
      </c>
      <c r="E270" s="184">
        <f t="shared" si="107"/>
        <v>0</v>
      </c>
      <c r="F270" s="72">
        <f t="shared" si="107"/>
        <v>0</v>
      </c>
      <c r="G270" s="183">
        <f t="shared" si="107"/>
        <v>0</v>
      </c>
      <c r="H270" s="184">
        <f t="shared" si="107"/>
        <v>0</v>
      </c>
      <c r="I270" s="72">
        <f t="shared" si="107"/>
        <v>0</v>
      </c>
      <c r="J270" s="183">
        <f t="shared" si="107"/>
        <v>0</v>
      </c>
      <c r="K270" s="184">
        <f t="shared" si="107"/>
        <v>0</v>
      </c>
      <c r="L270" s="72">
        <f t="shared" si="107"/>
        <v>0</v>
      </c>
      <c r="M270" s="183">
        <f t="shared" si="107"/>
        <v>0</v>
      </c>
      <c r="N270" s="184">
        <f t="shared" si="107"/>
        <v>0</v>
      </c>
      <c r="O270" s="72">
        <f t="shared" si="107"/>
        <v>0</v>
      </c>
      <c r="P270" s="76"/>
    </row>
    <row r="271" spans="1:16" ht="24" hidden="1" customHeight="1" x14ac:dyDescent="0.25">
      <c r="A271" s="729">
        <v>7210</v>
      </c>
      <c r="B271" s="81" t="s">
        <v>288</v>
      </c>
      <c r="C271" s="82">
        <f t="shared" si="80"/>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80"/>
        <v>0</v>
      </c>
      <c r="D272" s="189">
        <f t="shared" ref="D272:O272" si="108">SUM(D273:D274)</f>
        <v>0</v>
      </c>
      <c r="E272" s="190">
        <f t="shared" si="108"/>
        <v>0</v>
      </c>
      <c r="F272" s="55">
        <f t="shared" si="108"/>
        <v>0</v>
      </c>
      <c r="G272" s="189">
        <f t="shared" si="108"/>
        <v>0</v>
      </c>
      <c r="H272" s="190">
        <f t="shared" si="108"/>
        <v>0</v>
      </c>
      <c r="I272" s="55">
        <f t="shared" si="108"/>
        <v>0</v>
      </c>
      <c r="J272" s="189">
        <f t="shared" si="108"/>
        <v>0</v>
      </c>
      <c r="K272" s="190">
        <f t="shared" si="108"/>
        <v>0</v>
      </c>
      <c r="L272" s="55">
        <f t="shared" si="108"/>
        <v>0</v>
      </c>
      <c r="M272" s="189">
        <f t="shared" si="108"/>
        <v>0</v>
      </c>
      <c r="N272" s="190">
        <f t="shared" si="108"/>
        <v>0</v>
      </c>
      <c r="O272" s="55">
        <f t="shared" si="108"/>
        <v>0</v>
      </c>
      <c r="P272" s="57"/>
    </row>
    <row r="273" spans="1:16" s="233" customFormat="1" ht="36" hidden="1" customHeight="1" x14ac:dyDescent="0.25">
      <c r="A273" s="51">
        <v>7221</v>
      </c>
      <c r="B273" s="88" t="s">
        <v>290</v>
      </c>
      <c r="C273" s="89">
        <f t="shared" si="80"/>
        <v>0</v>
      </c>
      <c r="D273" s="194"/>
      <c r="E273" s="195"/>
      <c r="F273" s="55">
        <f>D273+E273</f>
        <v>0</v>
      </c>
      <c r="G273" s="53"/>
      <c r="H273" s="54"/>
      <c r="I273" s="55">
        <f>G273+H273</f>
        <v>0</v>
      </c>
      <c r="J273" s="53"/>
      <c r="K273" s="54"/>
      <c r="L273" s="55">
        <f>K273+J273</f>
        <v>0</v>
      </c>
      <c r="M273" s="53"/>
      <c r="N273" s="54"/>
      <c r="O273" s="55">
        <f>N273+M273</f>
        <v>0</v>
      </c>
      <c r="P273" s="57"/>
    </row>
    <row r="274" spans="1:16" s="233" customFormat="1" ht="36" hidden="1" customHeight="1" x14ac:dyDescent="0.25">
      <c r="A274" s="51">
        <v>7222</v>
      </c>
      <c r="B274" s="88" t="s">
        <v>291</v>
      </c>
      <c r="C274" s="89">
        <f t="shared" si="80"/>
        <v>0</v>
      </c>
      <c r="D274" s="194"/>
      <c r="E274" s="195"/>
      <c r="F274" s="55">
        <f>D274+E274</f>
        <v>0</v>
      </c>
      <c r="G274" s="53"/>
      <c r="H274" s="54"/>
      <c r="I274" s="55">
        <f>G274+H274</f>
        <v>0</v>
      </c>
      <c r="J274" s="53"/>
      <c r="K274" s="54"/>
      <c r="L274" s="55">
        <f>K274+J274</f>
        <v>0</v>
      </c>
      <c r="M274" s="53"/>
      <c r="N274" s="54"/>
      <c r="O274" s="55">
        <f>N274+M274</f>
        <v>0</v>
      </c>
      <c r="P274" s="57"/>
    </row>
    <row r="275" spans="1:16" ht="24" hidden="1" customHeight="1" x14ac:dyDescent="0.25">
      <c r="A275" s="188">
        <v>7230</v>
      </c>
      <c r="B275" s="88" t="s">
        <v>292</v>
      </c>
      <c r="C275" s="89">
        <f t="shared" si="80"/>
        <v>0</v>
      </c>
      <c r="D275" s="194"/>
      <c r="E275" s="195"/>
      <c r="F275" s="55">
        <f>D275+E275</f>
        <v>0</v>
      </c>
      <c r="G275" s="53"/>
      <c r="H275" s="54"/>
      <c r="I275" s="55">
        <f>G275+H275</f>
        <v>0</v>
      </c>
      <c r="J275" s="53"/>
      <c r="K275" s="54"/>
      <c r="L275" s="55">
        <f>K275+J275</f>
        <v>0</v>
      </c>
      <c r="M275" s="53"/>
      <c r="N275" s="54"/>
      <c r="O275" s="55">
        <f>N275+M275</f>
        <v>0</v>
      </c>
      <c r="P275" s="57"/>
    </row>
    <row r="276" spans="1:16" ht="24" hidden="1" x14ac:dyDescent="0.25">
      <c r="A276" s="188">
        <v>7240</v>
      </c>
      <c r="B276" s="88" t="s">
        <v>293</v>
      </c>
      <c r="C276" s="89">
        <f t="shared" ref="C276:C301" si="109">F276+I276+L276+O276</f>
        <v>0</v>
      </c>
      <c r="D276" s="189">
        <f t="shared" ref="D276:O276" si="110">SUM(D277:D279)</f>
        <v>0</v>
      </c>
      <c r="E276" s="190">
        <f t="shared" si="110"/>
        <v>0</v>
      </c>
      <c r="F276" s="55">
        <f t="shared" si="110"/>
        <v>0</v>
      </c>
      <c r="G276" s="189">
        <f t="shared" si="110"/>
        <v>0</v>
      </c>
      <c r="H276" s="190">
        <f t="shared" si="110"/>
        <v>0</v>
      </c>
      <c r="I276" s="55">
        <f t="shared" si="110"/>
        <v>0</v>
      </c>
      <c r="J276" s="189">
        <f t="shared" si="110"/>
        <v>0</v>
      </c>
      <c r="K276" s="190">
        <f t="shared" si="110"/>
        <v>0</v>
      </c>
      <c r="L276" s="55">
        <f t="shared" si="110"/>
        <v>0</v>
      </c>
      <c r="M276" s="189">
        <f t="shared" si="110"/>
        <v>0</v>
      </c>
      <c r="N276" s="190">
        <f t="shared" si="110"/>
        <v>0</v>
      </c>
      <c r="O276" s="55">
        <f t="shared" si="110"/>
        <v>0</v>
      </c>
      <c r="P276" s="57"/>
    </row>
    <row r="277" spans="1:16" ht="48" hidden="1" customHeight="1" x14ac:dyDescent="0.25">
      <c r="A277" s="51">
        <v>7245</v>
      </c>
      <c r="B277" s="88" t="s">
        <v>294</v>
      </c>
      <c r="C277" s="89">
        <f t="shared" si="109"/>
        <v>0</v>
      </c>
      <c r="D277" s="194"/>
      <c r="E277" s="195"/>
      <c r="F277" s="55">
        <f>D277+E277</f>
        <v>0</v>
      </c>
      <c r="G277" s="53"/>
      <c r="H277" s="54"/>
      <c r="I277" s="55">
        <f>G277+H277</f>
        <v>0</v>
      </c>
      <c r="J277" s="53"/>
      <c r="K277" s="54"/>
      <c r="L277" s="55">
        <f>K277+J277</f>
        <v>0</v>
      </c>
      <c r="M277" s="53"/>
      <c r="N277" s="54"/>
      <c r="O277" s="55">
        <f>N277+M277</f>
        <v>0</v>
      </c>
      <c r="P277" s="57"/>
    </row>
    <row r="278" spans="1:16" ht="84.75" hidden="1" customHeight="1" x14ac:dyDescent="0.25">
      <c r="A278" s="51">
        <v>7246</v>
      </c>
      <c r="B278" s="88" t="s">
        <v>295</v>
      </c>
      <c r="C278" s="89">
        <f t="shared" si="109"/>
        <v>0</v>
      </c>
      <c r="D278" s="194"/>
      <c r="E278" s="195"/>
      <c r="F278" s="55">
        <f>D278+E278</f>
        <v>0</v>
      </c>
      <c r="G278" s="53"/>
      <c r="H278" s="54"/>
      <c r="I278" s="55">
        <f>G278+H278</f>
        <v>0</v>
      </c>
      <c r="J278" s="53"/>
      <c r="K278" s="54"/>
      <c r="L278" s="55">
        <f>K278+J278</f>
        <v>0</v>
      </c>
      <c r="M278" s="53"/>
      <c r="N278" s="54"/>
      <c r="O278" s="55">
        <f>N278+M278</f>
        <v>0</v>
      </c>
      <c r="P278" s="57"/>
    </row>
    <row r="279" spans="1:16" ht="36" hidden="1" customHeight="1" x14ac:dyDescent="0.25">
      <c r="A279" s="51">
        <v>7247</v>
      </c>
      <c r="B279" s="88" t="s">
        <v>296</v>
      </c>
      <c r="C279" s="89">
        <f t="shared" si="109"/>
        <v>0</v>
      </c>
      <c r="D279" s="194"/>
      <c r="E279" s="195"/>
      <c r="F279" s="55">
        <f>D279+E279</f>
        <v>0</v>
      </c>
      <c r="G279" s="53"/>
      <c r="H279" s="54"/>
      <c r="I279" s="55">
        <f>G279+H279</f>
        <v>0</v>
      </c>
      <c r="J279" s="53"/>
      <c r="K279" s="54"/>
      <c r="L279" s="55">
        <f>K279+J279</f>
        <v>0</v>
      </c>
      <c r="M279" s="53"/>
      <c r="N279" s="54"/>
      <c r="O279" s="55">
        <f>N279+M279</f>
        <v>0</v>
      </c>
      <c r="P279" s="57"/>
    </row>
    <row r="280" spans="1:16" ht="24" hidden="1" customHeight="1" x14ac:dyDescent="0.25">
      <c r="A280" s="729">
        <v>7260</v>
      </c>
      <c r="B280" s="81" t="s">
        <v>297</v>
      </c>
      <c r="C280" s="82">
        <f t="shared" si="109"/>
        <v>0</v>
      </c>
      <c r="D280" s="196"/>
      <c r="E280" s="197"/>
      <c r="F280" s="133">
        <f>D280+E280</f>
        <v>0</v>
      </c>
      <c r="G280" s="46"/>
      <c r="H280" s="47"/>
      <c r="I280" s="133">
        <f>G280+H280</f>
        <v>0</v>
      </c>
      <c r="J280" s="46"/>
      <c r="K280" s="47"/>
      <c r="L280" s="133">
        <f>K280+J280</f>
        <v>0</v>
      </c>
      <c r="M280" s="46"/>
      <c r="N280" s="47"/>
      <c r="O280" s="133">
        <f>N280+M280</f>
        <v>0</v>
      </c>
      <c r="P280" s="49"/>
    </row>
    <row r="281" spans="1:16" hidden="1" x14ac:dyDescent="0.25">
      <c r="A281" s="135">
        <v>7700</v>
      </c>
      <c r="B281" s="108" t="s">
        <v>298</v>
      </c>
      <c r="C281" s="109">
        <f t="shared" si="109"/>
        <v>0</v>
      </c>
      <c r="D281" s="234">
        <f t="shared" ref="D281:O281" si="111">D282</f>
        <v>0</v>
      </c>
      <c r="E281" s="235">
        <f t="shared" si="111"/>
        <v>0</v>
      </c>
      <c r="F281" s="130">
        <f t="shared" si="111"/>
        <v>0</v>
      </c>
      <c r="G281" s="234">
        <f t="shared" si="111"/>
        <v>0</v>
      </c>
      <c r="H281" s="235">
        <f t="shared" si="111"/>
        <v>0</v>
      </c>
      <c r="I281" s="130">
        <f t="shared" si="111"/>
        <v>0</v>
      </c>
      <c r="J281" s="234">
        <f t="shared" si="111"/>
        <v>0</v>
      </c>
      <c r="K281" s="235">
        <f t="shared" si="111"/>
        <v>0</v>
      </c>
      <c r="L281" s="130">
        <f t="shared" si="111"/>
        <v>0</v>
      </c>
      <c r="M281" s="234">
        <f t="shared" si="111"/>
        <v>0</v>
      </c>
      <c r="N281" s="235">
        <f t="shared" si="111"/>
        <v>0</v>
      </c>
      <c r="O281" s="130">
        <f t="shared" si="111"/>
        <v>0</v>
      </c>
      <c r="P281" s="118"/>
    </row>
    <row r="282" spans="1:16" ht="12" hidden="1" customHeight="1" x14ac:dyDescent="0.25">
      <c r="A282" s="185">
        <v>7720</v>
      </c>
      <c r="B282" s="81" t="s">
        <v>299</v>
      </c>
      <c r="C282" s="97">
        <f t="shared" si="109"/>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109"/>
        <v>0</v>
      </c>
      <c r="D283" s="242">
        <f t="shared" ref="D283:O284" si="112">D284</f>
        <v>0</v>
      </c>
      <c r="E283" s="243">
        <f t="shared" si="112"/>
        <v>0</v>
      </c>
      <c r="F283" s="244">
        <f t="shared" si="112"/>
        <v>0</v>
      </c>
      <c r="G283" s="242">
        <f>G284</f>
        <v>0</v>
      </c>
      <c r="H283" s="243">
        <f>H284</f>
        <v>0</v>
      </c>
      <c r="I283" s="244">
        <f>I284</f>
        <v>0</v>
      </c>
      <c r="J283" s="242">
        <f t="shared" si="112"/>
        <v>0</v>
      </c>
      <c r="K283" s="243">
        <f t="shared" si="112"/>
        <v>0</v>
      </c>
      <c r="L283" s="244">
        <f t="shared" si="112"/>
        <v>0</v>
      </c>
      <c r="M283" s="242">
        <f t="shared" si="112"/>
        <v>0</v>
      </c>
      <c r="N283" s="243">
        <f t="shared" si="112"/>
        <v>0</v>
      </c>
      <c r="O283" s="244">
        <f t="shared" si="112"/>
        <v>0</v>
      </c>
      <c r="P283" s="245"/>
    </row>
    <row r="284" spans="1:16" ht="24" hidden="1" x14ac:dyDescent="0.25">
      <c r="A284" s="246">
        <v>9200</v>
      </c>
      <c r="B284" s="88" t="s">
        <v>301</v>
      </c>
      <c r="C284" s="142">
        <f t="shared" si="109"/>
        <v>0</v>
      </c>
      <c r="D284" s="186">
        <f t="shared" si="112"/>
        <v>0</v>
      </c>
      <c r="E284" s="187">
        <f t="shared" si="112"/>
        <v>0</v>
      </c>
      <c r="F284" s="140">
        <f t="shared" si="112"/>
        <v>0</v>
      </c>
      <c r="G284" s="186">
        <f t="shared" si="112"/>
        <v>0</v>
      </c>
      <c r="H284" s="187">
        <f t="shared" si="112"/>
        <v>0</v>
      </c>
      <c r="I284" s="140">
        <f t="shared" si="112"/>
        <v>0</v>
      </c>
      <c r="J284" s="186">
        <f t="shared" si="112"/>
        <v>0</v>
      </c>
      <c r="K284" s="187">
        <f t="shared" si="112"/>
        <v>0</v>
      </c>
      <c r="L284" s="140">
        <f t="shared" si="112"/>
        <v>0</v>
      </c>
      <c r="M284" s="186">
        <f t="shared" si="112"/>
        <v>0</v>
      </c>
      <c r="N284" s="187">
        <f t="shared" si="112"/>
        <v>0</v>
      </c>
      <c r="O284" s="140">
        <f t="shared" si="112"/>
        <v>0</v>
      </c>
      <c r="P284" s="128"/>
    </row>
    <row r="285" spans="1:16" ht="24" hidden="1" customHeight="1" x14ac:dyDescent="0.25">
      <c r="A285" s="247">
        <v>9230</v>
      </c>
      <c r="B285" s="88" t="s">
        <v>302</v>
      </c>
      <c r="C285" s="142">
        <f t="shared" si="109"/>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109"/>
        <v>0</v>
      </c>
      <c r="D286" s="189">
        <f t="shared" ref="D286:O286" si="113">SUM(D287:D288)</f>
        <v>0</v>
      </c>
      <c r="E286" s="190">
        <f t="shared" si="113"/>
        <v>0</v>
      </c>
      <c r="F286" s="55">
        <f t="shared" si="113"/>
        <v>0</v>
      </c>
      <c r="G286" s="189">
        <f t="shared" si="113"/>
        <v>0</v>
      </c>
      <c r="H286" s="190">
        <f t="shared" si="113"/>
        <v>0</v>
      </c>
      <c r="I286" s="55">
        <f t="shared" si="113"/>
        <v>0</v>
      </c>
      <c r="J286" s="189">
        <f t="shared" si="113"/>
        <v>0</v>
      </c>
      <c r="K286" s="190">
        <f t="shared" si="113"/>
        <v>0</v>
      </c>
      <c r="L286" s="55">
        <f t="shared" si="113"/>
        <v>0</v>
      </c>
      <c r="M286" s="189">
        <f t="shared" si="113"/>
        <v>0</v>
      </c>
      <c r="N286" s="190">
        <f t="shared" si="113"/>
        <v>0</v>
      </c>
      <c r="O286" s="55">
        <f t="shared" si="113"/>
        <v>0</v>
      </c>
      <c r="P286" s="57"/>
    </row>
    <row r="287" spans="1:16" ht="12" hidden="1" customHeight="1" x14ac:dyDescent="0.25">
      <c r="A287" s="199" t="s">
        <v>304</v>
      </c>
      <c r="B287" s="51" t="s">
        <v>305</v>
      </c>
      <c r="C287" s="89">
        <f t="shared" si="109"/>
        <v>0</v>
      </c>
      <c r="D287" s="194"/>
      <c r="E287" s="195"/>
      <c r="F287" s="55">
        <f>D287+E287</f>
        <v>0</v>
      </c>
      <c r="G287" s="53"/>
      <c r="H287" s="54"/>
      <c r="I287" s="55">
        <f>G287+H287</f>
        <v>0</v>
      </c>
      <c r="J287" s="53"/>
      <c r="K287" s="54"/>
      <c r="L287" s="55">
        <f>K287+J287</f>
        <v>0</v>
      </c>
      <c r="M287" s="53"/>
      <c r="N287" s="54"/>
      <c r="O287" s="55">
        <f>N287+M287</f>
        <v>0</v>
      </c>
      <c r="P287" s="57"/>
    </row>
    <row r="288" spans="1:16" ht="24" hidden="1" customHeight="1" x14ac:dyDescent="0.25">
      <c r="A288" s="199" t="s">
        <v>306</v>
      </c>
      <c r="B288" s="248" t="s">
        <v>307</v>
      </c>
      <c r="C288" s="82">
        <f t="shared" si="109"/>
        <v>0</v>
      </c>
      <c r="D288" s="196"/>
      <c r="E288" s="197"/>
      <c r="F288" s="133">
        <f>D288+E288</f>
        <v>0</v>
      </c>
      <c r="G288" s="46"/>
      <c r="H288" s="47"/>
      <c r="I288" s="133">
        <f>G288+H288</f>
        <v>0</v>
      </c>
      <c r="J288" s="46"/>
      <c r="K288" s="47"/>
      <c r="L288" s="133">
        <f>K288+J288</f>
        <v>0</v>
      </c>
      <c r="M288" s="46"/>
      <c r="N288" s="47"/>
      <c r="O288" s="133">
        <f>N288+M288</f>
        <v>0</v>
      </c>
      <c r="P288" s="49"/>
    </row>
    <row r="289" spans="1:16" ht="12.75" thickBot="1" x14ac:dyDescent="0.3">
      <c r="A289" s="249"/>
      <c r="B289" s="249" t="s">
        <v>308</v>
      </c>
      <c r="C289" s="250">
        <f t="shared" si="109"/>
        <v>1201406</v>
      </c>
      <c r="D289" s="251">
        <f t="shared" ref="D289:O289" si="114">SUM(D286,D269,D230,D195,D187,D173,D75,D53,D283)</f>
        <v>618951</v>
      </c>
      <c r="E289" s="252">
        <f t="shared" si="114"/>
        <v>-18000</v>
      </c>
      <c r="F289" s="253">
        <f t="shared" si="114"/>
        <v>600951</v>
      </c>
      <c r="G289" s="251">
        <f t="shared" si="114"/>
        <v>494776</v>
      </c>
      <c r="H289" s="252">
        <f t="shared" si="114"/>
        <v>0</v>
      </c>
      <c r="I289" s="253">
        <f t="shared" si="114"/>
        <v>494776</v>
      </c>
      <c r="J289" s="251">
        <f t="shared" si="114"/>
        <v>104090</v>
      </c>
      <c r="K289" s="252">
        <f t="shared" si="114"/>
        <v>1559</v>
      </c>
      <c r="L289" s="253">
        <f t="shared" si="114"/>
        <v>105649</v>
      </c>
      <c r="M289" s="251">
        <f t="shared" si="114"/>
        <v>30</v>
      </c>
      <c r="N289" s="252">
        <f t="shared" si="114"/>
        <v>0</v>
      </c>
      <c r="O289" s="253">
        <f t="shared" si="114"/>
        <v>30</v>
      </c>
      <c r="P289" s="254"/>
    </row>
    <row r="290" spans="1:16" s="28" customFormat="1" ht="13.5" thickTop="1" thickBot="1" x14ac:dyDescent="0.3">
      <c r="A290" s="1945" t="s">
        <v>309</v>
      </c>
      <c r="B290" s="1946"/>
      <c r="C290" s="255">
        <f t="shared" si="109"/>
        <v>-9073</v>
      </c>
      <c r="D290" s="256">
        <f t="shared" ref="D290:I290" si="115">SUM(D24,D25,D41)-D51</f>
        <v>0</v>
      </c>
      <c r="E290" s="257">
        <f t="shared" si="115"/>
        <v>0</v>
      </c>
      <c r="F290" s="258">
        <f t="shared" si="115"/>
        <v>0</v>
      </c>
      <c r="G290" s="256">
        <f t="shared" si="115"/>
        <v>0</v>
      </c>
      <c r="H290" s="257">
        <f t="shared" si="115"/>
        <v>0</v>
      </c>
      <c r="I290" s="258">
        <f t="shared" si="115"/>
        <v>0</v>
      </c>
      <c r="J290" s="256">
        <f>(J26+J43)-J51</f>
        <v>-9043</v>
      </c>
      <c r="K290" s="257">
        <f>(K26+K43)-K51</f>
        <v>0</v>
      </c>
      <c r="L290" s="258">
        <f>(L26+L43)-L51</f>
        <v>-9043</v>
      </c>
      <c r="M290" s="256">
        <f>M45-M51</f>
        <v>-30</v>
      </c>
      <c r="N290" s="257">
        <f>N45-N51</f>
        <v>0</v>
      </c>
      <c r="O290" s="258">
        <f>O45-O51</f>
        <v>-30</v>
      </c>
      <c r="P290" s="259"/>
    </row>
    <row r="291" spans="1:16" s="28" customFormat="1" ht="12.75" thickTop="1" x14ac:dyDescent="0.25">
      <c r="A291" s="1947" t="s">
        <v>310</v>
      </c>
      <c r="B291" s="1948"/>
      <c r="C291" s="260">
        <f t="shared" si="109"/>
        <v>9073</v>
      </c>
      <c r="D291" s="261">
        <f t="shared" ref="D291:O291" si="116">SUM(D292,D293)-D300+D301</f>
        <v>0</v>
      </c>
      <c r="E291" s="262">
        <f t="shared" si="116"/>
        <v>0</v>
      </c>
      <c r="F291" s="263">
        <f t="shared" si="116"/>
        <v>0</v>
      </c>
      <c r="G291" s="261">
        <f t="shared" si="116"/>
        <v>0</v>
      </c>
      <c r="H291" s="262">
        <f t="shared" si="116"/>
        <v>0</v>
      </c>
      <c r="I291" s="263">
        <f t="shared" si="116"/>
        <v>0</v>
      </c>
      <c r="J291" s="261">
        <f t="shared" si="116"/>
        <v>9043</v>
      </c>
      <c r="K291" s="262">
        <f t="shared" si="116"/>
        <v>0</v>
      </c>
      <c r="L291" s="263">
        <f t="shared" si="116"/>
        <v>9043</v>
      </c>
      <c r="M291" s="261">
        <f t="shared" si="116"/>
        <v>30</v>
      </c>
      <c r="N291" s="262">
        <f t="shared" si="116"/>
        <v>0</v>
      </c>
      <c r="O291" s="263">
        <f t="shared" si="116"/>
        <v>30</v>
      </c>
      <c r="P291" s="264"/>
    </row>
    <row r="292" spans="1:16" s="28" customFormat="1" ht="12.75" thickBot="1" x14ac:dyDescent="0.3">
      <c r="A292" s="156" t="s">
        <v>311</v>
      </c>
      <c r="B292" s="156" t="s">
        <v>312</v>
      </c>
      <c r="C292" s="157">
        <f t="shared" si="109"/>
        <v>9073</v>
      </c>
      <c r="D292" s="158">
        <f t="shared" ref="D292:O292" si="117">D21-D286</f>
        <v>0</v>
      </c>
      <c r="E292" s="159">
        <f t="shared" si="117"/>
        <v>0</v>
      </c>
      <c r="F292" s="160">
        <f t="shared" si="117"/>
        <v>0</v>
      </c>
      <c r="G292" s="158">
        <f t="shared" si="117"/>
        <v>0</v>
      </c>
      <c r="H292" s="159">
        <f t="shared" si="117"/>
        <v>0</v>
      </c>
      <c r="I292" s="160">
        <f t="shared" si="117"/>
        <v>0</v>
      </c>
      <c r="J292" s="158">
        <f t="shared" si="117"/>
        <v>9043</v>
      </c>
      <c r="K292" s="159">
        <f t="shared" si="117"/>
        <v>0</v>
      </c>
      <c r="L292" s="160">
        <f t="shared" si="117"/>
        <v>9043</v>
      </c>
      <c r="M292" s="158">
        <f t="shared" si="117"/>
        <v>30</v>
      </c>
      <c r="N292" s="159">
        <f t="shared" si="117"/>
        <v>0</v>
      </c>
      <c r="O292" s="160">
        <f t="shared" si="117"/>
        <v>30</v>
      </c>
      <c r="P292" s="35"/>
    </row>
    <row r="293" spans="1:16" s="28" customFormat="1" ht="12.75" hidden="1" thickTop="1" x14ac:dyDescent="0.25">
      <c r="A293" s="265" t="s">
        <v>313</v>
      </c>
      <c r="B293" s="265" t="s">
        <v>314</v>
      </c>
      <c r="C293" s="260">
        <f t="shared" si="109"/>
        <v>0</v>
      </c>
      <c r="D293" s="261">
        <f t="shared" ref="D293:O293" si="118">SUM(D294,D296,D298)-SUM(D295,D297,D299)</f>
        <v>0</v>
      </c>
      <c r="E293" s="262">
        <f t="shared" si="118"/>
        <v>0</v>
      </c>
      <c r="F293" s="263">
        <f t="shared" si="118"/>
        <v>0</v>
      </c>
      <c r="G293" s="261">
        <f t="shared" si="118"/>
        <v>0</v>
      </c>
      <c r="H293" s="262">
        <f t="shared" si="118"/>
        <v>0</v>
      </c>
      <c r="I293" s="263">
        <f t="shared" si="118"/>
        <v>0</v>
      </c>
      <c r="J293" s="261">
        <f t="shared" si="118"/>
        <v>0</v>
      </c>
      <c r="K293" s="262">
        <f t="shared" si="118"/>
        <v>0</v>
      </c>
      <c r="L293" s="263">
        <f t="shared" si="118"/>
        <v>0</v>
      </c>
      <c r="M293" s="261">
        <f t="shared" si="118"/>
        <v>0</v>
      </c>
      <c r="N293" s="262">
        <f t="shared" si="118"/>
        <v>0</v>
      </c>
      <c r="O293" s="263">
        <f t="shared" si="118"/>
        <v>0</v>
      </c>
      <c r="P293" s="264"/>
    </row>
    <row r="294" spans="1:16" ht="12" hidden="1" customHeight="1" x14ac:dyDescent="0.25">
      <c r="A294" s="266" t="s">
        <v>315</v>
      </c>
      <c r="B294" s="141" t="s">
        <v>316</v>
      </c>
      <c r="C294" s="97">
        <f t="shared" si="109"/>
        <v>0</v>
      </c>
      <c r="D294" s="236"/>
      <c r="E294" s="237"/>
      <c r="F294" s="238">
        <f t="shared" ref="F294:F301" si="119">D294+E294</f>
        <v>0</v>
      </c>
      <c r="G294" s="101"/>
      <c r="H294" s="102"/>
      <c r="I294" s="238">
        <f t="shared" ref="I294:I301" si="120">G294+H294</f>
        <v>0</v>
      </c>
      <c r="J294" s="101"/>
      <c r="K294" s="102"/>
      <c r="L294" s="238">
        <f t="shared" ref="L294:L301" si="121">K294+J294</f>
        <v>0</v>
      </c>
      <c r="M294" s="101"/>
      <c r="N294" s="102"/>
      <c r="O294" s="238">
        <f t="shared" ref="O294:O301" si="122">N294+M294</f>
        <v>0</v>
      </c>
      <c r="P294" s="106"/>
    </row>
    <row r="295" spans="1:16" ht="24" hidden="1" customHeight="1" x14ac:dyDescent="0.25">
      <c r="A295" s="199" t="s">
        <v>317</v>
      </c>
      <c r="B295" s="50" t="s">
        <v>318</v>
      </c>
      <c r="C295" s="89">
        <f t="shared" si="109"/>
        <v>0</v>
      </c>
      <c r="D295" s="194"/>
      <c r="E295" s="195"/>
      <c r="F295" s="55">
        <f t="shared" si="119"/>
        <v>0</v>
      </c>
      <c r="G295" s="53"/>
      <c r="H295" s="54"/>
      <c r="I295" s="55">
        <f t="shared" si="120"/>
        <v>0</v>
      </c>
      <c r="J295" s="53"/>
      <c r="K295" s="54"/>
      <c r="L295" s="55">
        <f t="shared" si="121"/>
        <v>0</v>
      </c>
      <c r="M295" s="53"/>
      <c r="N295" s="54"/>
      <c r="O295" s="55">
        <f t="shared" si="122"/>
        <v>0</v>
      </c>
      <c r="P295" s="57"/>
    </row>
    <row r="296" spans="1:16" ht="12" hidden="1" customHeight="1" x14ac:dyDescent="0.25">
      <c r="A296" s="199" t="s">
        <v>319</v>
      </c>
      <c r="B296" s="50" t="s">
        <v>320</v>
      </c>
      <c r="C296" s="89">
        <f t="shared" si="109"/>
        <v>0</v>
      </c>
      <c r="D296" s="194"/>
      <c r="E296" s="195"/>
      <c r="F296" s="55">
        <f t="shared" si="119"/>
        <v>0</v>
      </c>
      <c r="G296" s="53"/>
      <c r="H296" s="54"/>
      <c r="I296" s="55">
        <f t="shared" si="120"/>
        <v>0</v>
      </c>
      <c r="J296" s="53"/>
      <c r="K296" s="54"/>
      <c r="L296" s="55">
        <f t="shared" si="121"/>
        <v>0</v>
      </c>
      <c r="M296" s="53"/>
      <c r="N296" s="54"/>
      <c r="O296" s="55">
        <f t="shared" si="122"/>
        <v>0</v>
      </c>
      <c r="P296" s="57"/>
    </row>
    <row r="297" spans="1:16" ht="24" hidden="1" customHeight="1" x14ac:dyDescent="0.25">
      <c r="A297" s="199" t="s">
        <v>321</v>
      </c>
      <c r="B297" s="50" t="s">
        <v>322</v>
      </c>
      <c r="C297" s="89">
        <f t="shared" si="109"/>
        <v>0</v>
      </c>
      <c r="D297" s="194"/>
      <c r="E297" s="195"/>
      <c r="F297" s="55">
        <f t="shared" si="119"/>
        <v>0</v>
      </c>
      <c r="G297" s="53"/>
      <c r="H297" s="54"/>
      <c r="I297" s="55">
        <f t="shared" si="120"/>
        <v>0</v>
      </c>
      <c r="J297" s="53"/>
      <c r="K297" s="54"/>
      <c r="L297" s="55">
        <f t="shared" si="121"/>
        <v>0</v>
      </c>
      <c r="M297" s="53"/>
      <c r="N297" s="54"/>
      <c r="O297" s="55">
        <f t="shared" si="122"/>
        <v>0</v>
      </c>
      <c r="P297" s="57"/>
    </row>
    <row r="298" spans="1:16" ht="12" hidden="1" customHeight="1" x14ac:dyDescent="0.25">
      <c r="A298" s="199" t="s">
        <v>323</v>
      </c>
      <c r="B298" s="50" t="s">
        <v>324</v>
      </c>
      <c r="C298" s="89">
        <f t="shared" si="109"/>
        <v>0</v>
      </c>
      <c r="D298" s="194"/>
      <c r="E298" s="195"/>
      <c r="F298" s="55">
        <f t="shared" si="119"/>
        <v>0</v>
      </c>
      <c r="G298" s="53"/>
      <c r="H298" s="54"/>
      <c r="I298" s="55">
        <f t="shared" si="120"/>
        <v>0</v>
      </c>
      <c r="J298" s="53"/>
      <c r="K298" s="54"/>
      <c r="L298" s="55">
        <f t="shared" si="121"/>
        <v>0</v>
      </c>
      <c r="M298" s="53"/>
      <c r="N298" s="54"/>
      <c r="O298" s="55">
        <f t="shared" si="122"/>
        <v>0</v>
      </c>
      <c r="P298" s="57"/>
    </row>
    <row r="299" spans="1:16" ht="24.75" hidden="1" customHeight="1" thickBot="1" x14ac:dyDescent="0.3">
      <c r="A299" s="267" t="s">
        <v>325</v>
      </c>
      <c r="B299" s="268" t="s">
        <v>326</v>
      </c>
      <c r="C299" s="208">
        <f t="shared" si="109"/>
        <v>0</v>
      </c>
      <c r="D299" s="210"/>
      <c r="E299" s="211"/>
      <c r="F299" s="212">
        <f t="shared" si="119"/>
        <v>0</v>
      </c>
      <c r="G299" s="213"/>
      <c r="H299" s="214"/>
      <c r="I299" s="212">
        <f t="shared" si="120"/>
        <v>0</v>
      </c>
      <c r="J299" s="213"/>
      <c r="K299" s="214"/>
      <c r="L299" s="212">
        <f t="shared" si="121"/>
        <v>0</v>
      </c>
      <c r="M299" s="213"/>
      <c r="N299" s="214"/>
      <c r="O299" s="212">
        <f t="shared" si="122"/>
        <v>0</v>
      </c>
      <c r="P299" s="215"/>
    </row>
    <row r="300" spans="1:16" s="28" customFormat="1" ht="13.5" hidden="1" customHeight="1" thickTop="1" thickBot="1" x14ac:dyDescent="0.3">
      <c r="A300" s="269" t="s">
        <v>327</v>
      </c>
      <c r="B300" s="269" t="s">
        <v>328</v>
      </c>
      <c r="C300" s="255">
        <f t="shared" si="109"/>
        <v>0</v>
      </c>
      <c r="D300" s="270"/>
      <c r="E300" s="271"/>
      <c r="F300" s="258">
        <f t="shared" si="119"/>
        <v>0</v>
      </c>
      <c r="G300" s="270"/>
      <c r="H300" s="271"/>
      <c r="I300" s="272">
        <f t="shared" si="120"/>
        <v>0</v>
      </c>
      <c r="J300" s="270"/>
      <c r="K300" s="271"/>
      <c r="L300" s="272">
        <f t="shared" si="121"/>
        <v>0</v>
      </c>
      <c r="M300" s="270"/>
      <c r="N300" s="271"/>
      <c r="O300" s="272">
        <f t="shared" si="122"/>
        <v>0</v>
      </c>
      <c r="P300" s="273"/>
    </row>
    <row r="301" spans="1:16" s="28" customFormat="1" ht="48.75" hidden="1" customHeight="1" thickTop="1" x14ac:dyDescent="0.25">
      <c r="A301" s="265" t="s">
        <v>329</v>
      </c>
      <c r="B301" s="274" t="s">
        <v>330</v>
      </c>
      <c r="C301" s="260">
        <f t="shared" si="109"/>
        <v>0</v>
      </c>
      <c r="D301" s="204"/>
      <c r="E301" s="205"/>
      <c r="F301" s="72">
        <f t="shared" si="119"/>
        <v>0</v>
      </c>
      <c r="G301" s="204"/>
      <c r="H301" s="205"/>
      <c r="I301" s="72">
        <f t="shared" si="120"/>
        <v>0</v>
      </c>
      <c r="J301" s="204"/>
      <c r="K301" s="205"/>
      <c r="L301" s="72">
        <f t="shared" si="121"/>
        <v>0</v>
      </c>
      <c r="M301" s="204"/>
      <c r="N301" s="205"/>
      <c r="O301" s="72">
        <f t="shared" si="122"/>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osraHLdzns+5pomKbq9JTdCjagIYkOe/H8AXjOdQpQnBdCffUNfCzAVTYAzRk7rRAmN5nC4JdN3nkwNtuWVvKQ==" saltValue="ouAx3KCs9uJUJnmqCk4dww==" spinCount="100000" sheet="1" objects="1" scenarios="1" formatCells="0" formatColumns="0" formatRows="0" deleteColumns="0"/>
  <autoFilter ref="A18:P301">
    <filterColumn colId="2">
      <filters>
        <filter val="1 008 099"/>
        <filter val="1 095 727"/>
        <filter val="1 106 155"/>
        <filter val="1 201 406"/>
        <filter val="1 495"/>
        <filter val="1 584"/>
        <filter val="1 598"/>
        <filter val="1 645"/>
        <filter val="1 883"/>
        <filter val="1 893"/>
        <filter val="1 934"/>
        <filter val="100"/>
        <filter val="11 400"/>
        <filter val="12 154"/>
        <filter val="12 523"/>
        <filter val="130"/>
        <filter val="14 037"/>
        <filter val="150"/>
        <filter val="163"/>
        <filter val="18 355"/>
        <filter val="18 455"/>
        <filter val="180"/>
        <filter val="187 214"/>
        <filter val="19 205"/>
        <filter val="19 696"/>
        <filter val="2 100"/>
        <filter val="2 125"/>
        <filter val="2 185"/>
        <filter val="2 235"/>
        <filter val="2 463"/>
        <filter val="2 505"/>
        <filter val="236 200"/>
        <filter val="24 342"/>
        <filter val="26"/>
        <filter val="264"/>
        <filter val="27 389"/>
        <filter val="3 220"/>
        <filter val="3 532"/>
        <filter val="3 767"/>
        <filter val="3 796"/>
        <filter val="3 956"/>
        <filter val="30 039"/>
        <filter val="329"/>
        <filter val="360"/>
        <filter val="4 094"/>
        <filter val="4 244"/>
        <filter val="40 692"/>
        <filter val="400"/>
        <filter val="414"/>
        <filter val="416"/>
        <filter val="436"/>
        <filter val="48 986"/>
        <filter val="5 119"/>
        <filter val="5 320"/>
        <filter val="5 393"/>
        <filter val="50"/>
        <filter val="540"/>
        <filter val="549"/>
        <filter val="55 975"/>
        <filter val="570"/>
        <filter val="592"/>
        <filter val="619"/>
        <filter val="64"/>
        <filter val="710 805"/>
        <filter val="75"/>
        <filter val="75 055"/>
        <filter val="765"/>
        <filter val="771 899"/>
        <filter val="83 451"/>
        <filter val="84"/>
        <filter val="89 727"/>
        <filter val="9 073"/>
        <filter val="-9 073"/>
        <filter val="9 842"/>
        <filter val="95 251"/>
        <filter val="96 542"/>
        <filter val="98 056"/>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49.pielikums Jūrmalas pilsētas domes
2019.gada 29.augusta saistošajiem noteikumiem Nr.31
(protokols Nr.12, 20.punkts)
 </firstHeader>
    <firstFooter>&amp;L&amp;9&amp;D; &amp;T&amp;R&amp;9&amp;P (&amp;N)</first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12" sqref="T12"/>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990</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991</v>
      </c>
      <c r="D3" s="1977"/>
      <c r="E3" s="1977"/>
      <c r="F3" s="1977"/>
      <c r="G3" s="1977"/>
      <c r="H3" s="1977"/>
      <c r="I3" s="1977"/>
      <c r="J3" s="1977"/>
      <c r="K3" s="1977"/>
      <c r="L3" s="1977"/>
      <c r="M3" s="1977"/>
      <c r="N3" s="1977"/>
      <c r="O3" s="1977"/>
      <c r="P3" s="1978"/>
      <c r="Q3" s="276"/>
    </row>
    <row r="4" spans="1:17" ht="12.75" customHeight="1" x14ac:dyDescent="0.25">
      <c r="A4" s="5" t="s">
        <v>4</v>
      </c>
      <c r="B4" s="6"/>
      <c r="C4" s="1977" t="s">
        <v>992</v>
      </c>
      <c r="D4" s="1977"/>
      <c r="E4" s="1977"/>
      <c r="F4" s="1977"/>
      <c r="G4" s="1977"/>
      <c r="H4" s="1977"/>
      <c r="I4" s="1977"/>
      <c r="J4" s="1977"/>
      <c r="K4" s="1977"/>
      <c r="L4" s="1977"/>
      <c r="M4" s="1977"/>
      <c r="N4" s="1977"/>
      <c r="O4" s="1977"/>
      <c r="P4" s="1978"/>
      <c r="Q4" s="276"/>
    </row>
    <row r="5" spans="1:17" ht="12.75" customHeight="1" x14ac:dyDescent="0.25">
      <c r="A5" s="7" t="s">
        <v>6</v>
      </c>
      <c r="B5" s="8"/>
      <c r="C5" s="1972" t="s">
        <v>993</v>
      </c>
      <c r="D5" s="1972"/>
      <c r="E5" s="1972"/>
      <c r="F5" s="1972"/>
      <c r="G5" s="1972"/>
      <c r="H5" s="1972"/>
      <c r="I5" s="1972"/>
      <c r="J5" s="1972"/>
      <c r="K5" s="1972"/>
      <c r="L5" s="1972"/>
      <c r="M5" s="1972"/>
      <c r="N5" s="1972"/>
      <c r="O5" s="1972"/>
      <c r="P5" s="1973"/>
      <c r="Q5" s="276"/>
    </row>
    <row r="6" spans="1:17" ht="12.75" customHeight="1" x14ac:dyDescent="0.25">
      <c r="A6" s="7" t="s">
        <v>8</v>
      </c>
      <c r="B6" s="8"/>
      <c r="C6" s="1972" t="s">
        <v>853</v>
      </c>
      <c r="D6" s="1972"/>
      <c r="E6" s="1972"/>
      <c r="F6" s="1972"/>
      <c r="G6" s="1972"/>
      <c r="H6" s="1972"/>
      <c r="I6" s="1972"/>
      <c r="J6" s="1972"/>
      <c r="K6" s="1972"/>
      <c r="L6" s="1972"/>
      <c r="M6" s="1972"/>
      <c r="N6" s="1972"/>
      <c r="O6" s="1972"/>
      <c r="P6" s="1973"/>
      <c r="Q6" s="276"/>
    </row>
    <row r="7" spans="1:17" ht="24" customHeight="1" x14ac:dyDescent="0.25">
      <c r="A7" s="7" t="s">
        <v>10</v>
      </c>
      <c r="B7" s="8"/>
      <c r="C7" s="1977" t="s">
        <v>994</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995</v>
      </c>
      <c r="D9" s="1972"/>
      <c r="E9" s="1972"/>
      <c r="F9" s="1972"/>
      <c r="G9" s="1972"/>
      <c r="H9" s="1972"/>
      <c r="I9" s="1972"/>
      <c r="J9" s="1972"/>
      <c r="K9" s="1972"/>
      <c r="L9" s="1972"/>
      <c r="M9" s="1972"/>
      <c r="N9" s="1972"/>
      <c r="O9" s="1972"/>
      <c r="P9" s="1973"/>
      <c r="Q9" s="276"/>
    </row>
    <row r="10" spans="1:17" ht="12.75" customHeight="1" x14ac:dyDescent="0.25">
      <c r="A10" s="7"/>
      <c r="B10" s="8" t="s">
        <v>15</v>
      </c>
      <c r="C10" s="1972" t="s">
        <v>996</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997</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c r="Q16" s="277"/>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1528034</v>
      </c>
      <c r="D20" s="32">
        <f>SUM(D21,D24,D25,D41,D43)</f>
        <v>497589</v>
      </c>
      <c r="E20" s="33">
        <f t="shared" ref="E20:F20" si="1">SUM(E21,E24,E25,E41,E43)</f>
        <v>11267</v>
      </c>
      <c r="F20" s="34">
        <f t="shared" si="1"/>
        <v>508856</v>
      </c>
      <c r="G20" s="32">
        <f>SUM(G21,G24,G43)</f>
        <v>977929</v>
      </c>
      <c r="H20" s="33">
        <f t="shared" ref="H20:I20" si="2">SUM(H21,H24,H43)</f>
        <v>0</v>
      </c>
      <c r="I20" s="34">
        <f t="shared" si="2"/>
        <v>977929</v>
      </c>
      <c r="J20" s="32">
        <f>SUM(J21,J26,J43)</f>
        <v>41249</v>
      </c>
      <c r="K20" s="33">
        <f t="shared" ref="K20:L20" si="3">SUM(K21,K26,K43)</f>
        <v>0</v>
      </c>
      <c r="L20" s="34">
        <f t="shared" si="3"/>
        <v>41249</v>
      </c>
      <c r="M20" s="32">
        <f>SUM(M21,M45)</f>
        <v>0</v>
      </c>
      <c r="N20" s="33">
        <f t="shared" ref="N20:O20" si="4">SUM(N21,N45)</f>
        <v>0</v>
      </c>
      <c r="O20" s="34">
        <f t="shared" si="4"/>
        <v>0</v>
      </c>
      <c r="P20" s="35"/>
    </row>
    <row r="21" spans="1:16" ht="12.75" thickTop="1" x14ac:dyDescent="0.25">
      <c r="A21" s="36"/>
      <c r="B21" s="37" t="s">
        <v>40</v>
      </c>
      <c r="C21" s="38">
        <f t="shared" si="0"/>
        <v>8429</v>
      </c>
      <c r="D21" s="39">
        <f>SUM(D22:D23)</f>
        <v>0</v>
      </c>
      <c r="E21" s="40">
        <f t="shared" ref="E21:F21" si="5">SUM(E22:E23)</f>
        <v>0</v>
      </c>
      <c r="F21" s="41">
        <f t="shared" si="5"/>
        <v>0</v>
      </c>
      <c r="G21" s="39">
        <f>SUM(G22:G23)</f>
        <v>0</v>
      </c>
      <c r="H21" s="40">
        <f t="shared" ref="H21:I21" si="6">SUM(H22:H23)</f>
        <v>0</v>
      </c>
      <c r="I21" s="41">
        <f t="shared" si="6"/>
        <v>0</v>
      </c>
      <c r="J21" s="39">
        <f>SUM(J22:J23)</f>
        <v>8429</v>
      </c>
      <c r="K21" s="40">
        <f t="shared" ref="K21:L21" si="7">SUM(K22:K23)</f>
        <v>0</v>
      </c>
      <c r="L21" s="41">
        <f t="shared" si="7"/>
        <v>8429</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8429</v>
      </c>
      <c r="D23" s="53"/>
      <c r="E23" s="54"/>
      <c r="F23" s="55">
        <f t="shared" ref="F23:F25" si="9">D23+E23</f>
        <v>0</v>
      </c>
      <c r="G23" s="53"/>
      <c r="H23" s="54"/>
      <c r="I23" s="55">
        <f t="shared" ref="I23:I24" si="10">G23+H23</f>
        <v>0</v>
      </c>
      <c r="J23" s="53">
        <v>8429</v>
      </c>
      <c r="K23" s="54"/>
      <c r="L23" s="56">
        <f>K23+J23</f>
        <v>8429</v>
      </c>
      <c r="M23" s="53"/>
      <c r="N23" s="54"/>
      <c r="O23" s="55">
        <f>N23+M23</f>
        <v>0</v>
      </c>
      <c r="P23" s="57"/>
    </row>
    <row r="24" spans="1:16" s="28" customFormat="1" ht="27.75" customHeight="1" thickBot="1" x14ac:dyDescent="0.3">
      <c r="A24" s="58">
        <v>19300</v>
      </c>
      <c r="B24" s="58" t="s">
        <v>43</v>
      </c>
      <c r="C24" s="59">
        <f>F24+I24</f>
        <v>1486785</v>
      </c>
      <c r="D24" s="60">
        <v>497589</v>
      </c>
      <c r="E24" s="61">
        <v>11267</v>
      </c>
      <c r="F24" s="62">
        <f t="shared" si="9"/>
        <v>508856</v>
      </c>
      <c r="G24" s="60">
        <v>977929</v>
      </c>
      <c r="H24" s="61"/>
      <c r="I24" s="62">
        <f t="shared" si="10"/>
        <v>977929</v>
      </c>
      <c r="J24" s="63" t="s">
        <v>44</v>
      </c>
      <c r="K24" s="64" t="s">
        <v>44</v>
      </c>
      <c r="L24" s="65" t="s">
        <v>44</v>
      </c>
      <c r="M24" s="63" t="s">
        <v>44</v>
      </c>
      <c r="N24" s="64" t="s">
        <v>44</v>
      </c>
      <c r="O24" s="65" t="s">
        <v>44</v>
      </c>
      <c r="P24" s="66" t="s">
        <v>998</v>
      </c>
    </row>
    <row r="25" spans="1:16" s="28" customFormat="1" ht="24.75" hidden="1" customHeight="1" thickTop="1" x14ac:dyDescent="0.25">
      <c r="A25" s="68"/>
      <c r="B25" s="68" t="s">
        <v>45</v>
      </c>
      <c r="C25" s="69">
        <f>F25</f>
        <v>0</v>
      </c>
      <c r="D25" s="70"/>
      <c r="E25" s="71">
        <v>0</v>
      </c>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32820</v>
      </c>
      <c r="D26" s="73" t="s">
        <v>44</v>
      </c>
      <c r="E26" s="74" t="s">
        <v>44</v>
      </c>
      <c r="F26" s="75" t="s">
        <v>44</v>
      </c>
      <c r="G26" s="73" t="s">
        <v>44</v>
      </c>
      <c r="H26" s="74" t="s">
        <v>44</v>
      </c>
      <c r="I26" s="75" t="s">
        <v>44</v>
      </c>
      <c r="J26" s="77">
        <f>SUM(J27,J31,J33,J36)</f>
        <v>32820</v>
      </c>
      <c r="K26" s="78">
        <f t="shared" ref="K26:L26" si="11">SUM(K27,K31,K33,K36)</f>
        <v>0</v>
      </c>
      <c r="L26" s="79">
        <f t="shared" si="11"/>
        <v>32820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customHeight="1" x14ac:dyDescent="0.25">
      <c r="A33" s="80">
        <v>21380</v>
      </c>
      <c r="B33" s="68" t="s">
        <v>53</v>
      </c>
      <c r="C33" s="69">
        <f t="shared" si="16"/>
        <v>28908</v>
      </c>
      <c r="D33" s="73" t="s">
        <v>44</v>
      </c>
      <c r="E33" s="74" t="s">
        <v>44</v>
      </c>
      <c r="F33" s="75" t="s">
        <v>44</v>
      </c>
      <c r="G33" s="73" t="s">
        <v>44</v>
      </c>
      <c r="H33" s="74" t="s">
        <v>44</v>
      </c>
      <c r="I33" s="75" t="s">
        <v>44</v>
      </c>
      <c r="J33" s="77">
        <f>SUM(J34:J35)</f>
        <v>28908</v>
      </c>
      <c r="K33" s="78">
        <f t="shared" ref="K33:L33" si="17">SUM(K34:K35)</f>
        <v>0</v>
      </c>
      <c r="L33" s="79">
        <f t="shared" si="17"/>
        <v>28908</v>
      </c>
      <c r="M33" s="77" t="s">
        <v>44</v>
      </c>
      <c r="N33" s="78" t="s">
        <v>44</v>
      </c>
      <c r="O33" s="79" t="s">
        <v>44</v>
      </c>
      <c r="P33" s="76"/>
    </row>
    <row r="34" spans="1:16" ht="12" customHeight="1" x14ac:dyDescent="0.25">
      <c r="A34" s="44">
        <v>21381</v>
      </c>
      <c r="B34" s="81" t="s">
        <v>54</v>
      </c>
      <c r="C34" s="82">
        <f t="shared" si="16"/>
        <v>28908</v>
      </c>
      <c r="D34" s="83" t="s">
        <v>44</v>
      </c>
      <c r="E34" s="84" t="s">
        <v>44</v>
      </c>
      <c r="F34" s="85" t="s">
        <v>44</v>
      </c>
      <c r="G34" s="83" t="s">
        <v>44</v>
      </c>
      <c r="H34" s="84" t="s">
        <v>44</v>
      </c>
      <c r="I34" s="85" t="s">
        <v>44</v>
      </c>
      <c r="J34" s="46">
        <v>28908</v>
      </c>
      <c r="K34" s="47"/>
      <c r="L34" s="48">
        <f t="shared" ref="L34:L35" si="18">K34+J34</f>
        <v>28908</v>
      </c>
      <c r="M34" s="86" t="s">
        <v>44</v>
      </c>
      <c r="N34" s="87" t="s">
        <v>44</v>
      </c>
      <c r="O34" s="48" t="s">
        <v>44</v>
      </c>
      <c r="P34" s="49"/>
    </row>
    <row r="35" spans="1:16" ht="24" hidden="1" customHeight="1" x14ac:dyDescent="0.25">
      <c r="A35" s="209">
        <v>21383</v>
      </c>
      <c r="B35" s="226" t="s">
        <v>55</v>
      </c>
      <c r="C35" s="208">
        <f t="shared" si="16"/>
        <v>0</v>
      </c>
      <c r="D35" s="1165" t="s">
        <v>44</v>
      </c>
      <c r="E35" s="1166" t="s">
        <v>44</v>
      </c>
      <c r="F35" s="1167" t="s">
        <v>44</v>
      </c>
      <c r="G35" s="1165" t="s">
        <v>44</v>
      </c>
      <c r="H35" s="1166" t="s">
        <v>44</v>
      </c>
      <c r="I35" s="1167" t="s">
        <v>44</v>
      </c>
      <c r="J35" s="213"/>
      <c r="K35" s="214"/>
      <c r="L35" s="1158">
        <f t="shared" si="18"/>
        <v>0</v>
      </c>
      <c r="M35" s="1156" t="s">
        <v>44</v>
      </c>
      <c r="N35" s="1157" t="s">
        <v>44</v>
      </c>
      <c r="O35" s="1158" t="s">
        <v>44</v>
      </c>
      <c r="P35" s="215"/>
    </row>
    <row r="36" spans="1:16" s="28" customFormat="1" ht="25.5" customHeight="1" x14ac:dyDescent="0.25">
      <c r="A36" s="1151">
        <v>21390</v>
      </c>
      <c r="B36" s="216" t="s">
        <v>56</v>
      </c>
      <c r="C36" s="217">
        <f t="shared" si="16"/>
        <v>3912</v>
      </c>
      <c r="D36" s="1144" t="s">
        <v>44</v>
      </c>
      <c r="E36" s="1145" t="s">
        <v>44</v>
      </c>
      <c r="F36" s="1146" t="s">
        <v>44</v>
      </c>
      <c r="G36" s="1144" t="s">
        <v>44</v>
      </c>
      <c r="H36" s="1145" t="s">
        <v>44</v>
      </c>
      <c r="I36" s="1146" t="s">
        <v>44</v>
      </c>
      <c r="J36" s="1148">
        <f>SUM(J37:J40)</f>
        <v>3912</v>
      </c>
      <c r="K36" s="1149">
        <f t="shared" ref="K36:L36" si="19">SUM(K37:K40)</f>
        <v>0</v>
      </c>
      <c r="L36" s="1147">
        <f t="shared" si="19"/>
        <v>3912</v>
      </c>
      <c r="M36" s="1148" t="s">
        <v>44</v>
      </c>
      <c r="N36" s="1149" t="s">
        <v>44</v>
      </c>
      <c r="O36" s="1147" t="s">
        <v>44</v>
      </c>
      <c r="P36" s="221"/>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3912</v>
      </c>
      <c r="D40" s="110" t="s">
        <v>44</v>
      </c>
      <c r="E40" s="111" t="s">
        <v>44</v>
      </c>
      <c r="F40" s="112" t="s">
        <v>44</v>
      </c>
      <c r="G40" s="110" t="s">
        <v>44</v>
      </c>
      <c r="H40" s="111" t="s">
        <v>44</v>
      </c>
      <c r="I40" s="112" t="s">
        <v>44</v>
      </c>
      <c r="J40" s="113">
        <v>3912</v>
      </c>
      <c r="K40" s="114"/>
      <c r="L40" s="115">
        <f t="shared" si="20"/>
        <v>3912</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1528034</v>
      </c>
      <c r="D50" s="158">
        <f>SUM(D51,D286)</f>
        <v>497589</v>
      </c>
      <c r="E50" s="159">
        <f t="shared" ref="E50:F50" si="26">SUM(E51,E286)</f>
        <v>11267</v>
      </c>
      <c r="F50" s="160">
        <f t="shared" si="26"/>
        <v>508856</v>
      </c>
      <c r="G50" s="158">
        <f>SUM(G51,G286)</f>
        <v>977929</v>
      </c>
      <c r="H50" s="159">
        <f>SUM(H51,H286)</f>
        <v>0</v>
      </c>
      <c r="I50" s="160">
        <f t="shared" ref="I50" si="27">SUM(I51,I286)</f>
        <v>977929</v>
      </c>
      <c r="J50" s="32">
        <f>SUM(J51,J286)</f>
        <v>41249</v>
      </c>
      <c r="K50" s="33">
        <f t="shared" ref="K50:L50" si="28">SUM(K51,K286)</f>
        <v>0</v>
      </c>
      <c r="L50" s="34">
        <f t="shared" si="28"/>
        <v>41249</v>
      </c>
      <c r="M50" s="32">
        <f>SUM(M51,M286)</f>
        <v>0</v>
      </c>
      <c r="N50" s="33">
        <f t="shared" ref="N50:O50" si="29">SUM(N51,N286)</f>
        <v>0</v>
      </c>
      <c r="O50" s="34">
        <f t="shared" si="29"/>
        <v>0</v>
      </c>
      <c r="P50" s="35"/>
    </row>
    <row r="51" spans="1:16" s="28" customFormat="1" ht="36.75" thickTop="1" x14ac:dyDescent="0.25">
      <c r="A51" s="161"/>
      <c r="B51" s="162" t="s">
        <v>70</v>
      </c>
      <c r="C51" s="163">
        <f t="shared" si="0"/>
        <v>1527139</v>
      </c>
      <c r="D51" s="164">
        <f>SUM(D52,D194)</f>
        <v>497589</v>
      </c>
      <c r="E51" s="165">
        <f t="shared" ref="E51:F51" si="30">SUM(E52,E194)</f>
        <v>11267</v>
      </c>
      <c r="F51" s="166">
        <f t="shared" si="30"/>
        <v>508856</v>
      </c>
      <c r="G51" s="164">
        <f>SUM(G52,G194)</f>
        <v>977034</v>
      </c>
      <c r="H51" s="165">
        <f t="shared" ref="H51:I51" si="31">SUM(H52,H194)</f>
        <v>0</v>
      </c>
      <c r="I51" s="166">
        <f t="shared" si="31"/>
        <v>977034</v>
      </c>
      <c r="J51" s="167">
        <f>SUM(J52,J194)</f>
        <v>41249</v>
      </c>
      <c r="K51" s="168">
        <f t="shared" ref="K51:L51" si="32">SUM(K52,K194)</f>
        <v>0</v>
      </c>
      <c r="L51" s="169">
        <f t="shared" si="32"/>
        <v>41249</v>
      </c>
      <c r="M51" s="167">
        <f>SUM(M52,M194)</f>
        <v>0</v>
      </c>
      <c r="N51" s="168">
        <f t="shared" ref="N51:O51" si="33">SUM(N52,N194)</f>
        <v>0</v>
      </c>
      <c r="O51" s="169">
        <f t="shared" si="33"/>
        <v>0</v>
      </c>
      <c r="P51" s="170"/>
    </row>
    <row r="52" spans="1:16" s="28" customFormat="1" ht="24" x14ac:dyDescent="0.25">
      <c r="A52" s="24"/>
      <c r="B52" s="22" t="s">
        <v>71</v>
      </c>
      <c r="C52" s="171">
        <f t="shared" si="0"/>
        <v>1514896</v>
      </c>
      <c r="D52" s="172">
        <f>SUM(D53,D75,D173,D187)</f>
        <v>490030</v>
      </c>
      <c r="E52" s="173">
        <f t="shared" ref="E52:F52" si="34">SUM(E53,E75,E173,E187)</f>
        <v>11395</v>
      </c>
      <c r="F52" s="174">
        <f t="shared" si="34"/>
        <v>501425</v>
      </c>
      <c r="G52" s="172">
        <f>SUM(G53,G75,G173,G187)</f>
        <v>972222</v>
      </c>
      <c r="H52" s="173">
        <f t="shared" ref="H52:I52" si="35">SUM(H53,H75,H173,H187)</f>
        <v>0</v>
      </c>
      <c r="I52" s="174">
        <f t="shared" si="35"/>
        <v>972222</v>
      </c>
      <c r="J52" s="172">
        <f>SUM(J53,J75,J173,J187)</f>
        <v>41249</v>
      </c>
      <c r="K52" s="173">
        <f t="shared" ref="K52:L52" si="36">SUM(K53,K75,K173,K187)</f>
        <v>0</v>
      </c>
      <c r="L52" s="174">
        <f t="shared" si="36"/>
        <v>41249</v>
      </c>
      <c r="M52" s="172">
        <f>SUM(M53,M75,M173,M187)</f>
        <v>0</v>
      </c>
      <c r="N52" s="173">
        <f t="shared" ref="N52:O52" si="37">SUM(N53,N75,N173,N187)</f>
        <v>0</v>
      </c>
      <c r="O52" s="174">
        <f t="shared" si="37"/>
        <v>0</v>
      </c>
      <c r="P52" s="175"/>
    </row>
    <row r="53" spans="1:16" s="28" customFormat="1" x14ac:dyDescent="0.25">
      <c r="A53" s="176">
        <v>1000</v>
      </c>
      <c r="B53" s="176" t="s">
        <v>72</v>
      </c>
      <c r="C53" s="177">
        <f t="shared" si="0"/>
        <v>1369237</v>
      </c>
      <c r="D53" s="178">
        <f>SUM(D54,D67)</f>
        <v>407019</v>
      </c>
      <c r="E53" s="179">
        <f t="shared" ref="E53:F53" si="38">SUM(E54,E67)</f>
        <v>0</v>
      </c>
      <c r="F53" s="180">
        <f t="shared" si="38"/>
        <v>407019</v>
      </c>
      <c r="G53" s="178">
        <f>SUM(G54,G67)</f>
        <v>962218</v>
      </c>
      <c r="H53" s="179">
        <f t="shared" ref="H53:I53" si="39">SUM(H54,H67)</f>
        <v>0</v>
      </c>
      <c r="I53" s="180">
        <f t="shared" si="39"/>
        <v>962218</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1041874</v>
      </c>
      <c r="D54" s="183">
        <f>SUM(D55,D58,D66)</f>
        <v>275156</v>
      </c>
      <c r="E54" s="184">
        <f t="shared" ref="E54:F54" si="42">SUM(E55,E58,E66)</f>
        <v>0</v>
      </c>
      <c r="F54" s="72">
        <f t="shared" si="42"/>
        <v>275156</v>
      </c>
      <c r="G54" s="183">
        <f>SUM(G55,G58,G66)</f>
        <v>766718</v>
      </c>
      <c r="H54" s="184">
        <f t="shared" ref="H54:I54" si="43">SUM(H55,H58,H66)</f>
        <v>0</v>
      </c>
      <c r="I54" s="72">
        <f t="shared" si="43"/>
        <v>766718</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970723</v>
      </c>
      <c r="D55" s="186">
        <f>SUM(D56:D57)</f>
        <v>233444</v>
      </c>
      <c r="E55" s="187">
        <f t="shared" ref="E55:F55" si="46">SUM(E56:E57)</f>
        <v>0</v>
      </c>
      <c r="F55" s="140">
        <f t="shared" si="46"/>
        <v>233444</v>
      </c>
      <c r="G55" s="186">
        <f>SUM(G56:G57)</f>
        <v>737279</v>
      </c>
      <c r="H55" s="187">
        <f t="shared" ref="H55:I55" si="47">SUM(H56:H57)</f>
        <v>0</v>
      </c>
      <c r="I55" s="140">
        <f t="shared" si="47"/>
        <v>737279</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75" customHeight="1" x14ac:dyDescent="0.25">
      <c r="A57" s="51">
        <v>1119</v>
      </c>
      <c r="B57" s="88" t="s">
        <v>76</v>
      </c>
      <c r="C57" s="89">
        <f t="shared" si="0"/>
        <v>970723</v>
      </c>
      <c r="D57" s="53">
        <v>233444</v>
      </c>
      <c r="E57" s="54">
        <v>0</v>
      </c>
      <c r="F57" s="55">
        <f t="shared" si="50"/>
        <v>233444</v>
      </c>
      <c r="G57" s="53">
        <v>737279</v>
      </c>
      <c r="H57" s="54"/>
      <c r="I57" s="55">
        <f t="shared" si="51"/>
        <v>737279</v>
      </c>
      <c r="J57" s="53"/>
      <c r="K57" s="54"/>
      <c r="L57" s="55">
        <f t="shared" si="52"/>
        <v>0</v>
      </c>
      <c r="M57" s="53"/>
      <c r="N57" s="54"/>
      <c r="O57" s="55">
        <f t="shared" si="53"/>
        <v>0</v>
      </c>
      <c r="P57" s="57"/>
    </row>
    <row r="58" spans="1:16" x14ac:dyDescent="0.25">
      <c r="A58" s="188">
        <v>1140</v>
      </c>
      <c r="B58" s="88" t="s">
        <v>77</v>
      </c>
      <c r="C58" s="89">
        <f t="shared" si="0"/>
        <v>68363</v>
      </c>
      <c r="D58" s="189">
        <f>SUM(D59:D65)</f>
        <v>38924</v>
      </c>
      <c r="E58" s="190">
        <f>SUM(E59:E65)</f>
        <v>0</v>
      </c>
      <c r="F58" s="55">
        <f t="shared" ref="F58" si="54">SUM(F59:F65)</f>
        <v>38924</v>
      </c>
      <c r="G58" s="189">
        <f>SUM(G59:G65)</f>
        <v>29439</v>
      </c>
      <c r="H58" s="190">
        <f t="shared" ref="H58:I58" si="55">SUM(H59:H65)</f>
        <v>0</v>
      </c>
      <c r="I58" s="55">
        <f t="shared" si="55"/>
        <v>29439</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8" t="s">
        <v>78</v>
      </c>
      <c r="C59" s="89">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10745</v>
      </c>
      <c r="D63" s="53">
        <v>3945</v>
      </c>
      <c r="E63" s="54"/>
      <c r="F63" s="55">
        <f t="shared" si="58"/>
        <v>3945</v>
      </c>
      <c r="G63" s="53">
        <v>6800</v>
      </c>
      <c r="H63" s="54"/>
      <c r="I63" s="55">
        <f t="shared" si="59"/>
        <v>6800</v>
      </c>
      <c r="J63" s="53"/>
      <c r="K63" s="54"/>
      <c r="L63" s="55">
        <f t="shared" si="60"/>
        <v>0</v>
      </c>
      <c r="M63" s="53"/>
      <c r="N63" s="54"/>
      <c r="O63" s="55">
        <f t="shared" si="61"/>
        <v>0</v>
      </c>
      <c r="P63" s="57"/>
    </row>
    <row r="64" spans="1:16" ht="12" customHeight="1" x14ac:dyDescent="0.25">
      <c r="A64" s="51">
        <v>1148</v>
      </c>
      <c r="B64" s="88" t="s">
        <v>83</v>
      </c>
      <c r="C64" s="89">
        <f t="shared" si="0"/>
        <v>29328</v>
      </c>
      <c r="D64" s="53">
        <v>29328</v>
      </c>
      <c r="E64" s="54"/>
      <c r="F64" s="55">
        <f t="shared" si="58"/>
        <v>29328</v>
      </c>
      <c r="G64" s="53"/>
      <c r="H64" s="54"/>
      <c r="I64" s="55">
        <f t="shared" si="59"/>
        <v>0</v>
      </c>
      <c r="J64" s="53"/>
      <c r="K64" s="54"/>
      <c r="L64" s="55">
        <f t="shared" si="60"/>
        <v>0</v>
      </c>
      <c r="M64" s="53"/>
      <c r="N64" s="54"/>
      <c r="O64" s="55">
        <f t="shared" si="61"/>
        <v>0</v>
      </c>
      <c r="P64" s="57"/>
    </row>
    <row r="65" spans="1:16" ht="30.75" customHeight="1" x14ac:dyDescent="0.25">
      <c r="A65" s="51">
        <v>1149</v>
      </c>
      <c r="B65" s="88" t="s">
        <v>84</v>
      </c>
      <c r="C65" s="89">
        <f t="shared" si="0"/>
        <v>23089</v>
      </c>
      <c r="D65" s="53">
        <v>450</v>
      </c>
      <c r="E65" s="54">
        <v>0</v>
      </c>
      <c r="F65" s="55">
        <f t="shared" si="58"/>
        <v>450</v>
      </c>
      <c r="G65" s="53">
        <v>22639</v>
      </c>
      <c r="H65" s="54"/>
      <c r="I65" s="55">
        <f t="shared" si="59"/>
        <v>22639</v>
      </c>
      <c r="J65" s="53"/>
      <c r="K65" s="54"/>
      <c r="L65" s="55">
        <f t="shared" si="60"/>
        <v>0</v>
      </c>
      <c r="M65" s="53"/>
      <c r="N65" s="54"/>
      <c r="O65" s="55">
        <f t="shared" si="61"/>
        <v>0</v>
      </c>
      <c r="P65" s="57"/>
    </row>
    <row r="66" spans="1:16" ht="36" customHeight="1" x14ac:dyDescent="0.25">
      <c r="A66" s="185">
        <v>1150</v>
      </c>
      <c r="B66" s="137" t="s">
        <v>85</v>
      </c>
      <c r="C66" s="142">
        <f t="shared" si="0"/>
        <v>2788</v>
      </c>
      <c r="D66" s="143">
        <v>2788</v>
      </c>
      <c r="E66" s="144"/>
      <c r="F66" s="140">
        <f t="shared" si="58"/>
        <v>2788</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327363</v>
      </c>
      <c r="D67" s="183">
        <f>SUM(D68:D69)</f>
        <v>131863</v>
      </c>
      <c r="E67" s="184">
        <f t="shared" ref="E67:F67" si="62">SUM(E68:E69)</f>
        <v>0</v>
      </c>
      <c r="F67" s="72">
        <f t="shared" si="62"/>
        <v>131863</v>
      </c>
      <c r="G67" s="183">
        <f>SUM(G68:G69)</f>
        <v>195500</v>
      </c>
      <c r="H67" s="184">
        <f t="shared" ref="H67:I67" si="63">SUM(H68:H69)</f>
        <v>0</v>
      </c>
      <c r="I67" s="72">
        <f t="shared" si="63"/>
        <v>195500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293">
        <v>1210</v>
      </c>
      <c r="B68" s="81" t="s">
        <v>87</v>
      </c>
      <c r="C68" s="82">
        <f t="shared" si="0"/>
        <v>262817</v>
      </c>
      <c r="D68" s="46">
        <v>76017</v>
      </c>
      <c r="E68" s="47"/>
      <c r="F68" s="133">
        <f>D68+E68</f>
        <v>76017</v>
      </c>
      <c r="G68" s="46">
        <v>186800</v>
      </c>
      <c r="H68" s="47"/>
      <c r="I68" s="133">
        <f>G68+H68</f>
        <v>186800</v>
      </c>
      <c r="J68" s="46"/>
      <c r="K68" s="47"/>
      <c r="L68" s="133">
        <f>K68+J68</f>
        <v>0</v>
      </c>
      <c r="M68" s="46"/>
      <c r="N68" s="47"/>
      <c r="O68" s="133">
        <f>N68+M68</f>
        <v>0</v>
      </c>
      <c r="P68" s="49"/>
    </row>
    <row r="69" spans="1:16" ht="24" x14ac:dyDescent="0.25">
      <c r="A69" s="188">
        <v>1220</v>
      </c>
      <c r="B69" s="88" t="s">
        <v>88</v>
      </c>
      <c r="C69" s="89">
        <f t="shared" si="0"/>
        <v>64546</v>
      </c>
      <c r="D69" s="189">
        <f>SUM(D70:D74)</f>
        <v>55846</v>
      </c>
      <c r="E69" s="190">
        <f t="shared" ref="E69:F69" si="66">SUM(E70:E74)</f>
        <v>0</v>
      </c>
      <c r="F69" s="55">
        <f t="shared" si="66"/>
        <v>55846</v>
      </c>
      <c r="G69" s="189">
        <f>SUM(G70:G74)</f>
        <v>8700</v>
      </c>
      <c r="H69" s="190">
        <f t="shared" ref="H69:I69" si="67">SUM(H70:H74)</f>
        <v>0</v>
      </c>
      <c r="I69" s="55">
        <f t="shared" si="67"/>
        <v>8700</v>
      </c>
      <c r="J69" s="189">
        <f>SUM(J70:J74)</f>
        <v>0</v>
      </c>
      <c r="K69" s="190">
        <f t="shared" ref="K69:L69" si="68">SUM(K70:K74)</f>
        <v>0</v>
      </c>
      <c r="L69" s="55">
        <f t="shared" si="68"/>
        <v>0</v>
      </c>
      <c r="M69" s="189">
        <f>SUM(M70:M74)</f>
        <v>0</v>
      </c>
      <c r="N69" s="190">
        <f t="shared" ref="N69:O69" si="69">SUM(N70:N74)</f>
        <v>0</v>
      </c>
      <c r="O69" s="55">
        <f t="shared" si="69"/>
        <v>0</v>
      </c>
      <c r="P69" s="57"/>
    </row>
    <row r="70" spans="1:16" ht="34.5" customHeight="1" x14ac:dyDescent="0.25">
      <c r="A70" s="51">
        <v>1221</v>
      </c>
      <c r="B70" s="88" t="s">
        <v>89</v>
      </c>
      <c r="C70" s="89">
        <f t="shared" si="0"/>
        <v>48605</v>
      </c>
      <c r="D70" s="53">
        <v>39905</v>
      </c>
      <c r="E70" s="54"/>
      <c r="F70" s="55">
        <f t="shared" ref="F70:F74" si="70">D70+E70</f>
        <v>39905</v>
      </c>
      <c r="G70" s="53">
        <v>8700</v>
      </c>
      <c r="H70" s="54"/>
      <c r="I70" s="55">
        <f t="shared" ref="I70:I74" si="71">G70+H70</f>
        <v>8700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14941</v>
      </c>
      <c r="D73" s="53">
        <v>14941</v>
      </c>
      <c r="E73" s="54"/>
      <c r="F73" s="55">
        <f t="shared" si="70"/>
        <v>14941</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1000</v>
      </c>
      <c r="D74" s="53">
        <v>1000</v>
      </c>
      <c r="E74" s="54"/>
      <c r="F74" s="55">
        <f t="shared" si="70"/>
        <v>1000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145659</v>
      </c>
      <c r="D75" s="178">
        <f>SUM(D76,D83,D130,D164,D165,D172)</f>
        <v>83011</v>
      </c>
      <c r="E75" s="179">
        <f t="shared" ref="E75:F75" si="74">SUM(E76,E83,E130,E164,E165,E172)</f>
        <v>11395</v>
      </c>
      <c r="F75" s="180">
        <f t="shared" si="74"/>
        <v>94406</v>
      </c>
      <c r="G75" s="178">
        <f>SUM(G76,G83,G130,G164,G165,G172)</f>
        <v>10004</v>
      </c>
      <c r="H75" s="179">
        <f t="shared" ref="H75:I75" si="75">SUM(H76,H83,H130,H164,H165,H172)</f>
        <v>0</v>
      </c>
      <c r="I75" s="180">
        <f t="shared" si="75"/>
        <v>10004</v>
      </c>
      <c r="J75" s="178">
        <f>SUM(J76,J83,J130,J164,J165,J172)</f>
        <v>41249</v>
      </c>
      <c r="K75" s="179">
        <f t="shared" ref="K75:L75" si="76">SUM(K76,K83,K130,K164,K165,K172)</f>
        <v>0</v>
      </c>
      <c r="L75" s="180">
        <f t="shared" si="76"/>
        <v>41249</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9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30.75" hidden="1" customHeight="1" x14ac:dyDescent="0.25">
      <c r="A78" s="51">
        <v>2111</v>
      </c>
      <c r="B78" s="88" t="s">
        <v>97</v>
      </c>
      <c r="C78" s="89">
        <f t="shared" si="0"/>
        <v>0</v>
      </c>
      <c r="D78" s="194"/>
      <c r="E78" s="195">
        <f>12-12</f>
        <v>0</v>
      </c>
      <c r="F78" s="55">
        <f t="shared" ref="F78:F79" si="86">D78+E78</f>
        <v>0</v>
      </c>
      <c r="G78" s="53"/>
      <c r="H78" s="54"/>
      <c r="I78" s="55">
        <f t="shared" ref="I78:I79" si="87">G78+H78</f>
        <v>0</v>
      </c>
      <c r="J78" s="53"/>
      <c r="K78" s="54"/>
      <c r="L78" s="55">
        <f t="shared" ref="L78:L79" si="88">K78+J78</f>
        <v>0</v>
      </c>
      <c r="M78" s="53"/>
      <c r="N78" s="54"/>
      <c r="O78" s="55">
        <f t="shared" ref="O78:O79" si="89">N78+M78</f>
        <v>0</v>
      </c>
      <c r="P78" s="57" t="s">
        <v>999</v>
      </c>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87822</v>
      </c>
      <c r="D83" s="183">
        <f>SUM(D84,D89,D95,D103,D112,D116,D122,D128)</f>
        <v>46277</v>
      </c>
      <c r="E83" s="184">
        <f t="shared" ref="E83:F83" si="98">SUM(E84,E89,E95,E103,E112,E116,E122,E128)</f>
        <v>-1862</v>
      </c>
      <c r="F83" s="72">
        <f t="shared" si="98"/>
        <v>44415</v>
      </c>
      <c r="G83" s="183">
        <f>SUM(G84,G89,G95,G103,G112,G116,G122,G128)</f>
        <v>3236</v>
      </c>
      <c r="H83" s="184">
        <f t="shared" ref="H83:I83" si="99">SUM(H84,H89,H95,H103,H112,H116,H122,H128)</f>
        <v>0</v>
      </c>
      <c r="I83" s="72">
        <f t="shared" si="99"/>
        <v>3236</v>
      </c>
      <c r="J83" s="183">
        <f>SUM(J84,J89,J95,J103,J112,J116,J122,J128)</f>
        <v>40171</v>
      </c>
      <c r="K83" s="184">
        <f t="shared" ref="K83:L83" si="100">SUM(K84,K89,K95,K103,K112,K116,K122,K128)</f>
        <v>0</v>
      </c>
      <c r="L83" s="72">
        <f t="shared" si="100"/>
        <v>40171</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437</v>
      </c>
      <c r="D84" s="186">
        <f>SUM(D85:D88)</f>
        <v>939</v>
      </c>
      <c r="E84" s="187">
        <f t="shared" ref="E84:F84" si="103">SUM(E85:E88)</f>
        <v>-502</v>
      </c>
      <c r="F84" s="140">
        <f t="shared" si="103"/>
        <v>437</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371</v>
      </c>
      <c r="D86" s="194">
        <v>757</v>
      </c>
      <c r="E86" s="195">
        <v>-386</v>
      </c>
      <c r="F86" s="55">
        <f t="shared" si="107"/>
        <v>371</v>
      </c>
      <c r="G86" s="53"/>
      <c r="H86" s="54"/>
      <c r="I86" s="55">
        <f t="shared" si="108"/>
        <v>0</v>
      </c>
      <c r="J86" s="53"/>
      <c r="K86" s="54"/>
      <c r="L86" s="55">
        <f t="shared" si="109"/>
        <v>0</v>
      </c>
      <c r="M86" s="53"/>
      <c r="N86" s="54"/>
      <c r="O86" s="55">
        <f t="shared" si="110"/>
        <v>0</v>
      </c>
      <c r="P86" s="57" t="s">
        <v>1000</v>
      </c>
    </row>
    <row r="87" spans="1:16" ht="24" customHeight="1" x14ac:dyDescent="0.25">
      <c r="A87" s="51">
        <v>2214</v>
      </c>
      <c r="B87" s="88" t="s">
        <v>104</v>
      </c>
      <c r="C87" s="89">
        <f t="shared" si="102"/>
        <v>51</v>
      </c>
      <c r="D87" s="194">
        <v>167</v>
      </c>
      <c r="E87" s="195">
        <v>-116</v>
      </c>
      <c r="F87" s="55">
        <f t="shared" si="107"/>
        <v>51</v>
      </c>
      <c r="G87" s="53"/>
      <c r="H87" s="54"/>
      <c r="I87" s="55">
        <f t="shared" si="108"/>
        <v>0</v>
      </c>
      <c r="J87" s="53"/>
      <c r="K87" s="54"/>
      <c r="L87" s="55">
        <f t="shared" si="109"/>
        <v>0</v>
      </c>
      <c r="M87" s="53"/>
      <c r="N87" s="54"/>
      <c r="O87" s="55">
        <f t="shared" si="110"/>
        <v>0</v>
      </c>
      <c r="P87" s="57" t="s">
        <v>1001</v>
      </c>
    </row>
    <row r="88" spans="1:16" ht="16.5" customHeight="1" x14ac:dyDescent="0.25">
      <c r="A88" s="51">
        <v>2219</v>
      </c>
      <c r="B88" s="88" t="s">
        <v>105</v>
      </c>
      <c r="C88" s="89">
        <f t="shared" si="102"/>
        <v>15</v>
      </c>
      <c r="D88" s="194">
        <v>15</v>
      </c>
      <c r="E88" s="195"/>
      <c r="F88" s="55">
        <f t="shared" si="107"/>
        <v>15</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66437</v>
      </c>
      <c r="D89" s="189">
        <f>SUM(D90:D94)</f>
        <v>26266</v>
      </c>
      <c r="E89" s="190">
        <f t="shared" ref="E89:F89" si="111">SUM(E90:E94)</f>
        <v>0</v>
      </c>
      <c r="F89" s="55">
        <f t="shared" si="111"/>
        <v>26266</v>
      </c>
      <c r="G89" s="189">
        <f>SUM(G90:G94)</f>
        <v>0</v>
      </c>
      <c r="H89" s="190">
        <f t="shared" ref="H89:I89" si="112">SUM(H90:H94)</f>
        <v>0</v>
      </c>
      <c r="I89" s="55">
        <f t="shared" si="112"/>
        <v>0</v>
      </c>
      <c r="J89" s="189">
        <f>SUM(J90:J94)</f>
        <v>40171</v>
      </c>
      <c r="K89" s="190">
        <f t="shared" ref="K89:L89" si="113">SUM(K90:K94)</f>
        <v>0</v>
      </c>
      <c r="L89" s="55">
        <f t="shared" si="113"/>
        <v>40171</v>
      </c>
      <c r="M89" s="189">
        <f>SUM(M90:M94)</f>
        <v>0</v>
      </c>
      <c r="N89" s="190">
        <f t="shared" ref="N89:O89" si="114">SUM(N90:N94)</f>
        <v>0</v>
      </c>
      <c r="O89" s="55">
        <f t="shared" si="114"/>
        <v>0</v>
      </c>
      <c r="P89" s="57"/>
    </row>
    <row r="90" spans="1:16" ht="27" customHeight="1" x14ac:dyDescent="0.25">
      <c r="A90" s="51">
        <v>2221</v>
      </c>
      <c r="B90" s="88" t="s">
        <v>107</v>
      </c>
      <c r="C90" s="89">
        <f t="shared" si="102"/>
        <v>34686</v>
      </c>
      <c r="D90" s="194">
        <v>9766</v>
      </c>
      <c r="E90" s="195"/>
      <c r="F90" s="55">
        <f t="shared" ref="F90:F94" si="115">D90+E90</f>
        <v>9766</v>
      </c>
      <c r="G90" s="53"/>
      <c r="H90" s="54"/>
      <c r="I90" s="55">
        <f t="shared" ref="I90:I94" si="116">G90+H90</f>
        <v>0</v>
      </c>
      <c r="J90" s="53">
        <v>24920</v>
      </c>
      <c r="K90" s="54"/>
      <c r="L90" s="55">
        <f t="shared" ref="L90:L94" si="117">K90+J90</f>
        <v>24920</v>
      </c>
      <c r="M90" s="53"/>
      <c r="N90" s="54"/>
      <c r="O90" s="55">
        <f t="shared" ref="O90:O94" si="118">N90+M90</f>
        <v>0</v>
      </c>
      <c r="P90" s="57"/>
    </row>
    <row r="91" spans="1:16" ht="12" customHeight="1" x14ac:dyDescent="0.25">
      <c r="A91" s="51">
        <v>2222</v>
      </c>
      <c r="B91" s="88" t="s">
        <v>108</v>
      </c>
      <c r="C91" s="89">
        <f t="shared" si="102"/>
        <v>7126</v>
      </c>
      <c r="D91" s="194">
        <v>2114</v>
      </c>
      <c r="E91" s="195"/>
      <c r="F91" s="55">
        <f t="shared" si="115"/>
        <v>2114</v>
      </c>
      <c r="G91" s="53"/>
      <c r="H91" s="54"/>
      <c r="I91" s="55">
        <f t="shared" si="116"/>
        <v>0</v>
      </c>
      <c r="J91" s="53">
        <v>5012</v>
      </c>
      <c r="K91" s="54"/>
      <c r="L91" s="55">
        <f t="shared" si="117"/>
        <v>5012</v>
      </c>
      <c r="M91" s="53"/>
      <c r="N91" s="54"/>
      <c r="O91" s="55">
        <f t="shared" si="118"/>
        <v>0</v>
      </c>
      <c r="P91" s="57"/>
    </row>
    <row r="92" spans="1:16" ht="12" customHeight="1" x14ac:dyDescent="0.25">
      <c r="A92" s="51">
        <v>2223</v>
      </c>
      <c r="B92" s="88" t="s">
        <v>109</v>
      </c>
      <c r="C92" s="89">
        <f t="shared" si="102"/>
        <v>23792</v>
      </c>
      <c r="D92" s="194">
        <v>13553</v>
      </c>
      <c r="E92" s="195"/>
      <c r="F92" s="55">
        <f t="shared" si="115"/>
        <v>13553</v>
      </c>
      <c r="G92" s="53"/>
      <c r="H92" s="54"/>
      <c r="I92" s="55">
        <f t="shared" si="116"/>
        <v>0</v>
      </c>
      <c r="J92" s="53">
        <v>10239</v>
      </c>
      <c r="K92" s="54"/>
      <c r="L92" s="55">
        <f t="shared" si="117"/>
        <v>10239</v>
      </c>
      <c r="M92" s="53"/>
      <c r="N92" s="54"/>
      <c r="O92" s="55">
        <f t="shared" si="118"/>
        <v>0</v>
      </c>
      <c r="P92" s="57"/>
    </row>
    <row r="93" spans="1:16" ht="48" customHeight="1" x14ac:dyDescent="0.25">
      <c r="A93" s="51">
        <v>2224</v>
      </c>
      <c r="B93" s="88" t="s">
        <v>110</v>
      </c>
      <c r="C93" s="89">
        <f t="shared" si="102"/>
        <v>833</v>
      </c>
      <c r="D93" s="194">
        <v>833</v>
      </c>
      <c r="E93" s="195"/>
      <c r="F93" s="55">
        <f t="shared" si="115"/>
        <v>833</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2111</v>
      </c>
      <c r="D95" s="189">
        <f>SUM(D96:D102)</f>
        <v>2111</v>
      </c>
      <c r="E95" s="190">
        <f t="shared" ref="E95:F95" si="119">SUM(E96:E102)</f>
        <v>0</v>
      </c>
      <c r="F95" s="55">
        <f t="shared" si="119"/>
        <v>2111</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121</v>
      </c>
      <c r="D100" s="194">
        <v>121</v>
      </c>
      <c r="E100" s="195"/>
      <c r="F100" s="55">
        <f t="shared" si="123"/>
        <v>121</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1990</v>
      </c>
      <c r="D102" s="194">
        <v>1990</v>
      </c>
      <c r="E102" s="195"/>
      <c r="F102" s="55">
        <f t="shared" si="123"/>
        <v>1990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8607</v>
      </c>
      <c r="D103" s="189">
        <f>SUM(D104:D111)</f>
        <v>8607</v>
      </c>
      <c r="E103" s="190">
        <f t="shared" ref="E103:F103" si="127">SUM(E104:E111)</f>
        <v>0</v>
      </c>
      <c r="F103" s="55">
        <f t="shared" si="127"/>
        <v>8607</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963</v>
      </c>
      <c r="D106" s="194">
        <v>963</v>
      </c>
      <c r="E106" s="195"/>
      <c r="F106" s="55">
        <f t="shared" si="131"/>
        <v>963</v>
      </c>
      <c r="G106" s="53"/>
      <c r="H106" s="54"/>
      <c r="I106" s="55">
        <f t="shared" si="132"/>
        <v>0</v>
      </c>
      <c r="J106" s="53"/>
      <c r="K106" s="54"/>
      <c r="L106" s="55">
        <f t="shared" si="133"/>
        <v>0</v>
      </c>
      <c r="M106" s="53"/>
      <c r="N106" s="54"/>
      <c r="O106" s="55">
        <f t="shared" si="134"/>
        <v>0</v>
      </c>
      <c r="P106" s="57"/>
    </row>
    <row r="107" spans="1:16" ht="16.5" customHeight="1" x14ac:dyDescent="0.25">
      <c r="A107" s="51">
        <v>2244</v>
      </c>
      <c r="B107" s="88" t="s">
        <v>124</v>
      </c>
      <c r="C107" s="89">
        <f t="shared" si="102"/>
        <v>7160</v>
      </c>
      <c r="D107" s="194">
        <v>7160</v>
      </c>
      <c r="E107" s="195"/>
      <c r="F107" s="55">
        <f t="shared" si="131"/>
        <v>7160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8" t="s">
        <v>128</v>
      </c>
      <c r="C111" s="89">
        <f t="shared" si="102"/>
        <v>484</v>
      </c>
      <c r="D111" s="194">
        <v>484</v>
      </c>
      <c r="E111" s="195"/>
      <c r="F111" s="55">
        <f t="shared" si="131"/>
        <v>484</v>
      </c>
      <c r="G111" s="53"/>
      <c r="H111" s="54"/>
      <c r="I111" s="55">
        <f t="shared" si="132"/>
        <v>0</v>
      </c>
      <c r="J111" s="53"/>
      <c r="K111" s="54"/>
      <c r="L111" s="55">
        <f t="shared" si="133"/>
        <v>0</v>
      </c>
      <c r="M111" s="53"/>
      <c r="N111" s="54"/>
      <c r="O111" s="55">
        <f t="shared" si="134"/>
        <v>0</v>
      </c>
      <c r="P111" s="57"/>
    </row>
    <row r="112" spans="1:16" x14ac:dyDescent="0.25">
      <c r="A112" s="188">
        <v>2250</v>
      </c>
      <c r="B112" s="88" t="s">
        <v>129</v>
      </c>
      <c r="C112" s="89">
        <f t="shared" si="102"/>
        <v>2552</v>
      </c>
      <c r="D112" s="189">
        <f>SUM(D113:D115)</f>
        <v>2552</v>
      </c>
      <c r="E112" s="190">
        <f t="shared" ref="E112:F112" si="135">SUM(E113:E115)</f>
        <v>0</v>
      </c>
      <c r="F112" s="55">
        <f t="shared" si="135"/>
        <v>2552</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customHeight="1" x14ac:dyDescent="0.25">
      <c r="A113" s="51">
        <v>2251</v>
      </c>
      <c r="B113" s="88" t="s">
        <v>130</v>
      </c>
      <c r="C113" s="89">
        <f t="shared" si="102"/>
        <v>85</v>
      </c>
      <c r="D113" s="194">
        <v>85</v>
      </c>
      <c r="E113" s="195"/>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8" t="s">
        <v>131</v>
      </c>
      <c r="C114" s="89">
        <f t="shared" si="102"/>
        <v>2053</v>
      </c>
      <c r="D114" s="194">
        <v>2053</v>
      </c>
      <c r="E114" s="195"/>
      <c r="F114" s="55">
        <f t="shared" si="139"/>
        <v>2053</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8" t="s">
        <v>132</v>
      </c>
      <c r="C115" s="89">
        <f t="shared" si="102"/>
        <v>414</v>
      </c>
      <c r="D115" s="194">
        <v>414</v>
      </c>
      <c r="E115" s="195"/>
      <c r="F115" s="55">
        <f t="shared" si="139"/>
        <v>414</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4442</v>
      </c>
      <c r="D116" s="189">
        <f>SUM(D117:D121)</f>
        <v>5802</v>
      </c>
      <c r="E116" s="190">
        <f t="shared" ref="E116:F116" si="143">SUM(E117:E121)</f>
        <v>-1360</v>
      </c>
      <c r="F116" s="55">
        <f t="shared" si="143"/>
        <v>4442</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5.75" customHeight="1" x14ac:dyDescent="0.25">
      <c r="A117" s="51">
        <v>2261</v>
      </c>
      <c r="B117" s="88" t="s">
        <v>134</v>
      </c>
      <c r="C117" s="89">
        <f t="shared" si="102"/>
        <v>4390</v>
      </c>
      <c r="D117" s="194">
        <v>5750</v>
      </c>
      <c r="E117" s="195">
        <f>-1372+12</f>
        <v>-1360</v>
      </c>
      <c r="F117" s="55">
        <f t="shared" ref="F117:F121" si="147">D117+E117</f>
        <v>4390</v>
      </c>
      <c r="G117" s="53"/>
      <c r="H117" s="54"/>
      <c r="I117" s="55">
        <f t="shared" ref="I117:I121" si="148">G117+H117</f>
        <v>0</v>
      </c>
      <c r="J117" s="53"/>
      <c r="K117" s="54"/>
      <c r="L117" s="55">
        <f t="shared" ref="L117:L121" si="149">K117+J117</f>
        <v>0</v>
      </c>
      <c r="M117" s="53"/>
      <c r="N117" s="54"/>
      <c r="O117" s="55">
        <f t="shared" ref="O117:O121" si="150">N117+M117</f>
        <v>0</v>
      </c>
      <c r="P117" s="57" t="s">
        <v>1002</v>
      </c>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1.25" customHeight="1" x14ac:dyDescent="0.25">
      <c r="A121" s="51">
        <v>2269</v>
      </c>
      <c r="B121" s="88" t="s">
        <v>138</v>
      </c>
      <c r="C121" s="89">
        <f t="shared" si="102"/>
        <v>52</v>
      </c>
      <c r="D121" s="194">
        <v>52</v>
      </c>
      <c r="E121" s="195"/>
      <c r="F121" s="55">
        <f t="shared" si="147"/>
        <v>52</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3236</v>
      </c>
      <c r="D122" s="189">
        <f>SUM(D123:D127)</f>
        <v>0</v>
      </c>
      <c r="E122" s="190">
        <f t="shared" ref="E122:F122" si="151">SUM(E123:E127)</f>
        <v>0</v>
      </c>
      <c r="F122" s="55">
        <f t="shared" si="151"/>
        <v>0</v>
      </c>
      <c r="G122" s="189">
        <f>SUM(G123:G127)</f>
        <v>3236</v>
      </c>
      <c r="H122" s="190">
        <f t="shared" ref="H122:I122" si="152">SUM(H123:H127)</f>
        <v>0</v>
      </c>
      <c r="I122" s="55">
        <f t="shared" si="152"/>
        <v>3236</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30.75"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4.5"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6.25" customHeight="1" x14ac:dyDescent="0.25">
      <c r="A127" s="51">
        <v>2279</v>
      </c>
      <c r="B127" s="88" t="s">
        <v>144</v>
      </c>
      <c r="C127" s="89">
        <f t="shared" si="102"/>
        <v>3236</v>
      </c>
      <c r="D127" s="194"/>
      <c r="E127" s="195"/>
      <c r="F127" s="55">
        <f t="shared" si="155"/>
        <v>0</v>
      </c>
      <c r="G127" s="53">
        <v>3236</v>
      </c>
      <c r="H127" s="54"/>
      <c r="I127" s="55">
        <f t="shared" si="156"/>
        <v>3236</v>
      </c>
      <c r="J127" s="53"/>
      <c r="K127" s="54"/>
      <c r="L127" s="55">
        <f t="shared" si="157"/>
        <v>0</v>
      </c>
      <c r="M127" s="53"/>
      <c r="N127" s="54"/>
      <c r="O127" s="55">
        <f t="shared" si="158"/>
        <v>0</v>
      </c>
      <c r="P127" s="57"/>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57809</v>
      </c>
      <c r="D130" s="183">
        <f>SUM(D131,D136,D140,D141,D144,D151,D159,D160,D163)</f>
        <v>36671</v>
      </c>
      <c r="E130" s="184">
        <f t="shared" ref="E130:F130" si="160">SUM(E131,E136,E140,E141,E144,E151,E159,E160,E163)</f>
        <v>13292</v>
      </c>
      <c r="F130" s="72">
        <f t="shared" si="160"/>
        <v>49963</v>
      </c>
      <c r="G130" s="183">
        <f>SUM(G131,G136,G140,G141,G144,G151,G159,G160,G163)</f>
        <v>6768</v>
      </c>
      <c r="H130" s="184">
        <f t="shared" ref="H130:I130" si="161">SUM(H131,H136,H140,H141,H144,H151,H159,H160,H163)</f>
        <v>0</v>
      </c>
      <c r="I130" s="72">
        <f t="shared" si="161"/>
        <v>6768</v>
      </c>
      <c r="J130" s="183">
        <f>SUM(J131,J136,J140,J141,J144,J151,J159,J160,J163)</f>
        <v>1078</v>
      </c>
      <c r="K130" s="184">
        <f t="shared" ref="K130:L130" si="162">SUM(K131,K136,K140,K141,K144,K151,K159,K160,K163)</f>
        <v>0</v>
      </c>
      <c r="L130" s="72">
        <f t="shared" si="162"/>
        <v>1078</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26177</v>
      </c>
      <c r="D131" s="192">
        <f t="shared" ref="D131:O131" si="164">SUM(D132:D135)</f>
        <v>12885</v>
      </c>
      <c r="E131" s="193">
        <f t="shared" si="164"/>
        <v>13292</v>
      </c>
      <c r="F131" s="133">
        <f t="shared" si="164"/>
        <v>26177</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1670</v>
      </c>
      <c r="D132" s="194">
        <v>1670</v>
      </c>
      <c r="E132" s="195"/>
      <c r="F132" s="55">
        <f t="shared" ref="F132:F135" si="165">D132+E132</f>
        <v>1670</v>
      </c>
      <c r="G132" s="53"/>
      <c r="H132" s="54"/>
      <c r="I132" s="55">
        <f t="shared" ref="I132:I135" si="166">G132+H132</f>
        <v>0</v>
      </c>
      <c r="J132" s="53"/>
      <c r="K132" s="54"/>
      <c r="L132" s="55">
        <f t="shared" ref="L132:L135" si="167">K132+J132</f>
        <v>0</v>
      </c>
      <c r="M132" s="53"/>
      <c r="N132" s="54"/>
      <c r="O132" s="55">
        <f t="shared" ref="O132:O135" si="168">N132+M132</f>
        <v>0</v>
      </c>
      <c r="P132" s="57"/>
    </row>
    <row r="133" spans="1:16" ht="15" customHeight="1" x14ac:dyDescent="0.25">
      <c r="A133" s="51">
        <v>2312</v>
      </c>
      <c r="B133" s="88" t="s">
        <v>150</v>
      </c>
      <c r="C133" s="89">
        <f t="shared" si="102"/>
        <v>24465</v>
      </c>
      <c r="D133" s="194">
        <v>11173</v>
      </c>
      <c r="E133" s="195">
        <v>13292</v>
      </c>
      <c r="F133" s="55">
        <f t="shared" si="165"/>
        <v>24465</v>
      </c>
      <c r="G133" s="53"/>
      <c r="H133" s="54"/>
      <c r="I133" s="55">
        <f t="shared" si="166"/>
        <v>0</v>
      </c>
      <c r="J133" s="53"/>
      <c r="K133" s="54"/>
      <c r="L133" s="55">
        <f t="shared" si="167"/>
        <v>0</v>
      </c>
      <c r="M133" s="53"/>
      <c r="N133" s="54"/>
      <c r="O133" s="55">
        <f t="shared" si="168"/>
        <v>0</v>
      </c>
      <c r="P133" s="57" t="s">
        <v>1003</v>
      </c>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42</v>
      </c>
      <c r="D135" s="194">
        <v>42</v>
      </c>
      <c r="E135" s="195"/>
      <c r="F135" s="55">
        <f t="shared" si="165"/>
        <v>42</v>
      </c>
      <c r="G135" s="53"/>
      <c r="H135" s="54"/>
      <c r="I135" s="55">
        <f t="shared" si="166"/>
        <v>0</v>
      </c>
      <c r="J135" s="53"/>
      <c r="K135" s="54"/>
      <c r="L135" s="55">
        <f t="shared" si="167"/>
        <v>0</v>
      </c>
      <c r="M135" s="53"/>
      <c r="N135" s="54"/>
      <c r="O135" s="55">
        <f t="shared" si="168"/>
        <v>0</v>
      </c>
      <c r="P135" s="57"/>
    </row>
    <row r="136" spans="1:16" x14ac:dyDescent="0.25">
      <c r="A136" s="188">
        <v>2320</v>
      </c>
      <c r="B136" s="88" t="s">
        <v>153</v>
      </c>
      <c r="C136" s="89">
        <f t="shared" si="102"/>
        <v>411</v>
      </c>
      <c r="D136" s="189">
        <f>SUM(D137:D139)</f>
        <v>253</v>
      </c>
      <c r="E136" s="190">
        <f t="shared" ref="E136:F136" si="169">SUM(E137:E139)</f>
        <v>0</v>
      </c>
      <c r="F136" s="55">
        <f t="shared" si="169"/>
        <v>253</v>
      </c>
      <c r="G136" s="189">
        <f>SUM(G137:G139)</f>
        <v>0</v>
      </c>
      <c r="H136" s="190">
        <f t="shared" ref="H136:I136" si="170">SUM(H137:H139)</f>
        <v>0</v>
      </c>
      <c r="I136" s="55">
        <f t="shared" si="170"/>
        <v>0</v>
      </c>
      <c r="J136" s="189">
        <f>SUM(J137:J139)</f>
        <v>158</v>
      </c>
      <c r="K136" s="190">
        <f t="shared" ref="K136:L136" si="171">SUM(K137:K139)</f>
        <v>0</v>
      </c>
      <c r="L136" s="55">
        <f t="shared" si="171"/>
        <v>158</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8" t="s">
        <v>155</v>
      </c>
      <c r="C138" s="89">
        <f t="shared" si="102"/>
        <v>411</v>
      </c>
      <c r="D138" s="194">
        <v>253</v>
      </c>
      <c r="E138" s="195"/>
      <c r="F138" s="55">
        <f t="shared" si="173"/>
        <v>253</v>
      </c>
      <c r="G138" s="53"/>
      <c r="H138" s="54"/>
      <c r="I138" s="55">
        <f t="shared" si="174"/>
        <v>0</v>
      </c>
      <c r="J138" s="53">
        <v>158</v>
      </c>
      <c r="K138" s="54"/>
      <c r="L138" s="55">
        <f t="shared" si="175"/>
        <v>158</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260</v>
      </c>
      <c r="D141" s="189">
        <f>SUM(D142:D143)</f>
        <v>260</v>
      </c>
      <c r="E141" s="190">
        <f t="shared" ref="E141:F141" si="177">SUM(E142:E143)</f>
        <v>0</v>
      </c>
      <c r="F141" s="55">
        <f t="shared" si="177"/>
        <v>260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8" t="s">
        <v>159</v>
      </c>
      <c r="C142" s="89">
        <f t="shared" si="102"/>
        <v>260</v>
      </c>
      <c r="D142" s="194">
        <v>260</v>
      </c>
      <c r="E142" s="195"/>
      <c r="F142" s="55">
        <f t="shared" ref="F142:F143" si="181">D142+E142</f>
        <v>260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5943</v>
      </c>
      <c r="D144" s="186">
        <f>SUM(D145:D150)</f>
        <v>5023</v>
      </c>
      <c r="E144" s="187">
        <f t="shared" ref="E144:F144" si="185">SUM(E145:E150)</f>
        <v>0</v>
      </c>
      <c r="F144" s="140">
        <f t="shared" si="185"/>
        <v>5023</v>
      </c>
      <c r="G144" s="186">
        <f>SUM(G145:G150)</f>
        <v>0</v>
      </c>
      <c r="H144" s="187">
        <f t="shared" ref="H144:I144" si="186">SUM(H145:H150)</f>
        <v>0</v>
      </c>
      <c r="I144" s="140">
        <f t="shared" si="186"/>
        <v>0</v>
      </c>
      <c r="J144" s="186">
        <f>SUM(J145:J150)</f>
        <v>920</v>
      </c>
      <c r="K144" s="187">
        <f t="shared" ref="K144:L144" si="187">SUM(K145:K150)</f>
        <v>0</v>
      </c>
      <c r="L144" s="140">
        <f t="shared" si="187"/>
        <v>920</v>
      </c>
      <c r="M144" s="186">
        <f>SUM(M145:M150)</f>
        <v>0</v>
      </c>
      <c r="N144" s="187">
        <f t="shared" ref="N144:O144" si="188">SUM(N145:N150)</f>
        <v>0</v>
      </c>
      <c r="O144" s="140">
        <f t="shared" si="188"/>
        <v>0</v>
      </c>
      <c r="P144" s="128"/>
    </row>
    <row r="145" spans="1:16" ht="12" customHeight="1" x14ac:dyDescent="0.25">
      <c r="A145" s="44">
        <v>2351</v>
      </c>
      <c r="B145" s="81" t="s">
        <v>162</v>
      </c>
      <c r="C145" s="82">
        <f t="shared" si="102"/>
        <v>894</v>
      </c>
      <c r="D145" s="196">
        <v>894</v>
      </c>
      <c r="E145" s="197"/>
      <c r="F145" s="133">
        <f t="shared" ref="F145:F150" si="189">D145+E145</f>
        <v>894</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3940</v>
      </c>
      <c r="D146" s="194">
        <v>3020</v>
      </c>
      <c r="E146" s="195"/>
      <c r="F146" s="55">
        <f t="shared" si="189"/>
        <v>3020</v>
      </c>
      <c r="G146" s="53"/>
      <c r="H146" s="54"/>
      <c r="I146" s="55">
        <f t="shared" si="190"/>
        <v>0</v>
      </c>
      <c r="J146" s="53">
        <v>920</v>
      </c>
      <c r="K146" s="54"/>
      <c r="L146" s="55">
        <f t="shared" si="191"/>
        <v>920</v>
      </c>
      <c r="M146" s="53"/>
      <c r="N146" s="54"/>
      <c r="O146" s="55">
        <f t="shared" si="192"/>
        <v>0</v>
      </c>
      <c r="P146" s="57"/>
    </row>
    <row r="147" spans="1:16" ht="24" customHeight="1" x14ac:dyDescent="0.25">
      <c r="A147" s="51">
        <v>2353</v>
      </c>
      <c r="B147" s="88" t="s">
        <v>164</v>
      </c>
      <c r="C147" s="89">
        <f t="shared" si="102"/>
        <v>449</v>
      </c>
      <c r="D147" s="194">
        <v>449</v>
      </c>
      <c r="E147" s="195"/>
      <c r="F147" s="55">
        <f t="shared" si="189"/>
        <v>449</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8" t="s">
        <v>166</v>
      </c>
      <c r="C149" s="89">
        <f t="shared" si="193"/>
        <v>660</v>
      </c>
      <c r="D149" s="194">
        <v>660</v>
      </c>
      <c r="E149" s="195"/>
      <c r="F149" s="55">
        <f t="shared" si="189"/>
        <v>660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2080</v>
      </c>
      <c r="D151" s="189">
        <f>SUM(D152:D158)</f>
        <v>2080</v>
      </c>
      <c r="E151" s="190">
        <f t="shared" ref="E151:F151" si="194">SUM(E152:E158)</f>
        <v>0</v>
      </c>
      <c r="F151" s="55">
        <f t="shared" si="194"/>
        <v>2080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customHeight="1" x14ac:dyDescent="0.25">
      <c r="A152" s="50">
        <v>2361</v>
      </c>
      <c r="B152" s="88" t="s">
        <v>169</v>
      </c>
      <c r="C152" s="89">
        <f t="shared" si="193"/>
        <v>680</v>
      </c>
      <c r="D152" s="194">
        <v>680</v>
      </c>
      <c r="E152" s="195"/>
      <c r="F152" s="55">
        <f t="shared" ref="F152:F159" si="198">D152+E152</f>
        <v>680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5" customHeight="1" x14ac:dyDescent="0.25">
      <c r="A154" s="50">
        <v>2363</v>
      </c>
      <c r="B154" s="88" t="s">
        <v>171</v>
      </c>
      <c r="C154" s="89">
        <f t="shared" si="193"/>
        <v>1400</v>
      </c>
      <c r="D154" s="194">
        <v>1400</v>
      </c>
      <c r="E154" s="195"/>
      <c r="F154" s="55">
        <f t="shared" si="198"/>
        <v>1400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75" customHeight="1" x14ac:dyDescent="0.25">
      <c r="A159" s="185">
        <v>2370</v>
      </c>
      <c r="B159" s="137" t="s">
        <v>176</v>
      </c>
      <c r="C159" s="142">
        <f t="shared" si="193"/>
        <v>22938</v>
      </c>
      <c r="D159" s="202">
        <v>16170</v>
      </c>
      <c r="E159" s="203"/>
      <c r="F159" s="140">
        <f t="shared" si="198"/>
        <v>16170</v>
      </c>
      <c r="G159" s="143">
        <v>6768</v>
      </c>
      <c r="H159" s="144"/>
      <c r="I159" s="140">
        <f t="shared" si="199"/>
        <v>6768</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customHeight="1" x14ac:dyDescent="0.25">
      <c r="A164" s="68">
        <v>2400</v>
      </c>
      <c r="B164" s="182" t="s">
        <v>181</v>
      </c>
      <c r="C164" s="69">
        <f t="shared" si="193"/>
        <v>28</v>
      </c>
      <c r="D164" s="204">
        <v>63</v>
      </c>
      <c r="E164" s="205">
        <v>-35</v>
      </c>
      <c r="F164" s="72">
        <f t="shared" si="206"/>
        <v>28</v>
      </c>
      <c r="G164" s="70"/>
      <c r="H164" s="71"/>
      <c r="I164" s="72">
        <f t="shared" si="207"/>
        <v>0</v>
      </c>
      <c r="J164" s="70"/>
      <c r="K164" s="71"/>
      <c r="L164" s="72">
        <f t="shared" si="208"/>
        <v>0</v>
      </c>
      <c r="M164" s="70"/>
      <c r="N164" s="71"/>
      <c r="O164" s="72">
        <f t="shared" si="209"/>
        <v>0</v>
      </c>
      <c r="P164" s="76" t="s">
        <v>1004</v>
      </c>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9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12243</v>
      </c>
      <c r="D194" s="172">
        <f t="shared" ref="D194:O194" si="259">SUM(D195,D230,D269,D283)</f>
        <v>7559</v>
      </c>
      <c r="E194" s="173">
        <f t="shared" si="259"/>
        <v>-128</v>
      </c>
      <c r="F194" s="174">
        <f t="shared" si="259"/>
        <v>7431</v>
      </c>
      <c r="G194" s="172">
        <f t="shared" si="259"/>
        <v>4812</v>
      </c>
      <c r="H194" s="173">
        <f t="shared" si="259"/>
        <v>0</v>
      </c>
      <c r="I194" s="174">
        <f t="shared" si="259"/>
        <v>4812</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12243</v>
      </c>
      <c r="D195" s="178">
        <f>D196+D204</f>
        <v>7559</v>
      </c>
      <c r="E195" s="179">
        <f t="shared" ref="E195:F195" si="260">E196+E204</f>
        <v>-128</v>
      </c>
      <c r="F195" s="180">
        <f t="shared" si="260"/>
        <v>7431</v>
      </c>
      <c r="G195" s="178">
        <f>G196+G204</f>
        <v>4812</v>
      </c>
      <c r="H195" s="179">
        <f t="shared" ref="H195:I195" si="261">H196+H204</f>
        <v>0</v>
      </c>
      <c r="I195" s="180">
        <f t="shared" si="261"/>
        <v>4812</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12243</v>
      </c>
      <c r="D204" s="183">
        <f>D205+D215+D216+D225+D226+D227+D229</f>
        <v>7559</v>
      </c>
      <c r="E204" s="184">
        <f t="shared" ref="E204:F204" si="276">E205+E215+E216+E225+E226+E227+E229</f>
        <v>-128</v>
      </c>
      <c r="F204" s="72">
        <f t="shared" si="276"/>
        <v>7431</v>
      </c>
      <c r="G204" s="183">
        <f>G205+G215+G216+G225+G226+G227+G229</f>
        <v>4812</v>
      </c>
      <c r="H204" s="184">
        <f t="shared" ref="H204:I204" si="277">H205+H215+H216+H225+H226+H227+H229</f>
        <v>0</v>
      </c>
      <c r="I204" s="72">
        <f t="shared" si="277"/>
        <v>4812</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12243</v>
      </c>
      <c r="D216" s="189">
        <f>SUM(D217:D224)</f>
        <v>7559</v>
      </c>
      <c r="E216" s="190">
        <f t="shared" ref="E216:F216" si="289">SUM(E217:E224)</f>
        <v>-128</v>
      </c>
      <c r="F216" s="55">
        <f t="shared" si="289"/>
        <v>7431</v>
      </c>
      <c r="G216" s="189">
        <f>SUM(G217:G224)</f>
        <v>4812</v>
      </c>
      <c r="H216" s="190">
        <f t="shared" ref="H216:I216" si="290">SUM(H217:H224)</f>
        <v>0</v>
      </c>
      <c r="I216" s="55">
        <f t="shared" si="290"/>
        <v>4812</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8" t="s">
        <v>236</v>
      </c>
      <c r="C219" s="89">
        <f t="shared" si="288"/>
        <v>10712</v>
      </c>
      <c r="D219" s="194">
        <v>5900</v>
      </c>
      <c r="E219" s="195"/>
      <c r="F219" s="55">
        <f t="shared" si="293"/>
        <v>5900</v>
      </c>
      <c r="G219" s="53">
        <v>4812</v>
      </c>
      <c r="H219" s="54"/>
      <c r="I219" s="55">
        <f t="shared" si="294"/>
        <v>4812</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1531</v>
      </c>
      <c r="D224" s="194">
        <v>1659</v>
      </c>
      <c r="E224" s="195">
        <v>-128</v>
      </c>
      <c r="F224" s="55">
        <f t="shared" si="293"/>
        <v>1531</v>
      </c>
      <c r="G224" s="53"/>
      <c r="H224" s="54"/>
      <c r="I224" s="55">
        <f t="shared" si="294"/>
        <v>0</v>
      </c>
      <c r="J224" s="53"/>
      <c r="K224" s="54"/>
      <c r="L224" s="55">
        <f t="shared" si="295"/>
        <v>0</v>
      </c>
      <c r="M224" s="53"/>
      <c r="N224" s="54"/>
      <c r="O224" s="55">
        <f t="shared" si="296"/>
        <v>0</v>
      </c>
      <c r="P224" s="57" t="s">
        <v>1005</v>
      </c>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895</v>
      </c>
      <c r="D286" s="189">
        <f>SUM(D287:D288)</f>
        <v>0</v>
      </c>
      <c r="E286" s="190">
        <f t="shared" ref="E286:F286" si="381">SUM(E287:E288)</f>
        <v>0</v>
      </c>
      <c r="F286" s="55">
        <f t="shared" si="381"/>
        <v>0</v>
      </c>
      <c r="G286" s="189">
        <f>SUM(G287:G288)</f>
        <v>895</v>
      </c>
      <c r="H286" s="190">
        <f t="shared" ref="H286:I286" si="382">SUM(H287:H288)</f>
        <v>0</v>
      </c>
      <c r="I286" s="55">
        <f t="shared" si="382"/>
        <v>895</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9" t="s">
        <v>306</v>
      </c>
      <c r="B288" s="248" t="s">
        <v>307</v>
      </c>
      <c r="C288" s="82">
        <f t="shared" si="371"/>
        <v>895</v>
      </c>
      <c r="D288" s="196"/>
      <c r="E288" s="197"/>
      <c r="F288" s="133">
        <f t="shared" si="385"/>
        <v>0</v>
      </c>
      <c r="G288" s="46">
        <v>895</v>
      </c>
      <c r="H288" s="47">
        <v>0</v>
      </c>
      <c r="I288" s="133">
        <f t="shared" si="386"/>
        <v>895</v>
      </c>
      <c r="J288" s="46"/>
      <c r="K288" s="47"/>
      <c r="L288" s="133">
        <f t="shared" si="387"/>
        <v>0</v>
      </c>
      <c r="M288" s="46"/>
      <c r="N288" s="47"/>
      <c r="O288" s="133">
        <f t="shared" si="388"/>
        <v>0</v>
      </c>
      <c r="P288" s="49"/>
    </row>
    <row r="289" spans="1:16" ht="12.75" thickBot="1" x14ac:dyDescent="0.3">
      <c r="A289" s="249"/>
      <c r="B289" s="249" t="s">
        <v>308</v>
      </c>
      <c r="C289" s="250">
        <f t="shared" si="371"/>
        <v>1528034</v>
      </c>
      <c r="D289" s="251">
        <f t="shared" ref="D289:O289" si="389">SUM(D286,D269,D230,D195,D187,D173,D75,D53,D283)</f>
        <v>497589</v>
      </c>
      <c r="E289" s="252">
        <f t="shared" si="389"/>
        <v>11267</v>
      </c>
      <c r="F289" s="253">
        <f t="shared" si="389"/>
        <v>508856</v>
      </c>
      <c r="G289" s="251">
        <f t="shared" si="389"/>
        <v>977929</v>
      </c>
      <c r="H289" s="252">
        <f t="shared" si="389"/>
        <v>0</v>
      </c>
      <c r="I289" s="253">
        <f t="shared" si="389"/>
        <v>977929</v>
      </c>
      <c r="J289" s="251">
        <f t="shared" si="389"/>
        <v>41249</v>
      </c>
      <c r="K289" s="252">
        <f t="shared" si="389"/>
        <v>0</v>
      </c>
      <c r="L289" s="253">
        <f t="shared" si="389"/>
        <v>41249</v>
      </c>
      <c r="M289" s="251">
        <f t="shared" si="389"/>
        <v>0</v>
      </c>
      <c r="N289" s="252">
        <f t="shared" si="389"/>
        <v>0</v>
      </c>
      <c r="O289" s="253">
        <f t="shared" si="389"/>
        <v>0</v>
      </c>
      <c r="P289" s="254"/>
    </row>
    <row r="290" spans="1:16" s="28" customFormat="1" ht="13.5" thickTop="1" thickBot="1" x14ac:dyDescent="0.3">
      <c r="A290" s="1945" t="s">
        <v>309</v>
      </c>
      <c r="B290" s="1946"/>
      <c r="C290" s="255">
        <f t="shared" si="371"/>
        <v>-7534</v>
      </c>
      <c r="D290" s="256">
        <f>SUM(D24,D25,D41)-D51</f>
        <v>0</v>
      </c>
      <c r="E290" s="257">
        <f t="shared" ref="E290:F290" si="390">SUM(E24,E25,E41)-E51</f>
        <v>0</v>
      </c>
      <c r="F290" s="258">
        <f t="shared" si="390"/>
        <v>0</v>
      </c>
      <c r="G290" s="256">
        <f>SUM(G24,G25,G41)-G51</f>
        <v>895</v>
      </c>
      <c r="H290" s="257">
        <f t="shared" ref="H290:I290" si="391">SUM(H24,H25,H41)-H51</f>
        <v>0</v>
      </c>
      <c r="I290" s="258">
        <f t="shared" si="391"/>
        <v>895</v>
      </c>
      <c r="J290" s="256">
        <f>(J26+J43)-J51</f>
        <v>-8429</v>
      </c>
      <c r="K290" s="257">
        <f t="shared" ref="K290:L290" si="392">(K26+K43)-K51</f>
        <v>0</v>
      </c>
      <c r="L290" s="258">
        <f t="shared" si="392"/>
        <v>-8429</v>
      </c>
      <c r="M290" s="256">
        <f>M45-M51</f>
        <v>0</v>
      </c>
      <c r="N290" s="257">
        <f t="shared" ref="N290:O290" si="393">N45-N51</f>
        <v>0</v>
      </c>
      <c r="O290" s="258">
        <f t="shared" si="393"/>
        <v>0</v>
      </c>
      <c r="P290" s="259"/>
    </row>
    <row r="291" spans="1:16" s="28" customFormat="1" ht="12.75" thickTop="1" x14ac:dyDescent="0.25">
      <c r="A291" s="1947" t="s">
        <v>310</v>
      </c>
      <c r="B291" s="1948"/>
      <c r="C291" s="260">
        <f t="shared" si="371"/>
        <v>7534</v>
      </c>
      <c r="D291" s="261">
        <f t="shared" ref="D291:O291" si="394">SUM(D292,D293)-D300+D301</f>
        <v>0</v>
      </c>
      <c r="E291" s="262">
        <f t="shared" si="394"/>
        <v>0</v>
      </c>
      <c r="F291" s="263">
        <f t="shared" si="394"/>
        <v>0</v>
      </c>
      <c r="G291" s="261">
        <f t="shared" si="394"/>
        <v>-895</v>
      </c>
      <c r="H291" s="262">
        <f t="shared" si="394"/>
        <v>0</v>
      </c>
      <c r="I291" s="263">
        <f t="shared" si="394"/>
        <v>-895</v>
      </c>
      <c r="J291" s="261">
        <f t="shared" si="394"/>
        <v>8429</v>
      </c>
      <c r="K291" s="262">
        <f t="shared" si="394"/>
        <v>0</v>
      </c>
      <c r="L291" s="263">
        <f t="shared" si="394"/>
        <v>8429</v>
      </c>
      <c r="M291" s="261">
        <f t="shared" si="394"/>
        <v>0</v>
      </c>
      <c r="N291" s="262">
        <f t="shared" si="394"/>
        <v>0</v>
      </c>
      <c r="O291" s="263">
        <f t="shared" si="394"/>
        <v>0</v>
      </c>
      <c r="P291" s="264"/>
    </row>
    <row r="292" spans="1:16" s="28" customFormat="1" ht="12.75" thickBot="1" x14ac:dyDescent="0.3">
      <c r="A292" s="156" t="s">
        <v>311</v>
      </c>
      <c r="B292" s="156" t="s">
        <v>312</v>
      </c>
      <c r="C292" s="157">
        <f t="shared" si="371"/>
        <v>7534</v>
      </c>
      <c r="D292" s="158">
        <f t="shared" ref="D292:O292" si="395">D21-D286</f>
        <v>0</v>
      </c>
      <c r="E292" s="159">
        <f t="shared" si="395"/>
        <v>0</v>
      </c>
      <c r="F292" s="160">
        <f t="shared" si="395"/>
        <v>0</v>
      </c>
      <c r="G292" s="158">
        <f t="shared" si="395"/>
        <v>-895</v>
      </c>
      <c r="H292" s="159">
        <f t="shared" si="395"/>
        <v>0</v>
      </c>
      <c r="I292" s="160">
        <f t="shared" si="395"/>
        <v>-895</v>
      </c>
      <c r="J292" s="158">
        <f t="shared" si="395"/>
        <v>8429</v>
      </c>
      <c r="K292" s="159">
        <f t="shared" si="395"/>
        <v>0</v>
      </c>
      <c r="L292" s="160">
        <f t="shared" si="395"/>
        <v>8429</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L4u9zVfowR161u2lE9zskK2eSq1DsKlg617tcj8CwOwv8/2dwo+kDKWzsxRc03Hqb7UkjPpr42FnuvKCiza1fQ==" saltValue="k5SmWSQUBwUw/0XtPX3GAA==" spinCount="100000" sheet="1" objects="1" scenarios="1" formatCells="0" formatColumns="0" formatRows="0" deleteColumns="0"/>
  <autoFilter ref="A18:P301">
    <filterColumn colId="2">
      <filters>
        <filter val="1 000"/>
        <filter val="1 029"/>
        <filter val="1 041 874"/>
        <filter val="1 369 237"/>
        <filter val="1 400"/>
        <filter val="1 486 785"/>
        <filter val="1 514 896"/>
        <filter val="1 527 139"/>
        <filter val="1 528 034"/>
        <filter val="1 531"/>
        <filter val="1 670"/>
        <filter val="1 990"/>
        <filter val="10 712"/>
        <filter val="10 745"/>
        <filter val="12 243"/>
        <filter val="121"/>
        <filter val="14 941"/>
        <filter val="145 659"/>
        <filter val="15"/>
        <filter val="2 053"/>
        <filter val="2 080"/>
        <filter val="2 111"/>
        <filter val="2 552"/>
        <filter val="2 788"/>
        <filter val="22 938"/>
        <filter val="23 089"/>
        <filter val="23 792"/>
        <filter val="24 465"/>
        <filter val="26 177"/>
        <filter val="260"/>
        <filter val="262 817"/>
        <filter val="28"/>
        <filter val="28 908"/>
        <filter val="29 328"/>
        <filter val="3 236"/>
        <filter val="3 912"/>
        <filter val="3 940"/>
        <filter val="32 820"/>
        <filter val="327 363"/>
        <filter val="34 686"/>
        <filter val="371"/>
        <filter val="4 172"/>
        <filter val="4 390"/>
        <filter val="4 442"/>
        <filter val="411"/>
        <filter val="414"/>
        <filter val="42"/>
        <filter val="437"/>
        <filter val="449"/>
        <filter val="48 605"/>
        <filter val="484"/>
        <filter val="5 943"/>
        <filter val="51"/>
        <filter val="52"/>
        <filter val="57 809"/>
        <filter val="64 546"/>
        <filter val="66 437"/>
        <filter val="660"/>
        <filter val="68 363"/>
        <filter val="680"/>
        <filter val="7 126"/>
        <filter val="7 160"/>
        <filter val="7 534"/>
        <filter val="-7 534"/>
        <filter val="8 429"/>
        <filter val="8 607"/>
        <filter val="833"/>
        <filter val="85"/>
        <filter val="87 822"/>
        <filter val="894"/>
        <filter val="895"/>
        <filter val="963"/>
        <filter val="970 72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50.pielikums Jūrmalas pilsētas domes
2019.gada 29.augusta saistošajiem noteikumiem Nr.31
(protokols Nr.12, 20.punkts)
 </firstHeader>
    <firstFooter>&amp;L&amp;9&amp;D; &amp;T&amp;R&amp;9&amp;P (&amp;N)</first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4" sqref="T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1081</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1082</v>
      </c>
      <c r="D3" s="1977"/>
      <c r="E3" s="1977"/>
      <c r="F3" s="1977"/>
      <c r="G3" s="1977"/>
      <c r="H3" s="1977"/>
      <c r="I3" s="1977"/>
      <c r="J3" s="1977"/>
      <c r="K3" s="1977"/>
      <c r="L3" s="1977"/>
      <c r="M3" s="1977"/>
      <c r="N3" s="1977"/>
      <c r="O3" s="1977"/>
      <c r="P3" s="1978"/>
      <c r="Q3" s="276"/>
    </row>
    <row r="4" spans="1:17" ht="12.75" customHeight="1" x14ac:dyDescent="0.25">
      <c r="A4" s="5" t="s">
        <v>4</v>
      </c>
      <c r="B4" s="6"/>
      <c r="C4" s="1977" t="s">
        <v>1083</v>
      </c>
      <c r="D4" s="1977"/>
      <c r="E4" s="1977"/>
      <c r="F4" s="1977"/>
      <c r="G4" s="1977"/>
      <c r="H4" s="1977"/>
      <c r="I4" s="1977"/>
      <c r="J4" s="1977"/>
      <c r="K4" s="1977"/>
      <c r="L4" s="1977"/>
      <c r="M4" s="1977"/>
      <c r="N4" s="1977"/>
      <c r="O4" s="1977"/>
      <c r="P4" s="1978"/>
      <c r="Q4" s="276"/>
    </row>
    <row r="5" spans="1:17" ht="12.75" customHeight="1" x14ac:dyDescent="0.25">
      <c r="A5" s="7" t="s">
        <v>6</v>
      </c>
      <c r="B5" s="8"/>
      <c r="C5" s="1972" t="s">
        <v>1084</v>
      </c>
      <c r="D5" s="1972"/>
      <c r="E5" s="1972"/>
      <c r="F5" s="1972"/>
      <c r="G5" s="1972"/>
      <c r="H5" s="1972"/>
      <c r="I5" s="1972"/>
      <c r="J5" s="1972"/>
      <c r="K5" s="1972"/>
      <c r="L5" s="1972"/>
      <c r="M5" s="1972"/>
      <c r="N5" s="1972"/>
      <c r="O5" s="1972"/>
      <c r="P5" s="1973"/>
      <c r="Q5" s="276"/>
    </row>
    <row r="6" spans="1:17" ht="12.75" customHeight="1" x14ac:dyDescent="0.25">
      <c r="A6" s="7" t="s">
        <v>8</v>
      </c>
      <c r="B6" s="8"/>
      <c r="C6" s="1972" t="s">
        <v>836</v>
      </c>
      <c r="D6" s="1972"/>
      <c r="E6" s="1972"/>
      <c r="F6" s="1972"/>
      <c r="G6" s="1972"/>
      <c r="H6" s="1972"/>
      <c r="I6" s="1972"/>
      <c r="J6" s="1972"/>
      <c r="K6" s="1972"/>
      <c r="L6" s="1972"/>
      <c r="M6" s="1972"/>
      <c r="N6" s="1972"/>
      <c r="O6" s="1972"/>
      <c r="P6" s="1973"/>
      <c r="Q6" s="276"/>
    </row>
    <row r="7" spans="1:17" x14ac:dyDescent="0.25">
      <c r="A7" s="7" t="s">
        <v>10</v>
      </c>
      <c r="B7" s="8"/>
      <c r="C7" s="1977" t="s">
        <v>1085</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1086</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1087</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274767</v>
      </c>
      <c r="D20" s="32">
        <f>SUM(D21,D24,D25,D41,D43)</f>
        <v>251667</v>
      </c>
      <c r="E20" s="33">
        <f t="shared" ref="E20:F20" si="1">SUM(E21,E24,E25,E41,E43)</f>
        <v>23100</v>
      </c>
      <c r="F20" s="34">
        <f t="shared" si="1"/>
        <v>274767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3" customHeight="1" thickTop="1" thickBot="1" x14ac:dyDescent="0.3">
      <c r="A24" s="58">
        <v>19300</v>
      </c>
      <c r="B24" s="58" t="s">
        <v>43</v>
      </c>
      <c r="C24" s="59">
        <f>F24+I24</f>
        <v>274767</v>
      </c>
      <c r="D24" s="60">
        <v>251667</v>
      </c>
      <c r="E24" s="61">
        <v>23100</v>
      </c>
      <c r="F24" s="62">
        <f t="shared" si="9"/>
        <v>274767</v>
      </c>
      <c r="G24" s="60"/>
      <c r="H24" s="61"/>
      <c r="I24" s="62">
        <f t="shared" si="10"/>
        <v>0</v>
      </c>
      <c r="J24" s="63" t="s">
        <v>44</v>
      </c>
      <c r="K24" s="64" t="s">
        <v>44</v>
      </c>
      <c r="L24" s="65" t="s">
        <v>44</v>
      </c>
      <c r="M24" s="63" t="s">
        <v>44</v>
      </c>
      <c r="N24" s="64" t="s">
        <v>44</v>
      </c>
      <c r="O24" s="65" t="s">
        <v>44</v>
      </c>
      <c r="P24" s="855" t="s">
        <v>1088</v>
      </c>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274767</v>
      </c>
      <c r="D50" s="158">
        <f>SUM(D51,D286)</f>
        <v>251667</v>
      </c>
      <c r="E50" s="159">
        <f t="shared" ref="E50:F50" si="26">SUM(E51,E286)</f>
        <v>23100</v>
      </c>
      <c r="F50" s="160">
        <f t="shared" si="26"/>
        <v>274767</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274767</v>
      </c>
      <c r="D51" s="164">
        <f>SUM(D52,D194)</f>
        <v>251667</v>
      </c>
      <c r="E51" s="165">
        <f t="shared" ref="E51:F51" si="30">SUM(E52,E194)</f>
        <v>23100</v>
      </c>
      <c r="F51" s="166">
        <f t="shared" si="30"/>
        <v>274767</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259267</v>
      </c>
      <c r="D52" s="172">
        <f>SUM(D53,D75,D173,D187)</f>
        <v>237167</v>
      </c>
      <c r="E52" s="173">
        <f t="shared" ref="E52:F52" si="34">SUM(E53,E75,E173,E187)</f>
        <v>22100</v>
      </c>
      <c r="F52" s="174">
        <f t="shared" si="34"/>
        <v>259267</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4319</v>
      </c>
      <c r="D53" s="178">
        <f>SUM(D54,D67)</f>
        <v>3078</v>
      </c>
      <c r="E53" s="179">
        <f t="shared" ref="E53:F53" si="38">SUM(E54,E67)</f>
        <v>1241</v>
      </c>
      <c r="F53" s="180">
        <f t="shared" si="38"/>
        <v>4319</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3480</v>
      </c>
      <c r="D54" s="183">
        <f>SUM(D55,D58,D66)</f>
        <v>2480</v>
      </c>
      <c r="E54" s="184">
        <f t="shared" ref="E54:F54" si="42">SUM(E55,E58,E66)</f>
        <v>1000</v>
      </c>
      <c r="F54" s="72">
        <f t="shared" si="42"/>
        <v>3480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x14ac:dyDescent="0.25">
      <c r="A57" s="851">
        <v>1119</v>
      </c>
      <c r="B57" s="852" t="s">
        <v>76</v>
      </c>
      <c r="C57" s="853">
        <f t="shared" si="0"/>
        <v>0</v>
      </c>
      <c r="D57" s="303"/>
      <c r="E57" s="542"/>
      <c r="F57" s="543">
        <f t="shared" si="50"/>
        <v>0</v>
      </c>
      <c r="G57" s="303"/>
      <c r="H57" s="542"/>
      <c r="I57" s="543">
        <f t="shared" si="51"/>
        <v>0</v>
      </c>
      <c r="J57" s="303"/>
      <c r="K57" s="542"/>
      <c r="L57" s="543">
        <f t="shared" si="52"/>
        <v>0</v>
      </c>
      <c r="M57" s="303"/>
      <c r="N57" s="542"/>
      <c r="O57" s="543">
        <f t="shared" si="53"/>
        <v>0</v>
      </c>
      <c r="P57" s="854"/>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8.25" customHeight="1" x14ac:dyDescent="0.25">
      <c r="A66" s="185">
        <v>1150</v>
      </c>
      <c r="B66" s="137" t="s">
        <v>85</v>
      </c>
      <c r="C66" s="142">
        <f t="shared" si="0"/>
        <v>3480</v>
      </c>
      <c r="D66" s="143">
        <v>2480</v>
      </c>
      <c r="E66" s="144">
        <v>1000</v>
      </c>
      <c r="F66" s="140">
        <f t="shared" si="58"/>
        <v>3480</v>
      </c>
      <c r="G66" s="143"/>
      <c r="H66" s="144"/>
      <c r="I66" s="140">
        <f t="shared" si="59"/>
        <v>0</v>
      </c>
      <c r="J66" s="143"/>
      <c r="K66" s="144"/>
      <c r="L66" s="140">
        <f t="shared" si="60"/>
        <v>0</v>
      </c>
      <c r="M66" s="143"/>
      <c r="N66" s="144"/>
      <c r="O66" s="140">
        <f t="shared" si="61"/>
        <v>0</v>
      </c>
      <c r="P66" s="856" t="s">
        <v>1089</v>
      </c>
    </row>
    <row r="67" spans="1:16" ht="24" x14ac:dyDescent="0.25">
      <c r="A67" s="68">
        <v>1200</v>
      </c>
      <c r="B67" s="182" t="s">
        <v>86</v>
      </c>
      <c r="C67" s="69">
        <f t="shared" si="0"/>
        <v>839</v>
      </c>
      <c r="D67" s="183">
        <f>SUM(D68:D69)</f>
        <v>598</v>
      </c>
      <c r="E67" s="184">
        <f t="shared" ref="E67:F67" si="62">SUM(E68:E69)</f>
        <v>241</v>
      </c>
      <c r="F67" s="72">
        <f t="shared" si="62"/>
        <v>839</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
      <c r="A68" s="293">
        <v>1210</v>
      </c>
      <c r="B68" s="81" t="s">
        <v>87</v>
      </c>
      <c r="C68" s="82">
        <f t="shared" si="0"/>
        <v>839</v>
      </c>
      <c r="D68" s="46">
        <v>598</v>
      </c>
      <c r="E68" s="47">
        <v>241</v>
      </c>
      <c r="F68" s="133">
        <f>D68+E68</f>
        <v>839</v>
      </c>
      <c r="G68" s="46"/>
      <c r="H68" s="47"/>
      <c r="I68" s="133">
        <f>G68+H68</f>
        <v>0</v>
      </c>
      <c r="J68" s="46"/>
      <c r="K68" s="47"/>
      <c r="L68" s="133">
        <f>K68+J68</f>
        <v>0</v>
      </c>
      <c r="M68" s="46"/>
      <c r="N68" s="47"/>
      <c r="O68" s="133">
        <f>N68+M68</f>
        <v>0</v>
      </c>
      <c r="P68" s="857" t="s">
        <v>1090</v>
      </c>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254948</v>
      </c>
      <c r="D75" s="178">
        <f>SUM(D76,D83,D130,D164,D165,D172)</f>
        <v>234089</v>
      </c>
      <c r="E75" s="179">
        <f t="shared" ref="E75:F75" si="74">SUM(E76,E83,E130,E164,E165,E172)</f>
        <v>20859</v>
      </c>
      <c r="F75" s="180">
        <f t="shared" si="74"/>
        <v>254948</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x14ac:dyDescent="0.25">
      <c r="A76" s="68">
        <v>2100</v>
      </c>
      <c r="B76" s="182" t="s">
        <v>95</v>
      </c>
      <c r="C76" s="69">
        <f t="shared" si="0"/>
        <v>10051</v>
      </c>
      <c r="D76" s="183">
        <f>SUM(D77,D80)</f>
        <v>9046</v>
      </c>
      <c r="E76" s="184">
        <f t="shared" ref="E76:F76" si="78">SUM(E77,E80)</f>
        <v>1005</v>
      </c>
      <c r="F76" s="72">
        <f t="shared" si="78"/>
        <v>10051</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x14ac:dyDescent="0.25">
      <c r="A77" s="293">
        <v>2110</v>
      </c>
      <c r="B77" s="81" t="s">
        <v>96</v>
      </c>
      <c r="C77" s="82">
        <f t="shared" si="0"/>
        <v>1212</v>
      </c>
      <c r="D77" s="192">
        <f>SUM(D78:D79)</f>
        <v>954</v>
      </c>
      <c r="E77" s="193">
        <f t="shared" ref="E77:F77" si="82">SUM(E78:E79)</f>
        <v>258</v>
      </c>
      <c r="F77" s="133">
        <f t="shared" si="82"/>
        <v>1212</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5.75" customHeight="1" x14ac:dyDescent="0.25">
      <c r="A78" s="51">
        <v>2111</v>
      </c>
      <c r="B78" s="88" t="s">
        <v>97</v>
      </c>
      <c r="C78" s="89">
        <f t="shared" si="0"/>
        <v>1062</v>
      </c>
      <c r="D78" s="194">
        <v>954</v>
      </c>
      <c r="E78" s="195">
        <v>108</v>
      </c>
      <c r="F78" s="55">
        <f t="shared" ref="F78:F79" si="86">D78+E78</f>
        <v>1062</v>
      </c>
      <c r="G78" s="53"/>
      <c r="H78" s="54"/>
      <c r="I78" s="55">
        <f t="shared" ref="I78:I79" si="87">G78+H78</f>
        <v>0</v>
      </c>
      <c r="J78" s="53"/>
      <c r="K78" s="54"/>
      <c r="L78" s="55">
        <f t="shared" ref="L78:L79" si="88">K78+J78</f>
        <v>0</v>
      </c>
      <c r="M78" s="53"/>
      <c r="N78" s="54"/>
      <c r="O78" s="55">
        <f t="shared" ref="O78:O79" si="89">N78+M78</f>
        <v>0</v>
      </c>
      <c r="P78" s="858" t="s">
        <v>1091</v>
      </c>
    </row>
    <row r="79" spans="1:16" ht="26.25" customHeight="1" x14ac:dyDescent="0.25">
      <c r="A79" s="51">
        <v>2112</v>
      </c>
      <c r="B79" s="88" t="s">
        <v>98</v>
      </c>
      <c r="C79" s="89">
        <f t="shared" si="0"/>
        <v>150</v>
      </c>
      <c r="D79" s="194">
        <v>0</v>
      </c>
      <c r="E79" s="195">
        <v>150</v>
      </c>
      <c r="F79" s="55">
        <f t="shared" si="86"/>
        <v>150</v>
      </c>
      <c r="G79" s="53"/>
      <c r="H79" s="54"/>
      <c r="I79" s="55">
        <f t="shared" si="87"/>
        <v>0</v>
      </c>
      <c r="J79" s="53"/>
      <c r="K79" s="54"/>
      <c r="L79" s="55">
        <f t="shared" si="88"/>
        <v>0</v>
      </c>
      <c r="M79" s="53"/>
      <c r="N79" s="54"/>
      <c r="O79" s="55">
        <f t="shared" si="89"/>
        <v>0</v>
      </c>
      <c r="P79" s="858" t="s">
        <v>1092</v>
      </c>
    </row>
    <row r="80" spans="1:16" ht="24" x14ac:dyDescent="0.25">
      <c r="A80" s="188">
        <v>2120</v>
      </c>
      <c r="B80" s="88" t="s">
        <v>99</v>
      </c>
      <c r="C80" s="89">
        <f t="shared" si="0"/>
        <v>8839</v>
      </c>
      <c r="D80" s="189">
        <f>SUM(D81:D82)</f>
        <v>8092</v>
      </c>
      <c r="E80" s="190">
        <f t="shared" ref="E80:F80" si="90">SUM(E81:E82)</f>
        <v>747</v>
      </c>
      <c r="F80" s="55">
        <f t="shared" si="90"/>
        <v>8839</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5" customHeight="1" x14ac:dyDescent="0.25">
      <c r="A81" s="51">
        <v>2121</v>
      </c>
      <c r="B81" s="88" t="s">
        <v>97</v>
      </c>
      <c r="C81" s="89">
        <f t="shared" si="0"/>
        <v>4437</v>
      </c>
      <c r="D81" s="194">
        <v>3915</v>
      </c>
      <c r="E81" s="195">
        <v>522</v>
      </c>
      <c r="F81" s="55">
        <f t="shared" ref="F81:F82" si="94">D81+E81</f>
        <v>4437</v>
      </c>
      <c r="G81" s="53"/>
      <c r="H81" s="54"/>
      <c r="I81" s="55">
        <f t="shared" ref="I81:I82" si="95">G81+H81</f>
        <v>0</v>
      </c>
      <c r="J81" s="53"/>
      <c r="K81" s="54"/>
      <c r="L81" s="55">
        <f t="shared" ref="L81:L82" si="96">K81+J81</f>
        <v>0</v>
      </c>
      <c r="M81" s="53"/>
      <c r="N81" s="54"/>
      <c r="O81" s="55">
        <f t="shared" ref="O81:O82" si="97">N81+M81</f>
        <v>0</v>
      </c>
      <c r="P81" s="858" t="s">
        <v>1093</v>
      </c>
    </row>
    <row r="82" spans="1:16" ht="26.25" customHeight="1" x14ac:dyDescent="0.25">
      <c r="A82" s="51">
        <v>2122</v>
      </c>
      <c r="B82" s="88" t="s">
        <v>98</v>
      </c>
      <c r="C82" s="89">
        <f t="shared" si="0"/>
        <v>4402</v>
      </c>
      <c r="D82" s="194">
        <v>4177</v>
      </c>
      <c r="E82" s="195">
        <v>225</v>
      </c>
      <c r="F82" s="55">
        <f t="shared" si="94"/>
        <v>4402</v>
      </c>
      <c r="G82" s="53"/>
      <c r="H82" s="54"/>
      <c r="I82" s="55">
        <f t="shared" si="95"/>
        <v>0</v>
      </c>
      <c r="J82" s="53"/>
      <c r="K82" s="54"/>
      <c r="L82" s="55">
        <f t="shared" si="96"/>
        <v>0</v>
      </c>
      <c r="M82" s="53"/>
      <c r="N82" s="54"/>
      <c r="O82" s="55">
        <f t="shared" si="97"/>
        <v>0</v>
      </c>
      <c r="P82" s="858" t="s">
        <v>1094</v>
      </c>
    </row>
    <row r="83" spans="1:16" x14ac:dyDescent="0.25">
      <c r="A83" s="68">
        <v>2200</v>
      </c>
      <c r="B83" s="182" t="s">
        <v>100</v>
      </c>
      <c r="C83" s="69">
        <f t="shared" si="0"/>
        <v>120630</v>
      </c>
      <c r="D83" s="183">
        <f>SUM(D84,D89,D95,D103,D112,D116,D122,D128)</f>
        <v>112871</v>
      </c>
      <c r="E83" s="184">
        <f t="shared" ref="E83:F83" si="98">SUM(E84,E89,E95,E103,E112,E116,E122,E128)</f>
        <v>7759</v>
      </c>
      <c r="F83" s="72">
        <f t="shared" si="98"/>
        <v>120630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5047</v>
      </c>
      <c r="D95" s="189">
        <f>SUM(D96:D102)</f>
        <v>4900</v>
      </c>
      <c r="E95" s="190">
        <f t="shared" ref="E95:F95" si="119">SUM(E96:E102)</f>
        <v>147</v>
      </c>
      <c r="F95" s="55">
        <f t="shared" si="119"/>
        <v>5047</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3810</v>
      </c>
      <c r="D96" s="194">
        <v>3810</v>
      </c>
      <c r="E96" s="195"/>
      <c r="F96" s="55">
        <f t="shared" ref="F96:F102" si="123">D96+E96</f>
        <v>3810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1000</v>
      </c>
      <c r="D100" s="194">
        <v>1000</v>
      </c>
      <c r="E100" s="195"/>
      <c r="F100" s="55">
        <f t="shared" si="123"/>
        <v>1000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6.25" customHeight="1" x14ac:dyDescent="0.25">
      <c r="A102" s="51">
        <v>2239</v>
      </c>
      <c r="B102" s="88" t="s">
        <v>119</v>
      </c>
      <c r="C102" s="89">
        <f t="shared" si="102"/>
        <v>237</v>
      </c>
      <c r="D102" s="194">
        <v>90</v>
      </c>
      <c r="E102" s="195">
        <v>147</v>
      </c>
      <c r="F102" s="55">
        <f t="shared" si="123"/>
        <v>237</v>
      </c>
      <c r="G102" s="53"/>
      <c r="H102" s="54"/>
      <c r="I102" s="55">
        <f t="shared" si="124"/>
        <v>0</v>
      </c>
      <c r="J102" s="53"/>
      <c r="K102" s="54"/>
      <c r="L102" s="55">
        <f t="shared" si="125"/>
        <v>0</v>
      </c>
      <c r="M102" s="53"/>
      <c r="N102" s="54"/>
      <c r="O102" s="55">
        <f t="shared" si="126"/>
        <v>0</v>
      </c>
      <c r="P102" s="858" t="s">
        <v>1095</v>
      </c>
    </row>
    <row r="103" spans="1:16" ht="36" x14ac:dyDescent="0.25">
      <c r="A103" s="188">
        <v>2240</v>
      </c>
      <c r="B103" s="88" t="s">
        <v>120</v>
      </c>
      <c r="C103" s="89">
        <f t="shared" si="102"/>
        <v>120</v>
      </c>
      <c r="D103" s="189">
        <f>SUM(D104:D111)</f>
        <v>120</v>
      </c>
      <c r="E103" s="190">
        <f t="shared" ref="E103:F103" si="127">SUM(E104:E111)</f>
        <v>0</v>
      </c>
      <c r="F103" s="55">
        <f t="shared" si="127"/>
        <v>120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8" t="s">
        <v>122</v>
      </c>
      <c r="C105" s="89">
        <f t="shared" si="102"/>
        <v>120</v>
      </c>
      <c r="D105" s="194">
        <v>120</v>
      </c>
      <c r="E105" s="195"/>
      <c r="F105" s="55">
        <f t="shared" si="131"/>
        <v>120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82906</v>
      </c>
      <c r="D116" s="189">
        <f>SUM(D117:D121)</f>
        <v>77494</v>
      </c>
      <c r="E116" s="190">
        <f t="shared" ref="E116:F116" si="143">SUM(E117:E121)</f>
        <v>5412</v>
      </c>
      <c r="F116" s="55">
        <f t="shared" si="143"/>
        <v>82906</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4.25" customHeight="1" x14ac:dyDescent="0.25">
      <c r="A117" s="51">
        <v>2261</v>
      </c>
      <c r="B117" s="88" t="s">
        <v>134</v>
      </c>
      <c r="C117" s="89">
        <f t="shared" si="102"/>
        <v>40144</v>
      </c>
      <c r="D117" s="194">
        <v>38544</v>
      </c>
      <c r="E117" s="195">
        <v>1600</v>
      </c>
      <c r="F117" s="55">
        <f t="shared" ref="F117:F121" si="147">D117+E117</f>
        <v>40144</v>
      </c>
      <c r="G117" s="53"/>
      <c r="H117" s="54"/>
      <c r="I117" s="55">
        <f t="shared" ref="I117:I121" si="148">G117+H117</f>
        <v>0</v>
      </c>
      <c r="J117" s="53"/>
      <c r="K117" s="54"/>
      <c r="L117" s="55">
        <f t="shared" ref="L117:L121" si="149">K117+J117</f>
        <v>0</v>
      </c>
      <c r="M117" s="53"/>
      <c r="N117" s="54"/>
      <c r="O117" s="55">
        <f t="shared" ref="O117:O121" si="150">N117+M117</f>
        <v>0</v>
      </c>
      <c r="P117" s="858" t="s">
        <v>1096</v>
      </c>
    </row>
    <row r="118" spans="1:16" ht="13.5" customHeight="1" x14ac:dyDescent="0.25">
      <c r="A118" s="51">
        <v>2262</v>
      </c>
      <c r="B118" s="88" t="s">
        <v>135</v>
      </c>
      <c r="C118" s="89">
        <f t="shared" si="102"/>
        <v>42762</v>
      </c>
      <c r="D118" s="194">
        <v>38950</v>
      </c>
      <c r="E118" s="195">
        <v>3812</v>
      </c>
      <c r="F118" s="55">
        <f t="shared" si="147"/>
        <v>42762</v>
      </c>
      <c r="G118" s="53"/>
      <c r="H118" s="54"/>
      <c r="I118" s="55">
        <f t="shared" si="148"/>
        <v>0</v>
      </c>
      <c r="J118" s="53"/>
      <c r="K118" s="54"/>
      <c r="L118" s="55">
        <f t="shared" si="149"/>
        <v>0</v>
      </c>
      <c r="M118" s="53"/>
      <c r="N118" s="54"/>
      <c r="O118" s="55">
        <f t="shared" si="150"/>
        <v>0</v>
      </c>
      <c r="P118" s="858" t="s">
        <v>1097</v>
      </c>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32557</v>
      </c>
      <c r="D122" s="189">
        <f>SUM(D123:D127)</f>
        <v>30357</v>
      </c>
      <c r="E122" s="190">
        <f t="shared" ref="E122:F122" si="151">SUM(E123:E127)</f>
        <v>2200</v>
      </c>
      <c r="F122" s="55">
        <f t="shared" si="151"/>
        <v>32557</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x14ac:dyDescent="0.25">
      <c r="A127" s="51">
        <v>2279</v>
      </c>
      <c r="B127" s="88" t="s">
        <v>144</v>
      </c>
      <c r="C127" s="89">
        <f t="shared" si="102"/>
        <v>32557</v>
      </c>
      <c r="D127" s="194">
        <v>30357</v>
      </c>
      <c r="E127" s="195">
        <v>2200</v>
      </c>
      <c r="F127" s="55">
        <f t="shared" si="155"/>
        <v>32557</v>
      </c>
      <c r="G127" s="53"/>
      <c r="H127" s="54"/>
      <c r="I127" s="55">
        <f t="shared" si="156"/>
        <v>0</v>
      </c>
      <c r="J127" s="53"/>
      <c r="K127" s="54"/>
      <c r="L127" s="55">
        <f t="shared" si="157"/>
        <v>0</v>
      </c>
      <c r="M127" s="53"/>
      <c r="N127" s="54"/>
      <c r="O127" s="55">
        <f t="shared" si="158"/>
        <v>0</v>
      </c>
      <c r="P127" s="858" t="s">
        <v>1098</v>
      </c>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124267</v>
      </c>
      <c r="D130" s="183">
        <f>SUM(D131,D136,D140,D141,D144,D151,D159,D160,D163)</f>
        <v>112172</v>
      </c>
      <c r="E130" s="184">
        <f t="shared" ref="E130:F130" si="160">SUM(E131,E136,E140,E141,E144,E151,E159,E160,E163)</f>
        <v>12095</v>
      </c>
      <c r="F130" s="72">
        <f t="shared" si="160"/>
        <v>124267</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5150</v>
      </c>
      <c r="D131" s="192">
        <f t="shared" ref="D131:O131" si="164">SUM(D132:D135)</f>
        <v>3150</v>
      </c>
      <c r="E131" s="193">
        <f t="shared" si="164"/>
        <v>2000</v>
      </c>
      <c r="F131" s="133">
        <f t="shared" si="164"/>
        <v>5150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5" customHeight="1" x14ac:dyDescent="0.25">
      <c r="A133" s="51">
        <v>2312</v>
      </c>
      <c r="B133" s="88" t="s">
        <v>150</v>
      </c>
      <c r="C133" s="89">
        <f t="shared" si="102"/>
        <v>1280</v>
      </c>
      <c r="D133" s="194">
        <v>280</v>
      </c>
      <c r="E133" s="195">
        <v>1000</v>
      </c>
      <c r="F133" s="55">
        <f t="shared" si="165"/>
        <v>1280</v>
      </c>
      <c r="G133" s="53"/>
      <c r="H133" s="54"/>
      <c r="I133" s="55">
        <f t="shared" si="166"/>
        <v>0</v>
      </c>
      <c r="J133" s="53"/>
      <c r="K133" s="54"/>
      <c r="L133" s="55">
        <f t="shared" si="167"/>
        <v>0</v>
      </c>
      <c r="M133" s="53"/>
      <c r="N133" s="54"/>
      <c r="O133" s="55">
        <f t="shared" si="168"/>
        <v>0</v>
      </c>
      <c r="P133" s="858" t="s">
        <v>1099</v>
      </c>
    </row>
    <row r="134" spans="1:16" hidden="1" x14ac:dyDescent="0.25">
      <c r="A134" s="851">
        <v>2313</v>
      </c>
      <c r="B134" s="852" t="s">
        <v>151</v>
      </c>
      <c r="C134" s="853">
        <f t="shared" si="102"/>
        <v>0</v>
      </c>
      <c r="D134" s="544"/>
      <c r="E134" s="545"/>
      <c r="F134" s="543">
        <f t="shared" si="165"/>
        <v>0</v>
      </c>
      <c r="G134" s="303"/>
      <c r="H134" s="542"/>
      <c r="I134" s="543">
        <f t="shared" si="166"/>
        <v>0</v>
      </c>
      <c r="J134" s="303"/>
      <c r="K134" s="542"/>
      <c r="L134" s="543">
        <f t="shared" si="167"/>
        <v>0</v>
      </c>
      <c r="M134" s="303"/>
      <c r="N134" s="542"/>
      <c r="O134" s="543">
        <f t="shared" si="168"/>
        <v>0</v>
      </c>
      <c r="P134" s="598"/>
    </row>
    <row r="135" spans="1:16" ht="36" customHeight="1" x14ac:dyDescent="0.25">
      <c r="A135" s="51">
        <v>2314</v>
      </c>
      <c r="B135" s="88" t="s">
        <v>152</v>
      </c>
      <c r="C135" s="89">
        <f t="shared" si="102"/>
        <v>3870</v>
      </c>
      <c r="D135" s="194">
        <v>2870</v>
      </c>
      <c r="E135" s="195">
        <v>1000</v>
      </c>
      <c r="F135" s="55">
        <f t="shared" si="165"/>
        <v>3870</v>
      </c>
      <c r="G135" s="53"/>
      <c r="H135" s="54"/>
      <c r="I135" s="55">
        <f t="shared" si="166"/>
        <v>0</v>
      </c>
      <c r="J135" s="53"/>
      <c r="K135" s="54"/>
      <c r="L135" s="55">
        <f t="shared" si="167"/>
        <v>0</v>
      </c>
      <c r="M135" s="53"/>
      <c r="N135" s="54"/>
      <c r="O135" s="55">
        <f t="shared" si="168"/>
        <v>0</v>
      </c>
      <c r="P135" s="858" t="s">
        <v>1100</v>
      </c>
    </row>
    <row r="136" spans="1:16" x14ac:dyDescent="0.25">
      <c r="A136" s="188">
        <v>2320</v>
      </c>
      <c r="B136" s="88" t="s">
        <v>153</v>
      </c>
      <c r="C136" s="89">
        <f t="shared" si="102"/>
        <v>1200</v>
      </c>
      <c r="D136" s="189">
        <f>SUM(D137:D139)</f>
        <v>1200</v>
      </c>
      <c r="E136" s="190">
        <f t="shared" ref="E136:F136" si="169">SUM(E137:E139)</f>
        <v>0</v>
      </c>
      <c r="F136" s="55">
        <f t="shared" si="169"/>
        <v>1200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8" t="s">
        <v>155</v>
      </c>
      <c r="C138" s="89">
        <f t="shared" si="102"/>
        <v>1200</v>
      </c>
      <c r="D138" s="194">
        <v>1200</v>
      </c>
      <c r="E138" s="195"/>
      <c r="F138" s="55">
        <f t="shared" si="173"/>
        <v>1200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2860</v>
      </c>
      <c r="D141" s="189">
        <f>SUM(D142:D143)</f>
        <v>2160</v>
      </c>
      <c r="E141" s="190">
        <f t="shared" ref="E141:F141" si="177">SUM(E142:E143)</f>
        <v>700</v>
      </c>
      <c r="F141" s="55">
        <f t="shared" si="177"/>
        <v>2860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5" customHeight="1" x14ac:dyDescent="0.25">
      <c r="A142" s="51">
        <v>2341</v>
      </c>
      <c r="B142" s="88" t="s">
        <v>159</v>
      </c>
      <c r="C142" s="89">
        <f t="shared" si="102"/>
        <v>2860</v>
      </c>
      <c r="D142" s="194">
        <v>2160</v>
      </c>
      <c r="E142" s="195">
        <v>700</v>
      </c>
      <c r="F142" s="55">
        <f t="shared" ref="F142:F143" si="181">D142+E142</f>
        <v>2860</v>
      </c>
      <c r="G142" s="53"/>
      <c r="H142" s="54"/>
      <c r="I142" s="55">
        <f t="shared" ref="I142:I143" si="182">G142+H142</f>
        <v>0</v>
      </c>
      <c r="J142" s="53"/>
      <c r="K142" s="54"/>
      <c r="L142" s="55">
        <f t="shared" ref="L142:L143" si="183">K142+J142</f>
        <v>0</v>
      </c>
      <c r="M142" s="53"/>
      <c r="N142" s="54"/>
      <c r="O142" s="55">
        <f t="shared" ref="O142:O143" si="184">N142+M142</f>
        <v>0</v>
      </c>
      <c r="P142" s="858" t="s">
        <v>1101</v>
      </c>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166</v>
      </c>
      <c r="D144" s="186">
        <f>SUM(D145:D150)</f>
        <v>166</v>
      </c>
      <c r="E144" s="187">
        <f t="shared" ref="E144:F144" si="185">SUM(E145:E150)</f>
        <v>0</v>
      </c>
      <c r="F144" s="140">
        <f t="shared" si="185"/>
        <v>166</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8" t="s">
        <v>165</v>
      </c>
      <c r="C148" s="89">
        <f t="shared" ref="C148:C211" si="193">F148+I148+L148+O148</f>
        <v>166</v>
      </c>
      <c r="D148" s="194">
        <v>166</v>
      </c>
      <c r="E148" s="195"/>
      <c r="F148" s="55">
        <f t="shared" si="189"/>
        <v>166</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100195</v>
      </c>
      <c r="D151" s="189">
        <f>SUM(D152:D158)</f>
        <v>91600</v>
      </c>
      <c r="E151" s="190">
        <f t="shared" ref="E151:F151" si="194">SUM(E152:E158)</f>
        <v>8595</v>
      </c>
      <c r="F151" s="55">
        <f t="shared" si="194"/>
        <v>100195</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5" customHeight="1" x14ac:dyDescent="0.25">
      <c r="A152" s="50">
        <v>2361</v>
      </c>
      <c r="B152" s="88" t="s">
        <v>169</v>
      </c>
      <c r="C152" s="89">
        <f t="shared" si="193"/>
        <v>52870</v>
      </c>
      <c r="D152" s="194">
        <v>46595</v>
      </c>
      <c r="E152" s="195">
        <v>6275</v>
      </c>
      <c r="F152" s="55">
        <f t="shared" ref="F152:F159" si="198">D152+E152</f>
        <v>52870</v>
      </c>
      <c r="G152" s="53"/>
      <c r="H152" s="54"/>
      <c r="I152" s="55">
        <f t="shared" ref="I152:I159" si="199">G152+H152</f>
        <v>0</v>
      </c>
      <c r="J152" s="53"/>
      <c r="K152" s="54"/>
      <c r="L152" s="55">
        <f t="shared" ref="L152:L159" si="200">K152+J152</f>
        <v>0</v>
      </c>
      <c r="M152" s="53"/>
      <c r="N152" s="54"/>
      <c r="O152" s="55">
        <f t="shared" ref="O152:O159" si="201">N152+M152</f>
        <v>0</v>
      </c>
      <c r="P152" s="858" t="s">
        <v>1102</v>
      </c>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5.75" customHeight="1" x14ac:dyDescent="0.25">
      <c r="A154" s="50">
        <v>2363</v>
      </c>
      <c r="B154" s="88" t="s">
        <v>171</v>
      </c>
      <c r="C154" s="89">
        <f t="shared" si="193"/>
        <v>47325</v>
      </c>
      <c r="D154" s="194">
        <v>45005</v>
      </c>
      <c r="E154" s="195">
        <v>2320</v>
      </c>
      <c r="F154" s="55">
        <f t="shared" si="198"/>
        <v>47325</v>
      </c>
      <c r="G154" s="53"/>
      <c r="H154" s="54"/>
      <c r="I154" s="55">
        <f t="shared" si="199"/>
        <v>0</v>
      </c>
      <c r="J154" s="53"/>
      <c r="K154" s="54"/>
      <c r="L154" s="55">
        <f t="shared" si="200"/>
        <v>0</v>
      </c>
      <c r="M154" s="53"/>
      <c r="N154" s="54"/>
      <c r="O154" s="55">
        <f t="shared" si="201"/>
        <v>0</v>
      </c>
      <c r="P154" s="858" t="s">
        <v>1103</v>
      </c>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4.25" customHeight="1" x14ac:dyDescent="0.25">
      <c r="A159" s="185">
        <v>2370</v>
      </c>
      <c r="B159" s="137" t="s">
        <v>176</v>
      </c>
      <c r="C159" s="142">
        <f t="shared" si="193"/>
        <v>14696</v>
      </c>
      <c r="D159" s="202">
        <v>13896</v>
      </c>
      <c r="E159" s="203">
        <v>800</v>
      </c>
      <c r="F159" s="140">
        <f t="shared" si="198"/>
        <v>14696</v>
      </c>
      <c r="G159" s="143"/>
      <c r="H159" s="144"/>
      <c r="I159" s="140">
        <f t="shared" si="199"/>
        <v>0</v>
      </c>
      <c r="J159" s="143"/>
      <c r="K159" s="144"/>
      <c r="L159" s="140">
        <f t="shared" si="200"/>
        <v>0</v>
      </c>
      <c r="M159" s="143"/>
      <c r="N159" s="144"/>
      <c r="O159" s="140">
        <f t="shared" si="201"/>
        <v>0</v>
      </c>
      <c r="P159" s="858" t="s">
        <v>1104</v>
      </c>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9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15500</v>
      </c>
      <c r="D194" s="172">
        <f t="shared" ref="D194:O194" si="259">SUM(D195,D230,D269,D283)</f>
        <v>14500</v>
      </c>
      <c r="E194" s="173">
        <f t="shared" si="259"/>
        <v>1000</v>
      </c>
      <c r="F194" s="174">
        <f t="shared" si="259"/>
        <v>15500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15500</v>
      </c>
      <c r="D195" s="178">
        <f>D196+D204</f>
        <v>14500</v>
      </c>
      <c r="E195" s="179">
        <f t="shared" ref="E195:F195" si="260">E196+E204</f>
        <v>1000</v>
      </c>
      <c r="F195" s="180">
        <f t="shared" si="260"/>
        <v>15500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15500</v>
      </c>
      <c r="D204" s="183">
        <f>D205+D215+D216+D225+D226+D227+D229</f>
        <v>14500</v>
      </c>
      <c r="E204" s="184">
        <f t="shared" ref="E204:F204" si="276">E205+E215+E216+E225+E226+E227+E229</f>
        <v>1000</v>
      </c>
      <c r="F204" s="72">
        <f t="shared" si="276"/>
        <v>15500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15500</v>
      </c>
      <c r="D216" s="189">
        <f>SUM(D217:D224)</f>
        <v>14500</v>
      </c>
      <c r="E216" s="190">
        <f t="shared" ref="E216:F216" si="289">SUM(E217:E224)</f>
        <v>1000</v>
      </c>
      <c r="F216" s="55">
        <f t="shared" si="289"/>
        <v>15500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1000</v>
      </c>
      <c r="D223" s="194"/>
      <c r="E223" s="195">
        <v>1000</v>
      </c>
      <c r="F223" s="55">
        <f t="shared" si="293"/>
        <v>1000</v>
      </c>
      <c r="G223" s="53"/>
      <c r="H223" s="54"/>
      <c r="I223" s="55">
        <f t="shared" si="294"/>
        <v>0</v>
      </c>
      <c r="J223" s="53"/>
      <c r="K223" s="54"/>
      <c r="L223" s="55">
        <f t="shared" si="295"/>
        <v>0</v>
      </c>
      <c r="M223" s="53"/>
      <c r="N223" s="54"/>
      <c r="O223" s="55">
        <f t="shared" si="296"/>
        <v>0</v>
      </c>
      <c r="P223" s="858" t="s">
        <v>1105</v>
      </c>
    </row>
    <row r="224" spans="1:16" ht="24" customHeight="1" x14ac:dyDescent="0.25">
      <c r="A224" s="51">
        <v>5239</v>
      </c>
      <c r="B224" s="88" t="s">
        <v>241</v>
      </c>
      <c r="C224" s="89">
        <f t="shared" si="288"/>
        <v>14500</v>
      </c>
      <c r="D224" s="194">
        <v>14500</v>
      </c>
      <c r="E224" s="195"/>
      <c r="F224" s="55">
        <f t="shared" si="293"/>
        <v>14500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274767</v>
      </c>
      <c r="D289" s="251">
        <f t="shared" ref="D289:O289" si="389">SUM(D286,D269,D230,D195,D187,D173,D75,D53,D283)</f>
        <v>251667</v>
      </c>
      <c r="E289" s="252">
        <f t="shared" si="389"/>
        <v>23100</v>
      </c>
      <c r="F289" s="253">
        <f t="shared" si="389"/>
        <v>274767</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0Xxtx0kri8VSDzQBYlRqCaf+NfJAK03fqhGYMC2UCTgWAX8rev/FOcxJQ9Ljoeg+CW5Sgpta7LGhKIK86Unzmw==" saltValue="8IpXD53hC9r5qlHHsfJHmw==" spinCount="100000" sheet="1" objects="1" scenarios="1" formatCells="0" formatColumns="0" formatRows="0" deleteColumns="0"/>
  <autoFilter ref="A18:P301">
    <filterColumn colId="2">
      <filters>
        <filter val="1 000"/>
        <filter val="1 062"/>
        <filter val="1 200"/>
        <filter val="1 212"/>
        <filter val="1 280"/>
        <filter val="10 051"/>
        <filter val="100 195"/>
        <filter val="120"/>
        <filter val="120 630"/>
        <filter val="124 267"/>
        <filter val="14 500"/>
        <filter val="14 696"/>
        <filter val="15 500"/>
        <filter val="150"/>
        <filter val="166"/>
        <filter val="2 860"/>
        <filter val="237"/>
        <filter val="254 948"/>
        <filter val="259 267"/>
        <filter val="274 767"/>
        <filter val="3 480"/>
        <filter val="3 810"/>
        <filter val="3 870"/>
        <filter val="32 557"/>
        <filter val="4 319"/>
        <filter val="4 402"/>
        <filter val="4 437"/>
        <filter val="40 144"/>
        <filter val="42 762"/>
        <filter val="47 325"/>
        <filter val="5 047"/>
        <filter val="5 150"/>
        <filter val="52 870"/>
        <filter val="8 839"/>
        <filter val="82 906"/>
        <filter val="83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51.pielikums Jūrmalas pilsētas domes
2019.gada 29.augusta saistošajiem noteikumiem Nr.31
(protokols Nr.12, 20.punkts)</firstHeader>
    <firstFooter>&amp;L&amp;9&amp;D; &amp;T&amp;R&amp;9&amp;P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view="pageLayout" zoomScaleNormal="100" workbookViewId="0">
      <selection activeCell="S5" sqref="R5:S5"/>
    </sheetView>
  </sheetViews>
  <sheetFormatPr defaultRowHeight="12" outlineLevelCol="1" x14ac:dyDescent="0.25"/>
  <cols>
    <col min="1" max="1" width="10.85546875" style="275" customWidth="1"/>
    <col min="2" max="2" width="28" style="275" customWidth="1"/>
    <col min="3" max="3" width="11"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1540</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1541</v>
      </c>
      <c r="D3" s="1977"/>
      <c r="E3" s="1977"/>
      <c r="F3" s="1977"/>
      <c r="G3" s="1977"/>
      <c r="H3" s="1977"/>
      <c r="I3" s="1977"/>
      <c r="J3" s="1977"/>
      <c r="K3" s="1977"/>
      <c r="L3" s="1977"/>
      <c r="M3" s="1977"/>
      <c r="N3" s="1977"/>
      <c r="O3" s="1977"/>
      <c r="P3" s="1978"/>
      <c r="Q3" s="276"/>
    </row>
    <row r="4" spans="1:17" ht="12.75" customHeight="1" x14ac:dyDescent="0.25">
      <c r="A4" s="5" t="s">
        <v>4</v>
      </c>
      <c r="B4" s="6"/>
      <c r="C4" s="1977" t="s">
        <v>1542</v>
      </c>
      <c r="D4" s="1977"/>
      <c r="E4" s="1977"/>
      <c r="F4" s="1977"/>
      <c r="G4" s="1977"/>
      <c r="H4" s="1977"/>
      <c r="I4" s="1977"/>
      <c r="J4" s="1977"/>
      <c r="K4" s="1977"/>
      <c r="L4" s="1977"/>
      <c r="M4" s="1977"/>
      <c r="N4" s="1977"/>
      <c r="O4" s="1977"/>
      <c r="P4" s="1978"/>
      <c r="Q4" s="276"/>
    </row>
    <row r="5" spans="1:17" ht="12.75" customHeight="1" x14ac:dyDescent="0.25">
      <c r="A5" s="7" t="s">
        <v>6</v>
      </c>
      <c r="B5" s="8"/>
      <c r="C5" s="1972" t="s">
        <v>1543</v>
      </c>
      <c r="D5" s="1972"/>
      <c r="E5" s="1972"/>
      <c r="F5" s="1972"/>
      <c r="G5" s="1972"/>
      <c r="H5" s="1972"/>
      <c r="I5" s="1972"/>
      <c r="J5" s="1972"/>
      <c r="K5" s="1972"/>
      <c r="L5" s="1972"/>
      <c r="M5" s="1972"/>
      <c r="N5" s="1972"/>
      <c r="O5" s="1972"/>
      <c r="P5" s="1973"/>
      <c r="Q5" s="276"/>
    </row>
    <row r="6" spans="1:17" ht="12.75" customHeight="1" x14ac:dyDescent="0.25">
      <c r="A6" s="7" t="s">
        <v>8</v>
      </c>
      <c r="B6" s="8"/>
      <c r="C6" s="1972" t="s">
        <v>1263</v>
      </c>
      <c r="D6" s="1972"/>
      <c r="E6" s="1972"/>
      <c r="F6" s="1972"/>
      <c r="G6" s="1972"/>
      <c r="H6" s="1972"/>
      <c r="I6" s="1972"/>
      <c r="J6" s="1972"/>
      <c r="K6" s="1972"/>
      <c r="L6" s="1972"/>
      <c r="M6" s="1972"/>
      <c r="N6" s="1972"/>
      <c r="O6" s="1972"/>
      <c r="P6" s="1973"/>
      <c r="Q6" s="276"/>
    </row>
    <row r="7" spans="1:17" ht="24.75" customHeight="1" x14ac:dyDescent="0.25">
      <c r="A7" s="7" t="s">
        <v>10</v>
      </c>
      <c r="B7" s="8"/>
      <c r="C7" s="1977" t="s">
        <v>1544</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1545</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1546</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2503123</v>
      </c>
      <c r="D20" s="32">
        <f>SUM(D21,D24,D25,D41,D43)</f>
        <v>2454815</v>
      </c>
      <c r="E20" s="33">
        <f>SUM(E21,E24,E25,E41,E43)</f>
        <v>17257</v>
      </c>
      <c r="F20" s="34">
        <f>SUM(F21,F24,F25,F41,F43)</f>
        <v>2472072</v>
      </c>
      <c r="G20" s="32">
        <f>SUM(G21,G24,G43)</f>
        <v>0</v>
      </c>
      <c r="H20" s="33">
        <f>SUM(H21,H24,H43)</f>
        <v>0</v>
      </c>
      <c r="I20" s="34">
        <f>SUM(I21,I24,I43)</f>
        <v>0</v>
      </c>
      <c r="J20" s="32">
        <f>SUM(J21,J26,J43)</f>
        <v>30991</v>
      </c>
      <c r="K20" s="33">
        <f>SUM(K21,K26,K43)</f>
        <v>60</v>
      </c>
      <c r="L20" s="34">
        <f>SUM(L21,L26,L43)</f>
        <v>31051</v>
      </c>
      <c r="M20" s="32">
        <f>SUM(M21,M45)</f>
        <v>0</v>
      </c>
      <c r="N20" s="33">
        <f>SUM(N21,N45)</f>
        <v>0</v>
      </c>
      <c r="O20" s="34">
        <f>SUM(O21,O45)</f>
        <v>0</v>
      </c>
      <c r="P20" s="35"/>
    </row>
    <row r="21" spans="1:16" ht="12.75" thickTop="1" x14ac:dyDescent="0.25">
      <c r="A21" s="36"/>
      <c r="B21" s="37" t="s">
        <v>40</v>
      </c>
      <c r="C21" s="38">
        <f t="shared" si="0"/>
        <v>4445</v>
      </c>
      <c r="D21" s="39">
        <f t="shared" ref="D21:O21" si="1">SUM(D22:D23)</f>
        <v>0</v>
      </c>
      <c r="E21" s="40">
        <f t="shared" si="1"/>
        <v>0</v>
      </c>
      <c r="F21" s="41">
        <f t="shared" si="1"/>
        <v>0</v>
      </c>
      <c r="G21" s="39">
        <f t="shared" si="1"/>
        <v>0</v>
      </c>
      <c r="H21" s="40">
        <f t="shared" si="1"/>
        <v>0</v>
      </c>
      <c r="I21" s="41">
        <f t="shared" si="1"/>
        <v>0</v>
      </c>
      <c r="J21" s="39">
        <f t="shared" si="1"/>
        <v>4445</v>
      </c>
      <c r="K21" s="40">
        <f t="shared" si="1"/>
        <v>0</v>
      </c>
      <c r="L21" s="41">
        <f t="shared" si="1"/>
        <v>4445</v>
      </c>
      <c r="M21" s="39">
        <f t="shared" si="1"/>
        <v>0</v>
      </c>
      <c r="N21" s="40">
        <f t="shared" si="1"/>
        <v>0</v>
      </c>
      <c r="O21" s="41">
        <f t="shared" si="1"/>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4445</v>
      </c>
      <c r="D23" s="53"/>
      <c r="E23" s="54"/>
      <c r="F23" s="55">
        <f>D23+E23</f>
        <v>0</v>
      </c>
      <c r="G23" s="53"/>
      <c r="H23" s="54"/>
      <c r="I23" s="55">
        <f>G23+H23</f>
        <v>0</v>
      </c>
      <c r="J23" s="53">
        <v>4445</v>
      </c>
      <c r="K23" s="54"/>
      <c r="L23" s="56">
        <f>K23+J23</f>
        <v>4445</v>
      </c>
      <c r="M23" s="53"/>
      <c r="N23" s="54"/>
      <c r="O23" s="55">
        <f>N23+M23</f>
        <v>0</v>
      </c>
      <c r="P23" s="57"/>
    </row>
    <row r="24" spans="1:16" s="28" customFormat="1" ht="24.75" customHeight="1" thickBot="1" x14ac:dyDescent="0.3">
      <c r="A24" s="58">
        <v>19300</v>
      </c>
      <c r="B24" s="58" t="s">
        <v>43</v>
      </c>
      <c r="C24" s="59">
        <f>F24+I24</f>
        <v>2472072</v>
      </c>
      <c r="D24" s="60">
        <v>2454815</v>
      </c>
      <c r="E24" s="61">
        <f>17257</f>
        <v>17257</v>
      </c>
      <c r="F24" s="62">
        <f>D24+E24</f>
        <v>2472072</v>
      </c>
      <c r="G24" s="60"/>
      <c r="H24" s="61"/>
      <c r="I24" s="62">
        <f>G24+H24</f>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D25+E25</f>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 t="shared" ref="C26:C40" si="2">L26</f>
        <v>21276</v>
      </c>
      <c r="D26" s="73" t="s">
        <v>44</v>
      </c>
      <c r="E26" s="74" t="s">
        <v>44</v>
      </c>
      <c r="F26" s="75" t="s">
        <v>44</v>
      </c>
      <c r="G26" s="73" t="s">
        <v>44</v>
      </c>
      <c r="H26" s="74" t="s">
        <v>44</v>
      </c>
      <c r="I26" s="75" t="s">
        <v>44</v>
      </c>
      <c r="J26" s="77">
        <f>SUM(J27,J31,J33,J36)</f>
        <v>21276</v>
      </c>
      <c r="K26" s="78">
        <f>SUM(K27,K31,K33,K36)</f>
        <v>0</v>
      </c>
      <c r="L26" s="79">
        <f>SUM(L27,L31,L33,L36)</f>
        <v>21276</v>
      </c>
      <c r="M26" s="77" t="s">
        <v>44</v>
      </c>
      <c r="N26" s="78" t="s">
        <v>44</v>
      </c>
      <c r="O26" s="79" t="s">
        <v>44</v>
      </c>
      <c r="P26" s="76"/>
    </row>
    <row r="27" spans="1:16" s="28" customFormat="1" ht="24" hidden="1" customHeight="1" x14ac:dyDescent="0.25">
      <c r="A27" s="80">
        <v>21350</v>
      </c>
      <c r="B27" s="68" t="s">
        <v>47</v>
      </c>
      <c r="C27" s="69">
        <f t="shared" si="2"/>
        <v>0</v>
      </c>
      <c r="D27" s="73" t="s">
        <v>44</v>
      </c>
      <c r="E27" s="74" t="s">
        <v>44</v>
      </c>
      <c r="F27" s="75" t="s">
        <v>44</v>
      </c>
      <c r="G27" s="73" t="s">
        <v>44</v>
      </c>
      <c r="H27" s="74" t="s">
        <v>44</v>
      </c>
      <c r="I27" s="75" t="s">
        <v>44</v>
      </c>
      <c r="J27" s="77">
        <f>SUM(J28:J30)</f>
        <v>0</v>
      </c>
      <c r="K27" s="78">
        <f>SUM(K28:K30)</f>
        <v>0</v>
      </c>
      <c r="L27" s="79">
        <f>SUM(L28:L30)</f>
        <v>0</v>
      </c>
      <c r="M27" s="77" t="s">
        <v>44</v>
      </c>
      <c r="N27" s="78" t="s">
        <v>44</v>
      </c>
      <c r="O27" s="79" t="s">
        <v>44</v>
      </c>
      <c r="P27" s="76"/>
    </row>
    <row r="28" spans="1:16" ht="12" hidden="1" customHeight="1" x14ac:dyDescent="0.25">
      <c r="A28" s="43">
        <v>21351</v>
      </c>
      <c r="B28" s="81" t="s">
        <v>48</v>
      </c>
      <c r="C28" s="82">
        <f t="shared" si="2"/>
        <v>0</v>
      </c>
      <c r="D28" s="83" t="s">
        <v>44</v>
      </c>
      <c r="E28" s="84" t="s">
        <v>44</v>
      </c>
      <c r="F28" s="85" t="s">
        <v>44</v>
      </c>
      <c r="G28" s="83" t="s">
        <v>44</v>
      </c>
      <c r="H28" s="84" t="s">
        <v>44</v>
      </c>
      <c r="I28" s="85" t="s">
        <v>44</v>
      </c>
      <c r="J28" s="46"/>
      <c r="K28" s="47"/>
      <c r="L28" s="48">
        <f>K28+J28</f>
        <v>0</v>
      </c>
      <c r="M28" s="86" t="s">
        <v>44</v>
      </c>
      <c r="N28" s="87" t="s">
        <v>44</v>
      </c>
      <c r="O28" s="48" t="s">
        <v>44</v>
      </c>
      <c r="P28" s="49"/>
    </row>
    <row r="29" spans="1:16" ht="12" hidden="1" customHeight="1" x14ac:dyDescent="0.25">
      <c r="A29" s="50">
        <v>21352</v>
      </c>
      <c r="B29" s="88" t="s">
        <v>49</v>
      </c>
      <c r="C29" s="89">
        <f t="shared" si="2"/>
        <v>0</v>
      </c>
      <c r="D29" s="90" t="s">
        <v>44</v>
      </c>
      <c r="E29" s="91" t="s">
        <v>44</v>
      </c>
      <c r="F29" s="92" t="s">
        <v>44</v>
      </c>
      <c r="G29" s="90" t="s">
        <v>44</v>
      </c>
      <c r="H29" s="91" t="s">
        <v>44</v>
      </c>
      <c r="I29" s="92" t="s">
        <v>44</v>
      </c>
      <c r="J29" s="53"/>
      <c r="K29" s="54"/>
      <c r="L29" s="56">
        <f>K29+J29</f>
        <v>0</v>
      </c>
      <c r="M29" s="93" t="s">
        <v>44</v>
      </c>
      <c r="N29" s="94" t="s">
        <v>44</v>
      </c>
      <c r="O29" s="56" t="s">
        <v>44</v>
      </c>
      <c r="P29" s="57"/>
    </row>
    <row r="30" spans="1:16" ht="24" hidden="1" customHeight="1" x14ac:dyDescent="0.25">
      <c r="A30" s="50">
        <v>21359</v>
      </c>
      <c r="B30" s="88" t="s">
        <v>50</v>
      </c>
      <c r="C30" s="89">
        <f t="shared" si="2"/>
        <v>0</v>
      </c>
      <c r="D30" s="90" t="s">
        <v>44</v>
      </c>
      <c r="E30" s="91" t="s">
        <v>44</v>
      </c>
      <c r="F30" s="92" t="s">
        <v>44</v>
      </c>
      <c r="G30" s="90" t="s">
        <v>44</v>
      </c>
      <c r="H30" s="91" t="s">
        <v>44</v>
      </c>
      <c r="I30" s="92" t="s">
        <v>44</v>
      </c>
      <c r="J30" s="53"/>
      <c r="K30" s="54"/>
      <c r="L30" s="56">
        <f>K30+J30</f>
        <v>0</v>
      </c>
      <c r="M30" s="93" t="s">
        <v>44</v>
      </c>
      <c r="N30" s="94" t="s">
        <v>44</v>
      </c>
      <c r="O30" s="56" t="s">
        <v>44</v>
      </c>
      <c r="P30" s="57"/>
    </row>
    <row r="31" spans="1:16" s="28" customFormat="1" ht="36" hidden="1" customHeight="1" x14ac:dyDescent="0.25">
      <c r="A31" s="80">
        <v>21370</v>
      </c>
      <c r="B31" s="68" t="s">
        <v>51</v>
      </c>
      <c r="C31" s="69">
        <f t="shared" si="2"/>
        <v>0</v>
      </c>
      <c r="D31" s="73" t="s">
        <v>44</v>
      </c>
      <c r="E31" s="74" t="s">
        <v>44</v>
      </c>
      <c r="F31" s="75" t="s">
        <v>44</v>
      </c>
      <c r="G31" s="73" t="s">
        <v>44</v>
      </c>
      <c r="H31" s="74" t="s">
        <v>44</v>
      </c>
      <c r="I31" s="75" t="s">
        <v>44</v>
      </c>
      <c r="J31" s="77">
        <f>SUM(J32)</f>
        <v>0</v>
      </c>
      <c r="K31" s="78">
        <f>SUM(K32)</f>
        <v>0</v>
      </c>
      <c r="L31" s="79">
        <f>SUM(L32)</f>
        <v>0</v>
      </c>
      <c r="M31" s="77" t="s">
        <v>44</v>
      </c>
      <c r="N31" s="78" t="s">
        <v>44</v>
      </c>
      <c r="O31" s="79" t="s">
        <v>44</v>
      </c>
      <c r="P31" s="76"/>
    </row>
    <row r="32" spans="1:16" ht="36" hidden="1" customHeight="1" x14ac:dyDescent="0.25">
      <c r="A32" s="95">
        <v>21379</v>
      </c>
      <c r="B32" s="96" t="s">
        <v>52</v>
      </c>
      <c r="C32" s="97">
        <f t="shared" si="2"/>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2"/>
        <v>0</v>
      </c>
      <c r="D33" s="73" t="s">
        <v>44</v>
      </c>
      <c r="E33" s="74" t="s">
        <v>44</v>
      </c>
      <c r="F33" s="75" t="s">
        <v>44</v>
      </c>
      <c r="G33" s="73" t="s">
        <v>44</v>
      </c>
      <c r="H33" s="74" t="s">
        <v>44</v>
      </c>
      <c r="I33" s="75" t="s">
        <v>44</v>
      </c>
      <c r="J33" s="77">
        <f>SUM(J34:J35)</f>
        <v>0</v>
      </c>
      <c r="K33" s="78">
        <f>SUM(K34:K35)</f>
        <v>0</v>
      </c>
      <c r="L33" s="79">
        <f>SUM(L34:L35)</f>
        <v>0</v>
      </c>
      <c r="M33" s="77" t="s">
        <v>44</v>
      </c>
      <c r="N33" s="78" t="s">
        <v>44</v>
      </c>
      <c r="O33" s="79" t="s">
        <v>44</v>
      </c>
      <c r="P33" s="76"/>
    </row>
    <row r="34" spans="1:16" ht="12" hidden="1" customHeight="1" x14ac:dyDescent="0.25">
      <c r="A34" s="44">
        <v>21381</v>
      </c>
      <c r="B34" s="81" t="s">
        <v>54</v>
      </c>
      <c r="C34" s="82">
        <f t="shared" si="2"/>
        <v>0</v>
      </c>
      <c r="D34" s="83" t="s">
        <v>44</v>
      </c>
      <c r="E34" s="84" t="s">
        <v>44</v>
      </c>
      <c r="F34" s="85" t="s">
        <v>44</v>
      </c>
      <c r="G34" s="83" t="s">
        <v>44</v>
      </c>
      <c r="H34" s="84" t="s">
        <v>44</v>
      </c>
      <c r="I34" s="85" t="s">
        <v>44</v>
      </c>
      <c r="J34" s="46"/>
      <c r="K34" s="47"/>
      <c r="L34" s="48">
        <f>K34+J34</f>
        <v>0</v>
      </c>
      <c r="M34" s="86" t="s">
        <v>44</v>
      </c>
      <c r="N34" s="87" t="s">
        <v>44</v>
      </c>
      <c r="O34" s="48" t="s">
        <v>44</v>
      </c>
      <c r="P34" s="49"/>
    </row>
    <row r="35" spans="1:16" ht="24" hidden="1" customHeight="1" x14ac:dyDescent="0.25">
      <c r="A35" s="51">
        <v>21383</v>
      </c>
      <c r="B35" s="88" t="s">
        <v>55</v>
      </c>
      <c r="C35" s="89">
        <f t="shared" si="2"/>
        <v>0</v>
      </c>
      <c r="D35" s="90" t="s">
        <v>44</v>
      </c>
      <c r="E35" s="91" t="s">
        <v>44</v>
      </c>
      <c r="F35" s="92" t="s">
        <v>44</v>
      </c>
      <c r="G35" s="90" t="s">
        <v>44</v>
      </c>
      <c r="H35" s="91" t="s">
        <v>44</v>
      </c>
      <c r="I35" s="92" t="s">
        <v>44</v>
      </c>
      <c r="J35" s="53"/>
      <c r="K35" s="54"/>
      <c r="L35" s="56">
        <f>K35+J35</f>
        <v>0</v>
      </c>
      <c r="M35" s="93" t="s">
        <v>44</v>
      </c>
      <c r="N35" s="94" t="s">
        <v>44</v>
      </c>
      <c r="O35" s="56" t="s">
        <v>44</v>
      </c>
      <c r="P35" s="57"/>
    </row>
    <row r="36" spans="1:16" s="28" customFormat="1" ht="25.5" customHeight="1" x14ac:dyDescent="0.25">
      <c r="A36" s="80">
        <v>21390</v>
      </c>
      <c r="B36" s="68" t="s">
        <v>56</v>
      </c>
      <c r="C36" s="69">
        <f t="shared" si="2"/>
        <v>21276</v>
      </c>
      <c r="D36" s="73" t="s">
        <v>44</v>
      </c>
      <c r="E36" s="74" t="s">
        <v>44</v>
      </c>
      <c r="F36" s="75" t="s">
        <v>44</v>
      </c>
      <c r="G36" s="73" t="s">
        <v>44</v>
      </c>
      <c r="H36" s="74" t="s">
        <v>44</v>
      </c>
      <c r="I36" s="75" t="s">
        <v>44</v>
      </c>
      <c r="J36" s="77">
        <f>SUM(J37:J40)</f>
        <v>21276</v>
      </c>
      <c r="K36" s="78">
        <f>SUM(K37:K40)</f>
        <v>0</v>
      </c>
      <c r="L36" s="79">
        <f>SUM(L37:L40)</f>
        <v>21276</v>
      </c>
      <c r="M36" s="77" t="s">
        <v>44</v>
      </c>
      <c r="N36" s="78" t="s">
        <v>44</v>
      </c>
      <c r="O36" s="79" t="s">
        <v>44</v>
      </c>
      <c r="P36" s="76"/>
    </row>
    <row r="37" spans="1:16" ht="24" hidden="1" customHeight="1" x14ac:dyDescent="0.25">
      <c r="A37" s="44">
        <v>21391</v>
      </c>
      <c r="B37" s="81" t="s">
        <v>57</v>
      </c>
      <c r="C37" s="82">
        <f t="shared" si="2"/>
        <v>0</v>
      </c>
      <c r="D37" s="83" t="s">
        <v>44</v>
      </c>
      <c r="E37" s="84" t="s">
        <v>44</v>
      </c>
      <c r="F37" s="85" t="s">
        <v>44</v>
      </c>
      <c r="G37" s="83" t="s">
        <v>44</v>
      </c>
      <c r="H37" s="84" t="s">
        <v>44</v>
      </c>
      <c r="I37" s="85" t="s">
        <v>44</v>
      </c>
      <c r="J37" s="46"/>
      <c r="K37" s="47"/>
      <c r="L37" s="48">
        <f>K37+J37</f>
        <v>0</v>
      </c>
      <c r="M37" s="86" t="s">
        <v>44</v>
      </c>
      <c r="N37" s="87" t="s">
        <v>44</v>
      </c>
      <c r="O37" s="48" t="s">
        <v>44</v>
      </c>
      <c r="P37" s="49"/>
    </row>
    <row r="38" spans="1:16" ht="12" hidden="1" customHeight="1" x14ac:dyDescent="0.25">
      <c r="A38" s="51">
        <v>21393</v>
      </c>
      <c r="B38" s="88" t="s">
        <v>58</v>
      </c>
      <c r="C38" s="89">
        <f t="shared" si="2"/>
        <v>0</v>
      </c>
      <c r="D38" s="90" t="s">
        <v>44</v>
      </c>
      <c r="E38" s="91" t="s">
        <v>44</v>
      </c>
      <c r="F38" s="92" t="s">
        <v>44</v>
      </c>
      <c r="G38" s="90" t="s">
        <v>44</v>
      </c>
      <c r="H38" s="91" t="s">
        <v>44</v>
      </c>
      <c r="I38" s="92" t="s">
        <v>44</v>
      </c>
      <c r="J38" s="53"/>
      <c r="K38" s="54"/>
      <c r="L38" s="56">
        <f>K38+J38</f>
        <v>0</v>
      </c>
      <c r="M38" s="93" t="s">
        <v>44</v>
      </c>
      <c r="N38" s="94" t="s">
        <v>44</v>
      </c>
      <c r="O38" s="56" t="s">
        <v>44</v>
      </c>
      <c r="P38" s="57"/>
    </row>
    <row r="39" spans="1:16" ht="12" hidden="1" customHeight="1" x14ac:dyDescent="0.25">
      <c r="A39" s="51">
        <v>21395</v>
      </c>
      <c r="B39" s="88" t="s">
        <v>59</v>
      </c>
      <c r="C39" s="89">
        <f t="shared" si="2"/>
        <v>0</v>
      </c>
      <c r="D39" s="90" t="s">
        <v>44</v>
      </c>
      <c r="E39" s="91" t="s">
        <v>44</v>
      </c>
      <c r="F39" s="92" t="s">
        <v>44</v>
      </c>
      <c r="G39" s="90" t="s">
        <v>44</v>
      </c>
      <c r="H39" s="91" t="s">
        <v>44</v>
      </c>
      <c r="I39" s="92" t="s">
        <v>44</v>
      </c>
      <c r="J39" s="53"/>
      <c r="K39" s="54"/>
      <c r="L39" s="56">
        <f>K39+J39</f>
        <v>0</v>
      </c>
      <c r="M39" s="93" t="s">
        <v>44</v>
      </c>
      <c r="N39" s="94" t="s">
        <v>44</v>
      </c>
      <c r="O39" s="56" t="s">
        <v>44</v>
      </c>
      <c r="P39" s="57"/>
    </row>
    <row r="40" spans="1:16" ht="24" customHeight="1" x14ac:dyDescent="0.25">
      <c r="A40" s="107">
        <v>21399</v>
      </c>
      <c r="B40" s="108" t="s">
        <v>60</v>
      </c>
      <c r="C40" s="109">
        <f t="shared" si="2"/>
        <v>21276</v>
      </c>
      <c r="D40" s="110" t="s">
        <v>44</v>
      </c>
      <c r="E40" s="111" t="s">
        <v>44</v>
      </c>
      <c r="F40" s="112" t="s">
        <v>44</v>
      </c>
      <c r="G40" s="110" t="s">
        <v>44</v>
      </c>
      <c r="H40" s="111" t="s">
        <v>44</v>
      </c>
      <c r="I40" s="112" t="s">
        <v>44</v>
      </c>
      <c r="J40" s="113">
        <v>21276</v>
      </c>
      <c r="K40" s="114"/>
      <c r="L40" s="115">
        <f>K40+J40</f>
        <v>21276</v>
      </c>
      <c r="M40" s="116" t="s">
        <v>44</v>
      </c>
      <c r="N40" s="117" t="s">
        <v>44</v>
      </c>
      <c r="O40" s="115" t="s">
        <v>44</v>
      </c>
      <c r="P40" s="118"/>
    </row>
    <row r="41" spans="1:16" s="28" customFormat="1" ht="26.25" hidden="1" customHeight="1" x14ac:dyDescent="0.25">
      <c r="A41" s="119">
        <v>21420</v>
      </c>
      <c r="B41" s="120" t="s">
        <v>61</v>
      </c>
      <c r="C41" s="121">
        <f>F41</f>
        <v>0</v>
      </c>
      <c r="D41" s="122">
        <f>SUM(D42)</f>
        <v>0</v>
      </c>
      <c r="E41" s="123">
        <f>SUM(E42)</f>
        <v>0</v>
      </c>
      <c r="F41" s="124">
        <f>SUM(F42)</f>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x14ac:dyDescent="0.25">
      <c r="A43" s="80">
        <v>21490</v>
      </c>
      <c r="B43" s="68" t="s">
        <v>63</v>
      </c>
      <c r="C43" s="131">
        <f>F43+I43+L43</f>
        <v>5330</v>
      </c>
      <c r="D43" s="77">
        <f>D44</f>
        <v>0</v>
      </c>
      <c r="E43" s="78">
        <f t="shared" ref="E43:L43" si="3">E44</f>
        <v>0</v>
      </c>
      <c r="F43" s="79">
        <f t="shared" si="3"/>
        <v>0</v>
      </c>
      <c r="G43" s="77">
        <f t="shared" si="3"/>
        <v>0</v>
      </c>
      <c r="H43" s="78">
        <f t="shared" si="3"/>
        <v>0</v>
      </c>
      <c r="I43" s="79">
        <f t="shared" si="3"/>
        <v>0</v>
      </c>
      <c r="J43" s="77">
        <f t="shared" si="3"/>
        <v>5270</v>
      </c>
      <c r="K43" s="78">
        <f t="shared" si="3"/>
        <v>60</v>
      </c>
      <c r="L43" s="79">
        <f t="shared" si="3"/>
        <v>5330</v>
      </c>
      <c r="M43" s="77" t="s">
        <v>44</v>
      </c>
      <c r="N43" s="78" t="s">
        <v>44</v>
      </c>
      <c r="O43" s="79" t="s">
        <v>44</v>
      </c>
      <c r="P43" s="76"/>
    </row>
    <row r="44" spans="1:16" s="28" customFormat="1" ht="27.75" customHeight="1" x14ac:dyDescent="0.25">
      <c r="A44" s="51">
        <v>21499</v>
      </c>
      <c r="B44" s="88" t="s">
        <v>64</v>
      </c>
      <c r="C44" s="132">
        <f>F44+I44+L44</f>
        <v>5330</v>
      </c>
      <c r="D44" s="46"/>
      <c r="E44" s="47"/>
      <c r="F44" s="133">
        <f>D44+E44</f>
        <v>0</v>
      </c>
      <c r="G44" s="46"/>
      <c r="H44" s="47"/>
      <c r="I44" s="133">
        <f>G44+H44</f>
        <v>0</v>
      </c>
      <c r="J44" s="46">
        <v>5270</v>
      </c>
      <c r="K44" s="47">
        <v>60</v>
      </c>
      <c r="L44" s="48">
        <f>K44+J44</f>
        <v>5330</v>
      </c>
      <c r="M44" s="86" t="s">
        <v>44</v>
      </c>
      <c r="N44" s="87" t="s">
        <v>44</v>
      </c>
      <c r="O44" s="48" t="s">
        <v>44</v>
      </c>
      <c r="P44" s="49" t="s">
        <v>1547</v>
      </c>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SUM(N46:N47)</f>
        <v>0</v>
      </c>
      <c r="O45" s="115">
        <f>SUM(O46:O47)</f>
        <v>0</v>
      </c>
      <c r="P45" s="118"/>
    </row>
    <row r="46" spans="1:16" ht="24" hidden="1" customHeight="1" x14ac:dyDescent="0.25">
      <c r="A46" s="136">
        <v>23410</v>
      </c>
      <c r="B46" s="137" t="s">
        <v>66</v>
      </c>
      <c r="C46" s="121">
        <f>O46</f>
        <v>0</v>
      </c>
      <c r="D46" s="125" t="s">
        <v>44</v>
      </c>
      <c r="E46" s="126" t="s">
        <v>44</v>
      </c>
      <c r="F46" s="127" t="s">
        <v>44</v>
      </c>
      <c r="G46" s="125" t="s">
        <v>44</v>
      </c>
      <c r="H46" s="126" t="s">
        <v>44</v>
      </c>
      <c r="I46" s="127" t="s">
        <v>44</v>
      </c>
      <c r="J46" s="125" t="s">
        <v>44</v>
      </c>
      <c r="K46" s="126" t="s">
        <v>44</v>
      </c>
      <c r="L46" s="127" t="s">
        <v>44</v>
      </c>
      <c r="M46" s="138"/>
      <c r="N46" s="139"/>
      <c r="O46" s="140">
        <f>N46+M46</f>
        <v>0</v>
      </c>
      <c r="P46" s="128"/>
    </row>
    <row r="47" spans="1:16" ht="24" hidden="1" customHeight="1" x14ac:dyDescent="0.25">
      <c r="A47" s="136">
        <v>23510</v>
      </c>
      <c r="B47" s="137" t="s">
        <v>67</v>
      </c>
      <c r="C47" s="121">
        <f>O47</f>
        <v>0</v>
      </c>
      <c r="D47" s="125" t="s">
        <v>44</v>
      </c>
      <c r="E47" s="126" t="s">
        <v>44</v>
      </c>
      <c r="F47" s="127" t="s">
        <v>44</v>
      </c>
      <c r="G47" s="125" t="s">
        <v>44</v>
      </c>
      <c r="H47" s="126" t="s">
        <v>44</v>
      </c>
      <c r="I47" s="127" t="s">
        <v>44</v>
      </c>
      <c r="J47" s="125" t="s">
        <v>44</v>
      </c>
      <c r="K47" s="126" t="s">
        <v>44</v>
      </c>
      <c r="L47" s="127" t="s">
        <v>44</v>
      </c>
      <c r="M47" s="138"/>
      <c r="N47" s="139"/>
      <c r="O47" s="140">
        <f>N47+M47</f>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2503123</v>
      </c>
      <c r="D50" s="158">
        <f t="shared" ref="D50:O50" si="4">SUM(D51,D286)</f>
        <v>2454815</v>
      </c>
      <c r="E50" s="159">
        <f t="shared" si="4"/>
        <v>17257</v>
      </c>
      <c r="F50" s="160">
        <f t="shared" si="4"/>
        <v>2472072</v>
      </c>
      <c r="G50" s="158">
        <f t="shared" si="4"/>
        <v>0</v>
      </c>
      <c r="H50" s="159">
        <f t="shared" si="4"/>
        <v>0</v>
      </c>
      <c r="I50" s="160">
        <f t="shared" si="4"/>
        <v>0</v>
      </c>
      <c r="J50" s="32">
        <f t="shared" si="4"/>
        <v>30991</v>
      </c>
      <c r="K50" s="33">
        <f t="shared" si="4"/>
        <v>60</v>
      </c>
      <c r="L50" s="34">
        <f t="shared" si="4"/>
        <v>31051</v>
      </c>
      <c r="M50" s="32">
        <f t="shared" si="4"/>
        <v>0</v>
      </c>
      <c r="N50" s="33">
        <f t="shared" si="4"/>
        <v>0</v>
      </c>
      <c r="O50" s="34">
        <f t="shared" si="4"/>
        <v>0</v>
      </c>
      <c r="P50" s="35"/>
    </row>
    <row r="51" spans="1:16" s="28" customFormat="1" ht="36.75" thickTop="1" x14ac:dyDescent="0.25">
      <c r="A51" s="161"/>
      <c r="B51" s="162" t="s">
        <v>70</v>
      </c>
      <c r="C51" s="163">
        <f t="shared" si="0"/>
        <v>2503123</v>
      </c>
      <c r="D51" s="164">
        <f t="shared" ref="D51:O51" si="5">SUM(D52,D194)</f>
        <v>2454815</v>
      </c>
      <c r="E51" s="165">
        <f t="shared" si="5"/>
        <v>17257</v>
      </c>
      <c r="F51" s="166">
        <f t="shared" si="5"/>
        <v>2472072</v>
      </c>
      <c r="G51" s="164">
        <f t="shared" si="5"/>
        <v>0</v>
      </c>
      <c r="H51" s="165">
        <f t="shared" si="5"/>
        <v>0</v>
      </c>
      <c r="I51" s="166">
        <f t="shared" si="5"/>
        <v>0</v>
      </c>
      <c r="J51" s="167">
        <f t="shared" si="5"/>
        <v>30991</v>
      </c>
      <c r="K51" s="168">
        <f t="shared" si="5"/>
        <v>60</v>
      </c>
      <c r="L51" s="169">
        <f t="shared" si="5"/>
        <v>31051</v>
      </c>
      <c r="M51" s="167">
        <f t="shared" si="5"/>
        <v>0</v>
      </c>
      <c r="N51" s="168">
        <f t="shared" si="5"/>
        <v>0</v>
      </c>
      <c r="O51" s="169">
        <f t="shared" si="5"/>
        <v>0</v>
      </c>
      <c r="P51" s="170"/>
    </row>
    <row r="52" spans="1:16" s="28" customFormat="1" ht="24" x14ac:dyDescent="0.25">
      <c r="A52" s="24"/>
      <c r="B52" s="22" t="s">
        <v>71</v>
      </c>
      <c r="C52" s="171">
        <f t="shared" si="0"/>
        <v>2490664</v>
      </c>
      <c r="D52" s="172">
        <f t="shared" ref="D52:O52" si="6">SUM(D53,D75,D173,D187)</f>
        <v>2451815</v>
      </c>
      <c r="E52" s="173">
        <f t="shared" si="6"/>
        <v>12998</v>
      </c>
      <c r="F52" s="174">
        <f t="shared" si="6"/>
        <v>2464813</v>
      </c>
      <c r="G52" s="172">
        <f t="shared" si="6"/>
        <v>0</v>
      </c>
      <c r="H52" s="173">
        <f t="shared" si="6"/>
        <v>0</v>
      </c>
      <c r="I52" s="174">
        <f t="shared" si="6"/>
        <v>0</v>
      </c>
      <c r="J52" s="172">
        <f t="shared" si="6"/>
        <v>25791</v>
      </c>
      <c r="K52" s="173">
        <f t="shared" si="6"/>
        <v>60</v>
      </c>
      <c r="L52" s="174">
        <f t="shared" si="6"/>
        <v>25851</v>
      </c>
      <c r="M52" s="172">
        <f t="shared" si="6"/>
        <v>0</v>
      </c>
      <c r="N52" s="173">
        <f t="shared" si="6"/>
        <v>0</v>
      </c>
      <c r="O52" s="174">
        <f t="shared" si="6"/>
        <v>0</v>
      </c>
      <c r="P52" s="175"/>
    </row>
    <row r="53" spans="1:16" s="28" customFormat="1" x14ac:dyDescent="0.25">
      <c r="A53" s="176">
        <v>1000</v>
      </c>
      <c r="B53" s="176" t="s">
        <v>72</v>
      </c>
      <c r="C53" s="177">
        <f t="shared" si="0"/>
        <v>2088656</v>
      </c>
      <c r="D53" s="178">
        <f t="shared" ref="D53:O53" si="7">SUM(D54,D67)</f>
        <v>2092007</v>
      </c>
      <c r="E53" s="179">
        <f t="shared" si="7"/>
        <v>-8474</v>
      </c>
      <c r="F53" s="180">
        <f t="shared" si="7"/>
        <v>2083533</v>
      </c>
      <c r="G53" s="178">
        <f t="shared" si="7"/>
        <v>0</v>
      </c>
      <c r="H53" s="179">
        <f t="shared" si="7"/>
        <v>0</v>
      </c>
      <c r="I53" s="180">
        <f t="shared" si="7"/>
        <v>0</v>
      </c>
      <c r="J53" s="178">
        <f t="shared" si="7"/>
        <v>5123</v>
      </c>
      <c r="K53" s="179">
        <f t="shared" si="7"/>
        <v>0</v>
      </c>
      <c r="L53" s="180">
        <f t="shared" si="7"/>
        <v>5123</v>
      </c>
      <c r="M53" s="178">
        <f t="shared" si="7"/>
        <v>0</v>
      </c>
      <c r="N53" s="179">
        <f t="shared" si="7"/>
        <v>0</v>
      </c>
      <c r="O53" s="180">
        <f t="shared" si="7"/>
        <v>0</v>
      </c>
      <c r="P53" s="181"/>
    </row>
    <row r="54" spans="1:16" x14ac:dyDescent="0.25">
      <c r="A54" s="68">
        <v>1100</v>
      </c>
      <c r="B54" s="182" t="s">
        <v>73</v>
      </c>
      <c r="C54" s="69">
        <f t="shared" si="0"/>
        <v>1545613</v>
      </c>
      <c r="D54" s="183">
        <f t="shared" ref="D54:O54" si="8">SUM(D55,D58,D66)</f>
        <v>1541985</v>
      </c>
      <c r="E54" s="184">
        <f t="shared" si="8"/>
        <v>-500</v>
      </c>
      <c r="F54" s="72">
        <f t="shared" si="8"/>
        <v>1541485</v>
      </c>
      <c r="G54" s="183">
        <f t="shared" si="8"/>
        <v>0</v>
      </c>
      <c r="H54" s="184">
        <f t="shared" si="8"/>
        <v>0</v>
      </c>
      <c r="I54" s="72">
        <f t="shared" si="8"/>
        <v>0</v>
      </c>
      <c r="J54" s="183">
        <f t="shared" si="8"/>
        <v>4128</v>
      </c>
      <c r="K54" s="184">
        <f t="shared" si="8"/>
        <v>0</v>
      </c>
      <c r="L54" s="72">
        <f t="shared" si="8"/>
        <v>4128</v>
      </c>
      <c r="M54" s="183">
        <f t="shared" si="8"/>
        <v>0</v>
      </c>
      <c r="N54" s="184">
        <f t="shared" si="8"/>
        <v>0</v>
      </c>
      <c r="O54" s="72">
        <f t="shared" si="8"/>
        <v>0</v>
      </c>
      <c r="P54" s="76"/>
    </row>
    <row r="55" spans="1:16" x14ac:dyDescent="0.25">
      <c r="A55" s="185">
        <v>1110</v>
      </c>
      <c r="B55" s="137" t="s">
        <v>74</v>
      </c>
      <c r="C55" s="142">
        <f t="shared" si="0"/>
        <v>1302539</v>
      </c>
      <c r="D55" s="186">
        <f t="shared" ref="D55:O55" si="9">SUM(D56:D57)</f>
        <v>1299840</v>
      </c>
      <c r="E55" s="187">
        <f t="shared" si="9"/>
        <v>-1429</v>
      </c>
      <c r="F55" s="140">
        <f t="shared" si="9"/>
        <v>1298411</v>
      </c>
      <c r="G55" s="186">
        <f t="shared" si="9"/>
        <v>0</v>
      </c>
      <c r="H55" s="187">
        <f t="shared" si="9"/>
        <v>0</v>
      </c>
      <c r="I55" s="140">
        <f t="shared" si="9"/>
        <v>0</v>
      </c>
      <c r="J55" s="186">
        <f t="shared" si="9"/>
        <v>4128</v>
      </c>
      <c r="K55" s="187">
        <f t="shared" si="9"/>
        <v>0</v>
      </c>
      <c r="L55" s="140">
        <f t="shared" si="9"/>
        <v>4128</v>
      </c>
      <c r="M55" s="186">
        <f t="shared" si="9"/>
        <v>0</v>
      </c>
      <c r="N55" s="187">
        <f t="shared" si="9"/>
        <v>0</v>
      </c>
      <c r="O55" s="140">
        <f t="shared" si="9"/>
        <v>0</v>
      </c>
      <c r="P55" s="128"/>
    </row>
    <row r="56" spans="1:16" ht="12" hidden="1" customHeight="1" x14ac:dyDescent="0.25">
      <c r="A56" s="44">
        <v>1111</v>
      </c>
      <c r="B56" s="81" t="s">
        <v>75</v>
      </c>
      <c r="C56" s="82">
        <f t="shared" si="0"/>
        <v>0</v>
      </c>
      <c r="D56" s="46"/>
      <c r="E56" s="47"/>
      <c r="F56" s="133">
        <f>D56+E56</f>
        <v>0</v>
      </c>
      <c r="G56" s="46"/>
      <c r="H56" s="47"/>
      <c r="I56" s="133">
        <f>G56+H56</f>
        <v>0</v>
      </c>
      <c r="J56" s="46"/>
      <c r="K56" s="47"/>
      <c r="L56" s="133">
        <f>K56+J56</f>
        <v>0</v>
      </c>
      <c r="M56" s="46"/>
      <c r="N56" s="47"/>
      <c r="O56" s="133">
        <f>N56+M56</f>
        <v>0</v>
      </c>
      <c r="P56" s="49"/>
    </row>
    <row r="57" spans="1:16" ht="30" customHeight="1" x14ac:dyDescent="0.25">
      <c r="A57" s="51">
        <v>1119</v>
      </c>
      <c r="B57" s="88" t="s">
        <v>76</v>
      </c>
      <c r="C57" s="89">
        <f t="shared" si="0"/>
        <v>1302539</v>
      </c>
      <c r="D57" s="53">
        <v>1299840</v>
      </c>
      <c r="E57" s="542">
        <f>-500-929</f>
        <v>-1429</v>
      </c>
      <c r="F57" s="55">
        <f>D57+E57</f>
        <v>1298411</v>
      </c>
      <c r="G57" s="53"/>
      <c r="H57" s="54"/>
      <c r="I57" s="55">
        <f>G57+H57</f>
        <v>0</v>
      </c>
      <c r="J57" s="53">
        <v>4128</v>
      </c>
      <c r="K57" s="54"/>
      <c r="L57" s="55">
        <f>K57+J57</f>
        <v>4128</v>
      </c>
      <c r="M57" s="53"/>
      <c r="N57" s="54"/>
      <c r="O57" s="55">
        <f>N57+M57</f>
        <v>0</v>
      </c>
      <c r="P57" s="57" t="s">
        <v>1548</v>
      </c>
    </row>
    <row r="58" spans="1:16" x14ac:dyDescent="0.25">
      <c r="A58" s="188">
        <v>1140</v>
      </c>
      <c r="B58" s="88" t="s">
        <v>77</v>
      </c>
      <c r="C58" s="89">
        <f t="shared" si="0"/>
        <v>243074</v>
      </c>
      <c r="D58" s="189">
        <f t="shared" ref="D58:O58" si="10">SUM(D59:D65)</f>
        <v>242145</v>
      </c>
      <c r="E58" s="190">
        <f t="shared" si="10"/>
        <v>929</v>
      </c>
      <c r="F58" s="55">
        <f t="shared" si="10"/>
        <v>243074</v>
      </c>
      <c r="G58" s="189">
        <f t="shared" si="10"/>
        <v>0</v>
      </c>
      <c r="H58" s="190">
        <f t="shared" si="10"/>
        <v>0</v>
      </c>
      <c r="I58" s="55">
        <f t="shared" si="10"/>
        <v>0</v>
      </c>
      <c r="J58" s="189">
        <f t="shared" si="10"/>
        <v>0</v>
      </c>
      <c r="K58" s="190">
        <f t="shared" si="10"/>
        <v>0</v>
      </c>
      <c r="L58" s="55">
        <f t="shared" si="10"/>
        <v>0</v>
      </c>
      <c r="M58" s="189">
        <f t="shared" si="10"/>
        <v>0</v>
      </c>
      <c r="N58" s="190">
        <f t="shared" si="10"/>
        <v>0</v>
      </c>
      <c r="O58" s="55">
        <f t="shared" si="10"/>
        <v>0</v>
      </c>
      <c r="P58" s="57"/>
    </row>
    <row r="59" spans="1:16" ht="16.5" customHeight="1" x14ac:dyDescent="0.25">
      <c r="A59" s="51">
        <v>1141</v>
      </c>
      <c r="B59" s="88" t="s">
        <v>78</v>
      </c>
      <c r="C59" s="89">
        <f t="shared" si="0"/>
        <v>53520</v>
      </c>
      <c r="D59" s="53">
        <v>53520</v>
      </c>
      <c r="E59" s="735"/>
      <c r="F59" s="55">
        <f t="shared" ref="F59:F66" si="11">D59+E59</f>
        <v>53520</v>
      </c>
      <c r="G59" s="53"/>
      <c r="H59" s="54"/>
      <c r="I59" s="55">
        <f t="shared" ref="I59:I66" si="12">G59+H59</f>
        <v>0</v>
      </c>
      <c r="J59" s="53"/>
      <c r="K59" s="54"/>
      <c r="L59" s="55">
        <f t="shared" ref="L59:L66" si="13">K59+J59</f>
        <v>0</v>
      </c>
      <c r="M59" s="53"/>
      <c r="N59" s="54"/>
      <c r="O59" s="55">
        <f t="shared" ref="O59:O66" si="14">N59+M59</f>
        <v>0</v>
      </c>
      <c r="P59" s="837"/>
    </row>
    <row r="60" spans="1:16" ht="22.5" customHeight="1" x14ac:dyDescent="0.25">
      <c r="A60" s="51">
        <v>1142</v>
      </c>
      <c r="B60" s="88" t="s">
        <v>79</v>
      </c>
      <c r="C60" s="89">
        <f t="shared" si="0"/>
        <v>94879</v>
      </c>
      <c r="D60" s="53">
        <v>94879</v>
      </c>
      <c r="E60" s="54"/>
      <c r="F60" s="55">
        <f t="shared" si="11"/>
        <v>94879</v>
      </c>
      <c r="G60" s="53"/>
      <c r="H60" s="54"/>
      <c r="I60" s="55">
        <f t="shared" si="12"/>
        <v>0</v>
      </c>
      <c r="J60" s="53"/>
      <c r="K60" s="54"/>
      <c r="L60" s="55">
        <f t="shared" si="13"/>
        <v>0</v>
      </c>
      <c r="M60" s="53"/>
      <c r="N60" s="54"/>
      <c r="O60" s="55">
        <f t="shared" si="14"/>
        <v>0</v>
      </c>
      <c r="P60" s="837"/>
    </row>
    <row r="61" spans="1:16" ht="24" hidden="1" customHeight="1" x14ac:dyDescent="0.25">
      <c r="A61" s="51">
        <v>1145</v>
      </c>
      <c r="B61" s="88" t="s">
        <v>80</v>
      </c>
      <c r="C61" s="89">
        <f t="shared" si="0"/>
        <v>0</v>
      </c>
      <c r="D61" s="53"/>
      <c r="E61" s="54"/>
      <c r="F61" s="55">
        <f t="shared" si="11"/>
        <v>0</v>
      </c>
      <c r="G61" s="53"/>
      <c r="H61" s="54"/>
      <c r="I61" s="55">
        <f t="shared" si="12"/>
        <v>0</v>
      </c>
      <c r="J61" s="53"/>
      <c r="K61" s="54"/>
      <c r="L61" s="55">
        <f t="shared" si="13"/>
        <v>0</v>
      </c>
      <c r="M61" s="53"/>
      <c r="N61" s="54"/>
      <c r="O61" s="55">
        <f t="shared" si="14"/>
        <v>0</v>
      </c>
      <c r="P61" s="57"/>
    </row>
    <row r="62" spans="1:16" ht="27.75" hidden="1" customHeight="1" x14ac:dyDescent="0.25">
      <c r="A62" s="51">
        <v>1146</v>
      </c>
      <c r="B62" s="88" t="s">
        <v>81</v>
      </c>
      <c r="C62" s="89">
        <f t="shared" si="0"/>
        <v>0</v>
      </c>
      <c r="D62" s="53"/>
      <c r="E62" s="54"/>
      <c r="F62" s="55">
        <f t="shared" si="11"/>
        <v>0</v>
      </c>
      <c r="G62" s="53"/>
      <c r="H62" s="54"/>
      <c r="I62" s="55">
        <f t="shared" si="12"/>
        <v>0</v>
      </c>
      <c r="J62" s="53"/>
      <c r="K62" s="54"/>
      <c r="L62" s="55">
        <f t="shared" si="13"/>
        <v>0</v>
      </c>
      <c r="M62" s="53"/>
      <c r="N62" s="54"/>
      <c r="O62" s="55">
        <f t="shared" si="14"/>
        <v>0</v>
      </c>
      <c r="P62" s="57"/>
    </row>
    <row r="63" spans="1:16" ht="12" customHeight="1" x14ac:dyDescent="0.25">
      <c r="A63" s="51">
        <v>1147</v>
      </c>
      <c r="B63" s="88" t="s">
        <v>82</v>
      </c>
      <c r="C63" s="89">
        <f t="shared" si="0"/>
        <v>30074</v>
      </c>
      <c r="D63" s="53">
        <v>30074</v>
      </c>
      <c r="E63" s="54"/>
      <c r="F63" s="55">
        <f t="shared" si="11"/>
        <v>30074</v>
      </c>
      <c r="G63" s="53"/>
      <c r="H63" s="54"/>
      <c r="I63" s="55">
        <f t="shared" si="12"/>
        <v>0</v>
      </c>
      <c r="J63" s="53"/>
      <c r="K63" s="54"/>
      <c r="L63" s="55">
        <f t="shared" si="13"/>
        <v>0</v>
      </c>
      <c r="M63" s="53"/>
      <c r="N63" s="54"/>
      <c r="O63" s="55">
        <f t="shared" si="14"/>
        <v>0</v>
      </c>
      <c r="P63" s="57"/>
    </row>
    <row r="64" spans="1:16" ht="12" customHeight="1" x14ac:dyDescent="0.25">
      <c r="A64" s="51">
        <v>1148</v>
      </c>
      <c r="B64" s="88" t="s">
        <v>83</v>
      </c>
      <c r="C64" s="89">
        <f t="shared" si="0"/>
        <v>64601</v>
      </c>
      <c r="D64" s="53">
        <v>63672</v>
      </c>
      <c r="E64" s="54">
        <v>929</v>
      </c>
      <c r="F64" s="55">
        <f t="shared" si="11"/>
        <v>64601</v>
      </c>
      <c r="G64" s="53"/>
      <c r="H64" s="54"/>
      <c r="I64" s="55">
        <f t="shared" si="12"/>
        <v>0</v>
      </c>
      <c r="J64" s="53"/>
      <c r="K64" s="54"/>
      <c r="L64" s="55">
        <f t="shared" si="13"/>
        <v>0</v>
      </c>
      <c r="M64" s="53"/>
      <c r="N64" s="54"/>
      <c r="O64" s="55">
        <f t="shared" si="14"/>
        <v>0</v>
      </c>
      <c r="P64" s="57" t="s">
        <v>2401</v>
      </c>
    </row>
    <row r="65" spans="1:16" ht="24" hidden="1" customHeight="1" x14ac:dyDescent="0.25">
      <c r="A65" s="51">
        <v>1149</v>
      </c>
      <c r="B65" s="88" t="s">
        <v>84</v>
      </c>
      <c r="C65" s="89">
        <f t="shared" si="0"/>
        <v>0</v>
      </c>
      <c r="D65" s="53"/>
      <c r="E65" s="54"/>
      <c r="F65" s="55">
        <f t="shared" si="11"/>
        <v>0</v>
      </c>
      <c r="G65" s="53"/>
      <c r="H65" s="54"/>
      <c r="I65" s="55">
        <f t="shared" si="12"/>
        <v>0</v>
      </c>
      <c r="J65" s="53"/>
      <c r="K65" s="54"/>
      <c r="L65" s="55">
        <f t="shared" si="13"/>
        <v>0</v>
      </c>
      <c r="M65" s="53"/>
      <c r="N65" s="54"/>
      <c r="O65" s="55">
        <f t="shared" si="14"/>
        <v>0</v>
      </c>
      <c r="P65" s="57"/>
    </row>
    <row r="66" spans="1:16" ht="36" hidden="1" customHeight="1" x14ac:dyDescent="0.25">
      <c r="A66" s="185">
        <v>1150</v>
      </c>
      <c r="B66" s="137" t="s">
        <v>85</v>
      </c>
      <c r="C66" s="142">
        <f t="shared" si="0"/>
        <v>0</v>
      </c>
      <c r="D66" s="143"/>
      <c r="E66" s="144"/>
      <c r="F66" s="140">
        <f t="shared" si="11"/>
        <v>0</v>
      </c>
      <c r="G66" s="143"/>
      <c r="H66" s="144"/>
      <c r="I66" s="140">
        <f t="shared" si="12"/>
        <v>0</v>
      </c>
      <c r="J66" s="143"/>
      <c r="K66" s="144"/>
      <c r="L66" s="140">
        <f t="shared" si="13"/>
        <v>0</v>
      </c>
      <c r="M66" s="143"/>
      <c r="N66" s="144"/>
      <c r="O66" s="140">
        <f t="shared" si="14"/>
        <v>0</v>
      </c>
      <c r="P66" s="128"/>
    </row>
    <row r="67" spans="1:16" ht="24" x14ac:dyDescent="0.25">
      <c r="A67" s="68">
        <v>1200</v>
      </c>
      <c r="B67" s="182" t="s">
        <v>86</v>
      </c>
      <c r="C67" s="69">
        <f t="shared" si="0"/>
        <v>543043</v>
      </c>
      <c r="D67" s="183">
        <f t="shared" ref="D67:O67" si="15">SUM(D68:D69)</f>
        <v>550022</v>
      </c>
      <c r="E67" s="184">
        <f t="shared" si="15"/>
        <v>-7974</v>
      </c>
      <c r="F67" s="72">
        <f t="shared" si="15"/>
        <v>542048</v>
      </c>
      <c r="G67" s="183">
        <f t="shared" si="15"/>
        <v>0</v>
      </c>
      <c r="H67" s="184">
        <f t="shared" si="15"/>
        <v>0</v>
      </c>
      <c r="I67" s="72">
        <f t="shared" si="15"/>
        <v>0</v>
      </c>
      <c r="J67" s="183">
        <f t="shared" si="15"/>
        <v>995</v>
      </c>
      <c r="K67" s="184">
        <f t="shared" si="15"/>
        <v>0</v>
      </c>
      <c r="L67" s="72">
        <f t="shared" si="15"/>
        <v>995</v>
      </c>
      <c r="M67" s="183">
        <f t="shared" si="15"/>
        <v>0</v>
      </c>
      <c r="N67" s="184">
        <f t="shared" si="15"/>
        <v>0</v>
      </c>
      <c r="O67" s="72">
        <f t="shared" si="15"/>
        <v>0</v>
      </c>
      <c r="P67" s="76"/>
    </row>
    <row r="68" spans="1:16" ht="30" customHeight="1" x14ac:dyDescent="0.25">
      <c r="A68" s="941">
        <v>1210</v>
      </c>
      <c r="B68" s="81" t="s">
        <v>87</v>
      </c>
      <c r="C68" s="82">
        <f t="shared" si="0"/>
        <v>389879</v>
      </c>
      <c r="D68" s="46">
        <v>388884</v>
      </c>
      <c r="E68" s="47">
        <v>0</v>
      </c>
      <c r="F68" s="133">
        <f>D68+E68</f>
        <v>388884</v>
      </c>
      <c r="G68" s="46"/>
      <c r="H68" s="47"/>
      <c r="I68" s="133">
        <f>G68+H68</f>
        <v>0</v>
      </c>
      <c r="J68" s="46">
        <v>995</v>
      </c>
      <c r="K68" s="47"/>
      <c r="L68" s="133">
        <f>K68+J68</f>
        <v>995</v>
      </c>
      <c r="M68" s="46"/>
      <c r="N68" s="47"/>
      <c r="O68" s="133">
        <f>N68+M68</f>
        <v>0</v>
      </c>
      <c r="P68" s="49"/>
    </row>
    <row r="69" spans="1:16" ht="24" x14ac:dyDescent="0.25">
      <c r="A69" s="188">
        <v>1220</v>
      </c>
      <c r="B69" s="88" t="s">
        <v>88</v>
      </c>
      <c r="C69" s="89">
        <f t="shared" si="0"/>
        <v>153164</v>
      </c>
      <c r="D69" s="189">
        <f t="shared" ref="D69:O69" si="16">SUM(D70:D74)</f>
        <v>161138</v>
      </c>
      <c r="E69" s="190">
        <f t="shared" si="16"/>
        <v>-7974</v>
      </c>
      <c r="F69" s="55">
        <f t="shared" si="16"/>
        <v>153164</v>
      </c>
      <c r="G69" s="189">
        <f t="shared" si="16"/>
        <v>0</v>
      </c>
      <c r="H69" s="190">
        <f t="shared" si="16"/>
        <v>0</v>
      </c>
      <c r="I69" s="55">
        <f t="shared" si="16"/>
        <v>0</v>
      </c>
      <c r="J69" s="189">
        <f t="shared" si="16"/>
        <v>0</v>
      </c>
      <c r="K69" s="190">
        <f t="shared" si="16"/>
        <v>0</v>
      </c>
      <c r="L69" s="55">
        <f t="shared" si="16"/>
        <v>0</v>
      </c>
      <c r="M69" s="189">
        <f t="shared" si="16"/>
        <v>0</v>
      </c>
      <c r="N69" s="190">
        <f t="shared" si="16"/>
        <v>0</v>
      </c>
      <c r="O69" s="55">
        <f t="shared" si="16"/>
        <v>0</v>
      </c>
      <c r="P69" s="57"/>
    </row>
    <row r="70" spans="1:16" ht="49.5" customHeight="1" x14ac:dyDescent="0.25">
      <c r="A70" s="51">
        <v>1221</v>
      </c>
      <c r="B70" s="88" t="s">
        <v>89</v>
      </c>
      <c r="C70" s="89">
        <f t="shared" si="0"/>
        <v>70620</v>
      </c>
      <c r="D70" s="53">
        <v>70620</v>
      </c>
      <c r="E70" s="54">
        <v>0</v>
      </c>
      <c r="F70" s="55">
        <f>D70+E70</f>
        <v>70620</v>
      </c>
      <c r="G70" s="53"/>
      <c r="H70" s="54"/>
      <c r="I70" s="55">
        <f>G70+H70</f>
        <v>0</v>
      </c>
      <c r="J70" s="53"/>
      <c r="K70" s="54"/>
      <c r="L70" s="55">
        <f>K70+J70</f>
        <v>0</v>
      </c>
      <c r="M70" s="53"/>
      <c r="N70" s="54"/>
      <c r="O70" s="55">
        <f>N70+M70</f>
        <v>0</v>
      </c>
      <c r="P70" s="57"/>
    </row>
    <row r="71" spans="1:16" ht="12" hidden="1" customHeight="1" x14ac:dyDescent="0.25">
      <c r="A71" s="51">
        <v>1223</v>
      </c>
      <c r="B71" s="88" t="s">
        <v>90</v>
      </c>
      <c r="C71" s="89">
        <f t="shared" si="0"/>
        <v>0</v>
      </c>
      <c r="D71" s="53"/>
      <c r="E71" s="54"/>
      <c r="F71" s="55">
        <f>D71+E71</f>
        <v>0</v>
      </c>
      <c r="G71" s="53"/>
      <c r="H71" s="54"/>
      <c r="I71" s="55">
        <f>G71+H71</f>
        <v>0</v>
      </c>
      <c r="J71" s="53"/>
      <c r="K71" s="54"/>
      <c r="L71" s="55">
        <f>K71+J71</f>
        <v>0</v>
      </c>
      <c r="M71" s="53"/>
      <c r="N71" s="54"/>
      <c r="O71" s="55">
        <f>N71+M71</f>
        <v>0</v>
      </c>
      <c r="P71" s="57"/>
    </row>
    <row r="72" spans="1:16" ht="18" customHeight="1" x14ac:dyDescent="0.25">
      <c r="A72" s="51">
        <v>1225</v>
      </c>
      <c r="B72" s="88" t="s">
        <v>91</v>
      </c>
      <c r="C72" s="89">
        <f t="shared" si="0"/>
        <v>54526</v>
      </c>
      <c r="D72" s="53">
        <v>63000</v>
      </c>
      <c r="E72" s="54">
        <v>-8474</v>
      </c>
      <c r="F72" s="55">
        <f>D72+E72</f>
        <v>54526</v>
      </c>
      <c r="G72" s="53"/>
      <c r="H72" s="54"/>
      <c r="I72" s="55">
        <f>G72+H72</f>
        <v>0</v>
      </c>
      <c r="J72" s="53"/>
      <c r="K72" s="54"/>
      <c r="L72" s="55">
        <f>K72+J72</f>
        <v>0</v>
      </c>
      <c r="M72" s="53"/>
      <c r="N72" s="54"/>
      <c r="O72" s="55">
        <f>N72+M72</f>
        <v>0</v>
      </c>
      <c r="P72" s="57" t="s">
        <v>1549</v>
      </c>
    </row>
    <row r="73" spans="1:16" ht="39" customHeight="1" x14ac:dyDescent="0.25">
      <c r="A73" s="51">
        <v>1227</v>
      </c>
      <c r="B73" s="88" t="s">
        <v>92</v>
      </c>
      <c r="C73" s="89">
        <f t="shared" si="0"/>
        <v>25018</v>
      </c>
      <c r="D73" s="53">
        <v>25018</v>
      </c>
      <c r="E73" s="54"/>
      <c r="F73" s="55">
        <f>D73+E73</f>
        <v>25018</v>
      </c>
      <c r="G73" s="53"/>
      <c r="H73" s="54"/>
      <c r="I73" s="55">
        <f>G73+H73</f>
        <v>0</v>
      </c>
      <c r="J73" s="53"/>
      <c r="K73" s="54"/>
      <c r="L73" s="55">
        <f>K73+J73</f>
        <v>0</v>
      </c>
      <c r="M73" s="53"/>
      <c r="N73" s="54"/>
      <c r="O73" s="55">
        <f>N73+M73</f>
        <v>0</v>
      </c>
      <c r="P73" s="57"/>
    </row>
    <row r="74" spans="1:16" ht="50.25" customHeight="1" x14ac:dyDescent="0.25">
      <c r="A74" s="51">
        <v>1228</v>
      </c>
      <c r="B74" s="88" t="s">
        <v>93</v>
      </c>
      <c r="C74" s="89">
        <f t="shared" si="0"/>
        <v>3000</v>
      </c>
      <c r="D74" s="53">
        <v>2500</v>
      </c>
      <c r="E74" s="542">
        <v>500</v>
      </c>
      <c r="F74" s="55">
        <f>D74+E74</f>
        <v>3000</v>
      </c>
      <c r="G74" s="53"/>
      <c r="H74" s="54"/>
      <c r="I74" s="55">
        <f>G74+H74</f>
        <v>0</v>
      </c>
      <c r="J74" s="53"/>
      <c r="K74" s="54"/>
      <c r="L74" s="55">
        <f>K74+J74</f>
        <v>0</v>
      </c>
      <c r="M74" s="53"/>
      <c r="N74" s="54"/>
      <c r="O74" s="55">
        <f>N74+M74</f>
        <v>0</v>
      </c>
      <c r="P74" s="57" t="s">
        <v>1550</v>
      </c>
    </row>
    <row r="75" spans="1:16" x14ac:dyDescent="0.25">
      <c r="A75" s="176">
        <v>2000</v>
      </c>
      <c r="B75" s="176" t="s">
        <v>94</v>
      </c>
      <c r="C75" s="177">
        <f t="shared" si="0"/>
        <v>402008</v>
      </c>
      <c r="D75" s="178">
        <f t="shared" ref="D75:O75" si="17">SUM(D76,D83,D130,D164,D165,D172)</f>
        <v>359808</v>
      </c>
      <c r="E75" s="179">
        <f t="shared" si="17"/>
        <v>21472</v>
      </c>
      <c r="F75" s="180">
        <f t="shared" si="17"/>
        <v>381280</v>
      </c>
      <c r="G75" s="178">
        <f t="shared" si="17"/>
        <v>0</v>
      </c>
      <c r="H75" s="179">
        <f t="shared" si="17"/>
        <v>0</v>
      </c>
      <c r="I75" s="180">
        <f t="shared" si="17"/>
        <v>0</v>
      </c>
      <c r="J75" s="178">
        <f t="shared" si="17"/>
        <v>20668</v>
      </c>
      <c r="K75" s="179">
        <f t="shared" si="17"/>
        <v>60</v>
      </c>
      <c r="L75" s="180">
        <f t="shared" si="17"/>
        <v>20728</v>
      </c>
      <c r="M75" s="178">
        <f t="shared" si="17"/>
        <v>0</v>
      </c>
      <c r="N75" s="179">
        <f t="shared" si="17"/>
        <v>0</v>
      </c>
      <c r="O75" s="180">
        <f t="shared" si="17"/>
        <v>0</v>
      </c>
      <c r="P75" s="181"/>
    </row>
    <row r="76" spans="1:16" ht="24" hidden="1" x14ac:dyDescent="0.25">
      <c r="A76" s="68">
        <v>2100</v>
      </c>
      <c r="B76" s="182" t="s">
        <v>95</v>
      </c>
      <c r="C76" s="69">
        <f t="shared" si="0"/>
        <v>0</v>
      </c>
      <c r="D76" s="183">
        <f t="shared" ref="D76:O76" si="18">SUM(D77,D80)</f>
        <v>0</v>
      </c>
      <c r="E76" s="184">
        <f t="shared" si="18"/>
        <v>0</v>
      </c>
      <c r="F76" s="72">
        <f t="shared" si="18"/>
        <v>0</v>
      </c>
      <c r="G76" s="183">
        <f t="shared" si="18"/>
        <v>0</v>
      </c>
      <c r="H76" s="184">
        <f t="shared" si="18"/>
        <v>0</v>
      </c>
      <c r="I76" s="72">
        <f t="shared" si="18"/>
        <v>0</v>
      </c>
      <c r="J76" s="183">
        <f t="shared" si="18"/>
        <v>0</v>
      </c>
      <c r="K76" s="184">
        <f t="shared" si="18"/>
        <v>0</v>
      </c>
      <c r="L76" s="72">
        <f t="shared" si="18"/>
        <v>0</v>
      </c>
      <c r="M76" s="183">
        <f t="shared" si="18"/>
        <v>0</v>
      </c>
      <c r="N76" s="184">
        <f t="shared" si="18"/>
        <v>0</v>
      </c>
      <c r="O76" s="72">
        <f t="shared" si="18"/>
        <v>0</v>
      </c>
      <c r="P76" s="76"/>
    </row>
    <row r="77" spans="1:16" ht="24" hidden="1" x14ac:dyDescent="0.25">
      <c r="A77" s="941">
        <v>2110</v>
      </c>
      <c r="B77" s="81" t="s">
        <v>96</v>
      </c>
      <c r="C77" s="82">
        <f t="shared" si="0"/>
        <v>0</v>
      </c>
      <c r="D77" s="192">
        <f t="shared" ref="D77:O77" si="19">SUM(D78:D79)</f>
        <v>0</v>
      </c>
      <c r="E77" s="193">
        <f t="shared" si="19"/>
        <v>0</v>
      </c>
      <c r="F77" s="133">
        <f t="shared" si="19"/>
        <v>0</v>
      </c>
      <c r="G77" s="192">
        <f t="shared" si="19"/>
        <v>0</v>
      </c>
      <c r="H77" s="193">
        <f t="shared" si="19"/>
        <v>0</v>
      </c>
      <c r="I77" s="133">
        <f t="shared" si="19"/>
        <v>0</v>
      </c>
      <c r="J77" s="192">
        <f t="shared" si="19"/>
        <v>0</v>
      </c>
      <c r="K77" s="193">
        <f t="shared" si="19"/>
        <v>0</v>
      </c>
      <c r="L77" s="133">
        <f t="shared" si="19"/>
        <v>0</v>
      </c>
      <c r="M77" s="192">
        <f t="shared" si="19"/>
        <v>0</v>
      </c>
      <c r="N77" s="193">
        <f t="shared" si="19"/>
        <v>0</v>
      </c>
      <c r="O77" s="133">
        <f t="shared" si="19"/>
        <v>0</v>
      </c>
      <c r="P77" s="49"/>
    </row>
    <row r="78" spans="1:16" ht="12" hidden="1" customHeight="1" x14ac:dyDescent="0.25">
      <c r="A78" s="51">
        <v>2111</v>
      </c>
      <c r="B78" s="88" t="s">
        <v>97</v>
      </c>
      <c r="C78" s="89">
        <f t="shared" si="0"/>
        <v>0</v>
      </c>
      <c r="D78" s="194"/>
      <c r="E78" s="195"/>
      <c r="F78" s="55">
        <f>D78+E78</f>
        <v>0</v>
      </c>
      <c r="G78" s="53"/>
      <c r="H78" s="54"/>
      <c r="I78" s="55">
        <f>G78+H78</f>
        <v>0</v>
      </c>
      <c r="J78" s="53"/>
      <c r="K78" s="54"/>
      <c r="L78" s="55">
        <f>K78+J78</f>
        <v>0</v>
      </c>
      <c r="M78" s="53"/>
      <c r="N78" s="54"/>
      <c r="O78" s="55">
        <f>N78+M78</f>
        <v>0</v>
      </c>
      <c r="P78" s="57"/>
    </row>
    <row r="79" spans="1:16" ht="24" hidden="1" customHeight="1" x14ac:dyDescent="0.25">
      <c r="A79" s="51">
        <v>2112</v>
      </c>
      <c r="B79" s="88" t="s">
        <v>98</v>
      </c>
      <c r="C79" s="89">
        <f t="shared" si="0"/>
        <v>0</v>
      </c>
      <c r="D79" s="194"/>
      <c r="E79" s="195"/>
      <c r="F79" s="55">
        <f>D79+E79</f>
        <v>0</v>
      </c>
      <c r="G79" s="53"/>
      <c r="H79" s="54"/>
      <c r="I79" s="55">
        <f>G79+H79</f>
        <v>0</v>
      </c>
      <c r="J79" s="53"/>
      <c r="K79" s="54"/>
      <c r="L79" s="55">
        <f>K79+J79</f>
        <v>0</v>
      </c>
      <c r="M79" s="53"/>
      <c r="N79" s="54"/>
      <c r="O79" s="55">
        <f>N79+M79</f>
        <v>0</v>
      </c>
      <c r="P79" s="57"/>
    </row>
    <row r="80" spans="1:16" ht="24" hidden="1" x14ac:dyDescent="0.25">
      <c r="A80" s="188">
        <v>2120</v>
      </c>
      <c r="B80" s="88" t="s">
        <v>99</v>
      </c>
      <c r="C80" s="89">
        <f t="shared" si="0"/>
        <v>0</v>
      </c>
      <c r="D80" s="189">
        <f t="shared" ref="D80:O80" si="20">SUM(D81:D82)</f>
        <v>0</v>
      </c>
      <c r="E80" s="190">
        <f t="shared" si="20"/>
        <v>0</v>
      </c>
      <c r="F80" s="55">
        <f t="shared" si="20"/>
        <v>0</v>
      </c>
      <c r="G80" s="189">
        <f t="shared" si="20"/>
        <v>0</v>
      </c>
      <c r="H80" s="190">
        <f t="shared" si="20"/>
        <v>0</v>
      </c>
      <c r="I80" s="55">
        <f t="shared" si="20"/>
        <v>0</v>
      </c>
      <c r="J80" s="189">
        <f t="shared" si="20"/>
        <v>0</v>
      </c>
      <c r="K80" s="190">
        <f t="shared" si="20"/>
        <v>0</v>
      </c>
      <c r="L80" s="55">
        <f t="shared" si="20"/>
        <v>0</v>
      </c>
      <c r="M80" s="189">
        <f t="shared" si="20"/>
        <v>0</v>
      </c>
      <c r="N80" s="190">
        <f t="shared" si="20"/>
        <v>0</v>
      </c>
      <c r="O80" s="55">
        <f t="shared" si="20"/>
        <v>0</v>
      </c>
      <c r="P80" s="1087"/>
    </row>
    <row r="81" spans="1:16" ht="12" hidden="1" customHeight="1" x14ac:dyDescent="0.25">
      <c r="A81" s="51">
        <v>2121</v>
      </c>
      <c r="B81" s="88" t="s">
        <v>97</v>
      </c>
      <c r="C81" s="89">
        <f t="shared" si="0"/>
        <v>0</v>
      </c>
      <c r="D81" s="194"/>
      <c r="E81" s="195"/>
      <c r="F81" s="55">
        <f>D81+E81</f>
        <v>0</v>
      </c>
      <c r="G81" s="53"/>
      <c r="H81" s="54"/>
      <c r="I81" s="55">
        <f>G81+H81</f>
        <v>0</v>
      </c>
      <c r="J81" s="53"/>
      <c r="K81" s="54"/>
      <c r="L81" s="55">
        <f>K81+J81</f>
        <v>0</v>
      </c>
      <c r="M81" s="53"/>
      <c r="N81" s="54"/>
      <c r="O81" s="55">
        <f>N81+M81</f>
        <v>0</v>
      </c>
      <c r="P81" s="1087"/>
    </row>
    <row r="82" spans="1:16" ht="24" hidden="1" customHeight="1" x14ac:dyDescent="0.25">
      <c r="A82" s="51">
        <v>2122</v>
      </c>
      <c r="B82" s="88" t="s">
        <v>98</v>
      </c>
      <c r="C82" s="89">
        <f t="shared" si="0"/>
        <v>0</v>
      </c>
      <c r="D82" s="194"/>
      <c r="E82" s="195"/>
      <c r="F82" s="55">
        <f>D82+E82</f>
        <v>0</v>
      </c>
      <c r="G82" s="53"/>
      <c r="H82" s="54"/>
      <c r="I82" s="55">
        <f>G82+H82</f>
        <v>0</v>
      </c>
      <c r="J82" s="53"/>
      <c r="K82" s="54"/>
      <c r="L82" s="55">
        <f>K82+J82</f>
        <v>0</v>
      </c>
      <c r="M82" s="53"/>
      <c r="N82" s="54"/>
      <c r="O82" s="55">
        <f>N82+M82</f>
        <v>0</v>
      </c>
      <c r="P82" s="1087"/>
    </row>
    <row r="83" spans="1:16" ht="15" customHeight="1" x14ac:dyDescent="0.25">
      <c r="A83" s="68">
        <v>2200</v>
      </c>
      <c r="B83" s="182" t="s">
        <v>100</v>
      </c>
      <c r="C83" s="69">
        <f t="shared" si="0"/>
        <v>289160</v>
      </c>
      <c r="D83" s="183">
        <f t="shared" ref="D83:O83" si="21">SUM(D84,D89,D95,D103,D112,D116,D122,D128)</f>
        <v>265125</v>
      </c>
      <c r="E83" s="184">
        <f t="shared" si="21"/>
        <v>15030</v>
      </c>
      <c r="F83" s="72">
        <f t="shared" si="21"/>
        <v>280155</v>
      </c>
      <c r="G83" s="183">
        <f t="shared" si="21"/>
        <v>0</v>
      </c>
      <c r="H83" s="184">
        <f t="shared" si="21"/>
        <v>0</v>
      </c>
      <c r="I83" s="72">
        <f t="shared" si="21"/>
        <v>0</v>
      </c>
      <c r="J83" s="183">
        <f t="shared" si="21"/>
        <v>9005</v>
      </c>
      <c r="K83" s="184">
        <f t="shared" si="21"/>
        <v>0</v>
      </c>
      <c r="L83" s="72">
        <f t="shared" si="21"/>
        <v>9005</v>
      </c>
      <c r="M83" s="183">
        <f t="shared" si="21"/>
        <v>0</v>
      </c>
      <c r="N83" s="184">
        <f t="shared" si="21"/>
        <v>0</v>
      </c>
      <c r="O83" s="72">
        <f t="shared" si="21"/>
        <v>0</v>
      </c>
      <c r="P83" s="1088"/>
    </row>
    <row r="84" spans="1:16" ht="15.75" customHeight="1" x14ac:dyDescent="0.25">
      <c r="A84" s="185">
        <v>2210</v>
      </c>
      <c r="B84" s="137" t="s">
        <v>101</v>
      </c>
      <c r="C84" s="142">
        <f t="shared" ref="C84:C147" si="22">F84+I84+L84+O84</f>
        <v>61725</v>
      </c>
      <c r="D84" s="186">
        <f t="shared" ref="D84:O84" si="23">SUM(D85:D88)</f>
        <v>61658</v>
      </c>
      <c r="E84" s="187">
        <f t="shared" si="23"/>
        <v>0</v>
      </c>
      <c r="F84" s="140">
        <f t="shared" si="23"/>
        <v>61658</v>
      </c>
      <c r="G84" s="186">
        <f t="shared" si="23"/>
        <v>0</v>
      </c>
      <c r="H84" s="187">
        <f t="shared" si="23"/>
        <v>0</v>
      </c>
      <c r="I84" s="140">
        <f t="shared" si="23"/>
        <v>0</v>
      </c>
      <c r="J84" s="186">
        <f t="shared" si="23"/>
        <v>70</v>
      </c>
      <c r="K84" s="187">
        <f t="shared" si="23"/>
        <v>-3</v>
      </c>
      <c r="L84" s="140">
        <f t="shared" si="23"/>
        <v>67</v>
      </c>
      <c r="M84" s="186">
        <f t="shared" si="23"/>
        <v>0</v>
      </c>
      <c r="N84" s="187">
        <f t="shared" si="23"/>
        <v>0</v>
      </c>
      <c r="O84" s="140">
        <f t="shared" si="23"/>
        <v>0</v>
      </c>
      <c r="P84" s="1089"/>
    </row>
    <row r="85" spans="1:16" ht="24" hidden="1" customHeight="1" x14ac:dyDescent="0.25">
      <c r="A85" s="44">
        <v>2211</v>
      </c>
      <c r="B85" s="81" t="s">
        <v>102</v>
      </c>
      <c r="C85" s="82">
        <f t="shared" si="22"/>
        <v>0</v>
      </c>
      <c r="D85" s="196"/>
      <c r="E85" s="197"/>
      <c r="F85" s="133">
        <f>D85+E85</f>
        <v>0</v>
      </c>
      <c r="G85" s="46"/>
      <c r="H85" s="47"/>
      <c r="I85" s="133">
        <f>G85+H85</f>
        <v>0</v>
      </c>
      <c r="J85" s="46"/>
      <c r="K85" s="47"/>
      <c r="L85" s="133">
        <f>K85+J85</f>
        <v>0</v>
      </c>
      <c r="M85" s="46"/>
      <c r="N85" s="47"/>
      <c r="O85" s="133">
        <f>N85+M85</f>
        <v>0</v>
      </c>
      <c r="P85" s="1090"/>
    </row>
    <row r="86" spans="1:16" ht="42" customHeight="1" x14ac:dyDescent="0.25">
      <c r="A86" s="51">
        <v>2212</v>
      </c>
      <c r="B86" s="88" t="s">
        <v>103</v>
      </c>
      <c r="C86" s="89">
        <f t="shared" si="22"/>
        <v>4484</v>
      </c>
      <c r="D86" s="194">
        <v>4464</v>
      </c>
      <c r="E86" s="195"/>
      <c r="F86" s="55">
        <f>D86+E86</f>
        <v>4464</v>
      </c>
      <c r="G86" s="53"/>
      <c r="H86" s="54"/>
      <c r="I86" s="55">
        <f>G86+H86</f>
        <v>0</v>
      </c>
      <c r="J86" s="53">
        <v>20</v>
      </c>
      <c r="K86" s="54"/>
      <c r="L86" s="55">
        <f>K86+J86</f>
        <v>20</v>
      </c>
      <c r="M86" s="53"/>
      <c r="N86" s="54"/>
      <c r="O86" s="55">
        <f>N86+M86</f>
        <v>0</v>
      </c>
      <c r="P86" s="1091"/>
    </row>
    <row r="87" spans="1:16" ht="24.75" customHeight="1" x14ac:dyDescent="0.25">
      <c r="A87" s="51">
        <v>2214</v>
      </c>
      <c r="B87" s="88" t="s">
        <v>104</v>
      </c>
      <c r="C87" s="89">
        <f t="shared" si="22"/>
        <v>1624</v>
      </c>
      <c r="D87" s="194">
        <v>1577</v>
      </c>
      <c r="E87" s="195"/>
      <c r="F87" s="55">
        <f>D87+E87</f>
        <v>1577</v>
      </c>
      <c r="G87" s="53"/>
      <c r="H87" s="54"/>
      <c r="I87" s="55">
        <f>G87+H87</f>
        <v>0</v>
      </c>
      <c r="J87" s="53">
        <v>50</v>
      </c>
      <c r="K87" s="54">
        <v>-3</v>
      </c>
      <c r="L87" s="55">
        <f>K87+J87</f>
        <v>47</v>
      </c>
      <c r="M87" s="53"/>
      <c r="N87" s="54"/>
      <c r="O87" s="55">
        <f>N87+M87</f>
        <v>0</v>
      </c>
      <c r="P87" s="1087" t="s">
        <v>1551</v>
      </c>
    </row>
    <row r="88" spans="1:16" ht="15.75" customHeight="1" x14ac:dyDescent="0.25">
      <c r="A88" s="51">
        <v>2219</v>
      </c>
      <c r="B88" s="88" t="s">
        <v>105</v>
      </c>
      <c r="C88" s="89">
        <f t="shared" si="22"/>
        <v>55617</v>
      </c>
      <c r="D88" s="194">
        <v>55617</v>
      </c>
      <c r="E88" s="195"/>
      <c r="F88" s="55">
        <f>D88+E88</f>
        <v>55617</v>
      </c>
      <c r="G88" s="53"/>
      <c r="H88" s="54"/>
      <c r="I88" s="55">
        <f>G88+H88</f>
        <v>0</v>
      </c>
      <c r="J88" s="53"/>
      <c r="K88" s="54"/>
      <c r="L88" s="55">
        <f>K88+J88</f>
        <v>0</v>
      </c>
      <c r="M88" s="53"/>
      <c r="N88" s="54"/>
      <c r="O88" s="55">
        <f>N88+M88</f>
        <v>0</v>
      </c>
      <c r="P88" s="1087"/>
    </row>
    <row r="89" spans="1:16" ht="24" x14ac:dyDescent="0.25">
      <c r="A89" s="188">
        <v>2220</v>
      </c>
      <c r="B89" s="88" t="s">
        <v>106</v>
      </c>
      <c r="C89" s="89">
        <f t="shared" si="22"/>
        <v>54376</v>
      </c>
      <c r="D89" s="189">
        <f t="shared" ref="D89:O89" si="24">SUM(D90:D94)</f>
        <v>43083</v>
      </c>
      <c r="E89" s="190">
        <f t="shared" si="24"/>
        <v>2679</v>
      </c>
      <c r="F89" s="55">
        <f t="shared" si="24"/>
        <v>45762</v>
      </c>
      <c r="G89" s="189">
        <f t="shared" si="24"/>
        <v>0</v>
      </c>
      <c r="H89" s="190">
        <f t="shared" si="24"/>
        <v>0</v>
      </c>
      <c r="I89" s="55">
        <f t="shared" si="24"/>
        <v>0</v>
      </c>
      <c r="J89" s="189">
        <f t="shared" si="24"/>
        <v>8614</v>
      </c>
      <c r="K89" s="190">
        <f t="shared" si="24"/>
        <v>0</v>
      </c>
      <c r="L89" s="55">
        <f t="shared" si="24"/>
        <v>8614</v>
      </c>
      <c r="M89" s="189">
        <f t="shared" si="24"/>
        <v>0</v>
      </c>
      <c r="N89" s="190">
        <f t="shared" si="24"/>
        <v>0</v>
      </c>
      <c r="O89" s="55">
        <f t="shared" si="24"/>
        <v>0</v>
      </c>
      <c r="P89" s="1087"/>
    </row>
    <row r="90" spans="1:16" ht="24.75" customHeight="1" x14ac:dyDescent="0.25">
      <c r="A90" s="51">
        <v>2221</v>
      </c>
      <c r="B90" s="88" t="s">
        <v>107</v>
      </c>
      <c r="C90" s="89">
        <f t="shared" si="22"/>
        <v>19105</v>
      </c>
      <c r="D90" s="194">
        <v>16480</v>
      </c>
      <c r="E90" s="195">
        <v>2625</v>
      </c>
      <c r="F90" s="55">
        <f>D90+E90</f>
        <v>19105</v>
      </c>
      <c r="G90" s="53"/>
      <c r="H90" s="54"/>
      <c r="I90" s="55">
        <f>G90+H90</f>
        <v>0</v>
      </c>
      <c r="J90" s="53"/>
      <c r="K90" s="54"/>
      <c r="L90" s="55">
        <f>K90+J90</f>
        <v>0</v>
      </c>
      <c r="M90" s="53"/>
      <c r="N90" s="54"/>
      <c r="O90" s="55">
        <f>N90+M90</f>
        <v>0</v>
      </c>
      <c r="P90" s="57" t="s">
        <v>1552</v>
      </c>
    </row>
    <row r="91" spans="1:16" ht="15" customHeight="1" x14ac:dyDescent="0.25">
      <c r="A91" s="51">
        <v>2222</v>
      </c>
      <c r="B91" s="88" t="s">
        <v>108</v>
      </c>
      <c r="C91" s="89">
        <f t="shared" si="22"/>
        <v>5066</v>
      </c>
      <c r="D91" s="194">
        <v>2015</v>
      </c>
      <c r="E91" s="195"/>
      <c r="F91" s="55">
        <f>D91+E91</f>
        <v>2015</v>
      </c>
      <c r="G91" s="53"/>
      <c r="H91" s="54"/>
      <c r="I91" s="55">
        <f>G91+H91</f>
        <v>0</v>
      </c>
      <c r="J91" s="53">
        <v>3051</v>
      </c>
      <c r="K91" s="54"/>
      <c r="L91" s="55">
        <f>K91+J91</f>
        <v>3051</v>
      </c>
      <c r="M91" s="53"/>
      <c r="N91" s="54"/>
      <c r="O91" s="55">
        <f>N91+M91</f>
        <v>0</v>
      </c>
      <c r="P91" s="57"/>
    </row>
    <row r="92" spans="1:16" ht="12" customHeight="1" x14ac:dyDescent="0.25">
      <c r="A92" s="51">
        <v>2223</v>
      </c>
      <c r="B92" s="88" t="s">
        <v>109</v>
      </c>
      <c r="C92" s="89">
        <f t="shared" si="22"/>
        <v>29274</v>
      </c>
      <c r="D92" s="194">
        <v>23911</v>
      </c>
      <c r="E92" s="195"/>
      <c r="F92" s="55">
        <f>D92+E92</f>
        <v>23911</v>
      </c>
      <c r="G92" s="53"/>
      <c r="H92" s="54"/>
      <c r="I92" s="55">
        <f>G92+H92</f>
        <v>0</v>
      </c>
      <c r="J92" s="53">
        <v>5363</v>
      </c>
      <c r="K92" s="54"/>
      <c r="L92" s="55">
        <f>K92+J92</f>
        <v>5363</v>
      </c>
      <c r="M92" s="53"/>
      <c r="N92" s="54"/>
      <c r="O92" s="55">
        <f>N92+M92</f>
        <v>0</v>
      </c>
      <c r="P92" s="57"/>
    </row>
    <row r="93" spans="1:16" ht="50.25" customHeight="1" x14ac:dyDescent="0.25">
      <c r="A93" s="51">
        <v>2224</v>
      </c>
      <c r="B93" s="88" t="s">
        <v>110</v>
      </c>
      <c r="C93" s="89">
        <f t="shared" si="22"/>
        <v>931</v>
      </c>
      <c r="D93" s="194">
        <v>677</v>
      </c>
      <c r="E93" s="1092">
        <v>54</v>
      </c>
      <c r="F93" s="55">
        <f>D93+E93</f>
        <v>731</v>
      </c>
      <c r="G93" s="53"/>
      <c r="H93" s="54"/>
      <c r="I93" s="55">
        <f>G93+H93</f>
        <v>0</v>
      </c>
      <c r="J93" s="53">
        <v>200</v>
      </c>
      <c r="K93" s="735"/>
      <c r="L93" s="55">
        <f>K93+J93</f>
        <v>200</v>
      </c>
      <c r="M93" s="53"/>
      <c r="N93" s="54"/>
      <c r="O93" s="55">
        <f>N93+M93</f>
        <v>0</v>
      </c>
      <c r="P93" s="57" t="s">
        <v>1553</v>
      </c>
    </row>
    <row r="94" spans="1:16" ht="24" hidden="1" customHeight="1" x14ac:dyDescent="0.25">
      <c r="A94" s="51">
        <v>2229</v>
      </c>
      <c r="B94" s="88" t="s">
        <v>111</v>
      </c>
      <c r="C94" s="89">
        <f t="shared" si="22"/>
        <v>0</v>
      </c>
      <c r="D94" s="194"/>
      <c r="E94" s="195"/>
      <c r="F94" s="55">
        <f>D94+E94</f>
        <v>0</v>
      </c>
      <c r="G94" s="53"/>
      <c r="H94" s="54"/>
      <c r="I94" s="55">
        <f>G94+H94</f>
        <v>0</v>
      </c>
      <c r="J94" s="53"/>
      <c r="K94" s="54"/>
      <c r="L94" s="55">
        <f>K94+J94</f>
        <v>0</v>
      </c>
      <c r="M94" s="53"/>
      <c r="N94" s="54"/>
      <c r="O94" s="55">
        <f>N94+M94</f>
        <v>0</v>
      </c>
      <c r="P94" s="57"/>
    </row>
    <row r="95" spans="1:16" ht="36" x14ac:dyDescent="0.25">
      <c r="A95" s="188">
        <v>2230</v>
      </c>
      <c r="B95" s="88" t="s">
        <v>112</v>
      </c>
      <c r="C95" s="89">
        <f t="shared" si="22"/>
        <v>2875</v>
      </c>
      <c r="D95" s="189">
        <f t="shared" ref="D95:O95" si="25">SUM(D96:D102)</f>
        <v>2315</v>
      </c>
      <c r="E95" s="190">
        <f t="shared" si="25"/>
        <v>560</v>
      </c>
      <c r="F95" s="55">
        <f t="shared" si="25"/>
        <v>2875</v>
      </c>
      <c r="G95" s="189">
        <f t="shared" si="25"/>
        <v>0</v>
      </c>
      <c r="H95" s="190">
        <f t="shared" si="25"/>
        <v>0</v>
      </c>
      <c r="I95" s="55">
        <f t="shared" si="25"/>
        <v>0</v>
      </c>
      <c r="J95" s="189">
        <f t="shared" si="25"/>
        <v>0</v>
      </c>
      <c r="K95" s="190">
        <f t="shared" si="25"/>
        <v>0</v>
      </c>
      <c r="L95" s="55">
        <f t="shared" si="25"/>
        <v>0</v>
      </c>
      <c r="M95" s="189">
        <f t="shared" si="25"/>
        <v>0</v>
      </c>
      <c r="N95" s="190">
        <f t="shared" si="25"/>
        <v>0</v>
      </c>
      <c r="O95" s="55">
        <f t="shared" si="25"/>
        <v>0</v>
      </c>
      <c r="P95" s="57"/>
    </row>
    <row r="96" spans="1:16" ht="24" hidden="1" customHeight="1" x14ac:dyDescent="0.25">
      <c r="A96" s="51">
        <v>2231</v>
      </c>
      <c r="B96" s="88" t="s">
        <v>113</v>
      </c>
      <c r="C96" s="89">
        <f t="shared" si="22"/>
        <v>0</v>
      </c>
      <c r="D96" s="194"/>
      <c r="E96" s="195"/>
      <c r="F96" s="55">
        <f t="shared" ref="F96:F102" si="26">D96+E96</f>
        <v>0</v>
      </c>
      <c r="G96" s="53"/>
      <c r="H96" s="54"/>
      <c r="I96" s="55">
        <f t="shared" ref="I96:I102" si="27">G96+H96</f>
        <v>0</v>
      </c>
      <c r="J96" s="53"/>
      <c r="K96" s="54"/>
      <c r="L96" s="55">
        <f t="shared" ref="L96:L102" si="28">K96+J96</f>
        <v>0</v>
      </c>
      <c r="M96" s="53"/>
      <c r="N96" s="54"/>
      <c r="O96" s="55">
        <f t="shared" ref="O96:O102" si="29">N96+M96</f>
        <v>0</v>
      </c>
      <c r="P96" s="57"/>
    </row>
    <row r="97" spans="1:16" ht="24.75" hidden="1" customHeight="1" x14ac:dyDescent="0.25">
      <c r="A97" s="51">
        <v>2232</v>
      </c>
      <c r="B97" s="88" t="s">
        <v>114</v>
      </c>
      <c r="C97" s="89">
        <f t="shared" si="22"/>
        <v>0</v>
      </c>
      <c r="D97" s="194"/>
      <c r="E97" s="195"/>
      <c r="F97" s="55">
        <f t="shared" si="26"/>
        <v>0</v>
      </c>
      <c r="G97" s="53"/>
      <c r="H97" s="54"/>
      <c r="I97" s="55">
        <f t="shared" si="27"/>
        <v>0</v>
      </c>
      <c r="J97" s="53"/>
      <c r="K97" s="54"/>
      <c r="L97" s="55">
        <f t="shared" si="28"/>
        <v>0</v>
      </c>
      <c r="M97" s="53"/>
      <c r="N97" s="54"/>
      <c r="O97" s="55">
        <f t="shared" si="29"/>
        <v>0</v>
      </c>
      <c r="P97" s="57"/>
    </row>
    <row r="98" spans="1:16" ht="24" customHeight="1" x14ac:dyDescent="0.25">
      <c r="A98" s="44">
        <v>2233</v>
      </c>
      <c r="B98" s="81" t="s">
        <v>115</v>
      </c>
      <c r="C98" s="82">
        <f t="shared" si="22"/>
        <v>320</v>
      </c>
      <c r="D98" s="196">
        <v>320</v>
      </c>
      <c r="E98" s="197"/>
      <c r="F98" s="133">
        <f t="shared" si="26"/>
        <v>320</v>
      </c>
      <c r="G98" s="46"/>
      <c r="H98" s="47"/>
      <c r="I98" s="133">
        <f t="shared" si="27"/>
        <v>0</v>
      </c>
      <c r="J98" s="46"/>
      <c r="K98" s="47"/>
      <c r="L98" s="133">
        <f t="shared" si="28"/>
        <v>0</v>
      </c>
      <c r="M98" s="46"/>
      <c r="N98" s="47"/>
      <c r="O98" s="133">
        <f t="shared" si="29"/>
        <v>0</v>
      </c>
      <c r="P98" s="49"/>
    </row>
    <row r="99" spans="1:16" ht="36" hidden="1" customHeight="1" x14ac:dyDescent="0.25">
      <c r="A99" s="51">
        <v>2234</v>
      </c>
      <c r="B99" s="88" t="s">
        <v>116</v>
      </c>
      <c r="C99" s="89">
        <f t="shared" si="22"/>
        <v>0</v>
      </c>
      <c r="D99" s="194"/>
      <c r="E99" s="195"/>
      <c r="F99" s="55">
        <f t="shared" si="26"/>
        <v>0</v>
      </c>
      <c r="G99" s="53"/>
      <c r="H99" s="54"/>
      <c r="I99" s="55">
        <f t="shared" si="27"/>
        <v>0</v>
      </c>
      <c r="J99" s="53"/>
      <c r="K99" s="54"/>
      <c r="L99" s="55">
        <f t="shared" si="28"/>
        <v>0</v>
      </c>
      <c r="M99" s="53"/>
      <c r="N99" s="54"/>
      <c r="O99" s="55">
        <f t="shared" si="29"/>
        <v>0</v>
      </c>
      <c r="P99" s="57"/>
    </row>
    <row r="100" spans="1:16" ht="26.25" customHeight="1" x14ac:dyDescent="0.25">
      <c r="A100" s="51">
        <v>2235</v>
      </c>
      <c r="B100" s="88" t="s">
        <v>117</v>
      </c>
      <c r="C100" s="89">
        <f t="shared" si="22"/>
        <v>560</v>
      </c>
      <c r="D100" s="194"/>
      <c r="E100" s="195">
        <v>560</v>
      </c>
      <c r="F100" s="55">
        <f t="shared" si="26"/>
        <v>560</v>
      </c>
      <c r="G100" s="53"/>
      <c r="H100" s="54"/>
      <c r="I100" s="55">
        <f t="shared" si="27"/>
        <v>0</v>
      </c>
      <c r="J100" s="53"/>
      <c r="K100" s="54"/>
      <c r="L100" s="55">
        <f t="shared" si="28"/>
        <v>0</v>
      </c>
      <c r="M100" s="53"/>
      <c r="N100" s="54"/>
      <c r="O100" s="55">
        <f t="shared" si="29"/>
        <v>0</v>
      </c>
      <c r="P100" s="57" t="s">
        <v>1554</v>
      </c>
    </row>
    <row r="101" spans="1:16" ht="12" hidden="1" customHeight="1" x14ac:dyDescent="0.25">
      <c r="A101" s="51">
        <v>2236</v>
      </c>
      <c r="B101" s="88" t="s">
        <v>118</v>
      </c>
      <c r="C101" s="89">
        <f t="shared" si="22"/>
        <v>0</v>
      </c>
      <c r="D101" s="194"/>
      <c r="E101" s="195"/>
      <c r="F101" s="55">
        <f t="shared" si="26"/>
        <v>0</v>
      </c>
      <c r="G101" s="53"/>
      <c r="H101" s="54"/>
      <c r="I101" s="55">
        <f t="shared" si="27"/>
        <v>0</v>
      </c>
      <c r="J101" s="53"/>
      <c r="K101" s="54"/>
      <c r="L101" s="55">
        <f t="shared" si="28"/>
        <v>0</v>
      </c>
      <c r="M101" s="53"/>
      <c r="N101" s="54"/>
      <c r="O101" s="55">
        <f t="shared" si="29"/>
        <v>0</v>
      </c>
      <c r="P101" s="57"/>
    </row>
    <row r="102" spans="1:16" ht="27" customHeight="1" x14ac:dyDescent="0.25">
      <c r="A102" s="51">
        <v>2239</v>
      </c>
      <c r="B102" s="88" t="s">
        <v>119</v>
      </c>
      <c r="C102" s="89">
        <f t="shared" si="22"/>
        <v>1995</v>
      </c>
      <c r="D102" s="194">
        <v>1995</v>
      </c>
      <c r="E102" s="195"/>
      <c r="F102" s="55">
        <f t="shared" si="26"/>
        <v>1995</v>
      </c>
      <c r="G102" s="53"/>
      <c r="H102" s="54"/>
      <c r="I102" s="55">
        <f t="shared" si="27"/>
        <v>0</v>
      </c>
      <c r="J102" s="53"/>
      <c r="K102" s="54"/>
      <c r="L102" s="55">
        <f t="shared" si="28"/>
        <v>0</v>
      </c>
      <c r="M102" s="53"/>
      <c r="N102" s="54"/>
      <c r="O102" s="55">
        <f t="shared" si="29"/>
        <v>0</v>
      </c>
      <c r="P102" s="57"/>
    </row>
    <row r="103" spans="1:16" ht="36" x14ac:dyDescent="0.25">
      <c r="A103" s="188">
        <v>2240</v>
      </c>
      <c r="B103" s="88" t="s">
        <v>120</v>
      </c>
      <c r="C103" s="89">
        <f t="shared" si="22"/>
        <v>56616</v>
      </c>
      <c r="D103" s="189">
        <f t="shared" ref="D103:O103" si="30">SUM(D104:D111)</f>
        <v>44778</v>
      </c>
      <c r="E103" s="190">
        <f t="shared" si="30"/>
        <v>11692</v>
      </c>
      <c r="F103" s="55">
        <f t="shared" si="30"/>
        <v>56470</v>
      </c>
      <c r="G103" s="189">
        <f t="shared" si="30"/>
        <v>0</v>
      </c>
      <c r="H103" s="190">
        <f t="shared" si="30"/>
        <v>0</v>
      </c>
      <c r="I103" s="55">
        <f t="shared" si="30"/>
        <v>0</v>
      </c>
      <c r="J103" s="189">
        <f t="shared" si="30"/>
        <v>143</v>
      </c>
      <c r="K103" s="190">
        <f t="shared" si="30"/>
        <v>3</v>
      </c>
      <c r="L103" s="55">
        <f t="shared" si="30"/>
        <v>146</v>
      </c>
      <c r="M103" s="189">
        <f t="shared" si="30"/>
        <v>0</v>
      </c>
      <c r="N103" s="190">
        <f t="shared" si="30"/>
        <v>0</v>
      </c>
      <c r="O103" s="55">
        <f t="shared" si="30"/>
        <v>0</v>
      </c>
      <c r="P103" s="57"/>
    </row>
    <row r="104" spans="1:16" ht="12" hidden="1" customHeight="1" x14ac:dyDescent="0.25">
      <c r="A104" s="51">
        <v>2241</v>
      </c>
      <c r="B104" s="88" t="s">
        <v>121</v>
      </c>
      <c r="C104" s="89">
        <f t="shared" si="22"/>
        <v>0</v>
      </c>
      <c r="D104" s="194"/>
      <c r="E104" s="195"/>
      <c r="F104" s="55">
        <f t="shared" ref="F104:F111" si="31">D104+E104</f>
        <v>0</v>
      </c>
      <c r="G104" s="53"/>
      <c r="H104" s="54"/>
      <c r="I104" s="55">
        <f t="shared" ref="I104:I111" si="32">G104+H104</f>
        <v>0</v>
      </c>
      <c r="J104" s="53"/>
      <c r="K104" s="54"/>
      <c r="L104" s="55">
        <f t="shared" ref="L104:L111" si="33">K104+J104</f>
        <v>0</v>
      </c>
      <c r="M104" s="53"/>
      <c r="N104" s="54"/>
      <c r="O104" s="55">
        <f t="shared" ref="O104:O111" si="34">N104+M104</f>
        <v>0</v>
      </c>
      <c r="P104" s="57"/>
    </row>
    <row r="105" spans="1:16" ht="24" customHeight="1" x14ac:dyDescent="0.25">
      <c r="A105" s="51">
        <v>2242</v>
      </c>
      <c r="B105" s="88" t="s">
        <v>122</v>
      </c>
      <c r="C105" s="89">
        <f t="shared" si="22"/>
        <v>39189</v>
      </c>
      <c r="D105" s="194">
        <v>28895</v>
      </c>
      <c r="E105" s="195">
        <v>10294</v>
      </c>
      <c r="F105" s="55">
        <f t="shared" si="31"/>
        <v>39189</v>
      </c>
      <c r="G105" s="53"/>
      <c r="H105" s="54"/>
      <c r="I105" s="55">
        <f t="shared" si="32"/>
        <v>0</v>
      </c>
      <c r="J105" s="53"/>
      <c r="K105" s="54"/>
      <c r="L105" s="55">
        <f t="shared" si="33"/>
        <v>0</v>
      </c>
      <c r="M105" s="53"/>
      <c r="N105" s="54"/>
      <c r="O105" s="55">
        <f t="shared" si="34"/>
        <v>0</v>
      </c>
      <c r="P105" s="57" t="s">
        <v>1555</v>
      </c>
    </row>
    <row r="106" spans="1:16" ht="25.5" customHeight="1" x14ac:dyDescent="0.25">
      <c r="A106" s="51">
        <v>2243</v>
      </c>
      <c r="B106" s="88" t="s">
        <v>123</v>
      </c>
      <c r="C106" s="89">
        <f t="shared" si="22"/>
        <v>4107</v>
      </c>
      <c r="D106" s="194">
        <v>3687</v>
      </c>
      <c r="E106" s="195">
        <v>420</v>
      </c>
      <c r="F106" s="55">
        <f t="shared" si="31"/>
        <v>4107</v>
      </c>
      <c r="G106" s="53"/>
      <c r="H106" s="54"/>
      <c r="I106" s="55">
        <f t="shared" si="32"/>
        <v>0</v>
      </c>
      <c r="J106" s="53"/>
      <c r="K106" s="54"/>
      <c r="L106" s="55">
        <f t="shared" si="33"/>
        <v>0</v>
      </c>
      <c r="M106" s="53"/>
      <c r="N106" s="54"/>
      <c r="O106" s="55">
        <f t="shared" si="34"/>
        <v>0</v>
      </c>
      <c r="P106" s="57" t="s">
        <v>1556</v>
      </c>
    </row>
    <row r="107" spans="1:16" ht="17.25" customHeight="1" x14ac:dyDescent="0.25">
      <c r="A107" s="51">
        <v>2244</v>
      </c>
      <c r="B107" s="88" t="s">
        <v>124</v>
      </c>
      <c r="C107" s="89">
        <f t="shared" si="22"/>
        <v>12833</v>
      </c>
      <c r="D107" s="194">
        <v>11790</v>
      </c>
      <c r="E107" s="195">
        <v>897</v>
      </c>
      <c r="F107" s="55">
        <f t="shared" si="31"/>
        <v>12687</v>
      </c>
      <c r="G107" s="53"/>
      <c r="H107" s="54"/>
      <c r="I107" s="55">
        <f t="shared" si="32"/>
        <v>0</v>
      </c>
      <c r="J107" s="53">
        <v>143</v>
      </c>
      <c r="K107" s="54">
        <v>3</v>
      </c>
      <c r="L107" s="55">
        <f t="shared" si="33"/>
        <v>146</v>
      </c>
      <c r="M107" s="53"/>
      <c r="N107" s="54"/>
      <c r="O107" s="55">
        <f t="shared" si="34"/>
        <v>0</v>
      </c>
      <c r="P107" s="57" t="s">
        <v>1557</v>
      </c>
    </row>
    <row r="108" spans="1:16" ht="24" hidden="1" customHeight="1" x14ac:dyDescent="0.25">
      <c r="A108" s="51">
        <v>2246</v>
      </c>
      <c r="B108" s="88" t="s">
        <v>125</v>
      </c>
      <c r="C108" s="89">
        <f t="shared" si="22"/>
        <v>0</v>
      </c>
      <c r="D108" s="194"/>
      <c r="E108" s="195"/>
      <c r="F108" s="55">
        <f t="shared" si="31"/>
        <v>0</v>
      </c>
      <c r="G108" s="53"/>
      <c r="H108" s="54"/>
      <c r="I108" s="55">
        <f t="shared" si="32"/>
        <v>0</v>
      </c>
      <c r="J108" s="53"/>
      <c r="K108" s="54"/>
      <c r="L108" s="55">
        <f t="shared" si="33"/>
        <v>0</v>
      </c>
      <c r="M108" s="53"/>
      <c r="N108" s="54"/>
      <c r="O108" s="55">
        <f t="shared" si="34"/>
        <v>0</v>
      </c>
      <c r="P108" s="57"/>
    </row>
    <row r="109" spans="1:16" ht="17.25" customHeight="1" x14ac:dyDescent="0.25">
      <c r="A109" s="51">
        <v>2247</v>
      </c>
      <c r="B109" s="88" t="s">
        <v>126</v>
      </c>
      <c r="C109" s="89">
        <f t="shared" si="22"/>
        <v>417</v>
      </c>
      <c r="D109" s="194">
        <v>336</v>
      </c>
      <c r="E109" s="195">
        <v>81</v>
      </c>
      <c r="F109" s="55">
        <f t="shared" si="31"/>
        <v>417</v>
      </c>
      <c r="G109" s="53"/>
      <c r="H109" s="54"/>
      <c r="I109" s="55">
        <f t="shared" si="32"/>
        <v>0</v>
      </c>
      <c r="J109" s="53"/>
      <c r="K109" s="54"/>
      <c r="L109" s="55">
        <f t="shared" si="33"/>
        <v>0</v>
      </c>
      <c r="M109" s="53"/>
      <c r="N109" s="54"/>
      <c r="O109" s="55">
        <f t="shared" si="34"/>
        <v>0</v>
      </c>
      <c r="P109" s="57" t="s">
        <v>1558</v>
      </c>
    </row>
    <row r="110" spans="1:16" ht="24" hidden="1" customHeight="1" x14ac:dyDescent="0.25">
      <c r="A110" s="51">
        <v>2248</v>
      </c>
      <c r="B110" s="88" t="s">
        <v>127</v>
      </c>
      <c r="C110" s="89">
        <f t="shared" si="22"/>
        <v>0</v>
      </c>
      <c r="D110" s="194"/>
      <c r="E110" s="195"/>
      <c r="F110" s="55">
        <f t="shared" si="31"/>
        <v>0</v>
      </c>
      <c r="G110" s="53"/>
      <c r="H110" s="54"/>
      <c r="I110" s="55">
        <f t="shared" si="32"/>
        <v>0</v>
      </c>
      <c r="J110" s="53"/>
      <c r="K110" s="54"/>
      <c r="L110" s="55">
        <f t="shared" si="33"/>
        <v>0</v>
      </c>
      <c r="M110" s="53"/>
      <c r="N110" s="54"/>
      <c r="O110" s="55">
        <f t="shared" si="34"/>
        <v>0</v>
      </c>
      <c r="P110" s="57"/>
    </row>
    <row r="111" spans="1:16" ht="24" customHeight="1" x14ac:dyDescent="0.25">
      <c r="A111" s="51">
        <v>2249</v>
      </c>
      <c r="B111" s="88" t="s">
        <v>128</v>
      </c>
      <c r="C111" s="89">
        <f t="shared" si="22"/>
        <v>70</v>
      </c>
      <c r="D111" s="194">
        <v>70</v>
      </c>
      <c r="E111" s="195"/>
      <c r="F111" s="55">
        <f t="shared" si="31"/>
        <v>70</v>
      </c>
      <c r="G111" s="53"/>
      <c r="H111" s="54"/>
      <c r="I111" s="55">
        <f t="shared" si="32"/>
        <v>0</v>
      </c>
      <c r="J111" s="53"/>
      <c r="K111" s="54"/>
      <c r="L111" s="55">
        <f t="shared" si="33"/>
        <v>0</v>
      </c>
      <c r="M111" s="53"/>
      <c r="N111" s="54"/>
      <c r="O111" s="55">
        <f t="shared" si="34"/>
        <v>0</v>
      </c>
      <c r="P111" s="57"/>
    </row>
    <row r="112" spans="1:16" x14ac:dyDescent="0.25">
      <c r="A112" s="188">
        <v>2250</v>
      </c>
      <c r="B112" s="88" t="s">
        <v>129</v>
      </c>
      <c r="C112" s="89">
        <f t="shared" si="22"/>
        <v>1035</v>
      </c>
      <c r="D112" s="189">
        <f t="shared" ref="D112:O112" si="35">SUM(D113:D115)</f>
        <v>1035</v>
      </c>
      <c r="E112" s="190">
        <f t="shared" si="35"/>
        <v>0</v>
      </c>
      <c r="F112" s="55">
        <f t="shared" si="35"/>
        <v>1035</v>
      </c>
      <c r="G112" s="189">
        <f t="shared" si="35"/>
        <v>0</v>
      </c>
      <c r="H112" s="190">
        <f t="shared" si="35"/>
        <v>0</v>
      </c>
      <c r="I112" s="55">
        <f t="shared" si="35"/>
        <v>0</v>
      </c>
      <c r="J112" s="189">
        <f t="shared" si="35"/>
        <v>0</v>
      </c>
      <c r="K112" s="190">
        <f t="shared" si="35"/>
        <v>0</v>
      </c>
      <c r="L112" s="55">
        <f t="shared" si="35"/>
        <v>0</v>
      </c>
      <c r="M112" s="189">
        <f t="shared" si="35"/>
        <v>0</v>
      </c>
      <c r="N112" s="190">
        <f t="shared" si="35"/>
        <v>0</v>
      </c>
      <c r="O112" s="55">
        <f t="shared" si="35"/>
        <v>0</v>
      </c>
      <c r="P112" s="57"/>
    </row>
    <row r="113" spans="1:16" ht="12" customHeight="1" x14ac:dyDescent="0.25">
      <c r="A113" s="51">
        <v>2251</v>
      </c>
      <c r="B113" s="88" t="s">
        <v>130</v>
      </c>
      <c r="C113" s="89">
        <f t="shared" si="22"/>
        <v>454</v>
      </c>
      <c r="D113" s="194">
        <v>454</v>
      </c>
      <c r="E113" s="195"/>
      <c r="F113" s="55">
        <f>D113+E113</f>
        <v>454</v>
      </c>
      <c r="G113" s="53"/>
      <c r="H113" s="54"/>
      <c r="I113" s="55">
        <f>G113+H113</f>
        <v>0</v>
      </c>
      <c r="J113" s="53"/>
      <c r="K113" s="54"/>
      <c r="L113" s="55">
        <f>K113+J113</f>
        <v>0</v>
      </c>
      <c r="M113" s="53"/>
      <c r="N113" s="54"/>
      <c r="O113" s="55">
        <f>N113+M113</f>
        <v>0</v>
      </c>
      <c r="P113" s="57"/>
    </row>
    <row r="114" spans="1:16" ht="24" hidden="1" customHeight="1" x14ac:dyDescent="0.25">
      <c r="A114" s="51">
        <v>2252</v>
      </c>
      <c r="B114" s="88" t="s">
        <v>131</v>
      </c>
      <c r="C114" s="89">
        <f t="shared" si="22"/>
        <v>0</v>
      </c>
      <c r="D114" s="194"/>
      <c r="E114" s="195"/>
      <c r="F114" s="55">
        <f>D114+E114</f>
        <v>0</v>
      </c>
      <c r="G114" s="53"/>
      <c r="H114" s="54"/>
      <c r="I114" s="55">
        <f>G114+H114</f>
        <v>0</v>
      </c>
      <c r="J114" s="53"/>
      <c r="K114" s="54"/>
      <c r="L114" s="55">
        <f>K114+J114</f>
        <v>0</v>
      </c>
      <c r="M114" s="53"/>
      <c r="N114" s="54"/>
      <c r="O114" s="55">
        <f>N114+M114</f>
        <v>0</v>
      </c>
      <c r="P114" s="57"/>
    </row>
    <row r="115" spans="1:16" ht="24" customHeight="1" x14ac:dyDescent="0.25">
      <c r="A115" s="51">
        <v>2259</v>
      </c>
      <c r="B115" s="88" t="s">
        <v>132</v>
      </c>
      <c r="C115" s="89">
        <f t="shared" si="22"/>
        <v>581</v>
      </c>
      <c r="D115" s="194">
        <v>581</v>
      </c>
      <c r="E115" s="195"/>
      <c r="F115" s="55">
        <f>D115+E115</f>
        <v>581</v>
      </c>
      <c r="G115" s="53"/>
      <c r="H115" s="54"/>
      <c r="I115" s="55">
        <f>G115+H115</f>
        <v>0</v>
      </c>
      <c r="J115" s="53"/>
      <c r="K115" s="54"/>
      <c r="L115" s="55">
        <f>K115+J115</f>
        <v>0</v>
      </c>
      <c r="M115" s="53"/>
      <c r="N115" s="54"/>
      <c r="O115" s="55">
        <f>N115+M115</f>
        <v>0</v>
      </c>
      <c r="P115" s="57"/>
    </row>
    <row r="116" spans="1:16" x14ac:dyDescent="0.25">
      <c r="A116" s="188">
        <v>2260</v>
      </c>
      <c r="B116" s="88" t="s">
        <v>133</v>
      </c>
      <c r="C116" s="89">
        <f t="shared" si="22"/>
        <v>112334</v>
      </c>
      <c r="D116" s="189">
        <f t="shared" ref="D116:O116" si="36">SUM(D117:D121)</f>
        <v>112256</v>
      </c>
      <c r="E116" s="190">
        <f t="shared" si="36"/>
        <v>0</v>
      </c>
      <c r="F116" s="55">
        <f t="shared" si="36"/>
        <v>112256</v>
      </c>
      <c r="G116" s="189">
        <f t="shared" si="36"/>
        <v>0</v>
      </c>
      <c r="H116" s="190">
        <f t="shared" si="36"/>
        <v>0</v>
      </c>
      <c r="I116" s="55">
        <f t="shared" si="36"/>
        <v>0</v>
      </c>
      <c r="J116" s="189">
        <f t="shared" si="36"/>
        <v>78</v>
      </c>
      <c r="K116" s="190">
        <f t="shared" si="36"/>
        <v>0</v>
      </c>
      <c r="L116" s="55">
        <f t="shared" si="36"/>
        <v>78</v>
      </c>
      <c r="M116" s="189">
        <f t="shared" si="36"/>
        <v>0</v>
      </c>
      <c r="N116" s="190">
        <f t="shared" si="36"/>
        <v>0</v>
      </c>
      <c r="O116" s="55">
        <f t="shared" si="36"/>
        <v>0</v>
      </c>
      <c r="P116" s="57"/>
    </row>
    <row r="117" spans="1:16" ht="12" customHeight="1" x14ac:dyDescent="0.25">
      <c r="A117" s="51">
        <v>2261</v>
      </c>
      <c r="B117" s="88" t="s">
        <v>134</v>
      </c>
      <c r="C117" s="89">
        <f t="shared" si="22"/>
        <v>105547</v>
      </c>
      <c r="D117" s="194">
        <v>105547</v>
      </c>
      <c r="E117" s="195"/>
      <c r="F117" s="55">
        <f>D117+E117</f>
        <v>105547</v>
      </c>
      <c r="G117" s="53"/>
      <c r="H117" s="54"/>
      <c r="I117" s="55">
        <f>G117+H117</f>
        <v>0</v>
      </c>
      <c r="J117" s="53"/>
      <c r="K117" s="54"/>
      <c r="L117" s="55">
        <f>K117+J117</f>
        <v>0</v>
      </c>
      <c r="M117" s="53"/>
      <c r="N117" s="54"/>
      <c r="O117" s="55">
        <f>N117+M117</f>
        <v>0</v>
      </c>
      <c r="P117" s="57"/>
    </row>
    <row r="118" spans="1:16" ht="12" hidden="1" customHeight="1" x14ac:dyDescent="0.25">
      <c r="A118" s="51">
        <v>2262</v>
      </c>
      <c r="B118" s="88" t="s">
        <v>135</v>
      </c>
      <c r="C118" s="89">
        <f t="shared" si="22"/>
        <v>0</v>
      </c>
      <c r="D118" s="194"/>
      <c r="E118" s="195"/>
      <c r="F118" s="55">
        <f>D118+E118</f>
        <v>0</v>
      </c>
      <c r="G118" s="53"/>
      <c r="H118" s="54"/>
      <c r="I118" s="55">
        <f>G118+H118</f>
        <v>0</v>
      </c>
      <c r="J118" s="53"/>
      <c r="K118" s="54"/>
      <c r="L118" s="55">
        <f>K118+J118</f>
        <v>0</v>
      </c>
      <c r="M118" s="53"/>
      <c r="N118" s="54"/>
      <c r="O118" s="55">
        <f>N118+M118</f>
        <v>0</v>
      </c>
      <c r="P118" s="57"/>
    </row>
    <row r="119" spans="1:16" ht="12" customHeight="1" x14ac:dyDescent="0.25">
      <c r="A119" s="51">
        <v>2263</v>
      </c>
      <c r="B119" s="88" t="s">
        <v>136</v>
      </c>
      <c r="C119" s="89">
        <f t="shared" si="22"/>
        <v>2721</v>
      </c>
      <c r="D119" s="194">
        <v>2721</v>
      </c>
      <c r="E119" s="195"/>
      <c r="F119" s="55">
        <f>D119+E119</f>
        <v>2721</v>
      </c>
      <c r="G119" s="53"/>
      <c r="H119" s="54"/>
      <c r="I119" s="55">
        <f>G119+H119</f>
        <v>0</v>
      </c>
      <c r="J119" s="53"/>
      <c r="K119" s="54"/>
      <c r="L119" s="55">
        <f>K119+J119</f>
        <v>0</v>
      </c>
      <c r="M119" s="53"/>
      <c r="N119" s="54"/>
      <c r="O119" s="55">
        <f>N119+M119</f>
        <v>0</v>
      </c>
      <c r="P119" s="57"/>
    </row>
    <row r="120" spans="1:16" ht="24" hidden="1" customHeight="1" x14ac:dyDescent="0.25">
      <c r="A120" s="51">
        <v>2264</v>
      </c>
      <c r="B120" s="88" t="s">
        <v>137</v>
      </c>
      <c r="C120" s="89">
        <f t="shared" si="22"/>
        <v>0</v>
      </c>
      <c r="D120" s="194"/>
      <c r="E120" s="195"/>
      <c r="F120" s="55">
        <f>D120+E120</f>
        <v>0</v>
      </c>
      <c r="G120" s="53"/>
      <c r="H120" s="54"/>
      <c r="I120" s="55">
        <f>G120+H120</f>
        <v>0</v>
      </c>
      <c r="J120" s="53"/>
      <c r="K120" s="54"/>
      <c r="L120" s="55">
        <f>K120+J120</f>
        <v>0</v>
      </c>
      <c r="M120" s="53"/>
      <c r="N120" s="54"/>
      <c r="O120" s="55">
        <f>N120+M120</f>
        <v>0</v>
      </c>
      <c r="P120" s="57"/>
    </row>
    <row r="121" spans="1:16" ht="12.75" customHeight="1" x14ac:dyDescent="0.25">
      <c r="A121" s="51">
        <v>2269</v>
      </c>
      <c r="B121" s="88" t="s">
        <v>138</v>
      </c>
      <c r="C121" s="89">
        <f t="shared" si="22"/>
        <v>4066</v>
      </c>
      <c r="D121" s="194">
        <v>3988</v>
      </c>
      <c r="E121" s="195"/>
      <c r="F121" s="55">
        <f>D121+E121</f>
        <v>3988</v>
      </c>
      <c r="G121" s="53"/>
      <c r="H121" s="54"/>
      <c r="I121" s="55">
        <f>G121+H121</f>
        <v>0</v>
      </c>
      <c r="J121" s="53">
        <v>78</v>
      </c>
      <c r="K121" s="54"/>
      <c r="L121" s="55">
        <f>K121+J121</f>
        <v>78</v>
      </c>
      <c r="M121" s="53"/>
      <c r="N121" s="54"/>
      <c r="O121" s="55">
        <f>N121+M121</f>
        <v>0</v>
      </c>
      <c r="P121" s="57"/>
    </row>
    <row r="122" spans="1:16" x14ac:dyDescent="0.25">
      <c r="A122" s="188">
        <v>2270</v>
      </c>
      <c r="B122" s="88" t="s">
        <v>139</v>
      </c>
      <c r="C122" s="89">
        <f t="shared" si="22"/>
        <v>199</v>
      </c>
      <c r="D122" s="189">
        <f t="shared" ref="D122:O122" si="37">SUM(D123:D127)</f>
        <v>0</v>
      </c>
      <c r="E122" s="190">
        <f t="shared" si="37"/>
        <v>99</v>
      </c>
      <c r="F122" s="55">
        <f t="shared" si="37"/>
        <v>99</v>
      </c>
      <c r="G122" s="189">
        <f t="shared" si="37"/>
        <v>0</v>
      </c>
      <c r="H122" s="190">
        <f t="shared" si="37"/>
        <v>0</v>
      </c>
      <c r="I122" s="55">
        <f t="shared" si="37"/>
        <v>0</v>
      </c>
      <c r="J122" s="189">
        <f t="shared" si="37"/>
        <v>100</v>
      </c>
      <c r="K122" s="190">
        <f t="shared" si="37"/>
        <v>0</v>
      </c>
      <c r="L122" s="55">
        <f t="shared" si="37"/>
        <v>100</v>
      </c>
      <c r="M122" s="189">
        <f t="shared" si="37"/>
        <v>0</v>
      </c>
      <c r="N122" s="190">
        <f t="shared" si="37"/>
        <v>0</v>
      </c>
      <c r="O122" s="55">
        <f t="shared" si="37"/>
        <v>0</v>
      </c>
      <c r="P122" s="57"/>
    </row>
    <row r="123" spans="1:16" ht="12" hidden="1" customHeight="1" x14ac:dyDescent="0.25">
      <c r="A123" s="51">
        <v>2272</v>
      </c>
      <c r="B123" s="199" t="s">
        <v>140</v>
      </c>
      <c r="C123" s="89">
        <f t="shared" si="22"/>
        <v>0</v>
      </c>
      <c r="D123" s="194"/>
      <c r="E123" s="195"/>
      <c r="F123" s="55">
        <f>D123+E123</f>
        <v>0</v>
      </c>
      <c r="G123" s="53"/>
      <c r="H123" s="54"/>
      <c r="I123" s="55">
        <f>G123+H123</f>
        <v>0</v>
      </c>
      <c r="J123" s="53"/>
      <c r="K123" s="54"/>
      <c r="L123" s="55">
        <f>K123+J123</f>
        <v>0</v>
      </c>
      <c r="M123" s="53"/>
      <c r="N123" s="54"/>
      <c r="O123" s="55">
        <f>N123+M123</f>
        <v>0</v>
      </c>
      <c r="P123" s="57"/>
    </row>
    <row r="124" spans="1:16" ht="24" hidden="1" customHeight="1" x14ac:dyDescent="0.25">
      <c r="A124" s="51">
        <v>2274</v>
      </c>
      <c r="B124" s="200" t="s">
        <v>141</v>
      </c>
      <c r="C124" s="89">
        <f t="shared" si="22"/>
        <v>0</v>
      </c>
      <c r="D124" s="194"/>
      <c r="E124" s="195"/>
      <c r="F124" s="55">
        <f>D124+E124</f>
        <v>0</v>
      </c>
      <c r="G124" s="53"/>
      <c r="H124" s="54"/>
      <c r="I124" s="55">
        <f>G124+H124</f>
        <v>0</v>
      </c>
      <c r="J124" s="53"/>
      <c r="K124" s="54"/>
      <c r="L124" s="55">
        <f>K124+J124</f>
        <v>0</v>
      </c>
      <c r="M124" s="53"/>
      <c r="N124" s="54"/>
      <c r="O124" s="55">
        <f>N124+M124</f>
        <v>0</v>
      </c>
      <c r="P124" s="57"/>
    </row>
    <row r="125" spans="1:16" ht="24" hidden="1" customHeight="1" x14ac:dyDescent="0.25">
      <c r="A125" s="51">
        <v>2275</v>
      </c>
      <c r="B125" s="88" t="s">
        <v>142</v>
      </c>
      <c r="C125" s="89">
        <f t="shared" si="22"/>
        <v>0</v>
      </c>
      <c r="D125" s="194"/>
      <c r="E125" s="195"/>
      <c r="F125" s="55">
        <f>D125+E125</f>
        <v>0</v>
      </c>
      <c r="G125" s="53"/>
      <c r="H125" s="54"/>
      <c r="I125" s="55">
        <f>G125+H125</f>
        <v>0</v>
      </c>
      <c r="J125" s="53"/>
      <c r="K125" s="54"/>
      <c r="L125" s="55">
        <f>K125+J125</f>
        <v>0</v>
      </c>
      <c r="M125" s="53"/>
      <c r="N125" s="54"/>
      <c r="O125" s="55">
        <f>N125+M125</f>
        <v>0</v>
      </c>
      <c r="P125" s="57"/>
    </row>
    <row r="126" spans="1:16" ht="409.6" hidden="1" customHeight="1" x14ac:dyDescent="0.25">
      <c r="A126" s="51">
        <v>2276</v>
      </c>
      <c r="B126" s="88" t="s">
        <v>143</v>
      </c>
      <c r="C126" s="89">
        <v>0</v>
      </c>
      <c r="D126" s="194">
        <v>0</v>
      </c>
      <c r="E126" s="195">
        <v>99</v>
      </c>
      <c r="F126" s="55">
        <f>D126+E126</f>
        <v>99</v>
      </c>
      <c r="G126" s="53"/>
      <c r="H126" s="54"/>
      <c r="I126" s="55">
        <f>G126+H126</f>
        <v>0</v>
      </c>
      <c r="J126" s="53"/>
      <c r="K126" s="54"/>
      <c r="L126" s="55">
        <f>K126+J126</f>
        <v>0</v>
      </c>
      <c r="M126" s="53"/>
      <c r="N126" s="54"/>
      <c r="O126" s="55">
        <f>N126+M126</f>
        <v>0</v>
      </c>
      <c r="P126" s="57" t="s">
        <v>1559</v>
      </c>
    </row>
    <row r="127" spans="1:16" ht="24" customHeight="1" x14ac:dyDescent="0.25">
      <c r="A127" s="51">
        <v>2279</v>
      </c>
      <c r="B127" s="88" t="s">
        <v>144</v>
      </c>
      <c r="C127" s="89">
        <f t="shared" si="22"/>
        <v>100</v>
      </c>
      <c r="D127" s="194"/>
      <c r="E127" s="195"/>
      <c r="F127" s="55">
        <f>D127+E127</f>
        <v>0</v>
      </c>
      <c r="G127" s="53"/>
      <c r="H127" s="54"/>
      <c r="I127" s="55">
        <f>G127+H127</f>
        <v>0</v>
      </c>
      <c r="J127" s="53">
        <v>100</v>
      </c>
      <c r="K127" s="54"/>
      <c r="L127" s="55">
        <f>K127+J127</f>
        <v>100</v>
      </c>
      <c r="M127" s="53"/>
      <c r="N127" s="54"/>
      <c r="O127" s="55">
        <f>N127+M127</f>
        <v>0</v>
      </c>
      <c r="P127" s="57"/>
    </row>
    <row r="128" spans="1:16" ht="48" hidden="1" x14ac:dyDescent="0.25">
      <c r="A128" s="941">
        <v>2280</v>
      </c>
      <c r="B128" s="81" t="s">
        <v>145</v>
      </c>
      <c r="C128" s="82">
        <f t="shared" si="22"/>
        <v>0</v>
      </c>
      <c r="D128" s="192">
        <f t="shared" ref="D128:O128" si="38">SUM(D129)</f>
        <v>0</v>
      </c>
      <c r="E128" s="193">
        <f t="shared" si="38"/>
        <v>0</v>
      </c>
      <c r="F128" s="133">
        <f t="shared" si="38"/>
        <v>0</v>
      </c>
      <c r="G128" s="192">
        <f t="shared" si="38"/>
        <v>0</v>
      </c>
      <c r="H128" s="193">
        <f t="shared" si="38"/>
        <v>0</v>
      </c>
      <c r="I128" s="133">
        <f t="shared" si="38"/>
        <v>0</v>
      </c>
      <c r="J128" s="192">
        <f t="shared" si="38"/>
        <v>0</v>
      </c>
      <c r="K128" s="193">
        <f t="shared" si="38"/>
        <v>0</v>
      </c>
      <c r="L128" s="133">
        <f t="shared" si="38"/>
        <v>0</v>
      </c>
      <c r="M128" s="192">
        <f t="shared" si="38"/>
        <v>0</v>
      </c>
      <c r="N128" s="193">
        <f t="shared" si="38"/>
        <v>0</v>
      </c>
      <c r="O128" s="133">
        <f t="shared" si="38"/>
        <v>0</v>
      </c>
      <c r="P128" s="49"/>
    </row>
    <row r="129" spans="1:16" ht="24" hidden="1" customHeight="1" x14ac:dyDescent="0.25">
      <c r="A129" s="51">
        <v>2283</v>
      </c>
      <c r="B129" s="88" t="s">
        <v>146</v>
      </c>
      <c r="C129" s="89">
        <f t="shared" si="2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22"/>
        <v>81870</v>
      </c>
      <c r="D130" s="183">
        <f t="shared" ref="D130:O130" si="39">SUM(D131,D136,D140,D141,D144,D151,D159,D160,D163)</f>
        <v>69765</v>
      </c>
      <c r="E130" s="184">
        <f t="shared" si="39"/>
        <v>6442</v>
      </c>
      <c r="F130" s="72">
        <f t="shared" si="39"/>
        <v>76207</v>
      </c>
      <c r="G130" s="183">
        <f t="shared" si="39"/>
        <v>0</v>
      </c>
      <c r="H130" s="184">
        <f t="shared" si="39"/>
        <v>0</v>
      </c>
      <c r="I130" s="72">
        <f t="shared" si="39"/>
        <v>0</v>
      </c>
      <c r="J130" s="183">
        <f t="shared" si="39"/>
        <v>5663</v>
      </c>
      <c r="K130" s="184">
        <f t="shared" si="39"/>
        <v>0</v>
      </c>
      <c r="L130" s="72">
        <f t="shared" si="39"/>
        <v>5663</v>
      </c>
      <c r="M130" s="183">
        <f t="shared" si="39"/>
        <v>0</v>
      </c>
      <c r="N130" s="184">
        <f t="shared" si="39"/>
        <v>0</v>
      </c>
      <c r="O130" s="72">
        <f t="shared" si="39"/>
        <v>0</v>
      </c>
      <c r="P130" s="76"/>
    </row>
    <row r="131" spans="1:16" ht="24" x14ac:dyDescent="0.25">
      <c r="A131" s="941">
        <v>2310</v>
      </c>
      <c r="B131" s="81" t="s">
        <v>148</v>
      </c>
      <c r="C131" s="82">
        <f t="shared" si="22"/>
        <v>20657</v>
      </c>
      <c r="D131" s="192">
        <f t="shared" ref="D131:O131" si="40">SUM(D132:D135)</f>
        <v>15156</v>
      </c>
      <c r="E131" s="193">
        <f t="shared" si="40"/>
        <v>5001</v>
      </c>
      <c r="F131" s="133">
        <f t="shared" si="40"/>
        <v>20157</v>
      </c>
      <c r="G131" s="192">
        <f t="shared" si="40"/>
        <v>0</v>
      </c>
      <c r="H131" s="193">
        <f t="shared" si="40"/>
        <v>0</v>
      </c>
      <c r="I131" s="133">
        <f t="shared" si="40"/>
        <v>0</v>
      </c>
      <c r="J131" s="192">
        <f t="shared" si="40"/>
        <v>500</v>
      </c>
      <c r="K131" s="193">
        <f t="shared" si="40"/>
        <v>0</v>
      </c>
      <c r="L131" s="133">
        <f t="shared" si="40"/>
        <v>500</v>
      </c>
      <c r="M131" s="192">
        <f t="shared" si="40"/>
        <v>0</v>
      </c>
      <c r="N131" s="193">
        <f t="shared" si="40"/>
        <v>0</v>
      </c>
      <c r="O131" s="133">
        <f t="shared" si="40"/>
        <v>0</v>
      </c>
      <c r="P131" s="49"/>
    </row>
    <row r="132" spans="1:16" ht="12.75" customHeight="1" x14ac:dyDescent="0.25">
      <c r="A132" s="51">
        <v>2311</v>
      </c>
      <c r="B132" s="88" t="s">
        <v>149</v>
      </c>
      <c r="C132" s="89">
        <f t="shared" si="22"/>
        <v>12186</v>
      </c>
      <c r="D132" s="194">
        <v>11209</v>
      </c>
      <c r="E132" s="195">
        <v>477</v>
      </c>
      <c r="F132" s="55">
        <f>D132+E132</f>
        <v>11686</v>
      </c>
      <c r="G132" s="53"/>
      <c r="H132" s="54"/>
      <c r="I132" s="55">
        <f>G132+H132</f>
        <v>0</v>
      </c>
      <c r="J132" s="53">
        <v>500</v>
      </c>
      <c r="K132" s="54"/>
      <c r="L132" s="55">
        <f>K132+J132</f>
        <v>500</v>
      </c>
      <c r="M132" s="53"/>
      <c r="N132" s="54"/>
      <c r="O132" s="55">
        <f>N132+M132</f>
        <v>0</v>
      </c>
      <c r="P132" s="57" t="s">
        <v>1560</v>
      </c>
    </row>
    <row r="133" spans="1:16" ht="14.25" customHeight="1" x14ac:dyDescent="0.25">
      <c r="A133" s="51">
        <v>2312</v>
      </c>
      <c r="B133" s="88" t="s">
        <v>150</v>
      </c>
      <c r="C133" s="89">
        <f t="shared" si="22"/>
        <v>6432</v>
      </c>
      <c r="D133" s="194">
        <v>1915</v>
      </c>
      <c r="E133" s="195">
        <v>4517</v>
      </c>
      <c r="F133" s="55">
        <f>D133+E133</f>
        <v>6432</v>
      </c>
      <c r="G133" s="53"/>
      <c r="H133" s="54"/>
      <c r="I133" s="55">
        <f>G133+H133</f>
        <v>0</v>
      </c>
      <c r="J133" s="53"/>
      <c r="K133" s="54"/>
      <c r="L133" s="55">
        <f>K133+J133</f>
        <v>0</v>
      </c>
      <c r="M133" s="53"/>
      <c r="N133" s="54"/>
      <c r="O133" s="55">
        <f>N133+M133</f>
        <v>0</v>
      </c>
      <c r="P133" s="57" t="s">
        <v>1561</v>
      </c>
    </row>
    <row r="134" spans="1:16" ht="13.5" customHeight="1" x14ac:dyDescent="0.25">
      <c r="A134" s="51">
        <v>2313</v>
      </c>
      <c r="B134" s="88" t="s">
        <v>151</v>
      </c>
      <c r="C134" s="89">
        <f t="shared" si="22"/>
        <v>1676</v>
      </c>
      <c r="D134" s="194">
        <v>1682</v>
      </c>
      <c r="E134" s="195">
        <v>-6</v>
      </c>
      <c r="F134" s="55">
        <f>D134+E134</f>
        <v>1676</v>
      </c>
      <c r="G134" s="53"/>
      <c r="H134" s="54"/>
      <c r="I134" s="55">
        <f>G134+H134</f>
        <v>0</v>
      </c>
      <c r="J134" s="53"/>
      <c r="K134" s="54"/>
      <c r="L134" s="55">
        <f>K134+J134</f>
        <v>0</v>
      </c>
      <c r="M134" s="53"/>
      <c r="N134" s="54"/>
      <c r="O134" s="55">
        <f>N134+M134</f>
        <v>0</v>
      </c>
      <c r="P134" s="57" t="s">
        <v>1562</v>
      </c>
    </row>
    <row r="135" spans="1:16" ht="39.75" customHeight="1" x14ac:dyDescent="0.25">
      <c r="A135" s="51">
        <v>2314</v>
      </c>
      <c r="B135" s="88" t="s">
        <v>152</v>
      </c>
      <c r="C135" s="89">
        <f t="shared" si="22"/>
        <v>363</v>
      </c>
      <c r="D135" s="194">
        <v>350</v>
      </c>
      <c r="E135" s="195">
        <v>13</v>
      </c>
      <c r="F135" s="55">
        <f>D135+E135</f>
        <v>363</v>
      </c>
      <c r="G135" s="53"/>
      <c r="H135" s="54"/>
      <c r="I135" s="55">
        <f>G135+H135</f>
        <v>0</v>
      </c>
      <c r="J135" s="53"/>
      <c r="K135" s="54"/>
      <c r="L135" s="55">
        <f>K135+J135</f>
        <v>0</v>
      </c>
      <c r="M135" s="53"/>
      <c r="N135" s="54"/>
      <c r="O135" s="55">
        <f>N135+M135</f>
        <v>0</v>
      </c>
      <c r="P135" s="57" t="s">
        <v>1563</v>
      </c>
    </row>
    <row r="136" spans="1:16" x14ac:dyDescent="0.25">
      <c r="A136" s="188">
        <v>2320</v>
      </c>
      <c r="B136" s="88" t="s">
        <v>153</v>
      </c>
      <c r="C136" s="89">
        <f t="shared" si="22"/>
        <v>38552</v>
      </c>
      <c r="D136" s="189">
        <f t="shared" ref="D136:O136" si="41">SUM(D137:D139)</f>
        <v>32041</v>
      </c>
      <c r="E136" s="190">
        <f t="shared" si="41"/>
        <v>1348</v>
      </c>
      <c r="F136" s="55">
        <f t="shared" si="41"/>
        <v>33389</v>
      </c>
      <c r="G136" s="189">
        <f t="shared" si="41"/>
        <v>0</v>
      </c>
      <c r="H136" s="190">
        <f t="shared" si="41"/>
        <v>0</v>
      </c>
      <c r="I136" s="55">
        <f t="shared" si="41"/>
        <v>0</v>
      </c>
      <c r="J136" s="189">
        <f t="shared" si="41"/>
        <v>5163</v>
      </c>
      <c r="K136" s="190">
        <f t="shared" si="41"/>
        <v>0</v>
      </c>
      <c r="L136" s="55">
        <f t="shared" si="41"/>
        <v>5163</v>
      </c>
      <c r="M136" s="189">
        <f t="shared" si="41"/>
        <v>0</v>
      </c>
      <c r="N136" s="190">
        <f t="shared" si="41"/>
        <v>0</v>
      </c>
      <c r="O136" s="55">
        <f t="shared" si="41"/>
        <v>0</v>
      </c>
      <c r="P136" s="57"/>
    </row>
    <row r="137" spans="1:16" ht="12" customHeight="1" x14ac:dyDescent="0.25">
      <c r="A137" s="51">
        <v>2321</v>
      </c>
      <c r="B137" s="88" t="s">
        <v>154</v>
      </c>
      <c r="C137" s="89">
        <f t="shared" si="22"/>
        <v>8582</v>
      </c>
      <c r="D137" s="194">
        <v>5023</v>
      </c>
      <c r="E137" s="195"/>
      <c r="F137" s="55">
        <f>D137+E137</f>
        <v>5023</v>
      </c>
      <c r="G137" s="53"/>
      <c r="H137" s="54"/>
      <c r="I137" s="55">
        <f>G137+H137</f>
        <v>0</v>
      </c>
      <c r="J137" s="53">
        <v>3559</v>
      </c>
      <c r="K137" s="54"/>
      <c r="L137" s="55">
        <f>K137+J137</f>
        <v>3559</v>
      </c>
      <c r="M137" s="53"/>
      <c r="N137" s="54"/>
      <c r="O137" s="55">
        <f>N137+M137</f>
        <v>0</v>
      </c>
      <c r="P137" s="57"/>
    </row>
    <row r="138" spans="1:16" ht="12.75" customHeight="1" x14ac:dyDescent="0.25">
      <c r="A138" s="51">
        <v>2322</v>
      </c>
      <c r="B138" s="88" t="s">
        <v>155</v>
      </c>
      <c r="C138" s="89">
        <f t="shared" si="22"/>
        <v>29970</v>
      </c>
      <c r="D138" s="194">
        <v>27018</v>
      </c>
      <c r="E138" s="195">
        <v>1348</v>
      </c>
      <c r="F138" s="55">
        <f>D138+E138</f>
        <v>28366</v>
      </c>
      <c r="G138" s="53"/>
      <c r="H138" s="54"/>
      <c r="I138" s="55">
        <f>G138+H138</f>
        <v>0</v>
      </c>
      <c r="J138" s="53">
        <v>1604</v>
      </c>
      <c r="K138" s="54"/>
      <c r="L138" s="55">
        <f>K138+J138</f>
        <v>1604</v>
      </c>
      <c r="M138" s="53"/>
      <c r="N138" s="54"/>
      <c r="O138" s="55">
        <f>N138+M138</f>
        <v>0</v>
      </c>
      <c r="P138" s="57" t="s">
        <v>1564</v>
      </c>
    </row>
    <row r="139" spans="1:16" ht="10.5" hidden="1" customHeight="1" x14ac:dyDescent="0.25">
      <c r="A139" s="51">
        <v>2329</v>
      </c>
      <c r="B139" s="88" t="s">
        <v>156</v>
      </c>
      <c r="C139" s="89">
        <f t="shared" si="22"/>
        <v>0</v>
      </c>
      <c r="D139" s="194"/>
      <c r="E139" s="195"/>
      <c r="F139" s="55">
        <f>D139+E139</f>
        <v>0</v>
      </c>
      <c r="G139" s="53"/>
      <c r="H139" s="54"/>
      <c r="I139" s="55">
        <f>G139+H139</f>
        <v>0</v>
      </c>
      <c r="J139" s="53"/>
      <c r="K139" s="54"/>
      <c r="L139" s="55">
        <f>K139+J139</f>
        <v>0</v>
      </c>
      <c r="M139" s="53"/>
      <c r="N139" s="54"/>
      <c r="O139" s="55">
        <f>N139+M139</f>
        <v>0</v>
      </c>
      <c r="P139" s="57"/>
    </row>
    <row r="140" spans="1:16" ht="12" hidden="1" customHeight="1" x14ac:dyDescent="0.25">
      <c r="A140" s="188">
        <v>2330</v>
      </c>
      <c r="B140" s="88" t="s">
        <v>157</v>
      </c>
      <c r="C140" s="89">
        <f t="shared" si="22"/>
        <v>0</v>
      </c>
      <c r="D140" s="194"/>
      <c r="E140" s="195"/>
      <c r="F140" s="55">
        <f>D140+E140</f>
        <v>0</v>
      </c>
      <c r="G140" s="53"/>
      <c r="H140" s="54"/>
      <c r="I140" s="55">
        <f>G140+H140</f>
        <v>0</v>
      </c>
      <c r="J140" s="53"/>
      <c r="K140" s="54"/>
      <c r="L140" s="55">
        <f>K140+J140</f>
        <v>0</v>
      </c>
      <c r="M140" s="53"/>
      <c r="N140" s="54"/>
      <c r="O140" s="55">
        <f>N140+M140</f>
        <v>0</v>
      </c>
      <c r="P140" s="57"/>
    </row>
    <row r="141" spans="1:16" ht="48" x14ac:dyDescent="0.25">
      <c r="A141" s="188">
        <v>2340</v>
      </c>
      <c r="B141" s="88" t="s">
        <v>158</v>
      </c>
      <c r="C141" s="89">
        <f t="shared" si="22"/>
        <v>545</v>
      </c>
      <c r="D141" s="189">
        <f t="shared" ref="D141:O141" si="42">SUM(D142:D143)</f>
        <v>500</v>
      </c>
      <c r="E141" s="190">
        <f t="shared" si="42"/>
        <v>45</v>
      </c>
      <c r="F141" s="55">
        <f t="shared" si="42"/>
        <v>545</v>
      </c>
      <c r="G141" s="189">
        <f t="shared" si="42"/>
        <v>0</v>
      </c>
      <c r="H141" s="190">
        <f t="shared" si="42"/>
        <v>0</v>
      </c>
      <c r="I141" s="55">
        <f t="shared" si="42"/>
        <v>0</v>
      </c>
      <c r="J141" s="189">
        <f t="shared" si="42"/>
        <v>0</v>
      </c>
      <c r="K141" s="190">
        <f t="shared" si="42"/>
        <v>0</v>
      </c>
      <c r="L141" s="55">
        <f t="shared" si="42"/>
        <v>0</v>
      </c>
      <c r="M141" s="189">
        <f t="shared" si="42"/>
        <v>0</v>
      </c>
      <c r="N141" s="190">
        <f t="shared" si="42"/>
        <v>0</v>
      </c>
      <c r="O141" s="55">
        <f t="shared" si="42"/>
        <v>0</v>
      </c>
      <c r="P141" s="57"/>
    </row>
    <row r="142" spans="1:16" ht="12" customHeight="1" x14ac:dyDescent="0.25">
      <c r="A142" s="51">
        <v>2341</v>
      </c>
      <c r="B142" s="88" t="s">
        <v>159</v>
      </c>
      <c r="C142" s="89">
        <f t="shared" si="22"/>
        <v>545</v>
      </c>
      <c r="D142" s="194">
        <v>500</v>
      </c>
      <c r="E142" s="195">
        <v>45</v>
      </c>
      <c r="F142" s="55">
        <f>D142+E142</f>
        <v>545</v>
      </c>
      <c r="G142" s="53"/>
      <c r="H142" s="54"/>
      <c r="I142" s="55">
        <f>G142+H142</f>
        <v>0</v>
      </c>
      <c r="J142" s="53"/>
      <c r="K142" s="54"/>
      <c r="L142" s="55">
        <f>K142+J142</f>
        <v>0</v>
      </c>
      <c r="M142" s="53"/>
      <c r="N142" s="54"/>
      <c r="O142" s="55">
        <f>N142+M142</f>
        <v>0</v>
      </c>
      <c r="P142" s="57" t="s">
        <v>1565</v>
      </c>
    </row>
    <row r="143" spans="1:16" ht="24" hidden="1" customHeight="1" x14ac:dyDescent="0.25">
      <c r="A143" s="51">
        <v>2344</v>
      </c>
      <c r="B143" s="88" t="s">
        <v>160</v>
      </c>
      <c r="C143" s="89">
        <f t="shared" si="22"/>
        <v>0</v>
      </c>
      <c r="D143" s="194"/>
      <c r="E143" s="195"/>
      <c r="F143" s="55">
        <f>D143+E143</f>
        <v>0</v>
      </c>
      <c r="G143" s="53"/>
      <c r="H143" s="54"/>
      <c r="I143" s="55">
        <f>G143+H143</f>
        <v>0</v>
      </c>
      <c r="J143" s="53"/>
      <c r="K143" s="54"/>
      <c r="L143" s="55">
        <f>K143+J143</f>
        <v>0</v>
      </c>
      <c r="M143" s="53"/>
      <c r="N143" s="54"/>
      <c r="O143" s="55">
        <f>N143+M143</f>
        <v>0</v>
      </c>
      <c r="P143" s="57"/>
    </row>
    <row r="144" spans="1:16" ht="24" x14ac:dyDescent="0.25">
      <c r="A144" s="185">
        <v>2350</v>
      </c>
      <c r="B144" s="137" t="s">
        <v>161</v>
      </c>
      <c r="C144" s="142">
        <f t="shared" si="22"/>
        <v>8098</v>
      </c>
      <c r="D144" s="186">
        <f t="shared" ref="D144:O144" si="43">SUM(D145:D150)</f>
        <v>8042</v>
      </c>
      <c r="E144" s="187">
        <f t="shared" si="43"/>
        <v>56</v>
      </c>
      <c r="F144" s="140">
        <f t="shared" si="43"/>
        <v>8098</v>
      </c>
      <c r="G144" s="186">
        <f t="shared" si="43"/>
        <v>0</v>
      </c>
      <c r="H144" s="187">
        <f t="shared" si="43"/>
        <v>0</v>
      </c>
      <c r="I144" s="140">
        <f t="shared" si="43"/>
        <v>0</v>
      </c>
      <c r="J144" s="186">
        <f t="shared" si="43"/>
        <v>0</v>
      </c>
      <c r="K144" s="187">
        <f t="shared" si="43"/>
        <v>0</v>
      </c>
      <c r="L144" s="140">
        <f t="shared" si="43"/>
        <v>0</v>
      </c>
      <c r="M144" s="186">
        <f t="shared" si="43"/>
        <v>0</v>
      </c>
      <c r="N144" s="187">
        <f t="shared" si="43"/>
        <v>0</v>
      </c>
      <c r="O144" s="140">
        <f t="shared" si="43"/>
        <v>0</v>
      </c>
      <c r="P144" s="128"/>
    </row>
    <row r="145" spans="1:16" ht="12" customHeight="1" x14ac:dyDescent="0.25">
      <c r="A145" s="44">
        <v>2351</v>
      </c>
      <c r="B145" s="81" t="s">
        <v>162</v>
      </c>
      <c r="C145" s="82">
        <f t="shared" si="22"/>
        <v>815</v>
      </c>
      <c r="D145" s="196">
        <v>815</v>
      </c>
      <c r="E145" s="197"/>
      <c r="F145" s="133">
        <f t="shared" ref="F145:F150" si="44">D145+E145</f>
        <v>815</v>
      </c>
      <c r="G145" s="46"/>
      <c r="H145" s="47"/>
      <c r="I145" s="133">
        <f t="shared" ref="I145:I150" si="45">G145+H145</f>
        <v>0</v>
      </c>
      <c r="J145" s="46"/>
      <c r="K145" s="47"/>
      <c r="L145" s="133">
        <f t="shared" ref="L145:L150" si="46">K145+J145</f>
        <v>0</v>
      </c>
      <c r="M145" s="46"/>
      <c r="N145" s="47"/>
      <c r="O145" s="133">
        <f t="shared" ref="O145:O150" si="47">N145+M145</f>
        <v>0</v>
      </c>
      <c r="P145" s="49"/>
    </row>
    <row r="146" spans="1:16" ht="12" customHeight="1" x14ac:dyDescent="0.25">
      <c r="A146" s="51">
        <v>2352</v>
      </c>
      <c r="B146" s="88" t="s">
        <v>163</v>
      </c>
      <c r="C146" s="89">
        <f t="shared" si="22"/>
        <v>3459</v>
      </c>
      <c r="D146" s="194">
        <v>3459</v>
      </c>
      <c r="E146" s="195"/>
      <c r="F146" s="55">
        <f t="shared" si="44"/>
        <v>3459</v>
      </c>
      <c r="G146" s="53"/>
      <c r="H146" s="54"/>
      <c r="I146" s="55">
        <f t="shared" si="45"/>
        <v>0</v>
      </c>
      <c r="J146" s="53"/>
      <c r="K146" s="54"/>
      <c r="L146" s="55">
        <f t="shared" si="46"/>
        <v>0</v>
      </c>
      <c r="M146" s="53"/>
      <c r="N146" s="54"/>
      <c r="O146" s="55">
        <f t="shared" si="47"/>
        <v>0</v>
      </c>
      <c r="P146" s="57"/>
    </row>
    <row r="147" spans="1:16" ht="25.5" customHeight="1" x14ac:dyDescent="0.25">
      <c r="A147" s="51">
        <v>2353</v>
      </c>
      <c r="B147" s="88" t="s">
        <v>164</v>
      </c>
      <c r="C147" s="89">
        <f t="shared" si="22"/>
        <v>158</v>
      </c>
      <c r="D147" s="194">
        <v>102</v>
      </c>
      <c r="E147" s="195">
        <v>56</v>
      </c>
      <c r="F147" s="55">
        <f t="shared" si="44"/>
        <v>158</v>
      </c>
      <c r="G147" s="53"/>
      <c r="H147" s="54"/>
      <c r="I147" s="55">
        <f t="shared" si="45"/>
        <v>0</v>
      </c>
      <c r="J147" s="53"/>
      <c r="K147" s="54"/>
      <c r="L147" s="55">
        <f t="shared" si="46"/>
        <v>0</v>
      </c>
      <c r="M147" s="53"/>
      <c r="N147" s="54"/>
      <c r="O147" s="55">
        <f t="shared" si="47"/>
        <v>0</v>
      </c>
      <c r="P147" s="57" t="s">
        <v>1566</v>
      </c>
    </row>
    <row r="148" spans="1:16" ht="24" customHeight="1" x14ac:dyDescent="0.25">
      <c r="A148" s="51">
        <v>2354</v>
      </c>
      <c r="B148" s="88" t="s">
        <v>165</v>
      </c>
      <c r="C148" s="89">
        <f t="shared" ref="C148:C211" si="48">F148+I148+L148+O148</f>
        <v>3666</v>
      </c>
      <c r="D148" s="194">
        <v>3666</v>
      </c>
      <c r="E148" s="195"/>
      <c r="F148" s="55">
        <f t="shared" si="44"/>
        <v>3666</v>
      </c>
      <c r="G148" s="53"/>
      <c r="H148" s="54"/>
      <c r="I148" s="55">
        <f t="shared" si="45"/>
        <v>0</v>
      </c>
      <c r="J148" s="53"/>
      <c r="K148" s="54"/>
      <c r="L148" s="55">
        <f t="shared" si="46"/>
        <v>0</v>
      </c>
      <c r="M148" s="53"/>
      <c r="N148" s="54"/>
      <c r="O148" s="55">
        <f t="shared" si="47"/>
        <v>0</v>
      </c>
      <c r="P148" s="57"/>
    </row>
    <row r="149" spans="1:16" ht="24" hidden="1" customHeight="1" x14ac:dyDescent="0.25">
      <c r="A149" s="51">
        <v>2355</v>
      </c>
      <c r="B149" s="88" t="s">
        <v>166</v>
      </c>
      <c r="C149" s="89">
        <f t="shared" si="48"/>
        <v>0</v>
      </c>
      <c r="D149" s="194"/>
      <c r="E149" s="195"/>
      <c r="F149" s="55">
        <f t="shared" si="44"/>
        <v>0</v>
      </c>
      <c r="G149" s="53"/>
      <c r="H149" s="54"/>
      <c r="I149" s="55">
        <f t="shared" si="45"/>
        <v>0</v>
      </c>
      <c r="J149" s="53"/>
      <c r="K149" s="54"/>
      <c r="L149" s="55">
        <f t="shared" si="46"/>
        <v>0</v>
      </c>
      <c r="M149" s="53"/>
      <c r="N149" s="54"/>
      <c r="O149" s="55">
        <f t="shared" si="47"/>
        <v>0</v>
      </c>
      <c r="P149" s="57"/>
    </row>
    <row r="150" spans="1:16" ht="24" hidden="1" customHeight="1" x14ac:dyDescent="0.25">
      <c r="A150" s="51">
        <v>2359</v>
      </c>
      <c r="B150" s="88" t="s">
        <v>167</v>
      </c>
      <c r="C150" s="89">
        <f t="shared" si="48"/>
        <v>0</v>
      </c>
      <c r="D150" s="194"/>
      <c r="E150" s="195"/>
      <c r="F150" s="55">
        <f t="shared" si="44"/>
        <v>0</v>
      </c>
      <c r="G150" s="53"/>
      <c r="H150" s="54"/>
      <c r="I150" s="55">
        <f t="shared" si="45"/>
        <v>0</v>
      </c>
      <c r="J150" s="53"/>
      <c r="K150" s="54"/>
      <c r="L150" s="55">
        <f t="shared" si="46"/>
        <v>0</v>
      </c>
      <c r="M150" s="53"/>
      <c r="N150" s="54"/>
      <c r="O150" s="55">
        <f t="shared" si="47"/>
        <v>0</v>
      </c>
      <c r="P150" s="57"/>
    </row>
    <row r="151" spans="1:16" ht="24.75" customHeight="1" x14ac:dyDescent="0.25">
      <c r="A151" s="188">
        <v>2360</v>
      </c>
      <c r="B151" s="88" t="s">
        <v>168</v>
      </c>
      <c r="C151" s="89">
        <f t="shared" si="48"/>
        <v>13458</v>
      </c>
      <c r="D151" s="189">
        <f t="shared" ref="D151:O151" si="49">SUM(D152:D158)</f>
        <v>13466</v>
      </c>
      <c r="E151" s="190">
        <f t="shared" si="49"/>
        <v>-8</v>
      </c>
      <c r="F151" s="55">
        <f t="shared" si="49"/>
        <v>13458</v>
      </c>
      <c r="G151" s="189">
        <f t="shared" si="49"/>
        <v>0</v>
      </c>
      <c r="H151" s="190">
        <f t="shared" si="49"/>
        <v>0</v>
      </c>
      <c r="I151" s="55">
        <f t="shared" si="49"/>
        <v>0</v>
      </c>
      <c r="J151" s="189">
        <f t="shared" si="49"/>
        <v>0</v>
      </c>
      <c r="K151" s="190">
        <f t="shared" si="49"/>
        <v>0</v>
      </c>
      <c r="L151" s="55">
        <f t="shared" si="49"/>
        <v>0</v>
      </c>
      <c r="M151" s="189">
        <f t="shared" si="49"/>
        <v>0</v>
      </c>
      <c r="N151" s="190">
        <f t="shared" si="49"/>
        <v>0</v>
      </c>
      <c r="O151" s="55">
        <f t="shared" si="49"/>
        <v>0</v>
      </c>
      <c r="P151" s="57"/>
    </row>
    <row r="152" spans="1:16" ht="12" customHeight="1" x14ac:dyDescent="0.25">
      <c r="A152" s="50">
        <v>2361</v>
      </c>
      <c r="B152" s="88" t="s">
        <v>169</v>
      </c>
      <c r="C152" s="89">
        <f t="shared" si="48"/>
        <v>160</v>
      </c>
      <c r="D152" s="194">
        <v>160</v>
      </c>
      <c r="E152" s="195"/>
      <c r="F152" s="55">
        <f t="shared" ref="F152:F159" si="50">D152+E152</f>
        <v>160</v>
      </c>
      <c r="G152" s="53"/>
      <c r="H152" s="54"/>
      <c r="I152" s="55">
        <f t="shared" ref="I152:I159" si="51">G152+H152</f>
        <v>0</v>
      </c>
      <c r="J152" s="53"/>
      <c r="K152" s="54"/>
      <c r="L152" s="55">
        <f t="shared" ref="L152:L159" si="52">K152+J152</f>
        <v>0</v>
      </c>
      <c r="M152" s="53"/>
      <c r="N152" s="54"/>
      <c r="O152" s="55">
        <f t="shared" ref="O152:O159" si="53">N152+M152</f>
        <v>0</v>
      </c>
      <c r="P152" s="57"/>
    </row>
    <row r="153" spans="1:16" ht="24" hidden="1" customHeight="1" x14ac:dyDescent="0.25">
      <c r="A153" s="50">
        <v>2362</v>
      </c>
      <c r="B153" s="88" t="s">
        <v>170</v>
      </c>
      <c r="C153" s="89">
        <f t="shared" si="48"/>
        <v>0</v>
      </c>
      <c r="D153" s="194"/>
      <c r="E153" s="195"/>
      <c r="F153" s="55">
        <f t="shared" si="50"/>
        <v>0</v>
      </c>
      <c r="G153" s="53"/>
      <c r="H153" s="54"/>
      <c r="I153" s="55">
        <f t="shared" si="51"/>
        <v>0</v>
      </c>
      <c r="J153" s="53"/>
      <c r="K153" s="54"/>
      <c r="L153" s="55">
        <f t="shared" si="52"/>
        <v>0</v>
      </c>
      <c r="M153" s="53"/>
      <c r="N153" s="54"/>
      <c r="O153" s="55">
        <f t="shared" si="53"/>
        <v>0</v>
      </c>
      <c r="P153" s="57"/>
    </row>
    <row r="154" spans="1:16" ht="12" hidden="1" customHeight="1" x14ac:dyDescent="0.25">
      <c r="A154" s="50">
        <v>2363</v>
      </c>
      <c r="B154" s="88" t="s">
        <v>171</v>
      </c>
      <c r="C154" s="89">
        <f t="shared" si="48"/>
        <v>0</v>
      </c>
      <c r="D154" s="194"/>
      <c r="E154" s="195"/>
      <c r="F154" s="55">
        <f t="shared" si="50"/>
        <v>0</v>
      </c>
      <c r="G154" s="53"/>
      <c r="H154" s="54"/>
      <c r="I154" s="55">
        <f t="shared" si="51"/>
        <v>0</v>
      </c>
      <c r="J154" s="53"/>
      <c r="K154" s="54"/>
      <c r="L154" s="55">
        <f t="shared" si="52"/>
        <v>0</v>
      </c>
      <c r="M154" s="53"/>
      <c r="N154" s="54"/>
      <c r="O154" s="55">
        <f t="shared" si="53"/>
        <v>0</v>
      </c>
      <c r="P154" s="57"/>
    </row>
    <row r="155" spans="1:16" ht="12.75" customHeight="1" x14ac:dyDescent="0.25">
      <c r="A155" s="50">
        <v>2364</v>
      </c>
      <c r="B155" s="88" t="s">
        <v>172</v>
      </c>
      <c r="C155" s="89">
        <f t="shared" si="48"/>
        <v>13053</v>
      </c>
      <c r="D155" s="194">
        <v>13061</v>
      </c>
      <c r="E155" s="195">
        <v>-8</v>
      </c>
      <c r="F155" s="55">
        <f t="shared" si="50"/>
        <v>13053</v>
      </c>
      <c r="G155" s="53"/>
      <c r="H155" s="54"/>
      <c r="I155" s="55">
        <f t="shared" si="51"/>
        <v>0</v>
      </c>
      <c r="J155" s="53"/>
      <c r="K155" s="54"/>
      <c r="L155" s="55">
        <f t="shared" si="52"/>
        <v>0</v>
      </c>
      <c r="M155" s="53"/>
      <c r="N155" s="54"/>
      <c r="O155" s="55">
        <f t="shared" si="53"/>
        <v>0</v>
      </c>
      <c r="P155" s="57" t="s">
        <v>1567</v>
      </c>
    </row>
    <row r="156" spans="1:16" ht="12.75" hidden="1" customHeight="1" x14ac:dyDescent="0.25">
      <c r="A156" s="50">
        <v>2365</v>
      </c>
      <c r="B156" s="88" t="s">
        <v>173</v>
      </c>
      <c r="C156" s="89">
        <f t="shared" si="48"/>
        <v>0</v>
      </c>
      <c r="D156" s="194"/>
      <c r="E156" s="195"/>
      <c r="F156" s="55">
        <f t="shared" si="50"/>
        <v>0</v>
      </c>
      <c r="G156" s="53"/>
      <c r="H156" s="54"/>
      <c r="I156" s="55">
        <f t="shared" si="51"/>
        <v>0</v>
      </c>
      <c r="J156" s="53"/>
      <c r="K156" s="54"/>
      <c r="L156" s="55">
        <f t="shared" si="52"/>
        <v>0</v>
      </c>
      <c r="M156" s="53"/>
      <c r="N156" s="54"/>
      <c r="O156" s="55">
        <f t="shared" si="53"/>
        <v>0</v>
      </c>
      <c r="P156" s="57"/>
    </row>
    <row r="157" spans="1:16" ht="36" hidden="1" customHeight="1" x14ac:dyDescent="0.25">
      <c r="A157" s="50">
        <v>2366</v>
      </c>
      <c r="B157" s="88" t="s">
        <v>174</v>
      </c>
      <c r="C157" s="89">
        <f t="shared" si="48"/>
        <v>0</v>
      </c>
      <c r="D157" s="194"/>
      <c r="E157" s="195"/>
      <c r="F157" s="55">
        <f t="shared" si="50"/>
        <v>0</v>
      </c>
      <c r="G157" s="53"/>
      <c r="H157" s="54"/>
      <c r="I157" s="55">
        <f t="shared" si="51"/>
        <v>0</v>
      </c>
      <c r="J157" s="53"/>
      <c r="K157" s="54"/>
      <c r="L157" s="55">
        <f t="shared" si="52"/>
        <v>0</v>
      </c>
      <c r="M157" s="53"/>
      <c r="N157" s="54"/>
      <c r="O157" s="55">
        <f t="shared" si="53"/>
        <v>0</v>
      </c>
      <c r="P157" s="57"/>
    </row>
    <row r="158" spans="1:16" ht="48" customHeight="1" x14ac:dyDescent="0.25">
      <c r="A158" s="50">
        <v>2369</v>
      </c>
      <c r="B158" s="88" t="s">
        <v>175</v>
      </c>
      <c r="C158" s="89">
        <f t="shared" si="48"/>
        <v>245</v>
      </c>
      <c r="D158" s="194">
        <v>245</v>
      </c>
      <c r="E158" s="195"/>
      <c r="F158" s="55">
        <f t="shared" si="50"/>
        <v>245</v>
      </c>
      <c r="G158" s="53"/>
      <c r="H158" s="54"/>
      <c r="I158" s="55">
        <f t="shared" si="51"/>
        <v>0</v>
      </c>
      <c r="J158" s="53"/>
      <c r="K158" s="54"/>
      <c r="L158" s="55">
        <f t="shared" si="52"/>
        <v>0</v>
      </c>
      <c r="M158" s="53"/>
      <c r="N158" s="54"/>
      <c r="O158" s="55">
        <f t="shared" si="53"/>
        <v>0</v>
      </c>
      <c r="P158" s="57"/>
    </row>
    <row r="159" spans="1:16" ht="12" hidden="1" customHeight="1" x14ac:dyDescent="0.25">
      <c r="A159" s="185">
        <v>2370</v>
      </c>
      <c r="B159" s="137" t="s">
        <v>176</v>
      </c>
      <c r="C159" s="142">
        <f t="shared" si="48"/>
        <v>0</v>
      </c>
      <c r="D159" s="202"/>
      <c r="E159" s="203"/>
      <c r="F159" s="140">
        <f t="shared" si="50"/>
        <v>0</v>
      </c>
      <c r="G159" s="143"/>
      <c r="H159" s="144"/>
      <c r="I159" s="140">
        <f t="shared" si="51"/>
        <v>0</v>
      </c>
      <c r="J159" s="143"/>
      <c r="K159" s="144"/>
      <c r="L159" s="140">
        <f t="shared" si="52"/>
        <v>0</v>
      </c>
      <c r="M159" s="143"/>
      <c r="N159" s="144"/>
      <c r="O159" s="140">
        <f t="shared" si="53"/>
        <v>0</v>
      </c>
      <c r="P159" s="128"/>
    </row>
    <row r="160" spans="1:16" x14ac:dyDescent="0.25">
      <c r="A160" s="185">
        <v>2380</v>
      </c>
      <c r="B160" s="137" t="s">
        <v>177</v>
      </c>
      <c r="C160" s="142">
        <f t="shared" si="48"/>
        <v>560</v>
      </c>
      <c r="D160" s="186">
        <f t="shared" ref="D160:O160" si="54">SUM(D161:D162)</f>
        <v>560</v>
      </c>
      <c r="E160" s="187">
        <f t="shared" si="54"/>
        <v>0</v>
      </c>
      <c r="F160" s="140">
        <f t="shared" si="54"/>
        <v>560</v>
      </c>
      <c r="G160" s="186">
        <f t="shared" si="54"/>
        <v>0</v>
      </c>
      <c r="H160" s="187">
        <f t="shared" si="54"/>
        <v>0</v>
      </c>
      <c r="I160" s="140">
        <f t="shared" si="54"/>
        <v>0</v>
      </c>
      <c r="J160" s="186">
        <f t="shared" si="54"/>
        <v>0</v>
      </c>
      <c r="K160" s="187">
        <f t="shared" si="54"/>
        <v>0</v>
      </c>
      <c r="L160" s="140">
        <f t="shared" si="54"/>
        <v>0</v>
      </c>
      <c r="M160" s="186">
        <f t="shared" si="54"/>
        <v>0</v>
      </c>
      <c r="N160" s="187">
        <f t="shared" si="54"/>
        <v>0</v>
      </c>
      <c r="O160" s="140">
        <f t="shared" si="54"/>
        <v>0</v>
      </c>
      <c r="P160" s="128"/>
    </row>
    <row r="161" spans="1:16" ht="12" hidden="1" customHeight="1" x14ac:dyDescent="0.25">
      <c r="A161" s="43">
        <v>2381</v>
      </c>
      <c r="B161" s="81" t="s">
        <v>178</v>
      </c>
      <c r="C161" s="82">
        <f t="shared" si="48"/>
        <v>0</v>
      </c>
      <c r="D161" s="196"/>
      <c r="E161" s="197"/>
      <c r="F161" s="133">
        <f>D161+E161</f>
        <v>0</v>
      </c>
      <c r="G161" s="46"/>
      <c r="H161" s="47"/>
      <c r="I161" s="133">
        <f>G161+H161</f>
        <v>0</v>
      </c>
      <c r="J161" s="46"/>
      <c r="K161" s="47"/>
      <c r="L161" s="133">
        <f>K161+J161</f>
        <v>0</v>
      </c>
      <c r="M161" s="46"/>
      <c r="N161" s="47"/>
      <c r="O161" s="133">
        <f>N161+M161</f>
        <v>0</v>
      </c>
      <c r="P161" s="49"/>
    </row>
    <row r="162" spans="1:16" ht="24" customHeight="1" x14ac:dyDescent="0.25">
      <c r="A162" s="50">
        <v>2389</v>
      </c>
      <c r="B162" s="88" t="s">
        <v>179</v>
      </c>
      <c r="C162" s="89">
        <f t="shared" si="48"/>
        <v>560</v>
      </c>
      <c r="D162" s="194">
        <v>560</v>
      </c>
      <c r="E162" s="195"/>
      <c r="F162" s="55">
        <f>D162+E162</f>
        <v>560</v>
      </c>
      <c r="G162" s="53"/>
      <c r="H162" s="54"/>
      <c r="I162" s="55">
        <f>G162+H162</f>
        <v>0</v>
      </c>
      <c r="J162" s="53"/>
      <c r="K162" s="54"/>
      <c r="L162" s="55">
        <f>K162+J162</f>
        <v>0</v>
      </c>
      <c r="M162" s="53"/>
      <c r="N162" s="54"/>
      <c r="O162" s="55">
        <f>N162+M162</f>
        <v>0</v>
      </c>
      <c r="P162" s="57"/>
    </row>
    <row r="163" spans="1:16" ht="12" hidden="1" customHeight="1" x14ac:dyDescent="0.25">
      <c r="A163" s="185">
        <v>2390</v>
      </c>
      <c r="B163" s="137" t="s">
        <v>180</v>
      </c>
      <c r="C163" s="142">
        <f t="shared" si="48"/>
        <v>0</v>
      </c>
      <c r="D163" s="202"/>
      <c r="E163" s="203"/>
      <c r="F163" s="140">
        <f>D163+E163</f>
        <v>0</v>
      </c>
      <c r="G163" s="143"/>
      <c r="H163" s="144"/>
      <c r="I163" s="140">
        <f>G163+H163</f>
        <v>0</v>
      </c>
      <c r="J163" s="143"/>
      <c r="K163" s="144"/>
      <c r="L163" s="140">
        <f>K163+J163</f>
        <v>0</v>
      </c>
      <c r="M163" s="143"/>
      <c r="N163" s="144"/>
      <c r="O163" s="140">
        <f>N163+M163</f>
        <v>0</v>
      </c>
      <c r="P163" s="128"/>
    </row>
    <row r="164" spans="1:16" ht="12" hidden="1" customHeight="1" x14ac:dyDescent="0.25">
      <c r="A164" s="68">
        <v>2400</v>
      </c>
      <c r="B164" s="182" t="s">
        <v>181</v>
      </c>
      <c r="C164" s="69">
        <f t="shared" si="48"/>
        <v>0</v>
      </c>
      <c r="D164" s="204"/>
      <c r="E164" s="205"/>
      <c r="F164" s="72">
        <f>D164+E164</f>
        <v>0</v>
      </c>
      <c r="G164" s="70"/>
      <c r="H164" s="71"/>
      <c r="I164" s="72">
        <f>G164+H164</f>
        <v>0</v>
      </c>
      <c r="J164" s="70"/>
      <c r="K164" s="71"/>
      <c r="L164" s="72">
        <f>K164+J164</f>
        <v>0</v>
      </c>
      <c r="M164" s="70"/>
      <c r="N164" s="71"/>
      <c r="O164" s="72">
        <f>N164+M164</f>
        <v>0</v>
      </c>
      <c r="P164" s="76"/>
    </row>
    <row r="165" spans="1:16" ht="24" x14ac:dyDescent="0.25">
      <c r="A165" s="68">
        <v>2500</v>
      </c>
      <c r="B165" s="182" t="s">
        <v>182</v>
      </c>
      <c r="C165" s="69">
        <f t="shared" si="48"/>
        <v>30978</v>
      </c>
      <c r="D165" s="183">
        <f>SUM(D166,D171)</f>
        <v>24918</v>
      </c>
      <c r="E165" s="184">
        <f t="shared" ref="E165:O165" si="55">SUM(E166,E171)</f>
        <v>0</v>
      </c>
      <c r="F165" s="72">
        <f t="shared" si="55"/>
        <v>24918</v>
      </c>
      <c r="G165" s="183">
        <f t="shared" si="55"/>
        <v>0</v>
      </c>
      <c r="H165" s="184">
        <f t="shared" si="55"/>
        <v>0</v>
      </c>
      <c r="I165" s="72">
        <f t="shared" si="55"/>
        <v>0</v>
      </c>
      <c r="J165" s="183">
        <f t="shared" si="55"/>
        <v>6000</v>
      </c>
      <c r="K165" s="184">
        <f t="shared" si="55"/>
        <v>60</v>
      </c>
      <c r="L165" s="72">
        <f t="shared" si="55"/>
        <v>6060</v>
      </c>
      <c r="M165" s="183">
        <f t="shared" si="55"/>
        <v>0</v>
      </c>
      <c r="N165" s="184">
        <f t="shared" si="55"/>
        <v>0</v>
      </c>
      <c r="O165" s="72">
        <f t="shared" si="55"/>
        <v>0</v>
      </c>
      <c r="P165" s="76"/>
    </row>
    <row r="166" spans="1:16" ht="24" x14ac:dyDescent="0.25">
      <c r="A166" s="941">
        <v>2510</v>
      </c>
      <c r="B166" s="81" t="s">
        <v>183</v>
      </c>
      <c r="C166" s="82">
        <f t="shared" si="48"/>
        <v>30978</v>
      </c>
      <c r="D166" s="192">
        <f>SUM(D167:D170)</f>
        <v>24918</v>
      </c>
      <c r="E166" s="193">
        <f t="shared" ref="E166:O166" si="56">SUM(E167:E170)</f>
        <v>0</v>
      </c>
      <c r="F166" s="133">
        <f t="shared" si="56"/>
        <v>24918</v>
      </c>
      <c r="G166" s="192">
        <f t="shared" si="56"/>
        <v>0</v>
      </c>
      <c r="H166" s="193">
        <f t="shared" si="56"/>
        <v>0</v>
      </c>
      <c r="I166" s="133">
        <f t="shared" si="56"/>
        <v>0</v>
      </c>
      <c r="J166" s="192">
        <f t="shared" si="56"/>
        <v>6000</v>
      </c>
      <c r="K166" s="193">
        <f t="shared" si="56"/>
        <v>60</v>
      </c>
      <c r="L166" s="133">
        <f t="shared" si="56"/>
        <v>6060</v>
      </c>
      <c r="M166" s="192">
        <f t="shared" si="56"/>
        <v>0</v>
      </c>
      <c r="N166" s="193">
        <f t="shared" si="56"/>
        <v>0</v>
      </c>
      <c r="O166" s="133">
        <f t="shared" si="56"/>
        <v>0</v>
      </c>
      <c r="P166" s="49"/>
    </row>
    <row r="167" spans="1:16" ht="24" hidden="1" customHeight="1" x14ac:dyDescent="0.25">
      <c r="A167" s="51">
        <v>2512</v>
      </c>
      <c r="B167" s="88" t="s">
        <v>184</v>
      </c>
      <c r="C167" s="89">
        <f t="shared" si="48"/>
        <v>0</v>
      </c>
      <c r="D167" s="194"/>
      <c r="E167" s="195"/>
      <c r="F167" s="55">
        <f t="shared" ref="F167:F172" si="57">D167+E167</f>
        <v>0</v>
      </c>
      <c r="G167" s="53"/>
      <c r="H167" s="54"/>
      <c r="I167" s="55">
        <f t="shared" ref="I167:I172" si="58">G167+H167</f>
        <v>0</v>
      </c>
      <c r="J167" s="53"/>
      <c r="K167" s="54"/>
      <c r="L167" s="55">
        <f t="shared" ref="L167:L172" si="59">K167+J167</f>
        <v>0</v>
      </c>
      <c r="M167" s="53"/>
      <c r="N167" s="54"/>
      <c r="O167" s="55">
        <f t="shared" ref="O167:O172" si="60">N167+M167</f>
        <v>0</v>
      </c>
      <c r="P167" s="57"/>
    </row>
    <row r="168" spans="1:16" ht="36" customHeight="1" x14ac:dyDescent="0.25">
      <c r="A168" s="51">
        <v>2513</v>
      </c>
      <c r="B168" s="88" t="s">
        <v>185</v>
      </c>
      <c r="C168" s="89">
        <f t="shared" si="48"/>
        <v>290</v>
      </c>
      <c r="D168" s="194">
        <v>290</v>
      </c>
      <c r="E168" s="195"/>
      <c r="F168" s="55">
        <f t="shared" si="57"/>
        <v>290</v>
      </c>
      <c r="G168" s="53"/>
      <c r="H168" s="54"/>
      <c r="I168" s="55">
        <f t="shared" si="58"/>
        <v>0</v>
      </c>
      <c r="J168" s="53"/>
      <c r="K168" s="54"/>
      <c r="L168" s="55">
        <f t="shared" si="59"/>
        <v>0</v>
      </c>
      <c r="M168" s="53"/>
      <c r="N168" s="54"/>
      <c r="O168" s="55">
        <f t="shared" si="60"/>
        <v>0</v>
      </c>
      <c r="P168" s="57"/>
    </row>
    <row r="169" spans="1:16" ht="24" hidden="1" customHeight="1" x14ac:dyDescent="0.25">
      <c r="A169" s="51">
        <v>2515</v>
      </c>
      <c r="B169" s="88" t="s">
        <v>186</v>
      </c>
      <c r="C169" s="89">
        <f t="shared" si="48"/>
        <v>0</v>
      </c>
      <c r="D169" s="194"/>
      <c r="E169" s="195"/>
      <c r="F169" s="55">
        <f t="shared" si="57"/>
        <v>0</v>
      </c>
      <c r="G169" s="53"/>
      <c r="H169" s="54"/>
      <c r="I169" s="55">
        <f t="shared" si="58"/>
        <v>0</v>
      </c>
      <c r="J169" s="53"/>
      <c r="K169" s="54"/>
      <c r="L169" s="55">
        <f t="shared" si="59"/>
        <v>0</v>
      </c>
      <c r="M169" s="53"/>
      <c r="N169" s="54"/>
      <c r="O169" s="55">
        <f t="shared" si="60"/>
        <v>0</v>
      </c>
      <c r="P169" s="57"/>
    </row>
    <row r="170" spans="1:16" ht="24.75" customHeight="1" x14ac:dyDescent="0.25">
      <c r="A170" s="51">
        <v>2519</v>
      </c>
      <c r="B170" s="88" t="s">
        <v>187</v>
      </c>
      <c r="C170" s="89">
        <f t="shared" si="48"/>
        <v>30688</v>
      </c>
      <c r="D170" s="194">
        <v>24628</v>
      </c>
      <c r="E170" s="195"/>
      <c r="F170" s="55">
        <f t="shared" si="57"/>
        <v>24628</v>
      </c>
      <c r="G170" s="53"/>
      <c r="H170" s="54"/>
      <c r="I170" s="55">
        <f t="shared" si="58"/>
        <v>0</v>
      </c>
      <c r="J170" s="53">
        <v>6000</v>
      </c>
      <c r="K170" s="54">
        <v>60</v>
      </c>
      <c r="L170" s="55">
        <f t="shared" si="59"/>
        <v>6060</v>
      </c>
      <c r="M170" s="53"/>
      <c r="N170" s="54"/>
      <c r="O170" s="55">
        <f t="shared" si="60"/>
        <v>0</v>
      </c>
      <c r="P170" s="57" t="s">
        <v>1568</v>
      </c>
    </row>
    <row r="171" spans="1:16" ht="24" hidden="1" customHeight="1" x14ac:dyDescent="0.25">
      <c r="A171" s="188">
        <v>2520</v>
      </c>
      <c r="B171" s="88" t="s">
        <v>188</v>
      </c>
      <c r="C171" s="89">
        <f t="shared" si="48"/>
        <v>0</v>
      </c>
      <c r="D171" s="194"/>
      <c r="E171" s="195"/>
      <c r="F171" s="55">
        <f t="shared" si="57"/>
        <v>0</v>
      </c>
      <c r="G171" s="53"/>
      <c r="H171" s="54"/>
      <c r="I171" s="55">
        <f t="shared" si="58"/>
        <v>0</v>
      </c>
      <c r="J171" s="53"/>
      <c r="K171" s="54"/>
      <c r="L171" s="55">
        <f t="shared" si="59"/>
        <v>0</v>
      </c>
      <c r="M171" s="53"/>
      <c r="N171" s="54"/>
      <c r="O171" s="55">
        <f t="shared" si="60"/>
        <v>0</v>
      </c>
      <c r="P171" s="57"/>
    </row>
    <row r="172" spans="1:16" s="206" customFormat="1" ht="36" hidden="1" customHeight="1" x14ac:dyDescent="0.25">
      <c r="A172" s="23">
        <v>2800</v>
      </c>
      <c r="B172" s="81" t="s">
        <v>189</v>
      </c>
      <c r="C172" s="82">
        <f t="shared" si="48"/>
        <v>0</v>
      </c>
      <c r="D172" s="46"/>
      <c r="E172" s="47"/>
      <c r="F172" s="133">
        <f t="shared" si="57"/>
        <v>0</v>
      </c>
      <c r="G172" s="46"/>
      <c r="H172" s="47"/>
      <c r="I172" s="133">
        <f t="shared" si="58"/>
        <v>0</v>
      </c>
      <c r="J172" s="46"/>
      <c r="K172" s="47"/>
      <c r="L172" s="133">
        <f t="shared" si="59"/>
        <v>0</v>
      </c>
      <c r="M172" s="46"/>
      <c r="N172" s="47"/>
      <c r="O172" s="133">
        <f t="shared" si="60"/>
        <v>0</v>
      </c>
      <c r="P172" s="49"/>
    </row>
    <row r="173" spans="1:16" hidden="1" x14ac:dyDescent="0.25">
      <c r="A173" s="176">
        <v>3000</v>
      </c>
      <c r="B173" s="176" t="s">
        <v>190</v>
      </c>
      <c r="C173" s="177">
        <f t="shared" si="48"/>
        <v>0</v>
      </c>
      <c r="D173" s="178">
        <f t="shared" ref="D173:O173" si="61">SUM(D174,D184)</f>
        <v>0</v>
      </c>
      <c r="E173" s="179">
        <f t="shared" si="61"/>
        <v>0</v>
      </c>
      <c r="F173" s="180">
        <f t="shared" si="61"/>
        <v>0</v>
      </c>
      <c r="G173" s="178">
        <f t="shared" si="61"/>
        <v>0</v>
      </c>
      <c r="H173" s="179">
        <f t="shared" si="61"/>
        <v>0</v>
      </c>
      <c r="I173" s="180">
        <f t="shared" si="61"/>
        <v>0</v>
      </c>
      <c r="J173" s="178">
        <f t="shared" si="61"/>
        <v>0</v>
      </c>
      <c r="K173" s="179">
        <f t="shared" si="61"/>
        <v>0</v>
      </c>
      <c r="L173" s="180">
        <f t="shared" si="61"/>
        <v>0</v>
      </c>
      <c r="M173" s="178">
        <f t="shared" si="61"/>
        <v>0</v>
      </c>
      <c r="N173" s="179">
        <f t="shared" si="61"/>
        <v>0</v>
      </c>
      <c r="O173" s="180">
        <f t="shared" si="61"/>
        <v>0</v>
      </c>
      <c r="P173" s="181"/>
    </row>
    <row r="174" spans="1:16" ht="24" hidden="1" x14ac:dyDescent="0.25">
      <c r="A174" s="68">
        <v>3200</v>
      </c>
      <c r="B174" s="207" t="s">
        <v>191</v>
      </c>
      <c r="C174" s="69">
        <f t="shared" si="48"/>
        <v>0</v>
      </c>
      <c r="D174" s="183">
        <f>SUM(D175,D179)</f>
        <v>0</v>
      </c>
      <c r="E174" s="184">
        <f t="shared" ref="E174:O174" si="62">SUM(E175,E179)</f>
        <v>0</v>
      </c>
      <c r="F174" s="72">
        <f t="shared" si="62"/>
        <v>0</v>
      </c>
      <c r="G174" s="183">
        <f t="shared" si="62"/>
        <v>0</v>
      </c>
      <c r="H174" s="184">
        <f t="shared" si="62"/>
        <v>0</v>
      </c>
      <c r="I174" s="72">
        <f t="shared" si="62"/>
        <v>0</v>
      </c>
      <c r="J174" s="183">
        <f t="shared" si="62"/>
        <v>0</v>
      </c>
      <c r="K174" s="184">
        <f t="shared" si="62"/>
        <v>0</v>
      </c>
      <c r="L174" s="72">
        <f t="shared" si="62"/>
        <v>0</v>
      </c>
      <c r="M174" s="183">
        <f t="shared" si="62"/>
        <v>0</v>
      </c>
      <c r="N174" s="184">
        <f t="shared" si="62"/>
        <v>0</v>
      </c>
      <c r="O174" s="72">
        <f t="shared" si="62"/>
        <v>0</v>
      </c>
      <c r="P174" s="76"/>
    </row>
    <row r="175" spans="1:16" ht="36" hidden="1" x14ac:dyDescent="0.25">
      <c r="A175" s="941">
        <v>3260</v>
      </c>
      <c r="B175" s="81" t="s">
        <v>192</v>
      </c>
      <c r="C175" s="82">
        <f t="shared" si="48"/>
        <v>0</v>
      </c>
      <c r="D175" s="192">
        <f t="shared" ref="D175:O175" si="63">SUM(D176:D178)</f>
        <v>0</v>
      </c>
      <c r="E175" s="193">
        <f t="shared" si="63"/>
        <v>0</v>
      </c>
      <c r="F175" s="133">
        <f t="shared" si="63"/>
        <v>0</v>
      </c>
      <c r="G175" s="192">
        <f t="shared" si="63"/>
        <v>0</v>
      </c>
      <c r="H175" s="193">
        <f t="shared" si="63"/>
        <v>0</v>
      </c>
      <c r="I175" s="133">
        <f t="shared" si="63"/>
        <v>0</v>
      </c>
      <c r="J175" s="192">
        <f t="shared" si="63"/>
        <v>0</v>
      </c>
      <c r="K175" s="193">
        <f t="shared" si="63"/>
        <v>0</v>
      </c>
      <c r="L175" s="133">
        <f t="shared" si="63"/>
        <v>0</v>
      </c>
      <c r="M175" s="192">
        <f t="shared" si="63"/>
        <v>0</v>
      </c>
      <c r="N175" s="193">
        <f t="shared" si="63"/>
        <v>0</v>
      </c>
      <c r="O175" s="133">
        <f t="shared" si="63"/>
        <v>0</v>
      </c>
      <c r="P175" s="49"/>
    </row>
    <row r="176" spans="1:16" ht="24" hidden="1" customHeight="1" x14ac:dyDescent="0.25">
      <c r="A176" s="51">
        <v>3261</v>
      </c>
      <c r="B176" s="88" t="s">
        <v>193</v>
      </c>
      <c r="C176" s="89">
        <f t="shared" si="48"/>
        <v>0</v>
      </c>
      <c r="D176" s="194"/>
      <c r="E176" s="195"/>
      <c r="F176" s="55">
        <f>D176+E176</f>
        <v>0</v>
      </c>
      <c r="G176" s="53"/>
      <c r="H176" s="54"/>
      <c r="I176" s="55">
        <f>G176+H176</f>
        <v>0</v>
      </c>
      <c r="J176" s="53"/>
      <c r="K176" s="54"/>
      <c r="L176" s="55">
        <f>K176+J176</f>
        <v>0</v>
      </c>
      <c r="M176" s="53"/>
      <c r="N176" s="54"/>
      <c r="O176" s="55">
        <f>N176+M176</f>
        <v>0</v>
      </c>
      <c r="P176" s="57"/>
    </row>
    <row r="177" spans="1:16" ht="36" hidden="1" customHeight="1" x14ac:dyDescent="0.25">
      <c r="A177" s="51">
        <v>3262</v>
      </c>
      <c r="B177" s="88" t="s">
        <v>194</v>
      </c>
      <c r="C177" s="89">
        <f t="shared" si="48"/>
        <v>0</v>
      </c>
      <c r="D177" s="194"/>
      <c r="E177" s="195"/>
      <c r="F177" s="55">
        <f>D177+E177</f>
        <v>0</v>
      </c>
      <c r="G177" s="53"/>
      <c r="H177" s="54"/>
      <c r="I177" s="55">
        <f>G177+H177</f>
        <v>0</v>
      </c>
      <c r="J177" s="53"/>
      <c r="K177" s="54"/>
      <c r="L177" s="55">
        <f>K177+J177</f>
        <v>0</v>
      </c>
      <c r="M177" s="53"/>
      <c r="N177" s="54"/>
      <c r="O177" s="55">
        <f>N177+M177</f>
        <v>0</v>
      </c>
      <c r="P177" s="57"/>
    </row>
    <row r="178" spans="1:16" ht="24" hidden="1" customHeight="1" x14ac:dyDescent="0.25">
      <c r="A178" s="51">
        <v>3263</v>
      </c>
      <c r="B178" s="88" t="s">
        <v>195</v>
      </c>
      <c r="C178" s="89">
        <f t="shared" si="48"/>
        <v>0</v>
      </c>
      <c r="D178" s="194"/>
      <c r="E178" s="195"/>
      <c r="F178" s="55">
        <f>D178+E178</f>
        <v>0</v>
      </c>
      <c r="G178" s="53"/>
      <c r="H178" s="54"/>
      <c r="I178" s="55">
        <f>G178+H178</f>
        <v>0</v>
      </c>
      <c r="J178" s="53"/>
      <c r="K178" s="54"/>
      <c r="L178" s="55">
        <f>K178+J178</f>
        <v>0</v>
      </c>
      <c r="M178" s="53"/>
      <c r="N178" s="54"/>
      <c r="O178" s="55">
        <f>N178+M178</f>
        <v>0</v>
      </c>
      <c r="P178" s="57"/>
    </row>
    <row r="179" spans="1:16" ht="84" hidden="1" x14ac:dyDescent="0.25">
      <c r="A179" s="941">
        <v>3290</v>
      </c>
      <c r="B179" s="81" t="s">
        <v>196</v>
      </c>
      <c r="C179" s="208">
        <f t="shared" si="48"/>
        <v>0</v>
      </c>
      <c r="D179" s="192">
        <f>SUM(D180:D183)</f>
        <v>0</v>
      </c>
      <c r="E179" s="193">
        <f t="shared" ref="E179:O179" si="64">SUM(E180:E183)</f>
        <v>0</v>
      </c>
      <c r="F179" s="133">
        <f t="shared" si="64"/>
        <v>0</v>
      </c>
      <c r="G179" s="192">
        <f t="shared" si="64"/>
        <v>0</v>
      </c>
      <c r="H179" s="193">
        <f t="shared" si="64"/>
        <v>0</v>
      </c>
      <c r="I179" s="133">
        <f t="shared" si="64"/>
        <v>0</v>
      </c>
      <c r="J179" s="192">
        <f t="shared" si="64"/>
        <v>0</v>
      </c>
      <c r="K179" s="193">
        <f t="shared" si="64"/>
        <v>0</v>
      </c>
      <c r="L179" s="133">
        <f t="shared" si="64"/>
        <v>0</v>
      </c>
      <c r="M179" s="192">
        <f t="shared" si="64"/>
        <v>0</v>
      </c>
      <c r="N179" s="193">
        <f t="shared" si="64"/>
        <v>0</v>
      </c>
      <c r="O179" s="133">
        <f t="shared" si="64"/>
        <v>0</v>
      </c>
      <c r="P179" s="49"/>
    </row>
    <row r="180" spans="1:16" ht="72" hidden="1" customHeight="1" x14ac:dyDescent="0.25">
      <c r="A180" s="51">
        <v>3291</v>
      </c>
      <c r="B180" s="88" t="s">
        <v>197</v>
      </c>
      <c r="C180" s="89">
        <f t="shared" si="48"/>
        <v>0</v>
      </c>
      <c r="D180" s="194"/>
      <c r="E180" s="195"/>
      <c r="F180" s="55">
        <f>D180+E180</f>
        <v>0</v>
      </c>
      <c r="G180" s="53"/>
      <c r="H180" s="54"/>
      <c r="I180" s="55">
        <f>G180+H180</f>
        <v>0</v>
      </c>
      <c r="J180" s="53"/>
      <c r="K180" s="54"/>
      <c r="L180" s="55">
        <f>K180+J180</f>
        <v>0</v>
      </c>
      <c r="M180" s="53"/>
      <c r="N180" s="54"/>
      <c r="O180" s="55">
        <f>N180+M180</f>
        <v>0</v>
      </c>
      <c r="P180" s="57"/>
    </row>
    <row r="181" spans="1:16" ht="72" hidden="1" customHeight="1" x14ac:dyDescent="0.25">
      <c r="A181" s="51">
        <v>3292</v>
      </c>
      <c r="B181" s="88" t="s">
        <v>198</v>
      </c>
      <c r="C181" s="89">
        <f t="shared" si="48"/>
        <v>0</v>
      </c>
      <c r="D181" s="194"/>
      <c r="E181" s="195"/>
      <c r="F181" s="55">
        <f>D181+E181</f>
        <v>0</v>
      </c>
      <c r="G181" s="53"/>
      <c r="H181" s="54"/>
      <c r="I181" s="55">
        <f>G181+H181</f>
        <v>0</v>
      </c>
      <c r="J181" s="53"/>
      <c r="K181" s="54"/>
      <c r="L181" s="55">
        <f>K181+J181</f>
        <v>0</v>
      </c>
      <c r="M181" s="53"/>
      <c r="N181" s="54"/>
      <c r="O181" s="55">
        <f>N181+M181</f>
        <v>0</v>
      </c>
      <c r="P181" s="57"/>
    </row>
    <row r="182" spans="1:16" ht="72" hidden="1" customHeight="1" x14ac:dyDescent="0.25">
      <c r="A182" s="51">
        <v>3293</v>
      </c>
      <c r="B182" s="88" t="s">
        <v>199</v>
      </c>
      <c r="C182" s="89">
        <f t="shared" si="48"/>
        <v>0</v>
      </c>
      <c r="D182" s="194"/>
      <c r="E182" s="195"/>
      <c r="F182" s="55">
        <f>D182+E182</f>
        <v>0</v>
      </c>
      <c r="G182" s="53"/>
      <c r="H182" s="54"/>
      <c r="I182" s="55">
        <f>G182+H182</f>
        <v>0</v>
      </c>
      <c r="J182" s="53"/>
      <c r="K182" s="54"/>
      <c r="L182" s="55">
        <f>K182+J182</f>
        <v>0</v>
      </c>
      <c r="M182" s="53"/>
      <c r="N182" s="54"/>
      <c r="O182" s="55">
        <f>N182+M182</f>
        <v>0</v>
      </c>
      <c r="P182" s="57"/>
    </row>
    <row r="183" spans="1:16" ht="60" hidden="1" customHeight="1" x14ac:dyDescent="0.25">
      <c r="A183" s="209">
        <v>3294</v>
      </c>
      <c r="B183" s="88" t="s">
        <v>200</v>
      </c>
      <c r="C183" s="208">
        <f t="shared" si="48"/>
        <v>0</v>
      </c>
      <c r="D183" s="210"/>
      <c r="E183" s="211"/>
      <c r="F183" s="212">
        <f>D183+E183</f>
        <v>0</v>
      </c>
      <c r="G183" s="213"/>
      <c r="H183" s="214"/>
      <c r="I183" s="212">
        <f>G183+H183</f>
        <v>0</v>
      </c>
      <c r="J183" s="213"/>
      <c r="K183" s="214"/>
      <c r="L183" s="212">
        <f>K183+J183</f>
        <v>0</v>
      </c>
      <c r="M183" s="213"/>
      <c r="N183" s="214"/>
      <c r="O183" s="212">
        <f>N183+M183</f>
        <v>0</v>
      </c>
      <c r="P183" s="215"/>
    </row>
    <row r="184" spans="1:16" ht="48" hidden="1" x14ac:dyDescent="0.25">
      <c r="A184" s="216">
        <v>3300</v>
      </c>
      <c r="B184" s="207" t="s">
        <v>201</v>
      </c>
      <c r="C184" s="217">
        <f t="shared" si="48"/>
        <v>0</v>
      </c>
      <c r="D184" s="218">
        <f>SUM(D185:D186)</f>
        <v>0</v>
      </c>
      <c r="E184" s="219">
        <f t="shared" ref="E184:O184" si="65">SUM(E185:E186)</f>
        <v>0</v>
      </c>
      <c r="F184" s="220">
        <f t="shared" si="65"/>
        <v>0</v>
      </c>
      <c r="G184" s="218">
        <f t="shared" si="65"/>
        <v>0</v>
      </c>
      <c r="H184" s="219">
        <f t="shared" si="65"/>
        <v>0</v>
      </c>
      <c r="I184" s="220">
        <f t="shared" si="65"/>
        <v>0</v>
      </c>
      <c r="J184" s="218">
        <f t="shared" si="65"/>
        <v>0</v>
      </c>
      <c r="K184" s="219">
        <f t="shared" si="65"/>
        <v>0</v>
      </c>
      <c r="L184" s="220">
        <f t="shared" si="65"/>
        <v>0</v>
      </c>
      <c r="M184" s="218">
        <f t="shared" si="65"/>
        <v>0</v>
      </c>
      <c r="N184" s="219">
        <f t="shared" si="65"/>
        <v>0</v>
      </c>
      <c r="O184" s="220">
        <f t="shared" si="65"/>
        <v>0</v>
      </c>
      <c r="P184" s="221"/>
    </row>
    <row r="185" spans="1:16" ht="48" hidden="1" customHeight="1" x14ac:dyDescent="0.25">
      <c r="A185" s="136">
        <v>3310</v>
      </c>
      <c r="B185" s="137" t="s">
        <v>202</v>
      </c>
      <c r="C185" s="142">
        <f t="shared" si="48"/>
        <v>0</v>
      </c>
      <c r="D185" s="202"/>
      <c r="E185" s="203"/>
      <c r="F185" s="140">
        <f>D185+E185</f>
        <v>0</v>
      </c>
      <c r="G185" s="143"/>
      <c r="H185" s="144"/>
      <c r="I185" s="140">
        <f>G185+H185</f>
        <v>0</v>
      </c>
      <c r="J185" s="143"/>
      <c r="K185" s="144"/>
      <c r="L185" s="140">
        <f>K185+J185</f>
        <v>0</v>
      </c>
      <c r="M185" s="143"/>
      <c r="N185" s="144"/>
      <c r="O185" s="140">
        <f>N185+M185</f>
        <v>0</v>
      </c>
      <c r="P185" s="128"/>
    </row>
    <row r="186" spans="1:16" ht="48.75" hidden="1" customHeight="1" x14ac:dyDescent="0.25">
      <c r="A186" s="44">
        <v>3320</v>
      </c>
      <c r="B186" s="81" t="s">
        <v>203</v>
      </c>
      <c r="C186" s="82">
        <f t="shared" si="48"/>
        <v>0</v>
      </c>
      <c r="D186" s="196"/>
      <c r="E186" s="197"/>
      <c r="F186" s="133">
        <f>D186+E186</f>
        <v>0</v>
      </c>
      <c r="G186" s="46"/>
      <c r="H186" s="47"/>
      <c r="I186" s="133">
        <f>G186+H186</f>
        <v>0</v>
      </c>
      <c r="J186" s="46"/>
      <c r="K186" s="47"/>
      <c r="L186" s="133">
        <f>K186+J186</f>
        <v>0</v>
      </c>
      <c r="M186" s="46"/>
      <c r="N186" s="47"/>
      <c r="O186" s="133">
        <f>N186+M186</f>
        <v>0</v>
      </c>
      <c r="P186" s="49"/>
    </row>
    <row r="187" spans="1:16" hidden="1" x14ac:dyDescent="0.25">
      <c r="A187" s="222">
        <v>4000</v>
      </c>
      <c r="B187" s="176" t="s">
        <v>204</v>
      </c>
      <c r="C187" s="177">
        <f t="shared" si="48"/>
        <v>0</v>
      </c>
      <c r="D187" s="178">
        <f t="shared" ref="D187:O187" si="66">SUM(D188,D191)</f>
        <v>0</v>
      </c>
      <c r="E187" s="179">
        <f t="shared" si="66"/>
        <v>0</v>
      </c>
      <c r="F187" s="180">
        <f t="shared" si="66"/>
        <v>0</v>
      </c>
      <c r="G187" s="178">
        <f t="shared" si="66"/>
        <v>0</v>
      </c>
      <c r="H187" s="179">
        <f t="shared" si="66"/>
        <v>0</v>
      </c>
      <c r="I187" s="180">
        <f t="shared" si="66"/>
        <v>0</v>
      </c>
      <c r="J187" s="178">
        <f t="shared" si="66"/>
        <v>0</v>
      </c>
      <c r="K187" s="179">
        <f t="shared" si="66"/>
        <v>0</v>
      </c>
      <c r="L187" s="180">
        <f t="shared" si="66"/>
        <v>0</v>
      </c>
      <c r="M187" s="178">
        <f t="shared" si="66"/>
        <v>0</v>
      </c>
      <c r="N187" s="179">
        <f t="shared" si="66"/>
        <v>0</v>
      </c>
      <c r="O187" s="180">
        <f t="shared" si="66"/>
        <v>0</v>
      </c>
      <c r="P187" s="181"/>
    </row>
    <row r="188" spans="1:16" ht="24" hidden="1" x14ac:dyDescent="0.25">
      <c r="A188" s="223">
        <v>4200</v>
      </c>
      <c r="B188" s="182" t="s">
        <v>205</v>
      </c>
      <c r="C188" s="69">
        <f t="shared" si="48"/>
        <v>0</v>
      </c>
      <c r="D188" s="183">
        <f t="shared" ref="D188:O188" si="67">SUM(D189,D190)</f>
        <v>0</v>
      </c>
      <c r="E188" s="184">
        <f t="shared" si="67"/>
        <v>0</v>
      </c>
      <c r="F188" s="72">
        <f t="shared" si="67"/>
        <v>0</v>
      </c>
      <c r="G188" s="183">
        <f t="shared" si="67"/>
        <v>0</v>
      </c>
      <c r="H188" s="184">
        <f t="shared" si="67"/>
        <v>0</v>
      </c>
      <c r="I188" s="72">
        <f t="shared" si="67"/>
        <v>0</v>
      </c>
      <c r="J188" s="183">
        <f t="shared" si="67"/>
        <v>0</v>
      </c>
      <c r="K188" s="184">
        <f t="shared" si="67"/>
        <v>0</v>
      </c>
      <c r="L188" s="72">
        <f t="shared" si="67"/>
        <v>0</v>
      </c>
      <c r="M188" s="183">
        <f t="shared" si="67"/>
        <v>0</v>
      </c>
      <c r="N188" s="184">
        <f t="shared" si="67"/>
        <v>0</v>
      </c>
      <c r="O188" s="72">
        <f t="shared" si="67"/>
        <v>0</v>
      </c>
      <c r="P188" s="76"/>
    </row>
    <row r="189" spans="1:16" ht="36" hidden="1" customHeight="1" x14ac:dyDescent="0.25">
      <c r="A189" s="941">
        <v>4240</v>
      </c>
      <c r="B189" s="81" t="s">
        <v>206</v>
      </c>
      <c r="C189" s="82">
        <f t="shared" si="48"/>
        <v>0</v>
      </c>
      <c r="D189" s="196"/>
      <c r="E189" s="197"/>
      <c r="F189" s="133">
        <f>D189+E189</f>
        <v>0</v>
      </c>
      <c r="G189" s="46"/>
      <c r="H189" s="47"/>
      <c r="I189" s="133">
        <f>G189+H189</f>
        <v>0</v>
      </c>
      <c r="J189" s="46"/>
      <c r="K189" s="47"/>
      <c r="L189" s="133">
        <f>K189+J189</f>
        <v>0</v>
      </c>
      <c r="M189" s="46"/>
      <c r="N189" s="47"/>
      <c r="O189" s="133">
        <f>N189+M189</f>
        <v>0</v>
      </c>
      <c r="P189" s="49"/>
    </row>
    <row r="190" spans="1:16" ht="24" hidden="1" customHeight="1" x14ac:dyDescent="0.25">
      <c r="A190" s="188">
        <v>4250</v>
      </c>
      <c r="B190" s="88" t="s">
        <v>207</v>
      </c>
      <c r="C190" s="89">
        <f t="shared" si="48"/>
        <v>0</v>
      </c>
      <c r="D190" s="194"/>
      <c r="E190" s="195"/>
      <c r="F190" s="55">
        <f>D190+E190</f>
        <v>0</v>
      </c>
      <c r="G190" s="53"/>
      <c r="H190" s="54"/>
      <c r="I190" s="55">
        <f>G190+H190</f>
        <v>0</v>
      </c>
      <c r="J190" s="53"/>
      <c r="K190" s="54"/>
      <c r="L190" s="55">
        <f>K190+J190</f>
        <v>0</v>
      </c>
      <c r="M190" s="53"/>
      <c r="N190" s="54"/>
      <c r="O190" s="55">
        <f>N190+M190</f>
        <v>0</v>
      </c>
      <c r="P190" s="57"/>
    </row>
    <row r="191" spans="1:16" hidden="1" x14ac:dyDescent="0.25">
      <c r="A191" s="68">
        <v>4300</v>
      </c>
      <c r="B191" s="182" t="s">
        <v>208</v>
      </c>
      <c r="C191" s="69">
        <f t="shared" si="48"/>
        <v>0</v>
      </c>
      <c r="D191" s="183">
        <f t="shared" ref="D191:O191" si="68">SUM(D192)</f>
        <v>0</v>
      </c>
      <c r="E191" s="184">
        <f t="shared" si="68"/>
        <v>0</v>
      </c>
      <c r="F191" s="72">
        <f t="shared" si="68"/>
        <v>0</v>
      </c>
      <c r="G191" s="183">
        <f t="shared" si="68"/>
        <v>0</v>
      </c>
      <c r="H191" s="184">
        <f t="shared" si="68"/>
        <v>0</v>
      </c>
      <c r="I191" s="72">
        <f t="shared" si="68"/>
        <v>0</v>
      </c>
      <c r="J191" s="183">
        <f t="shared" si="68"/>
        <v>0</v>
      </c>
      <c r="K191" s="184">
        <f t="shared" si="68"/>
        <v>0</v>
      </c>
      <c r="L191" s="72">
        <f t="shared" si="68"/>
        <v>0</v>
      </c>
      <c r="M191" s="183">
        <f t="shared" si="68"/>
        <v>0</v>
      </c>
      <c r="N191" s="184">
        <f t="shared" si="68"/>
        <v>0</v>
      </c>
      <c r="O191" s="72">
        <f t="shared" si="68"/>
        <v>0</v>
      </c>
      <c r="P191" s="76"/>
    </row>
    <row r="192" spans="1:16" ht="24" hidden="1" x14ac:dyDescent="0.25">
      <c r="A192" s="941">
        <v>4310</v>
      </c>
      <c r="B192" s="81" t="s">
        <v>209</v>
      </c>
      <c r="C192" s="82">
        <f t="shared" si="48"/>
        <v>0</v>
      </c>
      <c r="D192" s="192">
        <f t="shared" ref="D192:O192" si="69">SUM(D193:D193)</f>
        <v>0</v>
      </c>
      <c r="E192" s="193">
        <f t="shared" si="69"/>
        <v>0</v>
      </c>
      <c r="F192" s="133">
        <f t="shared" si="69"/>
        <v>0</v>
      </c>
      <c r="G192" s="192">
        <f t="shared" si="69"/>
        <v>0</v>
      </c>
      <c r="H192" s="193">
        <f t="shared" si="69"/>
        <v>0</v>
      </c>
      <c r="I192" s="133">
        <f t="shared" si="69"/>
        <v>0</v>
      </c>
      <c r="J192" s="192">
        <f t="shared" si="69"/>
        <v>0</v>
      </c>
      <c r="K192" s="193">
        <f t="shared" si="69"/>
        <v>0</v>
      </c>
      <c r="L192" s="133">
        <f t="shared" si="69"/>
        <v>0</v>
      </c>
      <c r="M192" s="192">
        <f t="shared" si="69"/>
        <v>0</v>
      </c>
      <c r="N192" s="193">
        <f t="shared" si="69"/>
        <v>0</v>
      </c>
      <c r="O192" s="133">
        <f t="shared" si="69"/>
        <v>0</v>
      </c>
      <c r="P192" s="49"/>
    </row>
    <row r="193" spans="1:16" ht="36" hidden="1" customHeight="1" x14ac:dyDescent="0.25">
      <c r="A193" s="209">
        <v>4311</v>
      </c>
      <c r="B193" s="226" t="s">
        <v>210</v>
      </c>
      <c r="C193" s="208">
        <f t="shared" si="48"/>
        <v>0</v>
      </c>
      <c r="D193" s="210"/>
      <c r="E193" s="211"/>
      <c r="F193" s="212">
        <f>D193+E193</f>
        <v>0</v>
      </c>
      <c r="G193" s="213"/>
      <c r="H193" s="214"/>
      <c r="I193" s="212">
        <f>G193+H193</f>
        <v>0</v>
      </c>
      <c r="J193" s="213"/>
      <c r="K193" s="214"/>
      <c r="L193" s="212">
        <f>K193+J193</f>
        <v>0</v>
      </c>
      <c r="M193" s="213"/>
      <c r="N193" s="214"/>
      <c r="O193" s="212">
        <f>N193+M193</f>
        <v>0</v>
      </c>
      <c r="P193" s="215"/>
    </row>
    <row r="194" spans="1:16" s="28" customFormat="1" ht="24" x14ac:dyDescent="0.25">
      <c r="A194" s="1151"/>
      <c r="B194" s="216" t="s">
        <v>211</v>
      </c>
      <c r="C194" s="1197">
        <f t="shared" si="48"/>
        <v>12459</v>
      </c>
      <c r="D194" s="1198">
        <f t="shared" ref="D194:O194" si="70">SUM(D195,D230,D269,D283)</f>
        <v>3000</v>
      </c>
      <c r="E194" s="1199">
        <f t="shared" si="70"/>
        <v>4259</v>
      </c>
      <c r="F194" s="1200">
        <f t="shared" si="70"/>
        <v>7259</v>
      </c>
      <c r="G194" s="1198">
        <f t="shared" si="70"/>
        <v>0</v>
      </c>
      <c r="H194" s="1199">
        <f t="shared" si="70"/>
        <v>0</v>
      </c>
      <c r="I194" s="1200">
        <f t="shared" si="70"/>
        <v>0</v>
      </c>
      <c r="J194" s="1198">
        <f t="shared" si="70"/>
        <v>5200</v>
      </c>
      <c r="K194" s="1199">
        <f t="shared" si="70"/>
        <v>0</v>
      </c>
      <c r="L194" s="1200">
        <f t="shared" si="70"/>
        <v>5200</v>
      </c>
      <c r="M194" s="1198">
        <f t="shared" si="70"/>
        <v>0</v>
      </c>
      <c r="N194" s="1199">
        <f t="shared" si="70"/>
        <v>0</v>
      </c>
      <c r="O194" s="1200">
        <f t="shared" si="70"/>
        <v>0</v>
      </c>
      <c r="P194" s="1201"/>
    </row>
    <row r="195" spans="1:16" x14ac:dyDescent="0.25">
      <c r="A195" s="176">
        <v>5000</v>
      </c>
      <c r="B195" s="176" t="s">
        <v>212</v>
      </c>
      <c r="C195" s="177">
        <f t="shared" si="48"/>
        <v>7259</v>
      </c>
      <c r="D195" s="178">
        <f t="shared" ref="D195:O195" si="71">D196+D204</f>
        <v>3000</v>
      </c>
      <c r="E195" s="179">
        <f t="shared" si="71"/>
        <v>4259</v>
      </c>
      <c r="F195" s="180">
        <f t="shared" si="71"/>
        <v>7259</v>
      </c>
      <c r="G195" s="178">
        <f t="shared" si="71"/>
        <v>0</v>
      </c>
      <c r="H195" s="179">
        <f t="shared" si="71"/>
        <v>0</v>
      </c>
      <c r="I195" s="180">
        <f t="shared" si="71"/>
        <v>0</v>
      </c>
      <c r="J195" s="178">
        <f t="shared" si="71"/>
        <v>0</v>
      </c>
      <c r="K195" s="179">
        <f t="shared" si="71"/>
        <v>0</v>
      </c>
      <c r="L195" s="180">
        <f t="shared" si="71"/>
        <v>0</v>
      </c>
      <c r="M195" s="178">
        <f t="shared" si="71"/>
        <v>0</v>
      </c>
      <c r="N195" s="179">
        <f t="shared" si="71"/>
        <v>0</v>
      </c>
      <c r="O195" s="180">
        <f t="shared" si="71"/>
        <v>0</v>
      </c>
      <c r="P195" s="181"/>
    </row>
    <row r="196" spans="1:16" x14ac:dyDescent="0.25">
      <c r="A196" s="68">
        <v>5100</v>
      </c>
      <c r="B196" s="182" t="s">
        <v>213</v>
      </c>
      <c r="C196" s="69">
        <f t="shared" si="48"/>
        <v>400</v>
      </c>
      <c r="D196" s="183">
        <f t="shared" ref="D196:O196" si="72">D197+D198+D201+D202+D203</f>
        <v>0</v>
      </c>
      <c r="E196" s="184">
        <f t="shared" si="72"/>
        <v>400</v>
      </c>
      <c r="F196" s="72">
        <f t="shared" si="72"/>
        <v>400</v>
      </c>
      <c r="G196" s="183">
        <f t="shared" si="72"/>
        <v>0</v>
      </c>
      <c r="H196" s="184">
        <f t="shared" si="72"/>
        <v>0</v>
      </c>
      <c r="I196" s="72">
        <f t="shared" si="72"/>
        <v>0</v>
      </c>
      <c r="J196" s="183">
        <f t="shared" si="72"/>
        <v>0</v>
      </c>
      <c r="K196" s="184">
        <f t="shared" si="72"/>
        <v>0</v>
      </c>
      <c r="L196" s="72">
        <f t="shared" si="72"/>
        <v>0</v>
      </c>
      <c r="M196" s="183">
        <f t="shared" si="72"/>
        <v>0</v>
      </c>
      <c r="N196" s="184">
        <f t="shared" si="72"/>
        <v>0</v>
      </c>
      <c r="O196" s="72">
        <f t="shared" si="72"/>
        <v>0</v>
      </c>
      <c r="P196" s="76"/>
    </row>
    <row r="197" spans="1:16" ht="12" hidden="1" customHeight="1" x14ac:dyDescent="0.25">
      <c r="A197" s="941">
        <v>5110</v>
      </c>
      <c r="B197" s="81" t="s">
        <v>214</v>
      </c>
      <c r="C197" s="82">
        <f t="shared" si="48"/>
        <v>0</v>
      </c>
      <c r="D197" s="196"/>
      <c r="E197" s="197"/>
      <c r="F197" s="133">
        <f>D197+E197</f>
        <v>0</v>
      </c>
      <c r="G197" s="46"/>
      <c r="H197" s="47"/>
      <c r="I197" s="133">
        <f>G197+H197</f>
        <v>0</v>
      </c>
      <c r="J197" s="46"/>
      <c r="K197" s="47"/>
      <c r="L197" s="133">
        <f>K197+J197</f>
        <v>0</v>
      </c>
      <c r="M197" s="46"/>
      <c r="N197" s="47"/>
      <c r="O197" s="133">
        <f>N197+M197</f>
        <v>0</v>
      </c>
      <c r="P197" s="49"/>
    </row>
    <row r="198" spans="1:16" ht="24" x14ac:dyDescent="0.25">
      <c r="A198" s="188">
        <v>5120</v>
      </c>
      <c r="B198" s="88" t="s">
        <v>215</v>
      </c>
      <c r="C198" s="89">
        <f t="shared" si="48"/>
        <v>400</v>
      </c>
      <c r="D198" s="189">
        <f t="shared" ref="D198:O198" si="73">D199+D200</f>
        <v>0</v>
      </c>
      <c r="E198" s="190">
        <f t="shared" si="73"/>
        <v>400</v>
      </c>
      <c r="F198" s="55">
        <f t="shared" si="73"/>
        <v>400</v>
      </c>
      <c r="G198" s="189">
        <f t="shared" si="73"/>
        <v>0</v>
      </c>
      <c r="H198" s="190">
        <f t="shared" si="73"/>
        <v>0</v>
      </c>
      <c r="I198" s="55">
        <f t="shared" si="73"/>
        <v>0</v>
      </c>
      <c r="J198" s="189">
        <f t="shared" si="73"/>
        <v>0</v>
      </c>
      <c r="K198" s="190">
        <f t="shared" si="73"/>
        <v>0</v>
      </c>
      <c r="L198" s="55">
        <f t="shared" si="73"/>
        <v>0</v>
      </c>
      <c r="M198" s="189">
        <f t="shared" si="73"/>
        <v>0</v>
      </c>
      <c r="N198" s="190">
        <f t="shared" si="73"/>
        <v>0</v>
      </c>
      <c r="O198" s="55">
        <f t="shared" si="73"/>
        <v>0</v>
      </c>
      <c r="P198" s="57"/>
    </row>
    <row r="199" spans="1:16" ht="14.25" customHeight="1" x14ac:dyDescent="0.25">
      <c r="A199" s="51">
        <v>5121</v>
      </c>
      <c r="B199" s="88" t="s">
        <v>216</v>
      </c>
      <c r="C199" s="89">
        <f t="shared" si="48"/>
        <v>400</v>
      </c>
      <c r="D199" s="194"/>
      <c r="E199" s="195">
        <v>400</v>
      </c>
      <c r="F199" s="55">
        <f>D199+E199</f>
        <v>400</v>
      </c>
      <c r="G199" s="53"/>
      <c r="H199" s="54"/>
      <c r="I199" s="55">
        <f>G199+H199</f>
        <v>0</v>
      </c>
      <c r="J199" s="53"/>
      <c r="K199" s="54"/>
      <c r="L199" s="55">
        <f>K199+J199</f>
        <v>0</v>
      </c>
      <c r="M199" s="53"/>
      <c r="N199" s="54"/>
      <c r="O199" s="55">
        <f>N199+M199</f>
        <v>0</v>
      </c>
      <c r="P199" s="57" t="s">
        <v>1569</v>
      </c>
    </row>
    <row r="200" spans="1:16" ht="24" hidden="1" customHeight="1" x14ac:dyDescent="0.25">
      <c r="A200" s="51">
        <v>5129</v>
      </c>
      <c r="B200" s="88" t="s">
        <v>217</v>
      </c>
      <c r="C200" s="89">
        <f t="shared" si="48"/>
        <v>0</v>
      </c>
      <c r="D200" s="194"/>
      <c r="E200" s="195"/>
      <c r="F200" s="55">
        <f>D200+E200</f>
        <v>0</v>
      </c>
      <c r="G200" s="53"/>
      <c r="H200" s="54"/>
      <c r="I200" s="55">
        <f>G200+H200</f>
        <v>0</v>
      </c>
      <c r="J200" s="53"/>
      <c r="K200" s="54"/>
      <c r="L200" s="55">
        <f>K200+J200</f>
        <v>0</v>
      </c>
      <c r="M200" s="53"/>
      <c r="N200" s="54"/>
      <c r="O200" s="55">
        <f>N200+M200</f>
        <v>0</v>
      </c>
      <c r="P200" s="57"/>
    </row>
    <row r="201" spans="1:16" ht="12" hidden="1" customHeight="1" x14ac:dyDescent="0.25">
      <c r="A201" s="188">
        <v>5130</v>
      </c>
      <c r="B201" s="88" t="s">
        <v>218</v>
      </c>
      <c r="C201" s="89">
        <f t="shared" si="48"/>
        <v>0</v>
      </c>
      <c r="D201" s="194"/>
      <c r="E201" s="195"/>
      <c r="F201" s="55">
        <f>D201+E201</f>
        <v>0</v>
      </c>
      <c r="G201" s="53"/>
      <c r="H201" s="54"/>
      <c r="I201" s="55">
        <f>G201+H201</f>
        <v>0</v>
      </c>
      <c r="J201" s="53"/>
      <c r="K201" s="54"/>
      <c r="L201" s="55">
        <f>K201+J201</f>
        <v>0</v>
      </c>
      <c r="M201" s="53"/>
      <c r="N201" s="54"/>
      <c r="O201" s="55">
        <f>N201+M201</f>
        <v>0</v>
      </c>
      <c r="P201" s="57"/>
    </row>
    <row r="202" spans="1:16" ht="12" hidden="1" customHeight="1" x14ac:dyDescent="0.25">
      <c r="A202" s="188">
        <v>5140</v>
      </c>
      <c r="B202" s="88" t="s">
        <v>219</v>
      </c>
      <c r="C202" s="89">
        <f t="shared" si="48"/>
        <v>0</v>
      </c>
      <c r="D202" s="194"/>
      <c r="E202" s="195"/>
      <c r="F202" s="55">
        <f>D202+E202</f>
        <v>0</v>
      </c>
      <c r="G202" s="53"/>
      <c r="H202" s="54"/>
      <c r="I202" s="55">
        <f>G202+H202</f>
        <v>0</v>
      </c>
      <c r="J202" s="53"/>
      <c r="K202" s="54"/>
      <c r="L202" s="55">
        <f>K202+J202</f>
        <v>0</v>
      </c>
      <c r="M202" s="53"/>
      <c r="N202" s="54"/>
      <c r="O202" s="55">
        <f>N202+M202</f>
        <v>0</v>
      </c>
      <c r="P202" s="57"/>
    </row>
    <row r="203" spans="1:16" ht="24" hidden="1" customHeight="1" x14ac:dyDescent="0.25">
      <c r="A203" s="188">
        <v>5170</v>
      </c>
      <c r="B203" s="88" t="s">
        <v>220</v>
      </c>
      <c r="C203" s="89">
        <f t="shared" si="48"/>
        <v>0</v>
      </c>
      <c r="D203" s="194"/>
      <c r="E203" s="195"/>
      <c r="F203" s="55">
        <f>D203+E203</f>
        <v>0</v>
      </c>
      <c r="G203" s="53"/>
      <c r="H203" s="54"/>
      <c r="I203" s="55">
        <f>G203+H203</f>
        <v>0</v>
      </c>
      <c r="J203" s="53"/>
      <c r="K203" s="54"/>
      <c r="L203" s="55">
        <f>K203+J203</f>
        <v>0</v>
      </c>
      <c r="M203" s="53"/>
      <c r="N203" s="54"/>
      <c r="O203" s="55">
        <f>N203+M203</f>
        <v>0</v>
      </c>
      <c r="P203" s="57"/>
    </row>
    <row r="204" spans="1:16" x14ac:dyDescent="0.25">
      <c r="A204" s="68">
        <v>5200</v>
      </c>
      <c r="B204" s="182" t="s">
        <v>221</v>
      </c>
      <c r="C204" s="69">
        <f t="shared" si="48"/>
        <v>6859</v>
      </c>
      <c r="D204" s="183">
        <f t="shared" ref="D204:O204" si="74">D205+D215+D216+D225+D226+D227+D229</f>
        <v>3000</v>
      </c>
      <c r="E204" s="184">
        <f t="shared" si="74"/>
        <v>3859</v>
      </c>
      <c r="F204" s="72">
        <f t="shared" si="74"/>
        <v>6859</v>
      </c>
      <c r="G204" s="183">
        <f t="shared" si="74"/>
        <v>0</v>
      </c>
      <c r="H204" s="184">
        <f t="shared" si="74"/>
        <v>0</v>
      </c>
      <c r="I204" s="72">
        <f t="shared" si="74"/>
        <v>0</v>
      </c>
      <c r="J204" s="183">
        <f t="shared" si="74"/>
        <v>0</v>
      </c>
      <c r="K204" s="184">
        <f t="shared" si="74"/>
        <v>0</v>
      </c>
      <c r="L204" s="72">
        <f t="shared" si="74"/>
        <v>0</v>
      </c>
      <c r="M204" s="183">
        <f t="shared" si="74"/>
        <v>0</v>
      </c>
      <c r="N204" s="184">
        <f t="shared" si="74"/>
        <v>0</v>
      </c>
      <c r="O204" s="72">
        <f t="shared" si="74"/>
        <v>0</v>
      </c>
      <c r="P204" s="76"/>
    </row>
    <row r="205" spans="1:16" hidden="1" x14ac:dyDescent="0.25">
      <c r="A205" s="185">
        <v>5210</v>
      </c>
      <c r="B205" s="137" t="s">
        <v>222</v>
      </c>
      <c r="C205" s="142">
        <f t="shared" si="48"/>
        <v>0</v>
      </c>
      <c r="D205" s="186">
        <f t="shared" ref="D205:O205" si="75">SUM(D206:D214)</f>
        <v>0</v>
      </c>
      <c r="E205" s="187">
        <f t="shared" si="75"/>
        <v>0</v>
      </c>
      <c r="F205" s="140">
        <f t="shared" si="75"/>
        <v>0</v>
      </c>
      <c r="G205" s="186">
        <f t="shared" si="75"/>
        <v>0</v>
      </c>
      <c r="H205" s="187">
        <f t="shared" si="75"/>
        <v>0</v>
      </c>
      <c r="I205" s="140">
        <f t="shared" si="75"/>
        <v>0</v>
      </c>
      <c r="J205" s="186">
        <f t="shared" si="75"/>
        <v>0</v>
      </c>
      <c r="K205" s="187">
        <f t="shared" si="75"/>
        <v>0</v>
      </c>
      <c r="L205" s="140">
        <f t="shared" si="75"/>
        <v>0</v>
      </c>
      <c r="M205" s="186">
        <f t="shared" si="75"/>
        <v>0</v>
      </c>
      <c r="N205" s="187">
        <f t="shared" si="75"/>
        <v>0</v>
      </c>
      <c r="O205" s="140">
        <f t="shared" si="75"/>
        <v>0</v>
      </c>
      <c r="P205" s="128"/>
    </row>
    <row r="206" spans="1:16" ht="12" hidden="1" customHeight="1" x14ac:dyDescent="0.25">
      <c r="A206" s="44">
        <v>5211</v>
      </c>
      <c r="B206" s="81" t="s">
        <v>223</v>
      </c>
      <c r="C206" s="82">
        <f t="shared" si="48"/>
        <v>0</v>
      </c>
      <c r="D206" s="196"/>
      <c r="E206" s="197"/>
      <c r="F206" s="133">
        <f t="shared" ref="F206:F215" si="76">D206+E206</f>
        <v>0</v>
      </c>
      <c r="G206" s="46"/>
      <c r="H206" s="47"/>
      <c r="I206" s="133">
        <f t="shared" ref="I206:I215" si="77">G206+H206</f>
        <v>0</v>
      </c>
      <c r="J206" s="46"/>
      <c r="K206" s="47"/>
      <c r="L206" s="133">
        <f t="shared" ref="L206:L215" si="78">K206+J206</f>
        <v>0</v>
      </c>
      <c r="M206" s="46"/>
      <c r="N206" s="47"/>
      <c r="O206" s="133">
        <f t="shared" ref="O206:O215" si="79">N206+M206</f>
        <v>0</v>
      </c>
      <c r="P206" s="49"/>
    </row>
    <row r="207" spans="1:16" ht="12" hidden="1" customHeight="1" x14ac:dyDescent="0.25">
      <c r="A207" s="51">
        <v>5212</v>
      </c>
      <c r="B207" s="88" t="s">
        <v>224</v>
      </c>
      <c r="C207" s="89">
        <f t="shared" si="48"/>
        <v>0</v>
      </c>
      <c r="D207" s="194"/>
      <c r="E207" s="195"/>
      <c r="F207" s="55">
        <f t="shared" si="76"/>
        <v>0</v>
      </c>
      <c r="G207" s="53"/>
      <c r="H207" s="54"/>
      <c r="I207" s="55">
        <f t="shared" si="77"/>
        <v>0</v>
      </c>
      <c r="J207" s="53"/>
      <c r="K207" s="54"/>
      <c r="L207" s="55">
        <f t="shared" si="78"/>
        <v>0</v>
      </c>
      <c r="M207" s="53"/>
      <c r="N207" s="54"/>
      <c r="O207" s="55">
        <f t="shared" si="79"/>
        <v>0</v>
      </c>
      <c r="P207" s="57"/>
    </row>
    <row r="208" spans="1:16" ht="12" hidden="1" customHeight="1" x14ac:dyDescent="0.25">
      <c r="A208" s="51">
        <v>5213</v>
      </c>
      <c r="B208" s="88" t="s">
        <v>225</v>
      </c>
      <c r="C208" s="89">
        <f t="shared" si="48"/>
        <v>0</v>
      </c>
      <c r="D208" s="194"/>
      <c r="E208" s="195"/>
      <c r="F208" s="55">
        <f t="shared" si="76"/>
        <v>0</v>
      </c>
      <c r="G208" s="53"/>
      <c r="H208" s="54"/>
      <c r="I208" s="55">
        <f t="shared" si="77"/>
        <v>0</v>
      </c>
      <c r="J208" s="53"/>
      <c r="K208" s="54"/>
      <c r="L208" s="55">
        <f t="shared" si="78"/>
        <v>0</v>
      </c>
      <c r="M208" s="53"/>
      <c r="N208" s="54"/>
      <c r="O208" s="55">
        <f t="shared" si="79"/>
        <v>0</v>
      </c>
      <c r="P208" s="57"/>
    </row>
    <row r="209" spans="1:16" ht="12" hidden="1" customHeight="1" x14ac:dyDescent="0.25">
      <c r="A209" s="51">
        <v>5214</v>
      </c>
      <c r="B209" s="88" t="s">
        <v>226</v>
      </c>
      <c r="C209" s="89">
        <f t="shared" si="48"/>
        <v>0</v>
      </c>
      <c r="D209" s="194"/>
      <c r="E209" s="195"/>
      <c r="F209" s="55">
        <f t="shared" si="76"/>
        <v>0</v>
      </c>
      <c r="G209" s="53"/>
      <c r="H209" s="54"/>
      <c r="I209" s="55">
        <f t="shared" si="77"/>
        <v>0</v>
      </c>
      <c r="J209" s="53"/>
      <c r="K209" s="54"/>
      <c r="L209" s="55">
        <f t="shared" si="78"/>
        <v>0</v>
      </c>
      <c r="M209" s="53"/>
      <c r="N209" s="54"/>
      <c r="O209" s="55">
        <f t="shared" si="79"/>
        <v>0</v>
      </c>
      <c r="P209" s="57"/>
    </row>
    <row r="210" spans="1:16" ht="12" hidden="1" customHeight="1" x14ac:dyDescent="0.25">
      <c r="A210" s="51">
        <v>5215</v>
      </c>
      <c r="B210" s="88" t="s">
        <v>227</v>
      </c>
      <c r="C210" s="89">
        <f t="shared" si="48"/>
        <v>0</v>
      </c>
      <c r="D210" s="194"/>
      <c r="E210" s="195"/>
      <c r="F210" s="55">
        <f t="shared" si="76"/>
        <v>0</v>
      </c>
      <c r="G210" s="53"/>
      <c r="H210" s="54"/>
      <c r="I210" s="55">
        <f t="shared" si="77"/>
        <v>0</v>
      </c>
      <c r="J210" s="53"/>
      <c r="K210" s="54"/>
      <c r="L210" s="55">
        <f t="shared" si="78"/>
        <v>0</v>
      </c>
      <c r="M210" s="53"/>
      <c r="N210" s="54"/>
      <c r="O210" s="55">
        <f t="shared" si="79"/>
        <v>0</v>
      </c>
      <c r="P210" s="57"/>
    </row>
    <row r="211" spans="1:16" ht="14.25" hidden="1" customHeight="1" x14ac:dyDescent="0.25">
      <c r="A211" s="51">
        <v>5216</v>
      </c>
      <c r="B211" s="88" t="s">
        <v>228</v>
      </c>
      <c r="C211" s="89">
        <f t="shared" si="48"/>
        <v>0</v>
      </c>
      <c r="D211" s="194"/>
      <c r="E211" s="195"/>
      <c r="F211" s="55">
        <f t="shared" si="76"/>
        <v>0</v>
      </c>
      <c r="G211" s="53"/>
      <c r="H211" s="54"/>
      <c r="I211" s="55">
        <f t="shared" si="77"/>
        <v>0</v>
      </c>
      <c r="J211" s="53"/>
      <c r="K211" s="54"/>
      <c r="L211" s="55">
        <f t="shared" si="78"/>
        <v>0</v>
      </c>
      <c r="M211" s="53"/>
      <c r="N211" s="54"/>
      <c r="O211" s="55">
        <f t="shared" si="79"/>
        <v>0</v>
      </c>
      <c r="P211" s="57"/>
    </row>
    <row r="212" spans="1:16" ht="12" hidden="1" customHeight="1" x14ac:dyDescent="0.25">
      <c r="A212" s="51">
        <v>5217</v>
      </c>
      <c r="B212" s="88" t="s">
        <v>229</v>
      </c>
      <c r="C212" s="89">
        <f t="shared" ref="C212:C275" si="80">F212+I212+L212+O212</f>
        <v>0</v>
      </c>
      <c r="D212" s="194"/>
      <c r="E212" s="195"/>
      <c r="F212" s="55">
        <f t="shared" si="76"/>
        <v>0</v>
      </c>
      <c r="G212" s="53"/>
      <c r="H212" s="54"/>
      <c r="I212" s="55">
        <f t="shared" si="77"/>
        <v>0</v>
      </c>
      <c r="J212" s="53"/>
      <c r="K212" s="54"/>
      <c r="L212" s="55">
        <f t="shared" si="78"/>
        <v>0</v>
      </c>
      <c r="M212" s="53"/>
      <c r="N212" s="54"/>
      <c r="O212" s="55">
        <f t="shared" si="79"/>
        <v>0</v>
      </c>
      <c r="P212" s="57"/>
    </row>
    <row r="213" spans="1:16" ht="12" hidden="1" customHeight="1" x14ac:dyDescent="0.25">
      <c r="A213" s="51">
        <v>5218</v>
      </c>
      <c r="B213" s="88" t="s">
        <v>230</v>
      </c>
      <c r="C213" s="89">
        <f t="shared" si="80"/>
        <v>0</v>
      </c>
      <c r="D213" s="194"/>
      <c r="E213" s="195"/>
      <c r="F213" s="55">
        <f t="shared" si="76"/>
        <v>0</v>
      </c>
      <c r="G213" s="53"/>
      <c r="H213" s="54"/>
      <c r="I213" s="55">
        <f t="shared" si="77"/>
        <v>0</v>
      </c>
      <c r="J213" s="53"/>
      <c r="K213" s="54"/>
      <c r="L213" s="55">
        <f t="shared" si="78"/>
        <v>0</v>
      </c>
      <c r="M213" s="53"/>
      <c r="N213" s="54"/>
      <c r="O213" s="55">
        <f t="shared" si="79"/>
        <v>0</v>
      </c>
      <c r="P213" s="57"/>
    </row>
    <row r="214" spans="1:16" ht="12" hidden="1" customHeight="1" x14ac:dyDescent="0.25">
      <c r="A214" s="51">
        <v>5219</v>
      </c>
      <c r="B214" s="88" t="s">
        <v>231</v>
      </c>
      <c r="C214" s="89">
        <f t="shared" si="80"/>
        <v>0</v>
      </c>
      <c r="D214" s="194"/>
      <c r="E214" s="195"/>
      <c r="F214" s="55">
        <f t="shared" si="76"/>
        <v>0</v>
      </c>
      <c r="G214" s="53"/>
      <c r="H214" s="54"/>
      <c r="I214" s="55">
        <f t="shared" si="77"/>
        <v>0</v>
      </c>
      <c r="J214" s="53"/>
      <c r="K214" s="54"/>
      <c r="L214" s="55">
        <f t="shared" si="78"/>
        <v>0</v>
      </c>
      <c r="M214" s="53"/>
      <c r="N214" s="54"/>
      <c r="O214" s="55">
        <f t="shared" si="79"/>
        <v>0</v>
      </c>
      <c r="P214" s="57"/>
    </row>
    <row r="215" spans="1:16" ht="13.5" hidden="1" customHeight="1" x14ac:dyDescent="0.25">
      <c r="A215" s="188">
        <v>5220</v>
      </c>
      <c r="B215" s="88" t="s">
        <v>232</v>
      </c>
      <c r="C215" s="89">
        <f t="shared" si="80"/>
        <v>0</v>
      </c>
      <c r="D215" s="194"/>
      <c r="E215" s="195"/>
      <c r="F215" s="55">
        <f t="shared" si="76"/>
        <v>0</v>
      </c>
      <c r="G215" s="53"/>
      <c r="H215" s="54"/>
      <c r="I215" s="55">
        <f t="shared" si="77"/>
        <v>0</v>
      </c>
      <c r="J215" s="53"/>
      <c r="K215" s="54"/>
      <c r="L215" s="55">
        <f t="shared" si="78"/>
        <v>0</v>
      </c>
      <c r="M215" s="53"/>
      <c r="N215" s="54"/>
      <c r="O215" s="55">
        <f t="shared" si="79"/>
        <v>0</v>
      </c>
      <c r="P215" s="57"/>
    </row>
    <row r="216" spans="1:16" x14ac:dyDescent="0.25">
      <c r="A216" s="188">
        <v>5230</v>
      </c>
      <c r="B216" s="88" t="s">
        <v>233</v>
      </c>
      <c r="C216" s="89">
        <f t="shared" si="80"/>
        <v>6859</v>
      </c>
      <c r="D216" s="189">
        <f t="shared" ref="D216:O216" si="81">SUM(D217:D224)</f>
        <v>3000</v>
      </c>
      <c r="E216" s="190">
        <f t="shared" si="81"/>
        <v>3859</v>
      </c>
      <c r="F216" s="55">
        <f t="shared" si="81"/>
        <v>6859</v>
      </c>
      <c r="G216" s="189">
        <f t="shared" si="81"/>
        <v>0</v>
      </c>
      <c r="H216" s="190">
        <f t="shared" si="81"/>
        <v>0</v>
      </c>
      <c r="I216" s="55">
        <f t="shared" si="81"/>
        <v>0</v>
      </c>
      <c r="J216" s="189">
        <f t="shared" si="81"/>
        <v>0</v>
      </c>
      <c r="K216" s="190">
        <f t="shared" si="81"/>
        <v>0</v>
      </c>
      <c r="L216" s="55">
        <f t="shared" si="81"/>
        <v>0</v>
      </c>
      <c r="M216" s="189">
        <f t="shared" si="81"/>
        <v>0</v>
      </c>
      <c r="N216" s="190">
        <f t="shared" si="81"/>
        <v>0</v>
      </c>
      <c r="O216" s="55">
        <f t="shared" si="81"/>
        <v>0</v>
      </c>
      <c r="P216" s="57"/>
    </row>
    <row r="217" spans="1:16" ht="99.75" hidden="1" customHeight="1" x14ac:dyDescent="0.25">
      <c r="A217" s="51">
        <v>5231</v>
      </c>
      <c r="B217" s="88" t="s">
        <v>234</v>
      </c>
      <c r="C217" s="89">
        <f t="shared" si="80"/>
        <v>0</v>
      </c>
      <c r="D217" s="194"/>
      <c r="E217" s="1093"/>
      <c r="F217" s="55">
        <f t="shared" ref="F217:F226" si="82">D217+E217</f>
        <v>0</v>
      </c>
      <c r="G217" s="53"/>
      <c r="H217" s="54"/>
      <c r="I217" s="55">
        <f t="shared" ref="I217:I226" si="83">G217+H217</f>
        <v>0</v>
      </c>
      <c r="J217" s="53"/>
      <c r="K217" s="54"/>
      <c r="L217" s="55">
        <f t="shared" ref="L217:L226" si="84">K217+J217</f>
        <v>0</v>
      </c>
      <c r="M217" s="53"/>
      <c r="N217" s="54"/>
      <c r="O217" s="55">
        <f t="shared" ref="O217:O226" si="85">N217+M217</f>
        <v>0</v>
      </c>
      <c r="P217" s="1094"/>
    </row>
    <row r="218" spans="1:16" ht="12" hidden="1" customHeight="1" x14ac:dyDescent="0.25">
      <c r="A218" s="51">
        <v>5232</v>
      </c>
      <c r="B218" s="88" t="s">
        <v>235</v>
      </c>
      <c r="C218" s="89">
        <f t="shared" si="80"/>
        <v>0</v>
      </c>
      <c r="D218" s="194"/>
      <c r="E218" s="195"/>
      <c r="F218" s="55">
        <f t="shared" si="82"/>
        <v>0</v>
      </c>
      <c r="G218" s="53"/>
      <c r="H218" s="54"/>
      <c r="I218" s="55">
        <f t="shared" si="83"/>
        <v>0</v>
      </c>
      <c r="J218" s="53"/>
      <c r="K218" s="54"/>
      <c r="L218" s="55">
        <f t="shared" si="84"/>
        <v>0</v>
      </c>
      <c r="M218" s="53"/>
      <c r="N218" s="54"/>
      <c r="O218" s="55">
        <f t="shared" si="85"/>
        <v>0</v>
      </c>
      <c r="P218" s="57"/>
    </row>
    <row r="219" spans="1:16" ht="12" hidden="1" customHeight="1" x14ac:dyDescent="0.25">
      <c r="A219" s="51">
        <v>5233</v>
      </c>
      <c r="B219" s="88" t="s">
        <v>236</v>
      </c>
      <c r="C219" s="89">
        <f t="shared" si="80"/>
        <v>0</v>
      </c>
      <c r="D219" s="194"/>
      <c r="E219" s="195"/>
      <c r="F219" s="55">
        <f t="shared" si="82"/>
        <v>0</v>
      </c>
      <c r="G219" s="53"/>
      <c r="H219" s="54"/>
      <c r="I219" s="55">
        <f t="shared" si="83"/>
        <v>0</v>
      </c>
      <c r="J219" s="53"/>
      <c r="K219" s="54"/>
      <c r="L219" s="55">
        <f t="shared" si="84"/>
        <v>0</v>
      </c>
      <c r="M219" s="53"/>
      <c r="N219" s="54"/>
      <c r="O219" s="55">
        <f t="shared" si="85"/>
        <v>0</v>
      </c>
      <c r="P219" s="57"/>
    </row>
    <row r="220" spans="1:16" ht="24" hidden="1" customHeight="1" x14ac:dyDescent="0.25">
      <c r="A220" s="51">
        <v>5234</v>
      </c>
      <c r="B220" s="88" t="s">
        <v>237</v>
      </c>
      <c r="C220" s="89">
        <f t="shared" si="80"/>
        <v>0</v>
      </c>
      <c r="D220" s="194"/>
      <c r="E220" s="195"/>
      <c r="F220" s="55">
        <f t="shared" si="82"/>
        <v>0</v>
      </c>
      <c r="G220" s="53"/>
      <c r="H220" s="54"/>
      <c r="I220" s="55">
        <f t="shared" si="83"/>
        <v>0</v>
      </c>
      <c r="J220" s="53"/>
      <c r="K220" s="54"/>
      <c r="L220" s="55">
        <f t="shared" si="84"/>
        <v>0</v>
      </c>
      <c r="M220" s="53"/>
      <c r="N220" s="54"/>
      <c r="O220" s="55">
        <f t="shared" si="85"/>
        <v>0</v>
      </c>
      <c r="P220" s="57"/>
    </row>
    <row r="221" spans="1:16" ht="14.25" hidden="1" customHeight="1" x14ac:dyDescent="0.25">
      <c r="A221" s="51">
        <v>5236</v>
      </c>
      <c r="B221" s="88" t="s">
        <v>238</v>
      </c>
      <c r="C221" s="89">
        <f t="shared" si="80"/>
        <v>0</v>
      </c>
      <c r="D221" s="194"/>
      <c r="E221" s="195"/>
      <c r="F221" s="55">
        <f t="shared" si="82"/>
        <v>0</v>
      </c>
      <c r="G221" s="53"/>
      <c r="H221" s="54"/>
      <c r="I221" s="55">
        <f t="shared" si="83"/>
        <v>0</v>
      </c>
      <c r="J221" s="53"/>
      <c r="K221" s="54"/>
      <c r="L221" s="55">
        <f t="shared" si="84"/>
        <v>0</v>
      </c>
      <c r="M221" s="53"/>
      <c r="N221" s="54"/>
      <c r="O221" s="55">
        <f t="shared" si="85"/>
        <v>0</v>
      </c>
      <c r="P221" s="57"/>
    </row>
    <row r="222" spans="1:16" ht="14.25" hidden="1" customHeight="1" x14ac:dyDescent="0.25">
      <c r="A222" s="51">
        <v>5237</v>
      </c>
      <c r="B222" s="88" t="s">
        <v>239</v>
      </c>
      <c r="C222" s="89">
        <f t="shared" si="80"/>
        <v>0</v>
      </c>
      <c r="D222" s="194"/>
      <c r="E222" s="195"/>
      <c r="F222" s="55">
        <f t="shared" si="82"/>
        <v>0</v>
      </c>
      <c r="G222" s="53"/>
      <c r="H222" s="54"/>
      <c r="I222" s="55">
        <f t="shared" si="83"/>
        <v>0</v>
      </c>
      <c r="J222" s="53"/>
      <c r="K222" s="54"/>
      <c r="L222" s="55">
        <f t="shared" si="84"/>
        <v>0</v>
      </c>
      <c r="M222" s="53"/>
      <c r="N222" s="54"/>
      <c r="O222" s="55">
        <f t="shared" si="85"/>
        <v>0</v>
      </c>
      <c r="P222" s="57"/>
    </row>
    <row r="223" spans="1:16" ht="24" customHeight="1" x14ac:dyDescent="0.25">
      <c r="A223" s="51">
        <v>5238</v>
      </c>
      <c r="B223" s="88" t="s">
        <v>240</v>
      </c>
      <c r="C223" s="89">
        <f t="shared" si="80"/>
        <v>5059</v>
      </c>
      <c r="D223" s="194">
        <v>3000</v>
      </c>
      <c r="E223" s="195">
        <v>2059</v>
      </c>
      <c r="F223" s="55">
        <f t="shared" si="82"/>
        <v>5059</v>
      </c>
      <c r="G223" s="53"/>
      <c r="H223" s="54"/>
      <c r="I223" s="55">
        <f t="shared" si="83"/>
        <v>0</v>
      </c>
      <c r="J223" s="53"/>
      <c r="K223" s="54"/>
      <c r="L223" s="55">
        <f t="shared" si="84"/>
        <v>0</v>
      </c>
      <c r="M223" s="53"/>
      <c r="N223" s="54"/>
      <c r="O223" s="55">
        <f t="shared" si="85"/>
        <v>0</v>
      </c>
      <c r="P223" s="57" t="s">
        <v>1570</v>
      </c>
    </row>
    <row r="224" spans="1:16" ht="24.75" customHeight="1" x14ac:dyDescent="0.25">
      <c r="A224" s="51">
        <v>5239</v>
      </c>
      <c r="B224" s="88" t="s">
        <v>241</v>
      </c>
      <c r="C224" s="89">
        <f t="shared" si="80"/>
        <v>1800</v>
      </c>
      <c r="D224" s="194"/>
      <c r="E224" s="195">
        <v>1800</v>
      </c>
      <c r="F224" s="55">
        <f t="shared" si="82"/>
        <v>1800</v>
      </c>
      <c r="G224" s="53"/>
      <c r="H224" s="54"/>
      <c r="I224" s="55">
        <f t="shared" si="83"/>
        <v>0</v>
      </c>
      <c r="J224" s="53"/>
      <c r="K224" s="54"/>
      <c r="L224" s="55">
        <f t="shared" si="84"/>
        <v>0</v>
      </c>
      <c r="M224" s="53"/>
      <c r="N224" s="54"/>
      <c r="O224" s="55">
        <f t="shared" si="85"/>
        <v>0</v>
      </c>
      <c r="P224" s="57" t="s">
        <v>1571</v>
      </c>
    </row>
    <row r="225" spans="1:16" ht="24" hidden="1" customHeight="1" x14ac:dyDescent="0.25">
      <c r="A225" s="188">
        <v>5240</v>
      </c>
      <c r="B225" s="88" t="s">
        <v>242</v>
      </c>
      <c r="C225" s="89">
        <f t="shared" si="80"/>
        <v>0</v>
      </c>
      <c r="D225" s="194"/>
      <c r="E225" s="195"/>
      <c r="F225" s="55">
        <f t="shared" si="82"/>
        <v>0</v>
      </c>
      <c r="G225" s="53"/>
      <c r="H225" s="54"/>
      <c r="I225" s="55">
        <f t="shared" si="83"/>
        <v>0</v>
      </c>
      <c r="J225" s="53"/>
      <c r="K225" s="54"/>
      <c r="L225" s="55">
        <f t="shared" si="84"/>
        <v>0</v>
      </c>
      <c r="M225" s="53"/>
      <c r="N225" s="54"/>
      <c r="O225" s="55">
        <f t="shared" si="85"/>
        <v>0</v>
      </c>
      <c r="P225" s="57"/>
    </row>
    <row r="226" spans="1:16" ht="12" hidden="1" customHeight="1" x14ac:dyDescent="0.25">
      <c r="A226" s="188">
        <v>5250</v>
      </c>
      <c r="B226" s="88" t="s">
        <v>243</v>
      </c>
      <c r="C226" s="89">
        <f t="shared" si="80"/>
        <v>0</v>
      </c>
      <c r="D226" s="194"/>
      <c r="E226" s="195"/>
      <c r="F226" s="55">
        <f t="shared" si="82"/>
        <v>0</v>
      </c>
      <c r="G226" s="53"/>
      <c r="H226" s="54"/>
      <c r="I226" s="55">
        <f t="shared" si="83"/>
        <v>0</v>
      </c>
      <c r="J226" s="53"/>
      <c r="K226" s="54"/>
      <c r="L226" s="55">
        <f t="shared" si="84"/>
        <v>0</v>
      </c>
      <c r="M226" s="53"/>
      <c r="N226" s="54"/>
      <c r="O226" s="55">
        <f t="shared" si="85"/>
        <v>0</v>
      </c>
      <c r="P226" s="57"/>
    </row>
    <row r="227" spans="1:16" hidden="1" x14ac:dyDescent="0.25">
      <c r="A227" s="188">
        <v>5260</v>
      </c>
      <c r="B227" s="88" t="s">
        <v>244</v>
      </c>
      <c r="C227" s="89">
        <f t="shared" si="80"/>
        <v>0</v>
      </c>
      <c r="D227" s="189">
        <f t="shared" ref="D227:O227" si="86">SUM(D228)</f>
        <v>0</v>
      </c>
      <c r="E227" s="190">
        <f t="shared" si="86"/>
        <v>0</v>
      </c>
      <c r="F227" s="55">
        <f t="shared" si="86"/>
        <v>0</v>
      </c>
      <c r="G227" s="189">
        <f t="shared" si="86"/>
        <v>0</v>
      </c>
      <c r="H227" s="190">
        <f t="shared" si="86"/>
        <v>0</v>
      </c>
      <c r="I227" s="55">
        <f t="shared" si="86"/>
        <v>0</v>
      </c>
      <c r="J227" s="189">
        <f t="shared" si="86"/>
        <v>0</v>
      </c>
      <c r="K227" s="190">
        <f t="shared" si="86"/>
        <v>0</v>
      </c>
      <c r="L227" s="55">
        <f t="shared" si="86"/>
        <v>0</v>
      </c>
      <c r="M227" s="189">
        <f t="shared" si="86"/>
        <v>0</v>
      </c>
      <c r="N227" s="190">
        <f t="shared" si="86"/>
        <v>0</v>
      </c>
      <c r="O227" s="55">
        <f t="shared" si="86"/>
        <v>0</v>
      </c>
      <c r="P227" s="57"/>
    </row>
    <row r="228" spans="1:16" ht="24" hidden="1" customHeight="1" x14ac:dyDescent="0.25">
      <c r="A228" s="51">
        <v>5269</v>
      </c>
      <c r="B228" s="88" t="s">
        <v>245</v>
      </c>
      <c r="C228" s="89">
        <f t="shared" si="80"/>
        <v>0</v>
      </c>
      <c r="D228" s="194"/>
      <c r="E228" s="195"/>
      <c r="F228" s="55">
        <f>D228+E228</f>
        <v>0</v>
      </c>
      <c r="G228" s="53"/>
      <c r="H228" s="54"/>
      <c r="I228" s="55">
        <f>G228+H228</f>
        <v>0</v>
      </c>
      <c r="J228" s="53"/>
      <c r="K228" s="54"/>
      <c r="L228" s="55">
        <f>K228+J228</f>
        <v>0</v>
      </c>
      <c r="M228" s="53"/>
      <c r="N228" s="54"/>
      <c r="O228" s="55">
        <f>N228+M228</f>
        <v>0</v>
      </c>
      <c r="P228" s="57"/>
    </row>
    <row r="229" spans="1:16" ht="24" hidden="1" customHeight="1" x14ac:dyDescent="0.25">
      <c r="A229" s="185">
        <v>5270</v>
      </c>
      <c r="B229" s="137" t="s">
        <v>246</v>
      </c>
      <c r="C229" s="142">
        <f t="shared" si="80"/>
        <v>0</v>
      </c>
      <c r="D229" s="202"/>
      <c r="E229" s="203"/>
      <c r="F229" s="140">
        <f>D229+E229</f>
        <v>0</v>
      </c>
      <c r="G229" s="143"/>
      <c r="H229" s="144"/>
      <c r="I229" s="140">
        <f>G229+H229</f>
        <v>0</v>
      </c>
      <c r="J229" s="143"/>
      <c r="K229" s="144"/>
      <c r="L229" s="140">
        <f>K229+J229</f>
        <v>0</v>
      </c>
      <c r="M229" s="143"/>
      <c r="N229" s="144"/>
      <c r="O229" s="140">
        <f>N229+M229</f>
        <v>0</v>
      </c>
      <c r="P229" s="128"/>
    </row>
    <row r="230" spans="1:16" x14ac:dyDescent="0.25">
      <c r="A230" s="176">
        <v>6000</v>
      </c>
      <c r="B230" s="176" t="s">
        <v>247</v>
      </c>
      <c r="C230" s="177">
        <f t="shared" si="80"/>
        <v>1000</v>
      </c>
      <c r="D230" s="178">
        <f t="shared" ref="D230:O230" si="87">D231+D251+D259</f>
        <v>0</v>
      </c>
      <c r="E230" s="179">
        <f t="shared" si="87"/>
        <v>0</v>
      </c>
      <c r="F230" s="180">
        <f t="shared" si="87"/>
        <v>0</v>
      </c>
      <c r="G230" s="178">
        <f t="shared" si="87"/>
        <v>0</v>
      </c>
      <c r="H230" s="179">
        <f t="shared" si="87"/>
        <v>0</v>
      </c>
      <c r="I230" s="180">
        <f t="shared" si="87"/>
        <v>0</v>
      </c>
      <c r="J230" s="178">
        <f t="shared" si="87"/>
        <v>1000</v>
      </c>
      <c r="K230" s="179">
        <f t="shared" si="87"/>
        <v>0</v>
      </c>
      <c r="L230" s="180">
        <f t="shared" si="87"/>
        <v>1000</v>
      </c>
      <c r="M230" s="178">
        <f t="shared" si="87"/>
        <v>0</v>
      </c>
      <c r="N230" s="179">
        <f t="shared" si="87"/>
        <v>0</v>
      </c>
      <c r="O230" s="180">
        <f t="shared" si="87"/>
        <v>0</v>
      </c>
      <c r="P230" s="181"/>
    </row>
    <row r="231" spans="1:16" ht="14.25" hidden="1" customHeight="1" x14ac:dyDescent="0.25">
      <c r="A231" s="216">
        <v>6200</v>
      </c>
      <c r="B231" s="207" t="s">
        <v>248</v>
      </c>
      <c r="C231" s="217">
        <f t="shared" si="80"/>
        <v>0</v>
      </c>
      <c r="D231" s="218">
        <f t="shared" ref="D231:O231" si="88">SUM(D232,D233,D235,D238,D244,D245,D246)</f>
        <v>0</v>
      </c>
      <c r="E231" s="219">
        <f t="shared" si="88"/>
        <v>0</v>
      </c>
      <c r="F231" s="220">
        <f t="shared" si="88"/>
        <v>0</v>
      </c>
      <c r="G231" s="218">
        <f t="shared" si="88"/>
        <v>0</v>
      </c>
      <c r="H231" s="219">
        <f t="shared" si="88"/>
        <v>0</v>
      </c>
      <c r="I231" s="220">
        <f t="shared" si="88"/>
        <v>0</v>
      </c>
      <c r="J231" s="218">
        <f t="shared" si="88"/>
        <v>0</v>
      </c>
      <c r="K231" s="219">
        <f t="shared" si="88"/>
        <v>0</v>
      </c>
      <c r="L231" s="220">
        <f t="shared" si="88"/>
        <v>0</v>
      </c>
      <c r="M231" s="218">
        <f t="shared" si="88"/>
        <v>0</v>
      </c>
      <c r="N231" s="219">
        <f t="shared" si="88"/>
        <v>0</v>
      </c>
      <c r="O231" s="220">
        <f t="shared" si="88"/>
        <v>0</v>
      </c>
      <c r="P231" s="221"/>
    </row>
    <row r="232" spans="1:16" ht="24" hidden="1" customHeight="1" x14ac:dyDescent="0.25">
      <c r="A232" s="941">
        <v>6220</v>
      </c>
      <c r="B232" s="81" t="s">
        <v>249</v>
      </c>
      <c r="C232" s="82">
        <f t="shared" si="80"/>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80"/>
        <v>0</v>
      </c>
      <c r="D233" s="189">
        <f t="shared" ref="D233:O233" si="89">SUM(D234)</f>
        <v>0</v>
      </c>
      <c r="E233" s="190">
        <f t="shared" si="89"/>
        <v>0</v>
      </c>
      <c r="F233" s="55">
        <f t="shared" si="89"/>
        <v>0</v>
      </c>
      <c r="G233" s="189">
        <f t="shared" si="89"/>
        <v>0</v>
      </c>
      <c r="H233" s="190">
        <f t="shared" si="89"/>
        <v>0</v>
      </c>
      <c r="I233" s="55">
        <f t="shared" si="89"/>
        <v>0</v>
      </c>
      <c r="J233" s="189">
        <f t="shared" si="89"/>
        <v>0</v>
      </c>
      <c r="K233" s="190">
        <f t="shared" si="89"/>
        <v>0</v>
      </c>
      <c r="L233" s="55">
        <f t="shared" si="89"/>
        <v>0</v>
      </c>
      <c r="M233" s="189">
        <f t="shared" si="89"/>
        <v>0</v>
      </c>
      <c r="N233" s="190">
        <f t="shared" si="89"/>
        <v>0</v>
      </c>
      <c r="O233" s="55">
        <f t="shared" si="89"/>
        <v>0</v>
      </c>
      <c r="P233" s="57"/>
    </row>
    <row r="234" spans="1:16" ht="24" hidden="1" customHeight="1" x14ac:dyDescent="0.25">
      <c r="A234" s="51">
        <v>6239</v>
      </c>
      <c r="B234" s="81" t="s">
        <v>251</v>
      </c>
      <c r="C234" s="89">
        <f t="shared" si="80"/>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80"/>
        <v>0</v>
      </c>
      <c r="D235" s="189">
        <f t="shared" ref="D235:O235" si="90">SUM(D236:D237)</f>
        <v>0</v>
      </c>
      <c r="E235" s="190">
        <f t="shared" si="90"/>
        <v>0</v>
      </c>
      <c r="F235" s="55">
        <f t="shared" si="90"/>
        <v>0</v>
      </c>
      <c r="G235" s="189">
        <f t="shared" si="90"/>
        <v>0</v>
      </c>
      <c r="H235" s="190">
        <f t="shared" si="90"/>
        <v>0</v>
      </c>
      <c r="I235" s="55">
        <f t="shared" si="90"/>
        <v>0</v>
      </c>
      <c r="J235" s="189">
        <f t="shared" si="90"/>
        <v>0</v>
      </c>
      <c r="K235" s="190">
        <f t="shared" si="90"/>
        <v>0</v>
      </c>
      <c r="L235" s="55">
        <f t="shared" si="90"/>
        <v>0</v>
      </c>
      <c r="M235" s="189">
        <f t="shared" si="90"/>
        <v>0</v>
      </c>
      <c r="N235" s="190">
        <f t="shared" si="90"/>
        <v>0</v>
      </c>
      <c r="O235" s="55">
        <f t="shared" si="90"/>
        <v>0</v>
      </c>
      <c r="P235" s="57"/>
    </row>
    <row r="236" spans="1:16" ht="12" hidden="1" customHeight="1" x14ac:dyDescent="0.25">
      <c r="A236" s="51">
        <v>6241</v>
      </c>
      <c r="B236" s="88" t="s">
        <v>253</v>
      </c>
      <c r="C236" s="89">
        <f t="shared" si="80"/>
        <v>0</v>
      </c>
      <c r="D236" s="194"/>
      <c r="E236" s="195"/>
      <c r="F236" s="55">
        <f>D236+E236</f>
        <v>0</v>
      </c>
      <c r="G236" s="53"/>
      <c r="H236" s="54"/>
      <c r="I236" s="55">
        <f>G236+H236</f>
        <v>0</v>
      </c>
      <c r="J236" s="53"/>
      <c r="K236" s="54"/>
      <c r="L236" s="55">
        <f>K236+J236</f>
        <v>0</v>
      </c>
      <c r="M236" s="53"/>
      <c r="N236" s="54"/>
      <c r="O236" s="55">
        <f>N236+M236</f>
        <v>0</v>
      </c>
      <c r="P236" s="57"/>
    </row>
    <row r="237" spans="1:16" ht="12" hidden="1" customHeight="1" x14ac:dyDescent="0.25">
      <c r="A237" s="51">
        <v>6242</v>
      </c>
      <c r="B237" s="88" t="s">
        <v>254</v>
      </c>
      <c r="C237" s="89">
        <f t="shared" si="80"/>
        <v>0</v>
      </c>
      <c r="D237" s="194"/>
      <c r="E237" s="195"/>
      <c r="F237" s="55">
        <f>D237+E237</f>
        <v>0</v>
      </c>
      <c r="G237" s="53"/>
      <c r="H237" s="54"/>
      <c r="I237" s="55">
        <f>G237+H237</f>
        <v>0</v>
      </c>
      <c r="J237" s="53"/>
      <c r="K237" s="54"/>
      <c r="L237" s="55">
        <f>K237+J237</f>
        <v>0</v>
      </c>
      <c r="M237" s="53"/>
      <c r="N237" s="54"/>
      <c r="O237" s="55">
        <f>N237+M237</f>
        <v>0</v>
      </c>
      <c r="P237" s="57"/>
    </row>
    <row r="238" spans="1:16" ht="25.5" hidden="1" customHeight="1" x14ac:dyDescent="0.25">
      <c r="A238" s="188">
        <v>6250</v>
      </c>
      <c r="B238" s="88" t="s">
        <v>255</v>
      </c>
      <c r="C238" s="89">
        <f t="shared" si="80"/>
        <v>0</v>
      </c>
      <c r="D238" s="189">
        <f t="shared" ref="D238:O238" si="91">SUM(D239:D243)</f>
        <v>0</v>
      </c>
      <c r="E238" s="190">
        <f t="shared" si="91"/>
        <v>0</v>
      </c>
      <c r="F238" s="55">
        <f t="shared" si="91"/>
        <v>0</v>
      </c>
      <c r="G238" s="189">
        <f t="shared" si="91"/>
        <v>0</v>
      </c>
      <c r="H238" s="190">
        <f t="shared" si="91"/>
        <v>0</v>
      </c>
      <c r="I238" s="55">
        <f t="shared" si="91"/>
        <v>0</v>
      </c>
      <c r="J238" s="189">
        <f t="shared" si="91"/>
        <v>0</v>
      </c>
      <c r="K238" s="190">
        <f t="shared" si="91"/>
        <v>0</v>
      </c>
      <c r="L238" s="55">
        <f t="shared" si="91"/>
        <v>0</v>
      </c>
      <c r="M238" s="189">
        <f t="shared" si="91"/>
        <v>0</v>
      </c>
      <c r="N238" s="190">
        <f t="shared" si="91"/>
        <v>0</v>
      </c>
      <c r="O238" s="55">
        <f t="shared" si="91"/>
        <v>0</v>
      </c>
      <c r="P238" s="57"/>
    </row>
    <row r="239" spans="1:16" ht="14.25" hidden="1" customHeight="1" x14ac:dyDescent="0.25">
      <c r="A239" s="51">
        <v>6252</v>
      </c>
      <c r="B239" s="88" t="s">
        <v>256</v>
      </c>
      <c r="C239" s="89">
        <f t="shared" si="80"/>
        <v>0</v>
      </c>
      <c r="D239" s="194"/>
      <c r="E239" s="195"/>
      <c r="F239" s="55">
        <f t="shared" ref="F239:F245" si="92">D239+E239</f>
        <v>0</v>
      </c>
      <c r="G239" s="53"/>
      <c r="H239" s="54"/>
      <c r="I239" s="55">
        <f t="shared" ref="I239:I245" si="93">G239+H239</f>
        <v>0</v>
      </c>
      <c r="J239" s="53"/>
      <c r="K239" s="54"/>
      <c r="L239" s="55">
        <f t="shared" ref="L239:L245" si="94">K239+J239</f>
        <v>0</v>
      </c>
      <c r="M239" s="53"/>
      <c r="N239" s="54"/>
      <c r="O239" s="55">
        <f t="shared" ref="O239:O245" si="95">N239+M239</f>
        <v>0</v>
      </c>
      <c r="P239" s="57"/>
    </row>
    <row r="240" spans="1:16" ht="14.25" hidden="1" customHeight="1" x14ac:dyDescent="0.25">
      <c r="A240" s="51">
        <v>6253</v>
      </c>
      <c r="B240" s="88" t="s">
        <v>257</v>
      </c>
      <c r="C240" s="89">
        <f t="shared" si="80"/>
        <v>0</v>
      </c>
      <c r="D240" s="194"/>
      <c r="E240" s="195"/>
      <c r="F240" s="55">
        <f t="shared" si="92"/>
        <v>0</v>
      </c>
      <c r="G240" s="53"/>
      <c r="H240" s="54"/>
      <c r="I240" s="55">
        <f t="shared" si="93"/>
        <v>0</v>
      </c>
      <c r="J240" s="53"/>
      <c r="K240" s="54"/>
      <c r="L240" s="55">
        <f t="shared" si="94"/>
        <v>0</v>
      </c>
      <c r="M240" s="53"/>
      <c r="N240" s="54"/>
      <c r="O240" s="55">
        <f t="shared" si="95"/>
        <v>0</v>
      </c>
      <c r="P240" s="57"/>
    </row>
    <row r="241" spans="1:16" ht="24" hidden="1" customHeight="1" x14ac:dyDescent="0.25">
      <c r="A241" s="51">
        <v>6254</v>
      </c>
      <c r="B241" s="88" t="s">
        <v>258</v>
      </c>
      <c r="C241" s="89">
        <f t="shared" si="80"/>
        <v>0</v>
      </c>
      <c r="D241" s="194"/>
      <c r="E241" s="195"/>
      <c r="F241" s="55">
        <f t="shared" si="92"/>
        <v>0</v>
      </c>
      <c r="G241" s="53"/>
      <c r="H241" s="54"/>
      <c r="I241" s="55">
        <f t="shared" si="93"/>
        <v>0</v>
      </c>
      <c r="J241" s="53"/>
      <c r="K241" s="54"/>
      <c r="L241" s="55">
        <f t="shared" si="94"/>
        <v>0</v>
      </c>
      <c r="M241" s="53"/>
      <c r="N241" s="54"/>
      <c r="O241" s="55">
        <f t="shared" si="95"/>
        <v>0</v>
      </c>
      <c r="P241" s="57"/>
    </row>
    <row r="242" spans="1:16" ht="24" hidden="1" customHeight="1" x14ac:dyDescent="0.25">
      <c r="A242" s="51">
        <v>6255</v>
      </c>
      <c r="B242" s="88" t="s">
        <v>259</v>
      </c>
      <c r="C242" s="89">
        <f t="shared" si="80"/>
        <v>0</v>
      </c>
      <c r="D242" s="194"/>
      <c r="E242" s="195"/>
      <c r="F242" s="55">
        <f t="shared" si="92"/>
        <v>0</v>
      </c>
      <c r="G242" s="53"/>
      <c r="H242" s="54"/>
      <c r="I242" s="55">
        <f t="shared" si="93"/>
        <v>0</v>
      </c>
      <c r="J242" s="53"/>
      <c r="K242" s="54"/>
      <c r="L242" s="55">
        <f t="shared" si="94"/>
        <v>0</v>
      </c>
      <c r="M242" s="53"/>
      <c r="N242" s="54"/>
      <c r="O242" s="55">
        <f t="shared" si="95"/>
        <v>0</v>
      </c>
      <c r="P242" s="57"/>
    </row>
    <row r="243" spans="1:16" ht="12" hidden="1" customHeight="1" x14ac:dyDescent="0.25">
      <c r="A243" s="51">
        <v>6259</v>
      </c>
      <c r="B243" s="88" t="s">
        <v>260</v>
      </c>
      <c r="C243" s="89">
        <f t="shared" si="80"/>
        <v>0</v>
      </c>
      <c r="D243" s="194"/>
      <c r="E243" s="195"/>
      <c r="F243" s="55">
        <f t="shared" si="92"/>
        <v>0</v>
      </c>
      <c r="G243" s="53"/>
      <c r="H243" s="54"/>
      <c r="I243" s="55">
        <f t="shared" si="93"/>
        <v>0</v>
      </c>
      <c r="J243" s="53"/>
      <c r="K243" s="54"/>
      <c r="L243" s="55">
        <f t="shared" si="94"/>
        <v>0</v>
      </c>
      <c r="M243" s="53"/>
      <c r="N243" s="54"/>
      <c r="O243" s="55">
        <f t="shared" si="95"/>
        <v>0</v>
      </c>
      <c r="P243" s="57"/>
    </row>
    <row r="244" spans="1:16" ht="24" hidden="1" customHeight="1" x14ac:dyDescent="0.25">
      <c r="A244" s="188">
        <v>6260</v>
      </c>
      <c r="B244" s="88" t="s">
        <v>261</v>
      </c>
      <c r="C244" s="89">
        <f t="shared" si="80"/>
        <v>0</v>
      </c>
      <c r="D244" s="194"/>
      <c r="E244" s="195"/>
      <c r="F244" s="55">
        <f t="shared" si="92"/>
        <v>0</v>
      </c>
      <c r="G244" s="53"/>
      <c r="H244" s="54"/>
      <c r="I244" s="55">
        <f t="shared" si="93"/>
        <v>0</v>
      </c>
      <c r="J244" s="53"/>
      <c r="K244" s="54"/>
      <c r="L244" s="55">
        <f t="shared" si="94"/>
        <v>0</v>
      </c>
      <c r="M244" s="53"/>
      <c r="N244" s="54"/>
      <c r="O244" s="55">
        <f t="shared" si="95"/>
        <v>0</v>
      </c>
      <c r="P244" s="57"/>
    </row>
    <row r="245" spans="1:16" ht="12" hidden="1" customHeight="1" x14ac:dyDescent="0.25">
      <c r="A245" s="188">
        <v>6270</v>
      </c>
      <c r="B245" s="88" t="s">
        <v>262</v>
      </c>
      <c r="C245" s="89">
        <f t="shared" si="80"/>
        <v>0</v>
      </c>
      <c r="D245" s="194"/>
      <c r="E245" s="195"/>
      <c r="F245" s="55">
        <f t="shared" si="92"/>
        <v>0</v>
      </c>
      <c r="G245" s="53"/>
      <c r="H245" s="54"/>
      <c r="I245" s="55">
        <f t="shared" si="93"/>
        <v>0</v>
      </c>
      <c r="J245" s="53"/>
      <c r="K245" s="54"/>
      <c r="L245" s="55">
        <f t="shared" si="94"/>
        <v>0</v>
      </c>
      <c r="M245" s="53"/>
      <c r="N245" s="54"/>
      <c r="O245" s="55">
        <f t="shared" si="95"/>
        <v>0</v>
      </c>
      <c r="P245" s="57"/>
    </row>
    <row r="246" spans="1:16" ht="24" hidden="1" x14ac:dyDescent="0.25">
      <c r="A246" s="941">
        <v>6290</v>
      </c>
      <c r="B246" s="81" t="s">
        <v>263</v>
      </c>
      <c r="C246" s="208">
        <f t="shared" si="80"/>
        <v>0</v>
      </c>
      <c r="D246" s="192">
        <f>SUM(D247:D250)</f>
        <v>0</v>
      </c>
      <c r="E246" s="193">
        <f t="shared" ref="E246:O246" si="96">SUM(E247:E250)</f>
        <v>0</v>
      </c>
      <c r="F246" s="133">
        <f t="shared" si="96"/>
        <v>0</v>
      </c>
      <c r="G246" s="192">
        <f t="shared" si="96"/>
        <v>0</v>
      </c>
      <c r="H246" s="193">
        <f t="shared" si="96"/>
        <v>0</v>
      </c>
      <c r="I246" s="133">
        <f t="shared" si="96"/>
        <v>0</v>
      </c>
      <c r="J246" s="192">
        <f t="shared" si="96"/>
        <v>0</v>
      </c>
      <c r="K246" s="193">
        <f t="shared" si="96"/>
        <v>0</v>
      </c>
      <c r="L246" s="133">
        <f t="shared" si="96"/>
        <v>0</v>
      </c>
      <c r="M246" s="192">
        <f t="shared" si="96"/>
        <v>0</v>
      </c>
      <c r="N246" s="193">
        <f t="shared" si="96"/>
        <v>0</v>
      </c>
      <c r="O246" s="133">
        <f t="shared" si="96"/>
        <v>0</v>
      </c>
      <c r="P246" s="49"/>
    </row>
    <row r="247" spans="1:16" ht="12" hidden="1" customHeight="1" x14ac:dyDescent="0.25">
      <c r="A247" s="51">
        <v>6291</v>
      </c>
      <c r="B247" s="88" t="s">
        <v>264</v>
      </c>
      <c r="C247" s="89">
        <f t="shared" si="80"/>
        <v>0</v>
      </c>
      <c r="D247" s="194"/>
      <c r="E247" s="195"/>
      <c r="F247" s="55">
        <f>D247+E247</f>
        <v>0</v>
      </c>
      <c r="G247" s="53"/>
      <c r="H247" s="54"/>
      <c r="I247" s="55">
        <f>G247+H247</f>
        <v>0</v>
      </c>
      <c r="J247" s="53"/>
      <c r="K247" s="54"/>
      <c r="L247" s="55">
        <f>K247+J247</f>
        <v>0</v>
      </c>
      <c r="M247" s="53"/>
      <c r="N247" s="54"/>
      <c r="O247" s="55">
        <f>N247+M247</f>
        <v>0</v>
      </c>
      <c r="P247" s="57"/>
    </row>
    <row r="248" spans="1:16" ht="12" hidden="1" customHeight="1" x14ac:dyDescent="0.25">
      <c r="A248" s="51">
        <v>6292</v>
      </c>
      <c r="B248" s="88" t="s">
        <v>265</v>
      </c>
      <c r="C248" s="89">
        <f t="shared" si="80"/>
        <v>0</v>
      </c>
      <c r="D248" s="194"/>
      <c r="E248" s="195"/>
      <c r="F248" s="55">
        <f>D248+E248</f>
        <v>0</v>
      </c>
      <c r="G248" s="53"/>
      <c r="H248" s="54"/>
      <c r="I248" s="55">
        <f>G248+H248</f>
        <v>0</v>
      </c>
      <c r="J248" s="53"/>
      <c r="K248" s="54"/>
      <c r="L248" s="55">
        <f>K248+J248</f>
        <v>0</v>
      </c>
      <c r="M248" s="53"/>
      <c r="N248" s="54"/>
      <c r="O248" s="55">
        <f>N248+M248</f>
        <v>0</v>
      </c>
      <c r="P248" s="57"/>
    </row>
    <row r="249" spans="1:16" ht="72" hidden="1" customHeight="1" x14ac:dyDescent="0.25">
      <c r="A249" s="51">
        <v>6296</v>
      </c>
      <c r="B249" s="88" t="s">
        <v>266</v>
      </c>
      <c r="C249" s="89">
        <f t="shared" si="80"/>
        <v>0</v>
      </c>
      <c r="D249" s="194"/>
      <c r="E249" s="195"/>
      <c r="F249" s="55">
        <f>D249+E249</f>
        <v>0</v>
      </c>
      <c r="G249" s="53"/>
      <c r="H249" s="54"/>
      <c r="I249" s="55">
        <f>G249+H249</f>
        <v>0</v>
      </c>
      <c r="J249" s="53"/>
      <c r="K249" s="54"/>
      <c r="L249" s="55">
        <f>K249+J249</f>
        <v>0</v>
      </c>
      <c r="M249" s="53"/>
      <c r="N249" s="54"/>
      <c r="O249" s="55">
        <f>N249+M249</f>
        <v>0</v>
      </c>
      <c r="P249" s="57"/>
    </row>
    <row r="250" spans="1:16" ht="39.75" hidden="1" customHeight="1" x14ac:dyDescent="0.25">
      <c r="A250" s="51">
        <v>6299</v>
      </c>
      <c r="B250" s="88" t="s">
        <v>267</v>
      </c>
      <c r="C250" s="89">
        <f t="shared" si="80"/>
        <v>0</v>
      </c>
      <c r="D250" s="194"/>
      <c r="E250" s="195"/>
      <c r="F250" s="55">
        <f>D250+E250</f>
        <v>0</v>
      </c>
      <c r="G250" s="53"/>
      <c r="H250" s="54"/>
      <c r="I250" s="55">
        <f>G250+H250</f>
        <v>0</v>
      </c>
      <c r="J250" s="53"/>
      <c r="K250" s="54"/>
      <c r="L250" s="55">
        <f>K250+J250</f>
        <v>0</v>
      </c>
      <c r="M250" s="53"/>
      <c r="N250" s="54"/>
      <c r="O250" s="55">
        <f>N250+M250</f>
        <v>0</v>
      </c>
      <c r="P250" s="57"/>
    </row>
    <row r="251" spans="1:16" hidden="1" x14ac:dyDescent="0.25">
      <c r="A251" s="68">
        <v>6300</v>
      </c>
      <c r="B251" s="182" t="s">
        <v>268</v>
      </c>
      <c r="C251" s="69">
        <f t="shared" si="80"/>
        <v>0</v>
      </c>
      <c r="D251" s="183">
        <f>SUM(D252,D257,D258)</f>
        <v>0</v>
      </c>
      <c r="E251" s="184">
        <f t="shared" ref="E251:O251" si="97">SUM(E252,E257,E258)</f>
        <v>0</v>
      </c>
      <c r="F251" s="72">
        <f t="shared" si="97"/>
        <v>0</v>
      </c>
      <c r="G251" s="183">
        <f t="shared" si="97"/>
        <v>0</v>
      </c>
      <c r="H251" s="184">
        <f t="shared" si="97"/>
        <v>0</v>
      </c>
      <c r="I251" s="72">
        <f t="shared" si="97"/>
        <v>0</v>
      </c>
      <c r="J251" s="183">
        <f t="shared" si="97"/>
        <v>0</v>
      </c>
      <c r="K251" s="184">
        <f t="shared" si="97"/>
        <v>0</v>
      </c>
      <c r="L251" s="72">
        <f t="shared" si="97"/>
        <v>0</v>
      </c>
      <c r="M251" s="183">
        <f t="shared" si="97"/>
        <v>0</v>
      </c>
      <c r="N251" s="184">
        <f t="shared" si="97"/>
        <v>0</v>
      </c>
      <c r="O251" s="72">
        <f t="shared" si="97"/>
        <v>0</v>
      </c>
      <c r="P251" s="76"/>
    </row>
    <row r="252" spans="1:16" ht="24" hidden="1" x14ac:dyDescent="0.25">
      <c r="A252" s="941">
        <v>6320</v>
      </c>
      <c r="B252" s="81" t="s">
        <v>269</v>
      </c>
      <c r="C252" s="208">
        <f t="shared" si="80"/>
        <v>0</v>
      </c>
      <c r="D252" s="192">
        <f>SUM(D253:D256)</f>
        <v>0</v>
      </c>
      <c r="E252" s="193">
        <f t="shared" ref="E252:O252" si="98">SUM(E253:E256)</f>
        <v>0</v>
      </c>
      <c r="F252" s="133">
        <f t="shared" si="98"/>
        <v>0</v>
      </c>
      <c r="G252" s="192">
        <f t="shared" si="98"/>
        <v>0</v>
      </c>
      <c r="H252" s="193">
        <f t="shared" si="98"/>
        <v>0</v>
      </c>
      <c r="I252" s="133">
        <f t="shared" si="98"/>
        <v>0</v>
      </c>
      <c r="J252" s="192">
        <f t="shared" si="98"/>
        <v>0</v>
      </c>
      <c r="K252" s="193">
        <f t="shared" si="98"/>
        <v>0</v>
      </c>
      <c r="L252" s="133">
        <f t="shared" si="98"/>
        <v>0</v>
      </c>
      <c r="M252" s="192">
        <f t="shared" si="98"/>
        <v>0</v>
      </c>
      <c r="N252" s="193">
        <f t="shared" si="98"/>
        <v>0</v>
      </c>
      <c r="O252" s="133">
        <f t="shared" si="98"/>
        <v>0</v>
      </c>
      <c r="P252" s="49"/>
    </row>
    <row r="253" spans="1:16" ht="12" hidden="1" customHeight="1" x14ac:dyDescent="0.25">
      <c r="A253" s="51">
        <v>6322</v>
      </c>
      <c r="B253" s="88" t="s">
        <v>270</v>
      </c>
      <c r="C253" s="89">
        <f t="shared" si="80"/>
        <v>0</v>
      </c>
      <c r="D253" s="194"/>
      <c r="E253" s="195"/>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row>
    <row r="254" spans="1:16" ht="24" hidden="1" customHeight="1" x14ac:dyDescent="0.25">
      <c r="A254" s="51">
        <v>6323</v>
      </c>
      <c r="B254" s="88" t="s">
        <v>271</v>
      </c>
      <c r="C254" s="89">
        <f t="shared" si="80"/>
        <v>0</v>
      </c>
      <c r="D254" s="194"/>
      <c r="E254" s="195"/>
      <c r="F254" s="55">
        <f t="shared" si="99"/>
        <v>0</v>
      </c>
      <c r="G254" s="53"/>
      <c r="H254" s="54"/>
      <c r="I254" s="55">
        <f t="shared" si="100"/>
        <v>0</v>
      </c>
      <c r="J254" s="53"/>
      <c r="K254" s="54"/>
      <c r="L254" s="55">
        <f t="shared" si="101"/>
        <v>0</v>
      </c>
      <c r="M254" s="53"/>
      <c r="N254" s="54"/>
      <c r="O254" s="55">
        <f t="shared" si="102"/>
        <v>0</v>
      </c>
      <c r="P254" s="57"/>
    </row>
    <row r="255" spans="1:16" ht="24" hidden="1" customHeight="1" x14ac:dyDescent="0.25">
      <c r="A255" s="51">
        <v>6324</v>
      </c>
      <c r="B255" s="88" t="s">
        <v>272</v>
      </c>
      <c r="C255" s="89">
        <f t="shared" si="80"/>
        <v>0</v>
      </c>
      <c r="D255" s="194"/>
      <c r="E255" s="195"/>
      <c r="F255" s="55">
        <f t="shared" si="99"/>
        <v>0</v>
      </c>
      <c r="G255" s="53"/>
      <c r="H255" s="54"/>
      <c r="I255" s="55">
        <f t="shared" si="100"/>
        <v>0</v>
      </c>
      <c r="J255" s="53"/>
      <c r="K255" s="54"/>
      <c r="L255" s="55">
        <f t="shared" si="101"/>
        <v>0</v>
      </c>
      <c r="M255" s="53"/>
      <c r="N255" s="54"/>
      <c r="O255" s="55">
        <f t="shared" si="102"/>
        <v>0</v>
      </c>
      <c r="P255" s="57"/>
    </row>
    <row r="256" spans="1:16" ht="12" hidden="1" customHeight="1" x14ac:dyDescent="0.25">
      <c r="A256" s="44">
        <v>6329</v>
      </c>
      <c r="B256" s="81" t="s">
        <v>273</v>
      </c>
      <c r="C256" s="82">
        <f t="shared" si="80"/>
        <v>0</v>
      </c>
      <c r="D256" s="196"/>
      <c r="E256" s="197"/>
      <c r="F256" s="133">
        <f t="shared" si="99"/>
        <v>0</v>
      </c>
      <c r="G256" s="46"/>
      <c r="H256" s="47"/>
      <c r="I256" s="133">
        <f t="shared" si="100"/>
        <v>0</v>
      </c>
      <c r="J256" s="46"/>
      <c r="K256" s="47"/>
      <c r="L256" s="133">
        <f t="shared" si="101"/>
        <v>0</v>
      </c>
      <c r="M256" s="46"/>
      <c r="N256" s="47"/>
      <c r="O256" s="133">
        <f t="shared" si="102"/>
        <v>0</v>
      </c>
      <c r="P256" s="49"/>
    </row>
    <row r="257" spans="1:16" ht="24" hidden="1" customHeight="1" x14ac:dyDescent="0.25">
      <c r="A257" s="225">
        <v>6330</v>
      </c>
      <c r="B257" s="226" t="s">
        <v>274</v>
      </c>
      <c r="C257" s="208">
        <f t="shared" si="80"/>
        <v>0</v>
      </c>
      <c r="D257" s="210"/>
      <c r="E257" s="211"/>
      <c r="F257" s="212">
        <f t="shared" si="99"/>
        <v>0</v>
      </c>
      <c r="G257" s="213"/>
      <c r="H257" s="214"/>
      <c r="I257" s="212">
        <f t="shared" si="100"/>
        <v>0</v>
      </c>
      <c r="J257" s="213"/>
      <c r="K257" s="214"/>
      <c r="L257" s="212">
        <f t="shared" si="101"/>
        <v>0</v>
      </c>
      <c r="M257" s="213"/>
      <c r="N257" s="214"/>
      <c r="O257" s="212">
        <f t="shared" si="102"/>
        <v>0</v>
      </c>
      <c r="P257" s="215"/>
    </row>
    <row r="258" spans="1:16" ht="12" hidden="1" customHeight="1" x14ac:dyDescent="0.25">
      <c r="A258" s="188">
        <v>6360</v>
      </c>
      <c r="B258" s="88" t="s">
        <v>275</v>
      </c>
      <c r="C258" s="89">
        <f t="shared" si="80"/>
        <v>0</v>
      </c>
      <c r="D258" s="194"/>
      <c r="E258" s="195"/>
      <c r="F258" s="55">
        <f t="shared" si="99"/>
        <v>0</v>
      </c>
      <c r="G258" s="53"/>
      <c r="H258" s="54"/>
      <c r="I258" s="55">
        <f t="shared" si="100"/>
        <v>0</v>
      </c>
      <c r="J258" s="53"/>
      <c r="K258" s="54"/>
      <c r="L258" s="55">
        <f t="shared" si="101"/>
        <v>0</v>
      </c>
      <c r="M258" s="53"/>
      <c r="N258" s="54"/>
      <c r="O258" s="55">
        <f t="shared" si="102"/>
        <v>0</v>
      </c>
      <c r="P258" s="57"/>
    </row>
    <row r="259" spans="1:16" ht="36" x14ac:dyDescent="0.25">
      <c r="A259" s="68">
        <v>6400</v>
      </c>
      <c r="B259" s="182" t="s">
        <v>276</v>
      </c>
      <c r="C259" s="69">
        <f t="shared" si="80"/>
        <v>1000</v>
      </c>
      <c r="D259" s="183">
        <f>SUM(D260,D264)</f>
        <v>0</v>
      </c>
      <c r="E259" s="184">
        <f t="shared" ref="E259:O259" si="103">SUM(E260,E264)</f>
        <v>0</v>
      </c>
      <c r="F259" s="72">
        <f t="shared" si="103"/>
        <v>0</v>
      </c>
      <c r="G259" s="183">
        <f t="shared" si="103"/>
        <v>0</v>
      </c>
      <c r="H259" s="184">
        <f t="shared" si="103"/>
        <v>0</v>
      </c>
      <c r="I259" s="72">
        <f t="shared" si="103"/>
        <v>0</v>
      </c>
      <c r="J259" s="183">
        <f t="shared" si="103"/>
        <v>1000</v>
      </c>
      <c r="K259" s="184">
        <f t="shared" si="103"/>
        <v>0</v>
      </c>
      <c r="L259" s="72">
        <f t="shared" si="103"/>
        <v>1000</v>
      </c>
      <c r="M259" s="183">
        <f t="shared" si="103"/>
        <v>0</v>
      </c>
      <c r="N259" s="184">
        <f t="shared" si="103"/>
        <v>0</v>
      </c>
      <c r="O259" s="72">
        <f t="shared" si="103"/>
        <v>0</v>
      </c>
      <c r="P259" s="76"/>
    </row>
    <row r="260" spans="1:16" ht="24" hidden="1" x14ac:dyDescent="0.25">
      <c r="A260" s="941">
        <v>6410</v>
      </c>
      <c r="B260" s="81" t="s">
        <v>277</v>
      </c>
      <c r="C260" s="82">
        <f t="shared" si="80"/>
        <v>0</v>
      </c>
      <c r="D260" s="192">
        <f>SUM(D261:D263)</f>
        <v>0</v>
      </c>
      <c r="E260" s="193">
        <f t="shared" ref="E260:O260" si="104">SUM(E261:E263)</f>
        <v>0</v>
      </c>
      <c r="F260" s="133">
        <f t="shared" si="104"/>
        <v>0</v>
      </c>
      <c r="G260" s="192">
        <f t="shared" si="104"/>
        <v>0</v>
      </c>
      <c r="H260" s="193">
        <f t="shared" si="104"/>
        <v>0</v>
      </c>
      <c r="I260" s="133">
        <f t="shared" si="104"/>
        <v>0</v>
      </c>
      <c r="J260" s="192">
        <f t="shared" si="104"/>
        <v>0</v>
      </c>
      <c r="K260" s="193">
        <f t="shared" si="104"/>
        <v>0</v>
      </c>
      <c r="L260" s="133">
        <f t="shared" si="104"/>
        <v>0</v>
      </c>
      <c r="M260" s="192">
        <f t="shared" si="104"/>
        <v>0</v>
      </c>
      <c r="N260" s="193">
        <f t="shared" si="104"/>
        <v>0</v>
      </c>
      <c r="O260" s="133">
        <f t="shared" si="104"/>
        <v>0</v>
      </c>
      <c r="P260" s="49"/>
    </row>
    <row r="261" spans="1:16" ht="12" hidden="1" customHeight="1" x14ac:dyDescent="0.25">
      <c r="A261" s="51">
        <v>6411</v>
      </c>
      <c r="B261" s="199" t="s">
        <v>278</v>
      </c>
      <c r="C261" s="89">
        <f t="shared" si="80"/>
        <v>0</v>
      </c>
      <c r="D261" s="194"/>
      <c r="E261" s="195"/>
      <c r="F261" s="55">
        <f>D261+E261</f>
        <v>0</v>
      </c>
      <c r="G261" s="53"/>
      <c r="H261" s="54"/>
      <c r="I261" s="55">
        <f>G261+H261</f>
        <v>0</v>
      </c>
      <c r="J261" s="53"/>
      <c r="K261" s="54"/>
      <c r="L261" s="55">
        <f>K261+J261</f>
        <v>0</v>
      </c>
      <c r="M261" s="53"/>
      <c r="N261" s="54"/>
      <c r="O261" s="55">
        <f>N261+M261</f>
        <v>0</v>
      </c>
      <c r="P261" s="57"/>
    </row>
    <row r="262" spans="1:16" ht="36" hidden="1" customHeight="1" x14ac:dyDescent="0.25">
      <c r="A262" s="51">
        <v>6412</v>
      </c>
      <c r="B262" s="88" t="s">
        <v>279</v>
      </c>
      <c r="C262" s="89">
        <f t="shared" si="80"/>
        <v>0</v>
      </c>
      <c r="D262" s="194"/>
      <c r="E262" s="195"/>
      <c r="F262" s="55">
        <f>D262+E262</f>
        <v>0</v>
      </c>
      <c r="G262" s="53"/>
      <c r="H262" s="54"/>
      <c r="I262" s="55">
        <f>G262+H262</f>
        <v>0</v>
      </c>
      <c r="J262" s="53"/>
      <c r="K262" s="54"/>
      <c r="L262" s="55">
        <f>K262+J262</f>
        <v>0</v>
      </c>
      <c r="M262" s="53"/>
      <c r="N262" s="54"/>
      <c r="O262" s="55">
        <f>N262+M262</f>
        <v>0</v>
      </c>
      <c r="P262" s="57"/>
    </row>
    <row r="263" spans="1:16" ht="36" hidden="1" customHeight="1" x14ac:dyDescent="0.25">
      <c r="A263" s="51">
        <v>6419</v>
      </c>
      <c r="B263" s="88" t="s">
        <v>280</v>
      </c>
      <c r="C263" s="89">
        <f t="shared" si="80"/>
        <v>0</v>
      </c>
      <c r="D263" s="194"/>
      <c r="E263" s="195"/>
      <c r="F263" s="55">
        <f>D263+E263</f>
        <v>0</v>
      </c>
      <c r="G263" s="53"/>
      <c r="H263" s="54"/>
      <c r="I263" s="55">
        <f>G263+H263</f>
        <v>0</v>
      </c>
      <c r="J263" s="53"/>
      <c r="K263" s="54"/>
      <c r="L263" s="55">
        <f>K263+J263</f>
        <v>0</v>
      </c>
      <c r="M263" s="53"/>
      <c r="N263" s="54"/>
      <c r="O263" s="55">
        <f>N263+M263</f>
        <v>0</v>
      </c>
      <c r="P263" s="57"/>
    </row>
    <row r="264" spans="1:16" ht="48" x14ac:dyDescent="0.25">
      <c r="A264" s="188">
        <v>6420</v>
      </c>
      <c r="B264" s="88" t="s">
        <v>281</v>
      </c>
      <c r="C264" s="89">
        <f t="shared" si="80"/>
        <v>1000</v>
      </c>
      <c r="D264" s="189">
        <f t="shared" ref="D264:O264" si="105">SUM(D265:D268)</f>
        <v>0</v>
      </c>
      <c r="E264" s="190">
        <f t="shared" si="105"/>
        <v>0</v>
      </c>
      <c r="F264" s="55">
        <f t="shared" si="105"/>
        <v>0</v>
      </c>
      <c r="G264" s="189">
        <f t="shared" si="105"/>
        <v>0</v>
      </c>
      <c r="H264" s="190">
        <f t="shared" si="105"/>
        <v>0</v>
      </c>
      <c r="I264" s="55">
        <f t="shared" si="105"/>
        <v>0</v>
      </c>
      <c r="J264" s="189">
        <f t="shared" si="105"/>
        <v>1000</v>
      </c>
      <c r="K264" s="190">
        <f t="shared" si="105"/>
        <v>0</v>
      </c>
      <c r="L264" s="55">
        <f t="shared" si="105"/>
        <v>1000</v>
      </c>
      <c r="M264" s="189">
        <f t="shared" si="105"/>
        <v>0</v>
      </c>
      <c r="N264" s="190">
        <f t="shared" si="105"/>
        <v>0</v>
      </c>
      <c r="O264" s="55">
        <f t="shared" si="105"/>
        <v>0</v>
      </c>
      <c r="P264" s="57"/>
    </row>
    <row r="265" spans="1:16" ht="36" hidden="1" customHeight="1" x14ac:dyDescent="0.25">
      <c r="A265" s="51">
        <v>6421</v>
      </c>
      <c r="B265" s="88" t="s">
        <v>282</v>
      </c>
      <c r="C265" s="89">
        <f t="shared" si="80"/>
        <v>0</v>
      </c>
      <c r="D265" s="194"/>
      <c r="E265" s="195"/>
      <c r="F265" s="55">
        <f>D265+E265</f>
        <v>0</v>
      </c>
      <c r="G265" s="53"/>
      <c r="H265" s="54"/>
      <c r="I265" s="55">
        <f>G265+H265</f>
        <v>0</v>
      </c>
      <c r="J265" s="53"/>
      <c r="K265" s="54"/>
      <c r="L265" s="55">
        <f>K265+J265</f>
        <v>0</v>
      </c>
      <c r="M265" s="53"/>
      <c r="N265" s="54"/>
      <c r="O265" s="55">
        <f>N265+M265</f>
        <v>0</v>
      </c>
      <c r="P265" s="57"/>
    </row>
    <row r="266" spans="1:16" ht="12" hidden="1" customHeight="1" x14ac:dyDescent="0.25">
      <c r="A266" s="51">
        <v>6422</v>
      </c>
      <c r="B266" s="88" t="s">
        <v>283</v>
      </c>
      <c r="C266" s="89">
        <f t="shared" si="80"/>
        <v>0</v>
      </c>
      <c r="D266" s="194"/>
      <c r="E266" s="195"/>
      <c r="F266" s="55">
        <f>D266+E266</f>
        <v>0</v>
      </c>
      <c r="G266" s="53"/>
      <c r="H266" s="54"/>
      <c r="I266" s="55">
        <f>G266+H266</f>
        <v>0</v>
      </c>
      <c r="J266" s="53"/>
      <c r="K266" s="54"/>
      <c r="L266" s="55">
        <f>K266+J266</f>
        <v>0</v>
      </c>
      <c r="M266" s="53"/>
      <c r="N266" s="54"/>
      <c r="O266" s="55">
        <f>N266+M266</f>
        <v>0</v>
      </c>
      <c r="P266" s="57"/>
    </row>
    <row r="267" spans="1:16" ht="13.5" hidden="1" customHeight="1" x14ac:dyDescent="0.25">
      <c r="A267" s="51">
        <v>6423</v>
      </c>
      <c r="B267" s="88" t="s">
        <v>284</v>
      </c>
      <c r="C267" s="89">
        <f t="shared" si="80"/>
        <v>0</v>
      </c>
      <c r="D267" s="194"/>
      <c r="E267" s="195"/>
      <c r="F267" s="55">
        <f>D267+E267</f>
        <v>0</v>
      </c>
      <c r="G267" s="53"/>
      <c r="H267" s="54"/>
      <c r="I267" s="55">
        <f>G267+H267</f>
        <v>0</v>
      </c>
      <c r="J267" s="53"/>
      <c r="K267" s="54"/>
      <c r="L267" s="55">
        <f>K267+J267</f>
        <v>0</v>
      </c>
      <c r="M267" s="53"/>
      <c r="N267" s="54"/>
      <c r="O267" s="55">
        <f>N267+M267</f>
        <v>0</v>
      </c>
      <c r="P267" s="57"/>
    </row>
    <row r="268" spans="1:16" ht="36" customHeight="1" x14ac:dyDescent="0.25">
      <c r="A268" s="51">
        <v>6424</v>
      </c>
      <c r="B268" s="88" t="s">
        <v>285</v>
      </c>
      <c r="C268" s="89">
        <f t="shared" si="80"/>
        <v>1000</v>
      </c>
      <c r="D268" s="194"/>
      <c r="E268" s="195"/>
      <c r="F268" s="55">
        <f>D268+E268</f>
        <v>0</v>
      </c>
      <c r="G268" s="53"/>
      <c r="H268" s="54"/>
      <c r="I268" s="55">
        <f>G268+H268</f>
        <v>0</v>
      </c>
      <c r="J268" s="53">
        <v>1000</v>
      </c>
      <c r="K268" s="54"/>
      <c r="L268" s="55">
        <f>K268+J268</f>
        <v>1000</v>
      </c>
      <c r="M268" s="53"/>
      <c r="N268" s="54"/>
      <c r="O268" s="55">
        <f>N268+M268</f>
        <v>0</v>
      </c>
      <c r="P268" s="57"/>
    </row>
    <row r="269" spans="1:16" ht="48" x14ac:dyDescent="0.25">
      <c r="A269" s="227">
        <v>7000</v>
      </c>
      <c r="B269" s="227" t="s">
        <v>286</v>
      </c>
      <c r="C269" s="228">
        <f t="shared" si="80"/>
        <v>4200</v>
      </c>
      <c r="D269" s="229">
        <f t="shared" ref="D269:O269" si="106">SUM(D270,D281)</f>
        <v>0</v>
      </c>
      <c r="E269" s="230">
        <f t="shared" si="106"/>
        <v>0</v>
      </c>
      <c r="F269" s="231">
        <f t="shared" si="106"/>
        <v>0</v>
      </c>
      <c r="G269" s="229">
        <f t="shared" si="106"/>
        <v>0</v>
      </c>
      <c r="H269" s="230">
        <f t="shared" si="106"/>
        <v>0</v>
      </c>
      <c r="I269" s="231">
        <f t="shared" si="106"/>
        <v>0</v>
      </c>
      <c r="J269" s="229">
        <f t="shared" si="106"/>
        <v>4200</v>
      </c>
      <c r="K269" s="230">
        <f t="shared" si="106"/>
        <v>0</v>
      </c>
      <c r="L269" s="231">
        <f t="shared" si="106"/>
        <v>4200</v>
      </c>
      <c r="M269" s="229">
        <f t="shared" si="106"/>
        <v>0</v>
      </c>
      <c r="N269" s="230">
        <f t="shared" si="106"/>
        <v>0</v>
      </c>
      <c r="O269" s="231">
        <f t="shared" si="106"/>
        <v>0</v>
      </c>
      <c r="P269" s="232"/>
    </row>
    <row r="270" spans="1:16" ht="24" x14ac:dyDescent="0.25">
      <c r="A270" s="68">
        <v>7200</v>
      </c>
      <c r="B270" s="182" t="s">
        <v>287</v>
      </c>
      <c r="C270" s="69">
        <f t="shared" si="80"/>
        <v>4200</v>
      </c>
      <c r="D270" s="183">
        <f t="shared" ref="D270:O270" si="107">SUM(D271,D272,D275,D276,D280)</f>
        <v>0</v>
      </c>
      <c r="E270" s="184">
        <f t="shared" si="107"/>
        <v>0</v>
      </c>
      <c r="F270" s="72">
        <f t="shared" si="107"/>
        <v>0</v>
      </c>
      <c r="G270" s="183">
        <f t="shared" si="107"/>
        <v>0</v>
      </c>
      <c r="H270" s="184">
        <f t="shared" si="107"/>
        <v>0</v>
      </c>
      <c r="I270" s="72">
        <f t="shared" si="107"/>
        <v>0</v>
      </c>
      <c r="J270" s="183">
        <f t="shared" si="107"/>
        <v>4200</v>
      </c>
      <c r="K270" s="184">
        <f t="shared" si="107"/>
        <v>0</v>
      </c>
      <c r="L270" s="72">
        <f t="shared" si="107"/>
        <v>4200</v>
      </c>
      <c r="M270" s="183">
        <f t="shared" si="107"/>
        <v>0</v>
      </c>
      <c r="N270" s="184">
        <f t="shared" si="107"/>
        <v>0</v>
      </c>
      <c r="O270" s="72">
        <f t="shared" si="107"/>
        <v>0</v>
      </c>
      <c r="P270" s="76"/>
    </row>
    <row r="271" spans="1:16" ht="24" hidden="1" customHeight="1" x14ac:dyDescent="0.25">
      <c r="A271" s="941">
        <v>7210</v>
      </c>
      <c r="B271" s="81" t="s">
        <v>288</v>
      </c>
      <c r="C271" s="82">
        <f t="shared" si="80"/>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80"/>
        <v>0</v>
      </c>
      <c r="D272" s="189">
        <f t="shared" ref="D272:O272" si="108">SUM(D273:D274)</f>
        <v>0</v>
      </c>
      <c r="E272" s="190">
        <f t="shared" si="108"/>
        <v>0</v>
      </c>
      <c r="F272" s="55">
        <f t="shared" si="108"/>
        <v>0</v>
      </c>
      <c r="G272" s="189">
        <f t="shared" si="108"/>
        <v>0</v>
      </c>
      <c r="H272" s="190">
        <f t="shared" si="108"/>
        <v>0</v>
      </c>
      <c r="I272" s="55">
        <f t="shared" si="108"/>
        <v>0</v>
      </c>
      <c r="J272" s="189">
        <f t="shared" si="108"/>
        <v>0</v>
      </c>
      <c r="K272" s="190">
        <f t="shared" si="108"/>
        <v>0</v>
      </c>
      <c r="L272" s="55">
        <f t="shared" si="108"/>
        <v>0</v>
      </c>
      <c r="M272" s="189">
        <f t="shared" si="108"/>
        <v>0</v>
      </c>
      <c r="N272" s="190">
        <f t="shared" si="108"/>
        <v>0</v>
      </c>
      <c r="O272" s="55">
        <f t="shared" si="108"/>
        <v>0</v>
      </c>
      <c r="P272" s="57"/>
    </row>
    <row r="273" spans="1:16" s="233" customFormat="1" ht="36" hidden="1" customHeight="1" x14ac:dyDescent="0.25">
      <c r="A273" s="51">
        <v>7221</v>
      </c>
      <c r="B273" s="88" t="s">
        <v>290</v>
      </c>
      <c r="C273" s="89">
        <f t="shared" si="80"/>
        <v>0</v>
      </c>
      <c r="D273" s="194"/>
      <c r="E273" s="195"/>
      <c r="F273" s="55">
        <f>D273+E273</f>
        <v>0</v>
      </c>
      <c r="G273" s="53"/>
      <c r="H273" s="54"/>
      <c r="I273" s="55">
        <f>G273+H273</f>
        <v>0</v>
      </c>
      <c r="J273" s="53"/>
      <c r="K273" s="54"/>
      <c r="L273" s="55">
        <f>K273+J273</f>
        <v>0</v>
      </c>
      <c r="M273" s="53"/>
      <c r="N273" s="54"/>
      <c r="O273" s="55">
        <f>N273+M273</f>
        <v>0</v>
      </c>
      <c r="P273" s="57"/>
    </row>
    <row r="274" spans="1:16" s="233" customFormat="1" ht="36" hidden="1" customHeight="1" x14ac:dyDescent="0.25">
      <c r="A274" s="51">
        <v>7222</v>
      </c>
      <c r="B274" s="88" t="s">
        <v>291</v>
      </c>
      <c r="C274" s="89">
        <f t="shared" si="80"/>
        <v>0</v>
      </c>
      <c r="D274" s="194"/>
      <c r="E274" s="195"/>
      <c r="F274" s="55">
        <f>D274+E274</f>
        <v>0</v>
      </c>
      <c r="G274" s="53"/>
      <c r="H274" s="54"/>
      <c r="I274" s="55">
        <f>G274+H274</f>
        <v>0</v>
      </c>
      <c r="J274" s="53"/>
      <c r="K274" s="54"/>
      <c r="L274" s="55">
        <f>K274+J274</f>
        <v>0</v>
      </c>
      <c r="M274" s="53"/>
      <c r="N274" s="54"/>
      <c r="O274" s="55">
        <f>N274+M274</f>
        <v>0</v>
      </c>
      <c r="P274" s="57"/>
    </row>
    <row r="275" spans="1:16" ht="26.25" customHeight="1" x14ac:dyDescent="0.25">
      <c r="A275" s="188">
        <v>7230</v>
      </c>
      <c r="B275" s="88" t="s">
        <v>292</v>
      </c>
      <c r="C275" s="89">
        <f t="shared" si="80"/>
        <v>4200</v>
      </c>
      <c r="D275" s="194"/>
      <c r="E275" s="195"/>
      <c r="F275" s="55">
        <f>D275+E275</f>
        <v>0</v>
      </c>
      <c r="G275" s="53"/>
      <c r="H275" s="54"/>
      <c r="I275" s="55">
        <f>G275+H275</f>
        <v>0</v>
      </c>
      <c r="J275" s="53">
        <v>4200</v>
      </c>
      <c r="K275" s="54"/>
      <c r="L275" s="55">
        <f>K275+J275</f>
        <v>4200</v>
      </c>
      <c r="M275" s="53"/>
      <c r="N275" s="54"/>
      <c r="O275" s="55">
        <f>N275+M275</f>
        <v>0</v>
      </c>
      <c r="P275" s="57"/>
    </row>
    <row r="276" spans="1:16" ht="24" hidden="1" x14ac:dyDescent="0.25">
      <c r="A276" s="188">
        <v>7240</v>
      </c>
      <c r="B276" s="88" t="s">
        <v>293</v>
      </c>
      <c r="C276" s="89">
        <f t="shared" ref="C276:C301" si="109">F276+I276+L276+O276</f>
        <v>0</v>
      </c>
      <c r="D276" s="189">
        <f t="shared" ref="D276:O276" si="110">SUM(D277:D279)</f>
        <v>0</v>
      </c>
      <c r="E276" s="190">
        <f t="shared" si="110"/>
        <v>0</v>
      </c>
      <c r="F276" s="55">
        <f t="shared" si="110"/>
        <v>0</v>
      </c>
      <c r="G276" s="189">
        <f t="shared" si="110"/>
        <v>0</v>
      </c>
      <c r="H276" s="190">
        <f t="shared" si="110"/>
        <v>0</v>
      </c>
      <c r="I276" s="55">
        <f t="shared" si="110"/>
        <v>0</v>
      </c>
      <c r="J276" s="189">
        <f>SUM(J277:J279)</f>
        <v>0</v>
      </c>
      <c r="K276" s="190">
        <f>SUM(K277:K279)</f>
        <v>0</v>
      </c>
      <c r="L276" s="55">
        <f>SUM(L277:L279)</f>
        <v>0</v>
      </c>
      <c r="M276" s="189">
        <f t="shared" si="110"/>
        <v>0</v>
      </c>
      <c r="N276" s="190">
        <f t="shared" si="110"/>
        <v>0</v>
      </c>
      <c r="O276" s="55">
        <f t="shared" si="110"/>
        <v>0</v>
      </c>
      <c r="P276" s="57"/>
    </row>
    <row r="277" spans="1:16" ht="48" hidden="1" customHeight="1" x14ac:dyDescent="0.25">
      <c r="A277" s="51">
        <v>7245</v>
      </c>
      <c r="B277" s="88" t="s">
        <v>294</v>
      </c>
      <c r="C277" s="89">
        <f t="shared" si="109"/>
        <v>0</v>
      </c>
      <c r="D277" s="194"/>
      <c r="E277" s="195"/>
      <c r="F277" s="55">
        <f>D277+E277</f>
        <v>0</v>
      </c>
      <c r="G277" s="53"/>
      <c r="H277" s="54"/>
      <c r="I277" s="55">
        <f>G277+H277</f>
        <v>0</v>
      </c>
      <c r="J277" s="53"/>
      <c r="K277" s="54"/>
      <c r="L277" s="55">
        <f>K277+J277</f>
        <v>0</v>
      </c>
      <c r="M277" s="53"/>
      <c r="N277" s="54"/>
      <c r="O277" s="55">
        <f>N277+M277</f>
        <v>0</v>
      </c>
      <c r="P277" s="57"/>
    </row>
    <row r="278" spans="1:16" ht="84.75" hidden="1" customHeight="1" x14ac:dyDescent="0.25">
      <c r="A278" s="51">
        <v>7246</v>
      </c>
      <c r="B278" s="88" t="s">
        <v>295</v>
      </c>
      <c r="C278" s="89">
        <f t="shared" si="109"/>
        <v>0</v>
      </c>
      <c r="D278" s="194"/>
      <c r="E278" s="195"/>
      <c r="F278" s="55">
        <f>D278+E278</f>
        <v>0</v>
      </c>
      <c r="G278" s="53"/>
      <c r="H278" s="54"/>
      <c r="I278" s="55">
        <f>G278+H278</f>
        <v>0</v>
      </c>
      <c r="J278" s="53"/>
      <c r="K278" s="54"/>
      <c r="L278" s="55">
        <f>K278+J278</f>
        <v>0</v>
      </c>
      <c r="M278" s="53"/>
      <c r="N278" s="54"/>
      <c r="O278" s="55">
        <f>N278+M278</f>
        <v>0</v>
      </c>
      <c r="P278" s="57"/>
    </row>
    <row r="279" spans="1:16" ht="36" hidden="1" customHeight="1" x14ac:dyDescent="0.25">
      <c r="A279" s="51">
        <v>7247</v>
      </c>
      <c r="B279" s="88" t="s">
        <v>296</v>
      </c>
      <c r="C279" s="89">
        <f t="shared" si="109"/>
        <v>0</v>
      </c>
      <c r="D279" s="194"/>
      <c r="E279" s="195"/>
      <c r="F279" s="55">
        <f>D279+E279</f>
        <v>0</v>
      </c>
      <c r="G279" s="53"/>
      <c r="H279" s="54"/>
      <c r="I279" s="55">
        <f>G279+H279</f>
        <v>0</v>
      </c>
      <c r="J279" s="53"/>
      <c r="K279" s="54"/>
      <c r="L279" s="55">
        <f>K279+J279</f>
        <v>0</v>
      </c>
      <c r="M279" s="53"/>
      <c r="N279" s="54"/>
      <c r="O279" s="55">
        <f>N279+M279</f>
        <v>0</v>
      </c>
      <c r="P279" s="57"/>
    </row>
    <row r="280" spans="1:16" ht="24" hidden="1" customHeight="1" x14ac:dyDescent="0.25">
      <c r="A280" s="941">
        <v>7260</v>
      </c>
      <c r="B280" s="81" t="s">
        <v>297</v>
      </c>
      <c r="C280" s="82">
        <f t="shared" si="109"/>
        <v>0</v>
      </c>
      <c r="D280" s="196"/>
      <c r="E280" s="197"/>
      <c r="F280" s="133">
        <f>D280+E280</f>
        <v>0</v>
      </c>
      <c r="G280" s="46"/>
      <c r="H280" s="47"/>
      <c r="I280" s="133">
        <f>G280+H280</f>
        <v>0</v>
      </c>
      <c r="J280" s="46"/>
      <c r="K280" s="47"/>
      <c r="L280" s="133">
        <f>K280+J280</f>
        <v>0</v>
      </c>
      <c r="M280" s="46"/>
      <c r="N280" s="47"/>
      <c r="O280" s="133">
        <f>N280+M280</f>
        <v>0</v>
      </c>
      <c r="P280" s="49"/>
    </row>
    <row r="281" spans="1:16" hidden="1" x14ac:dyDescent="0.25">
      <c r="A281" s="135">
        <v>7700</v>
      </c>
      <c r="B281" s="108" t="s">
        <v>298</v>
      </c>
      <c r="C281" s="109">
        <f t="shared" si="109"/>
        <v>0</v>
      </c>
      <c r="D281" s="234">
        <f t="shared" ref="D281:O281" si="111">D282</f>
        <v>0</v>
      </c>
      <c r="E281" s="235">
        <f t="shared" si="111"/>
        <v>0</v>
      </c>
      <c r="F281" s="130">
        <f t="shared" si="111"/>
        <v>0</v>
      </c>
      <c r="G281" s="234">
        <f t="shared" si="111"/>
        <v>0</v>
      </c>
      <c r="H281" s="235">
        <f t="shared" si="111"/>
        <v>0</v>
      </c>
      <c r="I281" s="130">
        <f t="shared" si="111"/>
        <v>0</v>
      </c>
      <c r="J281" s="234">
        <f t="shared" si="111"/>
        <v>0</v>
      </c>
      <c r="K281" s="235">
        <f t="shared" si="111"/>
        <v>0</v>
      </c>
      <c r="L281" s="130">
        <f t="shared" si="111"/>
        <v>0</v>
      </c>
      <c r="M281" s="234">
        <f t="shared" si="111"/>
        <v>0</v>
      </c>
      <c r="N281" s="235">
        <f t="shared" si="111"/>
        <v>0</v>
      </c>
      <c r="O281" s="130">
        <f t="shared" si="111"/>
        <v>0</v>
      </c>
      <c r="P281" s="118"/>
    </row>
    <row r="282" spans="1:16" ht="12" hidden="1" customHeight="1" x14ac:dyDescent="0.25">
      <c r="A282" s="185">
        <v>7720</v>
      </c>
      <c r="B282" s="81" t="s">
        <v>299</v>
      </c>
      <c r="C282" s="97">
        <f t="shared" si="109"/>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109"/>
        <v>0</v>
      </c>
      <c r="D283" s="242">
        <f t="shared" ref="D283:O284" si="112">D284</f>
        <v>0</v>
      </c>
      <c r="E283" s="243">
        <f t="shared" si="112"/>
        <v>0</v>
      </c>
      <c r="F283" s="244">
        <f t="shared" si="112"/>
        <v>0</v>
      </c>
      <c r="G283" s="242">
        <f>G284</f>
        <v>0</v>
      </c>
      <c r="H283" s="243">
        <f>H284</f>
        <v>0</v>
      </c>
      <c r="I283" s="244">
        <f>I284</f>
        <v>0</v>
      </c>
      <c r="J283" s="242">
        <f t="shared" si="112"/>
        <v>0</v>
      </c>
      <c r="K283" s="243">
        <f t="shared" si="112"/>
        <v>0</v>
      </c>
      <c r="L283" s="244">
        <f t="shared" si="112"/>
        <v>0</v>
      </c>
      <c r="M283" s="242">
        <f t="shared" si="112"/>
        <v>0</v>
      </c>
      <c r="N283" s="243">
        <f t="shared" si="112"/>
        <v>0</v>
      </c>
      <c r="O283" s="244">
        <f t="shared" si="112"/>
        <v>0</v>
      </c>
      <c r="P283" s="245"/>
    </row>
    <row r="284" spans="1:16" ht="24" hidden="1" x14ac:dyDescent="0.25">
      <c r="A284" s="246">
        <v>9200</v>
      </c>
      <c r="B284" s="88" t="s">
        <v>301</v>
      </c>
      <c r="C284" s="142">
        <f t="shared" si="109"/>
        <v>0</v>
      </c>
      <c r="D284" s="186">
        <f t="shared" si="112"/>
        <v>0</v>
      </c>
      <c r="E284" s="187">
        <f t="shared" si="112"/>
        <v>0</v>
      </c>
      <c r="F284" s="140">
        <f t="shared" si="112"/>
        <v>0</v>
      </c>
      <c r="G284" s="186">
        <f t="shared" si="112"/>
        <v>0</v>
      </c>
      <c r="H284" s="187">
        <f t="shared" si="112"/>
        <v>0</v>
      </c>
      <c r="I284" s="140">
        <f t="shared" si="112"/>
        <v>0</v>
      </c>
      <c r="J284" s="186">
        <f t="shared" si="112"/>
        <v>0</v>
      </c>
      <c r="K284" s="187">
        <f t="shared" si="112"/>
        <v>0</v>
      </c>
      <c r="L284" s="140">
        <f t="shared" si="112"/>
        <v>0</v>
      </c>
      <c r="M284" s="186">
        <f t="shared" si="112"/>
        <v>0</v>
      </c>
      <c r="N284" s="187">
        <f t="shared" si="112"/>
        <v>0</v>
      </c>
      <c r="O284" s="140">
        <f t="shared" si="112"/>
        <v>0</v>
      </c>
      <c r="P284" s="128"/>
    </row>
    <row r="285" spans="1:16" ht="24" hidden="1" customHeight="1" x14ac:dyDescent="0.25">
      <c r="A285" s="247">
        <v>9230</v>
      </c>
      <c r="B285" s="88" t="s">
        <v>302</v>
      </c>
      <c r="C285" s="142">
        <f t="shared" si="109"/>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109"/>
        <v>0</v>
      </c>
      <c r="D286" s="189">
        <f t="shared" ref="D286:O286" si="113">SUM(D287:D288)</f>
        <v>0</v>
      </c>
      <c r="E286" s="190">
        <f t="shared" si="113"/>
        <v>0</v>
      </c>
      <c r="F286" s="55">
        <f t="shared" si="113"/>
        <v>0</v>
      </c>
      <c r="G286" s="189">
        <f t="shared" si="113"/>
        <v>0</v>
      </c>
      <c r="H286" s="190">
        <f t="shared" si="113"/>
        <v>0</v>
      </c>
      <c r="I286" s="55">
        <f t="shared" si="113"/>
        <v>0</v>
      </c>
      <c r="J286" s="189">
        <f t="shared" si="113"/>
        <v>0</v>
      </c>
      <c r="K286" s="190">
        <f t="shared" si="113"/>
        <v>0</v>
      </c>
      <c r="L286" s="55">
        <f t="shared" si="113"/>
        <v>0</v>
      </c>
      <c r="M286" s="189">
        <f t="shared" si="113"/>
        <v>0</v>
      </c>
      <c r="N286" s="190">
        <f t="shared" si="113"/>
        <v>0</v>
      </c>
      <c r="O286" s="55">
        <f t="shared" si="113"/>
        <v>0</v>
      </c>
      <c r="P286" s="57"/>
    </row>
    <row r="287" spans="1:16" ht="12" hidden="1" customHeight="1" x14ac:dyDescent="0.25">
      <c r="A287" s="199" t="s">
        <v>304</v>
      </c>
      <c r="B287" s="51" t="s">
        <v>305</v>
      </c>
      <c r="C287" s="89">
        <f t="shared" si="109"/>
        <v>0</v>
      </c>
      <c r="D287" s="194"/>
      <c r="E287" s="195"/>
      <c r="F287" s="55">
        <f>D287+E287</f>
        <v>0</v>
      </c>
      <c r="G287" s="53"/>
      <c r="H287" s="54"/>
      <c r="I287" s="55">
        <f>G287+H287</f>
        <v>0</v>
      </c>
      <c r="J287" s="53"/>
      <c r="K287" s="54"/>
      <c r="L287" s="55">
        <f>K287+J287</f>
        <v>0</v>
      </c>
      <c r="M287" s="53"/>
      <c r="N287" s="54"/>
      <c r="O287" s="55">
        <f>N287+M287</f>
        <v>0</v>
      </c>
      <c r="P287" s="57"/>
    </row>
    <row r="288" spans="1:16" ht="24" hidden="1" customHeight="1" x14ac:dyDescent="0.25">
      <c r="A288" s="199" t="s">
        <v>306</v>
      </c>
      <c r="B288" s="248" t="s">
        <v>307</v>
      </c>
      <c r="C288" s="82">
        <f t="shared" si="109"/>
        <v>0</v>
      </c>
      <c r="D288" s="196"/>
      <c r="E288" s="197"/>
      <c r="F288" s="133">
        <f>D288+E288</f>
        <v>0</v>
      </c>
      <c r="G288" s="46"/>
      <c r="H288" s="47"/>
      <c r="I288" s="133">
        <f>G288+H288</f>
        <v>0</v>
      </c>
      <c r="J288" s="46"/>
      <c r="K288" s="47"/>
      <c r="L288" s="133">
        <f>K288+J288</f>
        <v>0</v>
      </c>
      <c r="M288" s="46"/>
      <c r="N288" s="47"/>
      <c r="O288" s="133">
        <f>N288+M288</f>
        <v>0</v>
      </c>
      <c r="P288" s="49"/>
    </row>
    <row r="289" spans="1:16" ht="12.75" thickBot="1" x14ac:dyDescent="0.3">
      <c r="A289" s="249"/>
      <c r="B289" s="249" t="s">
        <v>308</v>
      </c>
      <c r="C289" s="250">
        <f t="shared" si="109"/>
        <v>2503123</v>
      </c>
      <c r="D289" s="251">
        <f t="shared" ref="D289:O289" si="114">SUM(D286,D269,D230,D195,D187,D173,D75,D53,D283)</f>
        <v>2454815</v>
      </c>
      <c r="E289" s="252">
        <f t="shared" si="114"/>
        <v>17257</v>
      </c>
      <c r="F289" s="253">
        <f t="shared" si="114"/>
        <v>2472072</v>
      </c>
      <c r="G289" s="251">
        <f t="shared" si="114"/>
        <v>0</v>
      </c>
      <c r="H289" s="252">
        <f t="shared" si="114"/>
        <v>0</v>
      </c>
      <c r="I289" s="253">
        <f t="shared" si="114"/>
        <v>0</v>
      </c>
      <c r="J289" s="251">
        <f t="shared" si="114"/>
        <v>30991</v>
      </c>
      <c r="K289" s="252">
        <f t="shared" si="114"/>
        <v>60</v>
      </c>
      <c r="L289" s="253">
        <f t="shared" si="114"/>
        <v>31051</v>
      </c>
      <c r="M289" s="251">
        <f t="shared" si="114"/>
        <v>0</v>
      </c>
      <c r="N289" s="252">
        <f t="shared" si="114"/>
        <v>0</v>
      </c>
      <c r="O289" s="253">
        <f t="shared" si="114"/>
        <v>0</v>
      </c>
      <c r="P289" s="254"/>
    </row>
    <row r="290" spans="1:16" s="28" customFormat="1" ht="13.5" thickTop="1" thickBot="1" x14ac:dyDescent="0.3">
      <c r="A290" s="1945" t="s">
        <v>309</v>
      </c>
      <c r="B290" s="1946"/>
      <c r="C290" s="255">
        <f t="shared" si="109"/>
        <v>-4445</v>
      </c>
      <c r="D290" s="256">
        <f t="shared" ref="D290:I290" si="115">SUM(D24,D25,D41)-D51</f>
        <v>0</v>
      </c>
      <c r="E290" s="257">
        <f t="shared" si="115"/>
        <v>0</v>
      </c>
      <c r="F290" s="258">
        <f t="shared" si="115"/>
        <v>0</v>
      </c>
      <c r="G290" s="256">
        <f t="shared" si="115"/>
        <v>0</v>
      </c>
      <c r="H290" s="257">
        <f t="shared" si="115"/>
        <v>0</v>
      </c>
      <c r="I290" s="258">
        <f t="shared" si="115"/>
        <v>0</v>
      </c>
      <c r="J290" s="256">
        <f>(J26+J43)-J51</f>
        <v>-4445</v>
      </c>
      <c r="K290" s="257">
        <f>(K26+K43)-K51</f>
        <v>0</v>
      </c>
      <c r="L290" s="258">
        <f>(L26+L43)-L51</f>
        <v>-4445</v>
      </c>
      <c r="M290" s="256">
        <f>M45-M51</f>
        <v>0</v>
      </c>
      <c r="N290" s="257">
        <f>N45-N51</f>
        <v>0</v>
      </c>
      <c r="O290" s="258">
        <f>O45-O51</f>
        <v>0</v>
      </c>
      <c r="P290" s="259"/>
    </row>
    <row r="291" spans="1:16" s="28" customFormat="1" ht="12.75" thickTop="1" x14ac:dyDescent="0.25">
      <c r="A291" s="1947" t="s">
        <v>310</v>
      </c>
      <c r="B291" s="1948"/>
      <c r="C291" s="260">
        <f t="shared" si="109"/>
        <v>4445</v>
      </c>
      <c r="D291" s="261">
        <f t="shared" ref="D291:O291" si="116">SUM(D292,D293)-D300+D301</f>
        <v>0</v>
      </c>
      <c r="E291" s="262">
        <f t="shared" si="116"/>
        <v>0</v>
      </c>
      <c r="F291" s="263">
        <f t="shared" si="116"/>
        <v>0</v>
      </c>
      <c r="G291" s="261">
        <f t="shared" si="116"/>
        <v>0</v>
      </c>
      <c r="H291" s="262">
        <f t="shared" si="116"/>
        <v>0</v>
      </c>
      <c r="I291" s="263">
        <f t="shared" si="116"/>
        <v>0</v>
      </c>
      <c r="J291" s="261">
        <f t="shared" si="116"/>
        <v>4445</v>
      </c>
      <c r="K291" s="262">
        <f t="shared" si="116"/>
        <v>0</v>
      </c>
      <c r="L291" s="263">
        <f t="shared" si="116"/>
        <v>4445</v>
      </c>
      <c r="M291" s="261">
        <f t="shared" si="116"/>
        <v>0</v>
      </c>
      <c r="N291" s="262">
        <f t="shared" si="116"/>
        <v>0</v>
      </c>
      <c r="O291" s="263">
        <f t="shared" si="116"/>
        <v>0</v>
      </c>
      <c r="P291" s="264"/>
    </row>
    <row r="292" spans="1:16" s="28" customFormat="1" ht="12.75" thickBot="1" x14ac:dyDescent="0.3">
      <c r="A292" s="156" t="s">
        <v>311</v>
      </c>
      <c r="B292" s="156" t="s">
        <v>312</v>
      </c>
      <c r="C292" s="157">
        <f t="shared" si="109"/>
        <v>4445</v>
      </c>
      <c r="D292" s="158">
        <f t="shared" ref="D292:O292" si="117">D21-D286</f>
        <v>0</v>
      </c>
      <c r="E292" s="159">
        <f t="shared" si="117"/>
        <v>0</v>
      </c>
      <c r="F292" s="160">
        <f t="shared" si="117"/>
        <v>0</v>
      </c>
      <c r="G292" s="158">
        <f t="shared" si="117"/>
        <v>0</v>
      </c>
      <c r="H292" s="159">
        <f t="shared" si="117"/>
        <v>0</v>
      </c>
      <c r="I292" s="160">
        <f t="shared" si="117"/>
        <v>0</v>
      </c>
      <c r="J292" s="158">
        <f t="shared" si="117"/>
        <v>4445</v>
      </c>
      <c r="K292" s="159">
        <f t="shared" si="117"/>
        <v>0</v>
      </c>
      <c r="L292" s="160">
        <f t="shared" si="117"/>
        <v>4445</v>
      </c>
      <c r="M292" s="158">
        <f t="shared" si="117"/>
        <v>0</v>
      </c>
      <c r="N292" s="159">
        <f t="shared" si="117"/>
        <v>0</v>
      </c>
      <c r="O292" s="160">
        <f t="shared" si="117"/>
        <v>0</v>
      </c>
      <c r="P292" s="35"/>
    </row>
    <row r="293" spans="1:16" s="28" customFormat="1" ht="12.75" hidden="1" thickTop="1" x14ac:dyDescent="0.25">
      <c r="A293" s="265" t="s">
        <v>313</v>
      </c>
      <c r="B293" s="265" t="s">
        <v>314</v>
      </c>
      <c r="C293" s="260">
        <f t="shared" si="109"/>
        <v>0</v>
      </c>
      <c r="D293" s="261">
        <f t="shared" ref="D293:O293" si="118">SUM(D294,D296,D298)-SUM(D295,D297,D299)</f>
        <v>0</v>
      </c>
      <c r="E293" s="262">
        <f t="shared" si="118"/>
        <v>0</v>
      </c>
      <c r="F293" s="263">
        <f t="shared" si="118"/>
        <v>0</v>
      </c>
      <c r="G293" s="261">
        <f t="shared" si="118"/>
        <v>0</v>
      </c>
      <c r="H293" s="262">
        <f t="shared" si="118"/>
        <v>0</v>
      </c>
      <c r="I293" s="263">
        <f t="shared" si="118"/>
        <v>0</v>
      </c>
      <c r="J293" s="261">
        <f t="shared" si="118"/>
        <v>0</v>
      </c>
      <c r="K293" s="262">
        <f t="shared" si="118"/>
        <v>0</v>
      </c>
      <c r="L293" s="263">
        <f t="shared" si="118"/>
        <v>0</v>
      </c>
      <c r="M293" s="261">
        <f t="shared" si="118"/>
        <v>0</v>
      </c>
      <c r="N293" s="262">
        <f t="shared" si="118"/>
        <v>0</v>
      </c>
      <c r="O293" s="263">
        <f t="shared" si="118"/>
        <v>0</v>
      </c>
      <c r="P293" s="264"/>
    </row>
    <row r="294" spans="1:16" ht="12" hidden="1" customHeight="1" x14ac:dyDescent="0.25">
      <c r="A294" s="266" t="s">
        <v>315</v>
      </c>
      <c r="B294" s="141" t="s">
        <v>316</v>
      </c>
      <c r="C294" s="97">
        <f t="shared" si="109"/>
        <v>0</v>
      </c>
      <c r="D294" s="236"/>
      <c r="E294" s="237"/>
      <c r="F294" s="238">
        <f t="shared" ref="F294:F301" si="119">D294+E294</f>
        <v>0</v>
      </c>
      <c r="G294" s="101"/>
      <c r="H294" s="102"/>
      <c r="I294" s="238">
        <f t="shared" ref="I294:I301" si="120">G294+H294</f>
        <v>0</v>
      </c>
      <c r="J294" s="101"/>
      <c r="K294" s="102"/>
      <c r="L294" s="238">
        <f t="shared" ref="L294:L301" si="121">K294+J294</f>
        <v>0</v>
      </c>
      <c r="M294" s="101"/>
      <c r="N294" s="102"/>
      <c r="O294" s="238">
        <f t="shared" ref="O294:O301" si="122">N294+M294</f>
        <v>0</v>
      </c>
      <c r="P294" s="106"/>
    </row>
    <row r="295" spans="1:16" ht="24" hidden="1" customHeight="1" x14ac:dyDescent="0.25">
      <c r="A295" s="199" t="s">
        <v>317</v>
      </c>
      <c r="B295" s="50" t="s">
        <v>318</v>
      </c>
      <c r="C295" s="89">
        <f t="shared" si="109"/>
        <v>0</v>
      </c>
      <c r="D295" s="194"/>
      <c r="E295" s="195"/>
      <c r="F295" s="55">
        <f t="shared" si="119"/>
        <v>0</v>
      </c>
      <c r="G295" s="53"/>
      <c r="H295" s="54"/>
      <c r="I295" s="55">
        <f t="shared" si="120"/>
        <v>0</v>
      </c>
      <c r="J295" s="53"/>
      <c r="K295" s="54"/>
      <c r="L295" s="55">
        <f t="shared" si="121"/>
        <v>0</v>
      </c>
      <c r="M295" s="53"/>
      <c r="N295" s="54"/>
      <c r="O295" s="55">
        <f t="shared" si="122"/>
        <v>0</v>
      </c>
      <c r="P295" s="57"/>
    </row>
    <row r="296" spans="1:16" ht="12" hidden="1" customHeight="1" x14ac:dyDescent="0.25">
      <c r="A296" s="199" t="s">
        <v>319</v>
      </c>
      <c r="B296" s="50" t="s">
        <v>320</v>
      </c>
      <c r="C296" s="89">
        <f t="shared" si="109"/>
        <v>0</v>
      </c>
      <c r="D296" s="194"/>
      <c r="E296" s="195"/>
      <c r="F296" s="55">
        <f t="shared" si="119"/>
        <v>0</v>
      </c>
      <c r="G296" s="53"/>
      <c r="H296" s="54"/>
      <c r="I296" s="55">
        <f t="shared" si="120"/>
        <v>0</v>
      </c>
      <c r="J296" s="53"/>
      <c r="K296" s="54"/>
      <c r="L296" s="55">
        <f t="shared" si="121"/>
        <v>0</v>
      </c>
      <c r="M296" s="53"/>
      <c r="N296" s="54"/>
      <c r="O296" s="55">
        <f t="shared" si="122"/>
        <v>0</v>
      </c>
      <c r="P296" s="57"/>
    </row>
    <row r="297" spans="1:16" ht="24" hidden="1" customHeight="1" x14ac:dyDescent="0.25">
      <c r="A297" s="199" t="s">
        <v>321</v>
      </c>
      <c r="B297" s="50" t="s">
        <v>322</v>
      </c>
      <c r="C297" s="89">
        <f t="shared" si="109"/>
        <v>0</v>
      </c>
      <c r="D297" s="194"/>
      <c r="E297" s="195"/>
      <c r="F297" s="55">
        <f t="shared" si="119"/>
        <v>0</v>
      </c>
      <c r="G297" s="53"/>
      <c r="H297" s="54"/>
      <c r="I297" s="55">
        <f t="shared" si="120"/>
        <v>0</v>
      </c>
      <c r="J297" s="53"/>
      <c r="K297" s="54"/>
      <c r="L297" s="55">
        <f t="shared" si="121"/>
        <v>0</v>
      </c>
      <c r="M297" s="53"/>
      <c r="N297" s="54"/>
      <c r="O297" s="55">
        <f t="shared" si="122"/>
        <v>0</v>
      </c>
      <c r="P297" s="57"/>
    </row>
    <row r="298" spans="1:16" ht="12" hidden="1" customHeight="1" x14ac:dyDescent="0.25">
      <c r="A298" s="199" t="s">
        <v>323</v>
      </c>
      <c r="B298" s="50" t="s">
        <v>324</v>
      </c>
      <c r="C298" s="89">
        <f t="shared" si="109"/>
        <v>0</v>
      </c>
      <c r="D298" s="194"/>
      <c r="E298" s="195"/>
      <c r="F298" s="55">
        <f t="shared" si="119"/>
        <v>0</v>
      </c>
      <c r="G298" s="53"/>
      <c r="H298" s="54"/>
      <c r="I298" s="55">
        <f t="shared" si="120"/>
        <v>0</v>
      </c>
      <c r="J298" s="53"/>
      <c r="K298" s="54"/>
      <c r="L298" s="55">
        <f t="shared" si="121"/>
        <v>0</v>
      </c>
      <c r="M298" s="53"/>
      <c r="N298" s="54"/>
      <c r="O298" s="55">
        <f t="shared" si="122"/>
        <v>0</v>
      </c>
      <c r="P298" s="57"/>
    </row>
    <row r="299" spans="1:16" ht="24.75" hidden="1" customHeight="1" thickBot="1" x14ac:dyDescent="0.3">
      <c r="A299" s="267" t="s">
        <v>325</v>
      </c>
      <c r="B299" s="268" t="s">
        <v>326</v>
      </c>
      <c r="C299" s="208">
        <f t="shared" si="109"/>
        <v>0</v>
      </c>
      <c r="D299" s="210"/>
      <c r="E299" s="211"/>
      <c r="F299" s="212">
        <f t="shared" si="119"/>
        <v>0</v>
      </c>
      <c r="G299" s="213"/>
      <c r="H299" s="214"/>
      <c r="I299" s="212">
        <f t="shared" si="120"/>
        <v>0</v>
      </c>
      <c r="J299" s="213"/>
      <c r="K299" s="214"/>
      <c r="L299" s="212">
        <f t="shared" si="121"/>
        <v>0</v>
      </c>
      <c r="M299" s="213"/>
      <c r="N299" s="214"/>
      <c r="O299" s="212">
        <f t="shared" si="122"/>
        <v>0</v>
      </c>
      <c r="P299" s="215"/>
    </row>
    <row r="300" spans="1:16" s="28" customFormat="1" ht="13.5" hidden="1" customHeight="1" thickTop="1" thickBot="1" x14ac:dyDescent="0.3">
      <c r="A300" s="269" t="s">
        <v>327</v>
      </c>
      <c r="B300" s="269" t="s">
        <v>328</v>
      </c>
      <c r="C300" s="255">
        <f t="shared" si="109"/>
        <v>0</v>
      </c>
      <c r="D300" s="270"/>
      <c r="E300" s="271"/>
      <c r="F300" s="258">
        <f t="shared" si="119"/>
        <v>0</v>
      </c>
      <c r="G300" s="270"/>
      <c r="H300" s="271"/>
      <c r="I300" s="272">
        <f t="shared" si="120"/>
        <v>0</v>
      </c>
      <c r="J300" s="270"/>
      <c r="K300" s="271"/>
      <c r="L300" s="272">
        <f t="shared" si="121"/>
        <v>0</v>
      </c>
      <c r="M300" s="270"/>
      <c r="N300" s="271"/>
      <c r="O300" s="272">
        <f t="shared" si="122"/>
        <v>0</v>
      </c>
      <c r="P300" s="273"/>
    </row>
    <row r="301" spans="1:16" s="28" customFormat="1" ht="48.75" hidden="1" customHeight="1" thickTop="1" x14ac:dyDescent="0.25">
      <c r="A301" s="265" t="s">
        <v>329</v>
      </c>
      <c r="B301" s="274" t="s">
        <v>330</v>
      </c>
      <c r="C301" s="260">
        <f t="shared" si="109"/>
        <v>0</v>
      </c>
      <c r="D301" s="204"/>
      <c r="E301" s="205"/>
      <c r="F301" s="72">
        <f t="shared" si="119"/>
        <v>0</v>
      </c>
      <c r="G301" s="204"/>
      <c r="H301" s="205"/>
      <c r="I301" s="72">
        <f t="shared" si="120"/>
        <v>0</v>
      </c>
      <c r="J301" s="204"/>
      <c r="K301" s="205"/>
      <c r="L301" s="72">
        <f t="shared" si="121"/>
        <v>0</v>
      </c>
      <c r="M301" s="204"/>
      <c r="N301" s="205"/>
      <c r="O301" s="72">
        <f t="shared" si="122"/>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yDxwPYIuYUSsy3g/FYIqjXUQZJ1jpMWA75t1cboIrioxTgF6N2K5f/eLbkPKCHS2DdpIdMG+vjNNEQjRvPxchQ==" saltValue="Id9XU+NkVpVB2sA0TU4b5A==" spinCount="100000" sheet="1" objects="1" scenarios="1"/>
  <autoFilter ref="A18:P301">
    <filterColumn colId="2">
      <filters>
        <filter val="1 000"/>
        <filter val="1 035"/>
        <filter val="1 303 468"/>
        <filter val="1 545 613"/>
        <filter val="1 624"/>
        <filter val="1 676"/>
        <filter val="1 800"/>
        <filter val="1 995"/>
        <filter val="100"/>
        <filter val="105 547"/>
        <filter val="112 334"/>
        <filter val="12 186"/>
        <filter val="12 459"/>
        <filter val="12 833"/>
        <filter val="13 053"/>
        <filter val="13 458"/>
        <filter val="153 164"/>
        <filter val="158"/>
        <filter val="160"/>
        <filter val="19 105"/>
        <filter val="199"/>
        <filter val="2 088 656"/>
        <filter val="2 472 072"/>
        <filter val="2 490 664"/>
        <filter val="2 503 123"/>
        <filter val="2 721"/>
        <filter val="2 875"/>
        <filter val="20 657"/>
        <filter val="21 276"/>
        <filter val="242 145"/>
        <filter val="245"/>
        <filter val="25 018"/>
        <filter val="289 160"/>
        <filter val="29 274"/>
        <filter val="29 970"/>
        <filter val="290"/>
        <filter val="3 000"/>
        <filter val="3 459"/>
        <filter val="3 666"/>
        <filter val="30 074"/>
        <filter val="30 688"/>
        <filter val="30 978"/>
        <filter val="320"/>
        <filter val="363"/>
        <filter val="38 552"/>
        <filter val="389 879"/>
        <filter val="39 189"/>
        <filter val="4 066"/>
        <filter val="4 107"/>
        <filter val="4 200"/>
        <filter val="4 445"/>
        <filter val="-4 445"/>
        <filter val="4 484"/>
        <filter val="400"/>
        <filter val="402 008"/>
        <filter val="417"/>
        <filter val="454"/>
        <filter val="5 059"/>
        <filter val="5 066"/>
        <filter val="5 330"/>
        <filter val="53 520"/>
        <filter val="54 376"/>
        <filter val="54 526"/>
        <filter val="543 043"/>
        <filter val="545"/>
        <filter val="55 617"/>
        <filter val="56 616"/>
        <filter val="560"/>
        <filter val="581"/>
        <filter val="6 432"/>
        <filter val="6 859"/>
        <filter val="61 725"/>
        <filter val="63 672"/>
        <filter val="7 259"/>
        <filter val="70"/>
        <filter val="70 620"/>
        <filter val="8 098"/>
        <filter val="8 582"/>
        <filter val="81 870"/>
        <filter val="815"/>
        <filter val="931"/>
        <filter val="94 879"/>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7.pielikums Jūrmalas pilsētas domes
2019.gada 29.augusta saistošajiem noteikumiem Nr.31
(protokols Nr.12, 20.punkts)
 </firstHeader>
    <firstFooter>&amp;L&amp;9&amp;D; &amp;T&amp;R&amp;9&amp;P (&amp;N)</first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4" sqref="T2:U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1577</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1006</v>
      </c>
      <c r="D3" s="1977"/>
      <c r="E3" s="1977"/>
      <c r="F3" s="1977"/>
      <c r="G3" s="1977"/>
      <c r="H3" s="1977"/>
      <c r="I3" s="1977"/>
      <c r="J3" s="1977"/>
      <c r="K3" s="1977"/>
      <c r="L3" s="1977"/>
      <c r="M3" s="1977"/>
      <c r="N3" s="1977"/>
      <c r="O3" s="1977"/>
      <c r="P3" s="1978"/>
      <c r="Q3" s="276"/>
    </row>
    <row r="4" spans="1:17" ht="12.75" customHeight="1" x14ac:dyDescent="0.25">
      <c r="A4" s="5" t="s">
        <v>4</v>
      </c>
      <c r="B4" s="6"/>
      <c r="C4" s="1977" t="s">
        <v>1007</v>
      </c>
      <c r="D4" s="1977"/>
      <c r="E4" s="1977"/>
      <c r="F4" s="1977"/>
      <c r="G4" s="1977"/>
      <c r="H4" s="1977"/>
      <c r="I4" s="1977"/>
      <c r="J4" s="1977"/>
      <c r="K4" s="1977"/>
      <c r="L4" s="1977"/>
      <c r="M4" s="1977"/>
      <c r="N4" s="1977"/>
      <c r="O4" s="1977"/>
      <c r="P4" s="1978"/>
      <c r="Q4" s="276"/>
    </row>
    <row r="5" spans="1:17" ht="12.75" customHeight="1" x14ac:dyDescent="0.25">
      <c r="A5" s="7" t="s">
        <v>6</v>
      </c>
      <c r="B5" s="8"/>
      <c r="C5" s="1972" t="s">
        <v>1008</v>
      </c>
      <c r="D5" s="1972"/>
      <c r="E5" s="1972"/>
      <c r="F5" s="1972"/>
      <c r="G5" s="1972"/>
      <c r="H5" s="1972"/>
      <c r="I5" s="1972"/>
      <c r="J5" s="1972"/>
      <c r="K5" s="1972"/>
      <c r="L5" s="1972"/>
      <c r="M5" s="1972"/>
      <c r="N5" s="1972"/>
      <c r="O5" s="1972"/>
      <c r="P5" s="1973"/>
      <c r="Q5" s="276"/>
    </row>
    <row r="6" spans="1:17" ht="12.75" customHeight="1" x14ac:dyDescent="0.25">
      <c r="A6" s="7" t="s">
        <v>8</v>
      </c>
      <c r="B6" s="8"/>
      <c r="C6" s="1972" t="s">
        <v>853</v>
      </c>
      <c r="D6" s="1972"/>
      <c r="E6" s="1972"/>
      <c r="F6" s="1972"/>
      <c r="G6" s="1972"/>
      <c r="H6" s="1972"/>
      <c r="I6" s="1972"/>
      <c r="J6" s="1972"/>
      <c r="K6" s="1972"/>
      <c r="L6" s="1972"/>
      <c r="M6" s="1972"/>
      <c r="N6" s="1972"/>
      <c r="O6" s="1972"/>
      <c r="P6" s="1973"/>
      <c r="Q6" s="276"/>
    </row>
    <row r="7" spans="1:17" ht="24.75" customHeight="1" x14ac:dyDescent="0.25">
      <c r="A7" s="7" t="s">
        <v>10</v>
      </c>
      <c r="B7" s="8"/>
      <c r="C7" s="1977" t="s">
        <v>869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1009</v>
      </c>
      <c r="D9" s="1972"/>
      <c r="E9" s="1972"/>
      <c r="F9" s="1972"/>
      <c r="G9" s="1972"/>
      <c r="H9" s="1972"/>
      <c r="I9" s="1972"/>
      <c r="J9" s="1972"/>
      <c r="K9" s="1972"/>
      <c r="L9" s="1972"/>
      <c r="M9" s="1972"/>
      <c r="N9" s="1972"/>
      <c r="O9" s="1972"/>
      <c r="P9" s="1973"/>
      <c r="Q9" s="276"/>
    </row>
    <row r="10" spans="1:17" ht="12.75" customHeight="1" x14ac:dyDescent="0.25">
      <c r="A10" s="7"/>
      <c r="B10" s="8" t="s">
        <v>15</v>
      </c>
      <c r="C10" s="1972" t="s">
        <v>1010</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1011</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t="s">
        <v>1012</v>
      </c>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666512</v>
      </c>
      <c r="D20" s="32">
        <f>SUM(D21,D24,D25,D41,D43)</f>
        <v>317042</v>
      </c>
      <c r="E20" s="33">
        <f t="shared" ref="E20:F20" si="1">SUM(E21,E24,E25,E41,E43)</f>
        <v>2556</v>
      </c>
      <c r="F20" s="34">
        <f t="shared" si="1"/>
        <v>319598</v>
      </c>
      <c r="G20" s="32">
        <f>SUM(G21,G24,G43)</f>
        <v>343290</v>
      </c>
      <c r="H20" s="33">
        <f t="shared" ref="H20:I20" si="2">SUM(H21,H24,H43)</f>
        <v>0</v>
      </c>
      <c r="I20" s="34">
        <f t="shared" si="2"/>
        <v>343290</v>
      </c>
      <c r="J20" s="32">
        <f>SUM(J21,J26,J43)</f>
        <v>3735</v>
      </c>
      <c r="K20" s="33">
        <f t="shared" ref="K20:L20" si="3">SUM(K21,K26,K43)</f>
        <v>-112</v>
      </c>
      <c r="L20" s="34">
        <f t="shared" si="3"/>
        <v>3623</v>
      </c>
      <c r="M20" s="32">
        <f>SUM(M21,M45)</f>
        <v>1</v>
      </c>
      <c r="N20" s="33">
        <f t="shared" ref="N20:O20" si="4">SUM(N21,N45)</f>
        <v>0</v>
      </c>
      <c r="O20" s="34">
        <f t="shared" si="4"/>
        <v>1</v>
      </c>
      <c r="P20" s="35"/>
    </row>
    <row r="21" spans="1:16" ht="12.75" thickTop="1" x14ac:dyDescent="0.25">
      <c r="A21" s="36"/>
      <c r="B21" s="37" t="s">
        <v>40</v>
      </c>
      <c r="C21" s="38">
        <f t="shared" si="0"/>
        <v>101</v>
      </c>
      <c r="D21" s="39">
        <f>SUM(D22:D23)</f>
        <v>0</v>
      </c>
      <c r="E21" s="40">
        <f t="shared" ref="E21:F21" si="5">SUM(E22:E23)</f>
        <v>0</v>
      </c>
      <c r="F21" s="41">
        <f t="shared" si="5"/>
        <v>0</v>
      </c>
      <c r="G21" s="39">
        <f>SUM(G22:G23)</f>
        <v>0</v>
      </c>
      <c r="H21" s="40">
        <f t="shared" ref="H21:I21" si="6">SUM(H22:H23)</f>
        <v>0</v>
      </c>
      <c r="I21" s="41">
        <f t="shared" si="6"/>
        <v>0</v>
      </c>
      <c r="J21" s="39">
        <f>SUM(J22:J23)</f>
        <v>100</v>
      </c>
      <c r="K21" s="40">
        <f t="shared" ref="K21:L21" si="7">SUM(K22:K23)</f>
        <v>0</v>
      </c>
      <c r="L21" s="41">
        <f t="shared" si="7"/>
        <v>100</v>
      </c>
      <c r="M21" s="39">
        <f>SUM(M22:M23)</f>
        <v>1</v>
      </c>
      <c r="N21" s="40">
        <f t="shared" ref="N21:O21" si="8">SUM(N22:N23)</f>
        <v>0</v>
      </c>
      <c r="O21" s="41">
        <f t="shared" si="8"/>
        <v>1</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101</v>
      </c>
      <c r="D23" s="53"/>
      <c r="E23" s="54"/>
      <c r="F23" s="55">
        <f t="shared" ref="F23:F25" si="9">D23+E23</f>
        <v>0</v>
      </c>
      <c r="G23" s="53"/>
      <c r="H23" s="54"/>
      <c r="I23" s="55">
        <f t="shared" ref="I23:I24" si="10">G23+H23</f>
        <v>0</v>
      </c>
      <c r="J23" s="53">
        <v>100</v>
      </c>
      <c r="K23" s="822"/>
      <c r="L23" s="56">
        <f>K23+J23</f>
        <v>100</v>
      </c>
      <c r="M23" s="53">
        <v>1</v>
      </c>
      <c r="N23" s="823"/>
      <c r="O23" s="55">
        <f>N23+M23</f>
        <v>1</v>
      </c>
      <c r="P23" s="57"/>
    </row>
    <row r="24" spans="1:16" s="28" customFormat="1" ht="24.75" customHeight="1" thickBot="1" x14ac:dyDescent="0.3">
      <c r="A24" s="58">
        <v>19300</v>
      </c>
      <c r="B24" s="58" t="s">
        <v>43</v>
      </c>
      <c r="C24" s="59">
        <f>F24+I24</f>
        <v>662888</v>
      </c>
      <c r="D24" s="60">
        <v>317042</v>
      </c>
      <c r="E24" s="824">
        <v>2556</v>
      </c>
      <c r="F24" s="62">
        <f t="shared" si="9"/>
        <v>319598</v>
      </c>
      <c r="G24" s="60">
        <v>343290</v>
      </c>
      <c r="H24" s="61"/>
      <c r="I24" s="62">
        <f t="shared" si="10"/>
        <v>343290</v>
      </c>
      <c r="J24" s="63" t="s">
        <v>44</v>
      </c>
      <c r="K24" s="64" t="s">
        <v>44</v>
      </c>
      <c r="L24" s="65" t="s">
        <v>44</v>
      </c>
      <c r="M24" s="63" t="s">
        <v>44</v>
      </c>
      <c r="N24" s="64" t="s">
        <v>44</v>
      </c>
      <c r="O24" s="65" t="s">
        <v>44</v>
      </c>
      <c r="P24" s="66" t="s">
        <v>1013</v>
      </c>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5.25" customHeight="1" thickTop="1" x14ac:dyDescent="0.25">
      <c r="A26" s="68">
        <v>21300</v>
      </c>
      <c r="B26" s="68" t="s">
        <v>46</v>
      </c>
      <c r="C26" s="69">
        <f>L26</f>
        <v>3323</v>
      </c>
      <c r="D26" s="73" t="s">
        <v>44</v>
      </c>
      <c r="E26" s="74" t="s">
        <v>44</v>
      </c>
      <c r="F26" s="75" t="s">
        <v>44</v>
      </c>
      <c r="G26" s="73" t="s">
        <v>44</v>
      </c>
      <c r="H26" s="74" t="s">
        <v>44</v>
      </c>
      <c r="I26" s="75" t="s">
        <v>44</v>
      </c>
      <c r="J26" s="77">
        <f>SUM(J27,J31,J33,J36)</f>
        <v>3485</v>
      </c>
      <c r="K26" s="78">
        <f t="shared" ref="K26:L26" si="11">SUM(K27,K31,K33,K36)</f>
        <v>-162</v>
      </c>
      <c r="L26" s="79">
        <f t="shared" si="11"/>
        <v>3323</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4.75" customHeight="1" x14ac:dyDescent="0.25">
      <c r="A36" s="80">
        <v>21390</v>
      </c>
      <c r="B36" s="68" t="s">
        <v>56</v>
      </c>
      <c r="C36" s="69">
        <f t="shared" si="16"/>
        <v>3323</v>
      </c>
      <c r="D36" s="73" t="s">
        <v>44</v>
      </c>
      <c r="E36" s="74" t="s">
        <v>44</v>
      </c>
      <c r="F36" s="75" t="s">
        <v>44</v>
      </c>
      <c r="G36" s="73" t="s">
        <v>44</v>
      </c>
      <c r="H36" s="74" t="s">
        <v>44</v>
      </c>
      <c r="I36" s="75" t="s">
        <v>44</v>
      </c>
      <c r="J36" s="77">
        <f>SUM(J37:J40)</f>
        <v>3485</v>
      </c>
      <c r="K36" s="78">
        <f t="shared" ref="K36:L36" si="19">SUM(K37:K40)</f>
        <v>-162</v>
      </c>
      <c r="L36" s="79">
        <f t="shared" si="19"/>
        <v>3323</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3323</v>
      </c>
      <c r="D40" s="110" t="s">
        <v>44</v>
      </c>
      <c r="E40" s="111" t="s">
        <v>44</v>
      </c>
      <c r="F40" s="112" t="s">
        <v>44</v>
      </c>
      <c r="G40" s="110" t="s">
        <v>44</v>
      </c>
      <c r="H40" s="111" t="s">
        <v>44</v>
      </c>
      <c r="I40" s="112" t="s">
        <v>44</v>
      </c>
      <c r="J40" s="113">
        <v>3485</v>
      </c>
      <c r="K40" s="825">
        <v>-162</v>
      </c>
      <c r="L40" s="115">
        <f t="shared" si="20"/>
        <v>3323</v>
      </c>
      <c r="M40" s="116" t="s">
        <v>44</v>
      </c>
      <c r="N40" s="117" t="s">
        <v>44</v>
      </c>
      <c r="O40" s="115" t="s">
        <v>44</v>
      </c>
      <c r="P40" s="118" t="s">
        <v>1014</v>
      </c>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x14ac:dyDescent="0.25">
      <c r="A43" s="80">
        <v>21490</v>
      </c>
      <c r="B43" s="68" t="s">
        <v>63</v>
      </c>
      <c r="C43" s="131">
        <f>F43+I43+L43</f>
        <v>200</v>
      </c>
      <c r="D43" s="77">
        <f>D44</f>
        <v>0</v>
      </c>
      <c r="E43" s="78">
        <f t="shared" ref="E43:L43" si="22">E44</f>
        <v>0</v>
      </c>
      <c r="F43" s="79">
        <f t="shared" si="22"/>
        <v>0</v>
      </c>
      <c r="G43" s="77">
        <f t="shared" si="22"/>
        <v>0</v>
      </c>
      <c r="H43" s="78">
        <f t="shared" si="22"/>
        <v>0</v>
      </c>
      <c r="I43" s="79">
        <f t="shared" si="22"/>
        <v>0</v>
      </c>
      <c r="J43" s="77">
        <f t="shared" si="22"/>
        <v>150</v>
      </c>
      <c r="K43" s="78">
        <f t="shared" si="22"/>
        <v>50</v>
      </c>
      <c r="L43" s="79">
        <f t="shared" si="22"/>
        <v>200</v>
      </c>
      <c r="M43" s="77" t="s">
        <v>44</v>
      </c>
      <c r="N43" s="78" t="s">
        <v>44</v>
      </c>
      <c r="O43" s="79" t="s">
        <v>44</v>
      </c>
      <c r="P43" s="76"/>
    </row>
    <row r="44" spans="1:16" s="28" customFormat="1" ht="25.5" customHeight="1" x14ac:dyDescent="0.25">
      <c r="A44" s="51">
        <v>21499</v>
      </c>
      <c r="B44" s="88" t="s">
        <v>64</v>
      </c>
      <c r="C44" s="132">
        <f>F44+I44+L44</f>
        <v>200</v>
      </c>
      <c r="D44" s="46"/>
      <c r="E44" s="47"/>
      <c r="F44" s="133">
        <f>D44+E44</f>
        <v>0</v>
      </c>
      <c r="G44" s="46"/>
      <c r="H44" s="47"/>
      <c r="I44" s="133">
        <f>G44+H44</f>
        <v>0</v>
      </c>
      <c r="J44" s="46">
        <v>150</v>
      </c>
      <c r="K44" s="826">
        <v>50</v>
      </c>
      <c r="L44" s="48">
        <f>K44+J44</f>
        <v>200</v>
      </c>
      <c r="M44" s="86" t="s">
        <v>44</v>
      </c>
      <c r="N44" s="87" t="s">
        <v>44</v>
      </c>
      <c r="O44" s="48" t="s">
        <v>44</v>
      </c>
      <c r="P44" s="49" t="s">
        <v>1015</v>
      </c>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666512</v>
      </c>
      <c r="D50" s="158">
        <f>SUM(D51,D286)</f>
        <v>317042</v>
      </c>
      <c r="E50" s="159">
        <f t="shared" ref="E50:F50" si="26">SUM(E51,E286)</f>
        <v>2556</v>
      </c>
      <c r="F50" s="160">
        <f t="shared" si="26"/>
        <v>319598</v>
      </c>
      <c r="G50" s="158">
        <f>SUM(G51,G286)</f>
        <v>343290</v>
      </c>
      <c r="H50" s="159">
        <f>SUM(H51,H286)</f>
        <v>0</v>
      </c>
      <c r="I50" s="160">
        <f t="shared" ref="I50" si="27">SUM(I51,I286)</f>
        <v>343290</v>
      </c>
      <c r="J50" s="32">
        <f>SUM(J51,J286)</f>
        <v>3735</v>
      </c>
      <c r="K50" s="33">
        <f t="shared" ref="K50:L50" si="28">SUM(K51,K286)</f>
        <v>-112</v>
      </c>
      <c r="L50" s="34">
        <f t="shared" si="28"/>
        <v>3623</v>
      </c>
      <c r="M50" s="32">
        <f>SUM(M51,M286)</f>
        <v>1</v>
      </c>
      <c r="N50" s="33">
        <f t="shared" ref="N50:O50" si="29">SUM(N51,N286)</f>
        <v>0</v>
      </c>
      <c r="O50" s="34">
        <f t="shared" si="29"/>
        <v>1</v>
      </c>
      <c r="P50" s="35"/>
    </row>
    <row r="51" spans="1:16" s="28" customFormat="1" ht="36.75" thickTop="1" x14ac:dyDescent="0.25">
      <c r="A51" s="161"/>
      <c r="B51" s="162" t="s">
        <v>70</v>
      </c>
      <c r="C51" s="163">
        <f t="shared" si="0"/>
        <v>666512</v>
      </c>
      <c r="D51" s="164">
        <f>SUM(D52,D194)</f>
        <v>317042</v>
      </c>
      <c r="E51" s="165">
        <f t="shared" ref="E51:F51" si="30">SUM(E52,E194)</f>
        <v>2556</v>
      </c>
      <c r="F51" s="166">
        <f t="shared" si="30"/>
        <v>319598</v>
      </c>
      <c r="G51" s="164">
        <f>SUM(G52,G194)</f>
        <v>343290</v>
      </c>
      <c r="H51" s="165">
        <f t="shared" ref="H51:I51" si="31">SUM(H52,H194)</f>
        <v>0</v>
      </c>
      <c r="I51" s="166">
        <f t="shared" si="31"/>
        <v>343290</v>
      </c>
      <c r="J51" s="167">
        <f>SUM(J52,J194)</f>
        <v>3735</v>
      </c>
      <c r="K51" s="168">
        <f t="shared" ref="K51:L51" si="32">SUM(K52,K194)</f>
        <v>-112</v>
      </c>
      <c r="L51" s="169">
        <f t="shared" si="32"/>
        <v>3623</v>
      </c>
      <c r="M51" s="167">
        <f>SUM(M52,M194)</f>
        <v>1</v>
      </c>
      <c r="N51" s="168">
        <f t="shared" ref="N51:O51" si="33">SUM(N52,N194)</f>
        <v>0</v>
      </c>
      <c r="O51" s="169">
        <f t="shared" si="33"/>
        <v>1</v>
      </c>
      <c r="P51" s="170"/>
    </row>
    <row r="52" spans="1:16" s="28" customFormat="1" ht="24" x14ac:dyDescent="0.25">
      <c r="A52" s="24"/>
      <c r="B52" s="22" t="s">
        <v>71</v>
      </c>
      <c r="C52" s="171">
        <f t="shared" si="0"/>
        <v>659028</v>
      </c>
      <c r="D52" s="172">
        <f>SUM(D53,D75,D173,D187)</f>
        <v>314017</v>
      </c>
      <c r="E52" s="173">
        <f t="shared" ref="E52:F52" si="34">SUM(E53,E75,E173,E187)</f>
        <v>0</v>
      </c>
      <c r="F52" s="174">
        <f t="shared" si="34"/>
        <v>314017</v>
      </c>
      <c r="G52" s="172">
        <f>SUM(G53,G75,G173,G187)</f>
        <v>341387</v>
      </c>
      <c r="H52" s="173">
        <f t="shared" ref="H52:I52" si="35">SUM(H53,H75,H173,H187)</f>
        <v>0</v>
      </c>
      <c r="I52" s="174">
        <f t="shared" si="35"/>
        <v>341387</v>
      </c>
      <c r="J52" s="172">
        <f>SUM(J53,J75,J173,J187)</f>
        <v>3735</v>
      </c>
      <c r="K52" s="173">
        <f t="shared" ref="K52:L52" si="36">SUM(K53,K75,K173,K187)</f>
        <v>-112</v>
      </c>
      <c r="L52" s="174">
        <f t="shared" si="36"/>
        <v>3623</v>
      </c>
      <c r="M52" s="172">
        <f>SUM(M53,M75,M173,M187)</f>
        <v>1</v>
      </c>
      <c r="N52" s="173">
        <f t="shared" ref="N52:O52" si="37">SUM(N53,N75,N173,N187)</f>
        <v>0</v>
      </c>
      <c r="O52" s="174">
        <f t="shared" si="37"/>
        <v>1</v>
      </c>
      <c r="P52" s="175"/>
    </row>
    <row r="53" spans="1:16" s="28" customFormat="1" x14ac:dyDescent="0.25">
      <c r="A53" s="176">
        <v>1000</v>
      </c>
      <c r="B53" s="176" t="s">
        <v>72</v>
      </c>
      <c r="C53" s="177">
        <f t="shared" si="0"/>
        <v>597431</v>
      </c>
      <c r="D53" s="178">
        <f>SUM(D54,D67)</f>
        <v>258206</v>
      </c>
      <c r="E53" s="179">
        <f t="shared" ref="E53:F53" si="38">SUM(E54,E67)</f>
        <v>0</v>
      </c>
      <c r="F53" s="180">
        <f t="shared" si="38"/>
        <v>258206</v>
      </c>
      <c r="G53" s="178">
        <f>SUM(G54,G67)</f>
        <v>339225</v>
      </c>
      <c r="H53" s="179">
        <f t="shared" ref="H53:I53" si="39">SUM(H54,H67)</f>
        <v>0</v>
      </c>
      <c r="I53" s="180">
        <f t="shared" si="39"/>
        <v>339225</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456057</v>
      </c>
      <c r="D54" s="183">
        <f>SUM(D55,D58,D66)</f>
        <v>184968</v>
      </c>
      <c r="E54" s="184">
        <f t="shared" ref="E54:F54" si="42">SUM(E55,E58,E66)</f>
        <v>0</v>
      </c>
      <c r="F54" s="72">
        <f t="shared" si="42"/>
        <v>184968</v>
      </c>
      <c r="G54" s="183">
        <f>SUM(G55,G58,G66)</f>
        <v>271729</v>
      </c>
      <c r="H54" s="184">
        <f t="shared" ref="H54:I54" si="43">SUM(H55,H58,H66)</f>
        <v>-640</v>
      </c>
      <c r="I54" s="72">
        <f t="shared" si="43"/>
        <v>271089</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422216</v>
      </c>
      <c r="D55" s="186">
        <f>SUM(D56:D57)</f>
        <v>157347</v>
      </c>
      <c r="E55" s="187">
        <f t="shared" ref="E55:F55" si="46">SUM(E56:E57)</f>
        <v>0</v>
      </c>
      <c r="F55" s="140">
        <f t="shared" si="46"/>
        <v>157347</v>
      </c>
      <c r="G55" s="186">
        <f>SUM(G56:G57)</f>
        <v>265509</v>
      </c>
      <c r="H55" s="187">
        <f t="shared" ref="H55:I55" si="47">SUM(H56:H57)</f>
        <v>-640</v>
      </c>
      <c r="I55" s="140">
        <f t="shared" si="47"/>
        <v>264869</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5.5" customHeight="1" x14ac:dyDescent="0.25">
      <c r="A57" s="51">
        <v>1119</v>
      </c>
      <c r="B57" s="88" t="s">
        <v>76</v>
      </c>
      <c r="C57" s="89">
        <f t="shared" si="0"/>
        <v>422216</v>
      </c>
      <c r="D57" s="53">
        <v>157347</v>
      </c>
      <c r="E57" s="54"/>
      <c r="F57" s="55">
        <f t="shared" si="50"/>
        <v>157347</v>
      </c>
      <c r="G57" s="53">
        <v>265509</v>
      </c>
      <c r="H57" s="822">
        <v>-640</v>
      </c>
      <c r="I57" s="55">
        <f t="shared" si="51"/>
        <v>264869</v>
      </c>
      <c r="J57" s="53"/>
      <c r="K57" s="54"/>
      <c r="L57" s="55">
        <f t="shared" si="52"/>
        <v>0</v>
      </c>
      <c r="M57" s="53"/>
      <c r="N57" s="54"/>
      <c r="O57" s="55">
        <f t="shared" si="53"/>
        <v>0</v>
      </c>
      <c r="P57" s="57" t="s">
        <v>1016</v>
      </c>
    </row>
    <row r="58" spans="1:16" x14ac:dyDescent="0.25">
      <c r="A58" s="188">
        <v>1140</v>
      </c>
      <c r="B58" s="88" t="s">
        <v>77</v>
      </c>
      <c r="C58" s="89">
        <f t="shared" si="0"/>
        <v>31053</v>
      </c>
      <c r="D58" s="189">
        <f>SUM(D59:D65)</f>
        <v>24833</v>
      </c>
      <c r="E58" s="190">
        <f>SUM(E59:E65)</f>
        <v>0</v>
      </c>
      <c r="F58" s="55">
        <f t="shared" ref="F58" si="54">SUM(F59:F65)</f>
        <v>24833</v>
      </c>
      <c r="G58" s="189">
        <f>SUM(G59:G65)</f>
        <v>6220</v>
      </c>
      <c r="H58" s="190">
        <f t="shared" ref="H58:I58" si="55">SUM(H59:H65)</f>
        <v>0</v>
      </c>
      <c r="I58" s="55">
        <f t="shared" si="55"/>
        <v>6220</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8" t="s">
        <v>78</v>
      </c>
      <c r="C59" s="89">
        <f t="shared" si="0"/>
        <v>4172</v>
      </c>
      <c r="D59" s="53">
        <v>4172</v>
      </c>
      <c r="E59" s="54"/>
      <c r="F59" s="55">
        <f t="shared" ref="F59:F66" si="58">D59+E59</f>
        <v>4172</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1029</v>
      </c>
      <c r="D60" s="53">
        <v>1029</v>
      </c>
      <c r="E60" s="54"/>
      <c r="F60" s="55">
        <f t="shared" si="58"/>
        <v>1029</v>
      </c>
      <c r="G60" s="53"/>
      <c r="H60" s="54"/>
      <c r="I60" s="55">
        <f t="shared" si="59"/>
        <v>0</v>
      </c>
      <c r="J60" s="53"/>
      <c r="K60" s="54"/>
      <c r="L60" s="55">
        <f t="shared" si="60"/>
        <v>0</v>
      </c>
      <c r="M60" s="53"/>
      <c r="N60" s="54"/>
      <c r="O60" s="55">
        <f t="shared" si="61"/>
        <v>0</v>
      </c>
      <c r="P60" s="57"/>
    </row>
    <row r="61" spans="1:16" ht="24" customHeight="1" x14ac:dyDescent="0.25">
      <c r="A61" s="51">
        <v>1145</v>
      </c>
      <c r="B61" s="88" t="s">
        <v>80</v>
      </c>
      <c r="C61" s="89">
        <f t="shared" si="0"/>
        <v>2080</v>
      </c>
      <c r="D61" s="53"/>
      <c r="E61" s="54"/>
      <c r="F61" s="55">
        <f t="shared" si="58"/>
        <v>0</v>
      </c>
      <c r="G61" s="53">
        <v>2080</v>
      </c>
      <c r="H61" s="54"/>
      <c r="I61" s="55">
        <f t="shared" si="59"/>
        <v>2080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2317</v>
      </c>
      <c r="D63" s="53">
        <v>2317</v>
      </c>
      <c r="E63" s="54"/>
      <c r="F63" s="55">
        <f t="shared" si="58"/>
        <v>2317</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17315</v>
      </c>
      <c r="D64" s="53">
        <v>17315</v>
      </c>
      <c r="E64" s="54"/>
      <c r="F64" s="55">
        <f t="shared" si="58"/>
        <v>17315</v>
      </c>
      <c r="G64" s="53"/>
      <c r="H64" s="54"/>
      <c r="I64" s="55">
        <f t="shared" si="59"/>
        <v>0</v>
      </c>
      <c r="J64" s="53"/>
      <c r="K64" s="54"/>
      <c r="L64" s="55">
        <f t="shared" si="60"/>
        <v>0</v>
      </c>
      <c r="M64" s="53"/>
      <c r="N64" s="54"/>
      <c r="O64" s="55">
        <f t="shared" si="61"/>
        <v>0</v>
      </c>
      <c r="P64" s="57"/>
    </row>
    <row r="65" spans="1:16" ht="24" customHeight="1" x14ac:dyDescent="0.25">
      <c r="A65" s="51">
        <v>1149</v>
      </c>
      <c r="B65" s="88" t="s">
        <v>84</v>
      </c>
      <c r="C65" s="89">
        <f t="shared" si="0"/>
        <v>4140</v>
      </c>
      <c r="D65" s="53"/>
      <c r="E65" s="54"/>
      <c r="F65" s="55">
        <f t="shared" si="58"/>
        <v>0</v>
      </c>
      <c r="G65" s="53">
        <v>4140</v>
      </c>
      <c r="H65" s="54"/>
      <c r="I65" s="55">
        <f t="shared" si="59"/>
        <v>4140</v>
      </c>
      <c r="J65" s="53"/>
      <c r="K65" s="54"/>
      <c r="L65" s="55">
        <f t="shared" si="60"/>
        <v>0</v>
      </c>
      <c r="M65" s="53"/>
      <c r="N65" s="54"/>
      <c r="O65" s="55">
        <f t="shared" si="61"/>
        <v>0</v>
      </c>
      <c r="P65" s="57"/>
    </row>
    <row r="66" spans="1:16" ht="36" customHeight="1" x14ac:dyDescent="0.25">
      <c r="A66" s="185">
        <v>1150</v>
      </c>
      <c r="B66" s="137" t="s">
        <v>85</v>
      </c>
      <c r="C66" s="142">
        <f t="shared" si="0"/>
        <v>2788</v>
      </c>
      <c r="D66" s="143">
        <v>2788</v>
      </c>
      <c r="E66" s="144"/>
      <c r="F66" s="140">
        <f t="shared" si="58"/>
        <v>2788</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141374</v>
      </c>
      <c r="D67" s="183">
        <f>SUM(D68:D69)</f>
        <v>73238</v>
      </c>
      <c r="E67" s="184">
        <f t="shared" ref="E67:F67" si="62">SUM(E68:E69)</f>
        <v>0</v>
      </c>
      <c r="F67" s="72">
        <f t="shared" si="62"/>
        <v>73238</v>
      </c>
      <c r="G67" s="183">
        <f>SUM(G68:G69)</f>
        <v>67496</v>
      </c>
      <c r="H67" s="184">
        <f t="shared" ref="H67:I67" si="63">SUM(H68:H69)</f>
        <v>640</v>
      </c>
      <c r="I67" s="72">
        <f t="shared" si="63"/>
        <v>68136</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293">
        <v>1210</v>
      </c>
      <c r="B68" s="81" t="s">
        <v>87</v>
      </c>
      <c r="C68" s="82">
        <f t="shared" si="0"/>
        <v>114880</v>
      </c>
      <c r="D68" s="46">
        <v>49024</v>
      </c>
      <c r="E68" s="47"/>
      <c r="F68" s="133">
        <f>D68+E68</f>
        <v>49024</v>
      </c>
      <c r="G68" s="46">
        <v>65856</v>
      </c>
      <c r="H68" s="47"/>
      <c r="I68" s="133">
        <f>G68+H68</f>
        <v>65856</v>
      </c>
      <c r="J68" s="46"/>
      <c r="K68" s="47"/>
      <c r="L68" s="133">
        <f>K68+J68</f>
        <v>0</v>
      </c>
      <c r="M68" s="46"/>
      <c r="N68" s="47"/>
      <c r="O68" s="133">
        <f>N68+M68</f>
        <v>0</v>
      </c>
      <c r="P68" s="49"/>
    </row>
    <row r="69" spans="1:16" ht="24" x14ac:dyDescent="0.25">
      <c r="A69" s="188">
        <v>1220</v>
      </c>
      <c r="B69" s="88" t="s">
        <v>88</v>
      </c>
      <c r="C69" s="89">
        <f t="shared" si="0"/>
        <v>26494</v>
      </c>
      <c r="D69" s="189">
        <f>SUM(D70:D74)</f>
        <v>24214</v>
      </c>
      <c r="E69" s="190">
        <f t="shared" ref="E69:F69" si="66">SUM(E70:E74)</f>
        <v>0</v>
      </c>
      <c r="F69" s="55">
        <f t="shared" si="66"/>
        <v>24214</v>
      </c>
      <c r="G69" s="189">
        <f>SUM(G70:G74)</f>
        <v>1640</v>
      </c>
      <c r="H69" s="190">
        <f t="shared" ref="H69:I69" si="67">SUM(H70:H74)</f>
        <v>640</v>
      </c>
      <c r="I69" s="55">
        <f t="shared" si="67"/>
        <v>2280</v>
      </c>
      <c r="J69" s="189">
        <f>SUM(J70:J74)</f>
        <v>0</v>
      </c>
      <c r="K69" s="190">
        <f t="shared" ref="K69:L69" si="68">SUM(K70:K74)</f>
        <v>0</v>
      </c>
      <c r="L69" s="55">
        <f t="shared" si="68"/>
        <v>0</v>
      </c>
      <c r="M69" s="189">
        <f>SUM(M70:M74)</f>
        <v>0</v>
      </c>
      <c r="N69" s="190">
        <f t="shared" ref="N69:O69" si="69">SUM(N70:N74)</f>
        <v>0</v>
      </c>
      <c r="O69" s="55">
        <f t="shared" si="69"/>
        <v>0</v>
      </c>
      <c r="P69" s="57"/>
    </row>
    <row r="70" spans="1:16" ht="48.75" customHeight="1" x14ac:dyDescent="0.25">
      <c r="A70" s="51">
        <v>1221</v>
      </c>
      <c r="B70" s="88" t="s">
        <v>89</v>
      </c>
      <c r="C70" s="89">
        <f t="shared" si="0"/>
        <v>17456</v>
      </c>
      <c r="D70" s="53">
        <v>15176</v>
      </c>
      <c r="E70" s="54"/>
      <c r="F70" s="55">
        <f t="shared" ref="F70:F74" si="70">D70+E70</f>
        <v>15176</v>
      </c>
      <c r="G70" s="53">
        <v>1640</v>
      </c>
      <c r="H70" s="822">
        <v>640</v>
      </c>
      <c r="I70" s="55">
        <f t="shared" ref="I70:I74" si="71">G70+H70</f>
        <v>2280</v>
      </c>
      <c r="J70" s="53"/>
      <c r="K70" s="54"/>
      <c r="L70" s="55">
        <f t="shared" ref="L70:L74" si="72">K70+J70</f>
        <v>0</v>
      </c>
      <c r="M70" s="53"/>
      <c r="N70" s="54"/>
      <c r="O70" s="55">
        <f t="shared" ref="O70:O74" si="73">N70+M70</f>
        <v>0</v>
      </c>
      <c r="P70" s="57" t="s">
        <v>1017</v>
      </c>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5.25" customHeight="1" x14ac:dyDescent="0.25">
      <c r="A73" s="51">
        <v>1227</v>
      </c>
      <c r="B73" s="88" t="s">
        <v>92</v>
      </c>
      <c r="C73" s="89">
        <f t="shared" si="0"/>
        <v>8538</v>
      </c>
      <c r="D73" s="53">
        <v>8538</v>
      </c>
      <c r="E73" s="54"/>
      <c r="F73" s="55">
        <f t="shared" si="70"/>
        <v>8538</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61597</v>
      </c>
      <c r="D75" s="178">
        <f>SUM(D76,D83,D130,D164,D165,D172)</f>
        <v>55811</v>
      </c>
      <c r="E75" s="179">
        <f t="shared" ref="E75:F75" si="74">SUM(E76,E83,E130,E164,E165,E172)</f>
        <v>0</v>
      </c>
      <c r="F75" s="180">
        <f t="shared" si="74"/>
        <v>55811</v>
      </c>
      <c r="G75" s="178">
        <f>SUM(G76,G83,G130,G164,G165,G172)</f>
        <v>2162</v>
      </c>
      <c r="H75" s="179">
        <f t="shared" ref="H75:I75" si="75">SUM(H76,H83,H130,H164,H165,H172)</f>
        <v>0</v>
      </c>
      <c r="I75" s="180">
        <f t="shared" si="75"/>
        <v>2162</v>
      </c>
      <c r="J75" s="178">
        <f>SUM(J76,J83,J130,J164,J165,J172)</f>
        <v>3735</v>
      </c>
      <c r="K75" s="179">
        <f t="shared" ref="K75:L75" si="76">SUM(K76,K83,K130,K164,K165,K172)</f>
        <v>-112</v>
      </c>
      <c r="L75" s="180">
        <f t="shared" si="76"/>
        <v>3623</v>
      </c>
      <c r="M75" s="178">
        <f>SUM(M76,M83,M130,M164,M165,M172)</f>
        <v>1</v>
      </c>
      <c r="N75" s="179">
        <f t="shared" ref="N75:O75" si="77">SUM(N76,N83,N130,N164,N165,N172)</f>
        <v>0</v>
      </c>
      <c r="O75" s="180">
        <f t="shared" si="77"/>
        <v>1</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9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56.25" hidden="1" customHeight="1" x14ac:dyDescent="0.25">
      <c r="A78" s="51">
        <v>2111</v>
      </c>
      <c r="B78" s="88" t="s">
        <v>97</v>
      </c>
      <c r="C78" s="89">
        <f t="shared" si="0"/>
        <v>0</v>
      </c>
      <c r="D78" s="194"/>
      <c r="E78" s="615">
        <f>12-12</f>
        <v>0</v>
      </c>
      <c r="F78" s="55">
        <f t="shared" ref="F78:F79" si="86">D78+E78</f>
        <v>0</v>
      </c>
      <c r="G78" s="53"/>
      <c r="H78" s="54"/>
      <c r="I78" s="55">
        <f t="shared" ref="I78:I79" si="87">G78+H78</f>
        <v>0</v>
      </c>
      <c r="J78" s="53"/>
      <c r="K78" s="54"/>
      <c r="L78" s="55">
        <f t="shared" ref="L78:L79" si="88">K78+J78</f>
        <v>0</v>
      </c>
      <c r="M78" s="53"/>
      <c r="N78" s="54"/>
      <c r="O78" s="55">
        <f t="shared" ref="O78:O79" si="89">N78+M78</f>
        <v>0</v>
      </c>
      <c r="P78" s="57" t="s">
        <v>1018</v>
      </c>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46073</v>
      </c>
      <c r="D83" s="183">
        <f>SUM(D84,D89,D95,D103,D112,D116,D122,D128)</f>
        <v>41513</v>
      </c>
      <c r="E83" s="184">
        <f t="shared" ref="E83:F83" si="98">SUM(E84,E89,E95,E103,E112,E116,E122,E128)</f>
        <v>0</v>
      </c>
      <c r="F83" s="72">
        <f t="shared" si="98"/>
        <v>41513</v>
      </c>
      <c r="G83" s="183">
        <f>SUM(G84,G89,G95,G103,G112,G116,G122,G128)</f>
        <v>1001</v>
      </c>
      <c r="H83" s="184">
        <f t="shared" ref="H83:I83" si="99">SUM(H84,H89,H95,H103,H112,H116,H122,H128)</f>
        <v>0</v>
      </c>
      <c r="I83" s="72">
        <f t="shared" si="99"/>
        <v>1001</v>
      </c>
      <c r="J83" s="183">
        <f>SUM(J84,J89,J95,J103,J112,J116,J122,J128)</f>
        <v>3670</v>
      </c>
      <c r="K83" s="184">
        <f t="shared" ref="K83:L83" si="100">SUM(K84,K89,K95,K103,K112,K116,K122,K128)</f>
        <v>-112</v>
      </c>
      <c r="L83" s="72">
        <f t="shared" si="100"/>
        <v>3558</v>
      </c>
      <c r="M83" s="183">
        <f>SUM(M84,M89,M95,M103,M112,M116,M122,M128)</f>
        <v>1</v>
      </c>
      <c r="N83" s="184">
        <f t="shared" ref="N83:O83" si="101">SUM(N84,N89,N95,N103,N112,N116,N122,N128)</f>
        <v>0</v>
      </c>
      <c r="O83" s="72">
        <f t="shared" si="101"/>
        <v>1</v>
      </c>
      <c r="P83" s="76"/>
    </row>
    <row r="84" spans="1:16" x14ac:dyDescent="0.25">
      <c r="A84" s="185">
        <v>2210</v>
      </c>
      <c r="B84" s="137" t="s">
        <v>101</v>
      </c>
      <c r="C84" s="142">
        <f t="shared" ref="C84:C147" si="102">F84+I84+L84+O84</f>
        <v>1133</v>
      </c>
      <c r="D84" s="186">
        <f>SUM(D85:D88)</f>
        <v>872</v>
      </c>
      <c r="E84" s="187">
        <f t="shared" ref="E84:F84" si="103">SUM(E85:E88)</f>
        <v>61</v>
      </c>
      <c r="F84" s="140">
        <f t="shared" si="103"/>
        <v>933</v>
      </c>
      <c r="G84" s="186">
        <f>SUM(G85:G88)</f>
        <v>0</v>
      </c>
      <c r="H84" s="187">
        <f t="shared" ref="H84:I84" si="104">SUM(H85:H88)</f>
        <v>0</v>
      </c>
      <c r="I84" s="140">
        <f t="shared" si="104"/>
        <v>0</v>
      </c>
      <c r="J84" s="186">
        <f>SUM(J85:J88)</f>
        <v>150</v>
      </c>
      <c r="K84" s="187">
        <f t="shared" ref="K84:L84" si="105">SUM(K85:K88)</f>
        <v>50</v>
      </c>
      <c r="L84" s="140">
        <f t="shared" si="105"/>
        <v>200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7.5" customHeight="1" x14ac:dyDescent="0.25">
      <c r="A86" s="51">
        <v>2212</v>
      </c>
      <c r="B86" s="88" t="s">
        <v>103</v>
      </c>
      <c r="C86" s="89">
        <f t="shared" si="102"/>
        <v>730</v>
      </c>
      <c r="D86" s="194">
        <v>669</v>
      </c>
      <c r="E86" s="615">
        <v>61</v>
      </c>
      <c r="F86" s="55">
        <f t="shared" si="107"/>
        <v>730</v>
      </c>
      <c r="G86" s="53"/>
      <c r="H86" s="54"/>
      <c r="I86" s="55">
        <f t="shared" si="108"/>
        <v>0</v>
      </c>
      <c r="J86" s="53"/>
      <c r="K86" s="54"/>
      <c r="L86" s="55">
        <f t="shared" si="109"/>
        <v>0</v>
      </c>
      <c r="M86" s="53"/>
      <c r="N86" s="54"/>
      <c r="O86" s="55">
        <f t="shared" si="110"/>
        <v>0</v>
      </c>
      <c r="P86" s="57" t="s">
        <v>1019</v>
      </c>
    </row>
    <row r="87" spans="1:16" ht="24" customHeight="1" x14ac:dyDescent="0.25">
      <c r="A87" s="51">
        <v>2214</v>
      </c>
      <c r="B87" s="88" t="s">
        <v>104</v>
      </c>
      <c r="C87" s="89">
        <f t="shared" si="102"/>
        <v>353</v>
      </c>
      <c r="D87" s="194">
        <v>153</v>
      </c>
      <c r="E87" s="195"/>
      <c r="F87" s="55">
        <f t="shared" si="107"/>
        <v>153</v>
      </c>
      <c r="G87" s="53"/>
      <c r="H87" s="54"/>
      <c r="I87" s="55">
        <f t="shared" si="108"/>
        <v>0</v>
      </c>
      <c r="J87" s="53">
        <v>150</v>
      </c>
      <c r="K87" s="822">
        <v>50</v>
      </c>
      <c r="L87" s="55">
        <f t="shared" si="109"/>
        <v>200</v>
      </c>
      <c r="M87" s="53"/>
      <c r="N87" s="54"/>
      <c r="O87" s="55">
        <f t="shared" si="110"/>
        <v>0</v>
      </c>
      <c r="P87" s="57"/>
    </row>
    <row r="88" spans="1:16" ht="12" customHeight="1" x14ac:dyDescent="0.25">
      <c r="A88" s="51">
        <v>2219</v>
      </c>
      <c r="B88" s="88" t="s">
        <v>105</v>
      </c>
      <c r="C88" s="89">
        <f t="shared" si="102"/>
        <v>50</v>
      </c>
      <c r="D88" s="194">
        <v>50</v>
      </c>
      <c r="E88" s="195"/>
      <c r="F88" s="55">
        <f t="shared" si="107"/>
        <v>50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27721</v>
      </c>
      <c r="D89" s="189">
        <f>SUM(D90:D94)</f>
        <v>24421</v>
      </c>
      <c r="E89" s="190">
        <f t="shared" ref="E89:F89" si="111">SUM(E90:E94)</f>
        <v>162</v>
      </c>
      <c r="F89" s="55">
        <f t="shared" si="111"/>
        <v>24583</v>
      </c>
      <c r="G89" s="189">
        <f>SUM(G90:G94)</f>
        <v>0</v>
      </c>
      <c r="H89" s="190">
        <f t="shared" ref="H89:I89" si="112">SUM(H90:H94)</f>
        <v>0</v>
      </c>
      <c r="I89" s="55">
        <f t="shared" si="112"/>
        <v>0</v>
      </c>
      <c r="J89" s="189">
        <f>SUM(J90:J94)</f>
        <v>3300</v>
      </c>
      <c r="K89" s="190">
        <f t="shared" ref="K89:L89" si="113">SUM(K90:K94)</f>
        <v>-162</v>
      </c>
      <c r="L89" s="55">
        <f t="shared" si="113"/>
        <v>3138</v>
      </c>
      <c r="M89" s="189">
        <f>SUM(M90:M94)</f>
        <v>0</v>
      </c>
      <c r="N89" s="190">
        <f t="shared" ref="N89:O89" si="114">SUM(N90:N94)</f>
        <v>0</v>
      </c>
      <c r="O89" s="55">
        <f t="shared" si="114"/>
        <v>0</v>
      </c>
      <c r="P89" s="57"/>
    </row>
    <row r="90" spans="1:16" ht="24" customHeight="1" x14ac:dyDescent="0.25">
      <c r="A90" s="51">
        <v>2221</v>
      </c>
      <c r="B90" s="88" t="s">
        <v>107</v>
      </c>
      <c r="C90" s="89">
        <f t="shared" si="102"/>
        <v>16236</v>
      </c>
      <c r="D90" s="194">
        <v>16236</v>
      </c>
      <c r="E90" s="195"/>
      <c r="F90" s="55">
        <f t="shared" ref="F90:F94" si="115">D90+E90</f>
        <v>16236</v>
      </c>
      <c r="G90" s="53"/>
      <c r="H90" s="54"/>
      <c r="I90" s="55">
        <f t="shared" ref="I90:I94" si="116">G90+H90</f>
        <v>0</v>
      </c>
      <c r="J90" s="53"/>
      <c r="K90" s="54"/>
      <c r="L90" s="55">
        <f t="shared" ref="L90:L94" si="117">K90+J90</f>
        <v>0</v>
      </c>
      <c r="M90" s="53"/>
      <c r="N90" s="54"/>
      <c r="O90" s="55">
        <f t="shared" ref="O90:O94" si="118">N90+M90</f>
        <v>0</v>
      </c>
      <c r="P90" s="57"/>
    </row>
    <row r="91" spans="1:16" ht="15" customHeight="1" x14ac:dyDescent="0.25">
      <c r="A91" s="51">
        <v>2222</v>
      </c>
      <c r="B91" s="88" t="s">
        <v>108</v>
      </c>
      <c r="C91" s="89">
        <f t="shared" si="102"/>
        <v>5272</v>
      </c>
      <c r="D91" s="194">
        <v>3825</v>
      </c>
      <c r="E91" s="615">
        <v>162</v>
      </c>
      <c r="F91" s="55">
        <f t="shared" si="115"/>
        <v>3987</v>
      </c>
      <c r="G91" s="53"/>
      <c r="H91" s="54"/>
      <c r="I91" s="55">
        <f t="shared" si="116"/>
        <v>0</v>
      </c>
      <c r="J91" s="53">
        <v>1447</v>
      </c>
      <c r="K91" s="822">
        <v>-162</v>
      </c>
      <c r="L91" s="55">
        <f t="shared" si="117"/>
        <v>1285</v>
      </c>
      <c r="M91" s="53"/>
      <c r="N91" s="54"/>
      <c r="O91" s="55">
        <f t="shared" si="118"/>
        <v>0</v>
      </c>
      <c r="P91" s="57" t="s">
        <v>1020</v>
      </c>
    </row>
    <row r="92" spans="1:16" ht="12" customHeight="1" x14ac:dyDescent="0.25">
      <c r="A92" s="51">
        <v>2223</v>
      </c>
      <c r="B92" s="88" t="s">
        <v>109</v>
      </c>
      <c r="C92" s="89">
        <f t="shared" si="102"/>
        <v>5732</v>
      </c>
      <c r="D92" s="194">
        <v>3969</v>
      </c>
      <c r="E92" s="195"/>
      <c r="F92" s="55">
        <f t="shared" si="115"/>
        <v>3969</v>
      </c>
      <c r="G92" s="53"/>
      <c r="H92" s="54"/>
      <c r="I92" s="55">
        <f t="shared" si="116"/>
        <v>0</v>
      </c>
      <c r="J92" s="53">
        <v>1763</v>
      </c>
      <c r="K92" s="54"/>
      <c r="L92" s="55">
        <f t="shared" si="117"/>
        <v>1763</v>
      </c>
      <c r="M92" s="53"/>
      <c r="N92" s="54"/>
      <c r="O92" s="55">
        <f t="shared" si="118"/>
        <v>0</v>
      </c>
      <c r="P92" s="57"/>
    </row>
    <row r="93" spans="1:16" ht="48" customHeight="1" x14ac:dyDescent="0.25">
      <c r="A93" s="51">
        <v>2224</v>
      </c>
      <c r="B93" s="88" t="s">
        <v>110</v>
      </c>
      <c r="C93" s="89">
        <f t="shared" si="102"/>
        <v>481</v>
      </c>
      <c r="D93" s="194">
        <v>391</v>
      </c>
      <c r="E93" s="195"/>
      <c r="F93" s="55">
        <f t="shared" si="115"/>
        <v>391</v>
      </c>
      <c r="G93" s="53"/>
      <c r="H93" s="54"/>
      <c r="I93" s="55">
        <f t="shared" si="116"/>
        <v>0</v>
      </c>
      <c r="J93" s="53">
        <v>90</v>
      </c>
      <c r="K93" s="54"/>
      <c r="L93" s="55">
        <f t="shared" si="117"/>
        <v>90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819</v>
      </c>
      <c r="D95" s="189">
        <f>SUM(D96:D102)</f>
        <v>729</v>
      </c>
      <c r="E95" s="190">
        <f t="shared" ref="E95:F95" si="119">SUM(E96:E102)</f>
        <v>90</v>
      </c>
      <c r="F95" s="55">
        <f t="shared" si="119"/>
        <v>819</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customHeight="1" x14ac:dyDescent="0.25">
      <c r="A99" s="51">
        <v>2234</v>
      </c>
      <c r="B99" s="88" t="s">
        <v>116</v>
      </c>
      <c r="C99" s="89">
        <f t="shared" si="102"/>
        <v>140</v>
      </c>
      <c r="D99" s="194">
        <v>70</v>
      </c>
      <c r="E99" s="615">
        <v>70</v>
      </c>
      <c r="F99" s="55">
        <f t="shared" si="123"/>
        <v>140</v>
      </c>
      <c r="G99" s="53"/>
      <c r="H99" s="54"/>
      <c r="I99" s="55">
        <f t="shared" si="124"/>
        <v>0</v>
      </c>
      <c r="J99" s="53"/>
      <c r="K99" s="54"/>
      <c r="L99" s="55">
        <f t="shared" si="125"/>
        <v>0</v>
      </c>
      <c r="M99" s="53"/>
      <c r="N99" s="54"/>
      <c r="O99" s="55">
        <f t="shared" si="126"/>
        <v>0</v>
      </c>
      <c r="P99" s="57" t="s">
        <v>1021</v>
      </c>
    </row>
    <row r="100" spans="1:16" ht="25.5" customHeight="1" x14ac:dyDescent="0.25">
      <c r="A100" s="51">
        <v>2235</v>
      </c>
      <c r="B100" s="88" t="s">
        <v>117</v>
      </c>
      <c r="C100" s="89">
        <f t="shared" si="102"/>
        <v>20</v>
      </c>
      <c r="D100" s="194"/>
      <c r="E100" s="615">
        <v>20</v>
      </c>
      <c r="F100" s="55">
        <f t="shared" si="123"/>
        <v>20</v>
      </c>
      <c r="G100" s="53"/>
      <c r="H100" s="54"/>
      <c r="I100" s="55">
        <f t="shared" si="124"/>
        <v>0</v>
      </c>
      <c r="J100" s="53"/>
      <c r="K100" s="54"/>
      <c r="L100" s="55">
        <f t="shared" si="125"/>
        <v>0</v>
      </c>
      <c r="M100" s="53"/>
      <c r="N100" s="54"/>
      <c r="O100" s="55">
        <f t="shared" si="126"/>
        <v>0</v>
      </c>
      <c r="P100" s="57" t="s">
        <v>1022</v>
      </c>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659</v>
      </c>
      <c r="D102" s="194">
        <v>659</v>
      </c>
      <c r="E102" s="195"/>
      <c r="F102" s="55">
        <f t="shared" si="123"/>
        <v>659</v>
      </c>
      <c r="G102" s="53"/>
      <c r="H102" s="54"/>
      <c r="I102" s="55">
        <f t="shared" si="124"/>
        <v>0</v>
      </c>
      <c r="J102" s="53"/>
      <c r="K102" s="54"/>
      <c r="L102" s="55">
        <f t="shared" si="125"/>
        <v>0</v>
      </c>
      <c r="M102" s="53"/>
      <c r="N102" s="54"/>
      <c r="O102" s="55">
        <f t="shared" si="126"/>
        <v>0</v>
      </c>
      <c r="P102" s="57"/>
    </row>
    <row r="103" spans="1:16" ht="33.75" customHeight="1" x14ac:dyDescent="0.25">
      <c r="A103" s="188">
        <v>2240</v>
      </c>
      <c r="B103" s="88" t="s">
        <v>120</v>
      </c>
      <c r="C103" s="89">
        <f t="shared" si="102"/>
        <v>1718</v>
      </c>
      <c r="D103" s="189">
        <f>SUM(D104:D111)</f>
        <v>1498</v>
      </c>
      <c r="E103" s="190">
        <f t="shared" ref="E103:F103" si="127">SUM(E104:E111)</f>
        <v>0</v>
      </c>
      <c r="F103" s="55">
        <f t="shared" si="127"/>
        <v>1498</v>
      </c>
      <c r="G103" s="189">
        <f>SUM(G104:G111)</f>
        <v>0</v>
      </c>
      <c r="H103" s="190">
        <f t="shared" ref="H103:I103" si="128">SUM(H104:H111)</f>
        <v>0</v>
      </c>
      <c r="I103" s="55">
        <f t="shared" si="128"/>
        <v>0</v>
      </c>
      <c r="J103" s="189">
        <f>SUM(J104:J111)</f>
        <v>220</v>
      </c>
      <c r="K103" s="190">
        <f t="shared" ref="K103:L103" si="129">SUM(K104:K111)</f>
        <v>0</v>
      </c>
      <c r="L103" s="55">
        <f t="shared" si="129"/>
        <v>220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120</v>
      </c>
      <c r="D106" s="194">
        <v>120</v>
      </c>
      <c r="E106" s="195"/>
      <c r="F106" s="55">
        <f t="shared" si="131"/>
        <v>120</v>
      </c>
      <c r="G106" s="53"/>
      <c r="H106" s="54"/>
      <c r="I106" s="55">
        <f t="shared" si="132"/>
        <v>0</v>
      </c>
      <c r="J106" s="53"/>
      <c r="K106" s="54"/>
      <c r="L106" s="55">
        <f t="shared" si="133"/>
        <v>0</v>
      </c>
      <c r="M106" s="53"/>
      <c r="N106" s="54"/>
      <c r="O106" s="55">
        <f t="shared" si="134"/>
        <v>0</v>
      </c>
      <c r="P106" s="57"/>
    </row>
    <row r="107" spans="1:16" ht="12.75" customHeight="1" x14ac:dyDescent="0.25">
      <c r="A107" s="51">
        <v>2244</v>
      </c>
      <c r="B107" s="88" t="s">
        <v>124</v>
      </c>
      <c r="C107" s="89">
        <f t="shared" si="102"/>
        <v>998</v>
      </c>
      <c r="D107" s="194">
        <v>903</v>
      </c>
      <c r="E107" s="827"/>
      <c r="F107" s="55">
        <f t="shared" si="131"/>
        <v>903</v>
      </c>
      <c r="G107" s="53"/>
      <c r="H107" s="54"/>
      <c r="I107" s="55">
        <f t="shared" si="132"/>
        <v>0</v>
      </c>
      <c r="J107" s="53">
        <v>95</v>
      </c>
      <c r="K107" s="822"/>
      <c r="L107" s="55">
        <f t="shared" si="133"/>
        <v>95</v>
      </c>
      <c r="M107" s="53"/>
      <c r="N107" s="54"/>
      <c r="O107" s="55">
        <f t="shared" si="134"/>
        <v>0</v>
      </c>
      <c r="P107" s="288"/>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customHeight="1" x14ac:dyDescent="0.25">
      <c r="A111" s="51">
        <v>2249</v>
      </c>
      <c r="B111" s="88" t="s">
        <v>128</v>
      </c>
      <c r="C111" s="89">
        <f t="shared" si="102"/>
        <v>600</v>
      </c>
      <c r="D111" s="194">
        <v>475</v>
      </c>
      <c r="E111" s="195"/>
      <c r="F111" s="55">
        <f t="shared" si="131"/>
        <v>475</v>
      </c>
      <c r="G111" s="53"/>
      <c r="H111" s="54"/>
      <c r="I111" s="55">
        <f t="shared" si="132"/>
        <v>0</v>
      </c>
      <c r="J111" s="53">
        <v>125</v>
      </c>
      <c r="K111" s="54"/>
      <c r="L111" s="55">
        <f t="shared" si="133"/>
        <v>125</v>
      </c>
      <c r="M111" s="53"/>
      <c r="N111" s="54"/>
      <c r="O111" s="55">
        <f t="shared" si="134"/>
        <v>0</v>
      </c>
      <c r="P111" s="57"/>
    </row>
    <row r="112" spans="1:16" x14ac:dyDescent="0.25">
      <c r="A112" s="188">
        <v>2250</v>
      </c>
      <c r="B112" s="88" t="s">
        <v>129</v>
      </c>
      <c r="C112" s="89">
        <f t="shared" si="102"/>
        <v>530</v>
      </c>
      <c r="D112" s="189">
        <f>SUM(D113:D115)</f>
        <v>843</v>
      </c>
      <c r="E112" s="190">
        <f t="shared" ref="E112:F112" si="135">SUM(E113:E115)</f>
        <v>-313</v>
      </c>
      <c r="F112" s="55">
        <f t="shared" si="135"/>
        <v>530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customHeight="1" x14ac:dyDescent="0.25">
      <c r="A113" s="51">
        <v>2251</v>
      </c>
      <c r="B113" s="88" t="s">
        <v>130</v>
      </c>
      <c r="C113" s="89">
        <f t="shared" si="102"/>
        <v>85</v>
      </c>
      <c r="D113" s="194">
        <v>85</v>
      </c>
      <c r="E113" s="195"/>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customHeight="1" x14ac:dyDescent="0.25">
      <c r="A114" s="51">
        <v>2252</v>
      </c>
      <c r="B114" s="88" t="s">
        <v>131</v>
      </c>
      <c r="C114" s="89">
        <f t="shared" si="102"/>
        <v>329</v>
      </c>
      <c r="D114" s="194">
        <v>329</v>
      </c>
      <c r="E114" s="195"/>
      <c r="F114" s="55">
        <f t="shared" si="139"/>
        <v>329</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8" t="s">
        <v>132</v>
      </c>
      <c r="C115" s="89">
        <f t="shared" si="102"/>
        <v>116</v>
      </c>
      <c r="D115" s="194">
        <v>429</v>
      </c>
      <c r="E115" s="615">
        <f>-325+12</f>
        <v>-313</v>
      </c>
      <c r="F115" s="55">
        <f t="shared" si="139"/>
        <v>116</v>
      </c>
      <c r="G115" s="53"/>
      <c r="H115" s="54"/>
      <c r="I115" s="55">
        <f t="shared" si="140"/>
        <v>0</v>
      </c>
      <c r="J115" s="53"/>
      <c r="K115" s="54"/>
      <c r="L115" s="55">
        <f t="shared" si="141"/>
        <v>0</v>
      </c>
      <c r="M115" s="53"/>
      <c r="N115" s="54"/>
      <c r="O115" s="55">
        <f t="shared" si="142"/>
        <v>0</v>
      </c>
      <c r="P115" s="57" t="s">
        <v>1023</v>
      </c>
    </row>
    <row r="116" spans="1:16" x14ac:dyDescent="0.25">
      <c r="A116" s="188">
        <v>2260</v>
      </c>
      <c r="B116" s="88" t="s">
        <v>133</v>
      </c>
      <c r="C116" s="89">
        <f t="shared" si="102"/>
        <v>12955</v>
      </c>
      <c r="D116" s="189">
        <f>SUM(D117:D121)</f>
        <v>12955</v>
      </c>
      <c r="E116" s="190">
        <f t="shared" ref="E116:F116" si="143">SUM(E117:E121)</f>
        <v>0</v>
      </c>
      <c r="F116" s="55">
        <f t="shared" si="143"/>
        <v>12955</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customHeight="1" x14ac:dyDescent="0.25">
      <c r="A117" s="51">
        <v>2261</v>
      </c>
      <c r="B117" s="88" t="s">
        <v>134</v>
      </c>
      <c r="C117" s="89">
        <f t="shared" si="102"/>
        <v>7348</v>
      </c>
      <c r="D117" s="194">
        <v>7348</v>
      </c>
      <c r="E117" s="195"/>
      <c r="F117" s="55">
        <f t="shared" ref="F117:F121" si="147">D117+E117</f>
        <v>7348</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8" t="s">
        <v>136</v>
      </c>
      <c r="C119" s="89">
        <f t="shared" si="102"/>
        <v>5218</v>
      </c>
      <c r="D119" s="194">
        <v>5218</v>
      </c>
      <c r="E119" s="195"/>
      <c r="F119" s="55">
        <f t="shared" si="147"/>
        <v>5218</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8" t="s">
        <v>138</v>
      </c>
      <c r="C121" s="89">
        <f t="shared" si="102"/>
        <v>389</v>
      </c>
      <c r="D121" s="194">
        <v>389</v>
      </c>
      <c r="E121" s="195"/>
      <c r="F121" s="55">
        <f t="shared" si="147"/>
        <v>389</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1197</v>
      </c>
      <c r="D122" s="189">
        <f>SUM(D123:D127)</f>
        <v>195</v>
      </c>
      <c r="E122" s="190">
        <f t="shared" ref="E122:F122" si="151">SUM(E123:E127)</f>
        <v>0</v>
      </c>
      <c r="F122" s="55">
        <f t="shared" si="151"/>
        <v>195</v>
      </c>
      <c r="G122" s="189">
        <f>SUM(G123:G127)</f>
        <v>1001</v>
      </c>
      <c r="H122" s="190">
        <f t="shared" ref="H122:I122" si="152">SUM(H123:H127)</f>
        <v>0</v>
      </c>
      <c r="I122" s="55">
        <f t="shared" si="152"/>
        <v>1001</v>
      </c>
      <c r="J122" s="189">
        <f>SUM(J123:J127)</f>
        <v>0</v>
      </c>
      <c r="K122" s="190">
        <f t="shared" ref="K122:L122" si="153">SUM(K123:K127)</f>
        <v>0</v>
      </c>
      <c r="L122" s="55">
        <f t="shared" si="153"/>
        <v>0</v>
      </c>
      <c r="M122" s="189">
        <f>SUM(M123:M127)</f>
        <v>1</v>
      </c>
      <c r="N122" s="190">
        <f t="shared" ref="N122:O122" si="154">SUM(N123:N127)</f>
        <v>0</v>
      </c>
      <c r="O122" s="55">
        <f t="shared" si="154"/>
        <v>1</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customHeight="1" x14ac:dyDescent="0.25">
      <c r="A125" s="51">
        <v>2275</v>
      </c>
      <c r="B125" s="88" t="s">
        <v>142</v>
      </c>
      <c r="C125" s="89">
        <f t="shared" si="102"/>
        <v>1</v>
      </c>
      <c r="D125" s="194">
        <v>0</v>
      </c>
      <c r="E125" s="827"/>
      <c r="F125" s="55">
        <f t="shared" si="155"/>
        <v>0</v>
      </c>
      <c r="G125" s="53"/>
      <c r="H125" s="54"/>
      <c r="I125" s="55">
        <f t="shared" si="156"/>
        <v>0</v>
      </c>
      <c r="J125" s="53"/>
      <c r="K125" s="54"/>
      <c r="L125" s="55">
        <f t="shared" si="157"/>
        <v>0</v>
      </c>
      <c r="M125" s="53">
        <v>1</v>
      </c>
      <c r="N125" s="823"/>
      <c r="O125" s="55">
        <f t="shared" si="158"/>
        <v>1</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7.75" customHeight="1" x14ac:dyDescent="0.25">
      <c r="A127" s="51">
        <v>2279</v>
      </c>
      <c r="B127" s="88" t="s">
        <v>144</v>
      </c>
      <c r="C127" s="89">
        <f t="shared" si="102"/>
        <v>1196</v>
      </c>
      <c r="D127" s="194">
        <v>195</v>
      </c>
      <c r="E127" s="827"/>
      <c r="F127" s="55">
        <f t="shared" si="155"/>
        <v>195</v>
      </c>
      <c r="G127" s="53">
        <v>1001</v>
      </c>
      <c r="H127" s="54"/>
      <c r="I127" s="55">
        <f t="shared" si="156"/>
        <v>1001</v>
      </c>
      <c r="J127" s="53"/>
      <c r="K127" s="54"/>
      <c r="L127" s="55">
        <f t="shared" si="157"/>
        <v>0</v>
      </c>
      <c r="M127" s="53"/>
      <c r="N127" s="54"/>
      <c r="O127" s="55">
        <f t="shared" si="158"/>
        <v>0</v>
      </c>
      <c r="P127" s="57"/>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9" customHeight="1" x14ac:dyDescent="0.25">
      <c r="A130" s="68">
        <v>2300</v>
      </c>
      <c r="B130" s="182" t="s">
        <v>147</v>
      </c>
      <c r="C130" s="69">
        <f t="shared" si="102"/>
        <v>15001</v>
      </c>
      <c r="D130" s="183">
        <f>SUM(D131,D136,D140,D141,D144,D151,D159,D160,D163)</f>
        <v>13775</v>
      </c>
      <c r="E130" s="184">
        <f t="shared" ref="E130:F130" si="160">SUM(E131,E136,E140,E141,E144,E151,E159,E160,E163)</f>
        <v>0</v>
      </c>
      <c r="F130" s="72">
        <f t="shared" si="160"/>
        <v>13775</v>
      </c>
      <c r="G130" s="183">
        <f>SUM(G131,G136,G140,G141,G144,G151,G159,G160,G163)</f>
        <v>1161</v>
      </c>
      <c r="H130" s="184">
        <f t="shared" ref="H130:I130" si="161">SUM(H131,H136,H140,H141,H144,H151,H159,H160,H163)</f>
        <v>0</v>
      </c>
      <c r="I130" s="72">
        <f t="shared" si="161"/>
        <v>1161</v>
      </c>
      <c r="J130" s="183">
        <f>SUM(J131,J136,J140,J141,J144,J151,J159,J160,J163)</f>
        <v>65</v>
      </c>
      <c r="K130" s="184">
        <f t="shared" ref="K130:L130" si="162">SUM(K131,K136,K140,K141,K144,K151,K159,K160,K163)</f>
        <v>0</v>
      </c>
      <c r="L130" s="72">
        <f t="shared" si="162"/>
        <v>65</v>
      </c>
      <c r="M130" s="183">
        <f>SUM(M131,M136,M140,M141,M144,M151,M159,M160,M163)</f>
        <v>0</v>
      </c>
      <c r="N130" s="184">
        <f t="shared" ref="N130:O130" si="163">SUM(N131,N136,N140,N141,N144,N151,N159,N160,N163)</f>
        <v>0</v>
      </c>
      <c r="O130" s="72">
        <f t="shared" si="163"/>
        <v>0</v>
      </c>
      <c r="P130" s="76"/>
    </row>
    <row r="131" spans="1:16" ht="25.5" customHeight="1" x14ac:dyDescent="0.25">
      <c r="A131" s="293">
        <v>2310</v>
      </c>
      <c r="B131" s="81" t="s">
        <v>148</v>
      </c>
      <c r="C131" s="82">
        <f t="shared" si="102"/>
        <v>6694</v>
      </c>
      <c r="D131" s="192">
        <f t="shared" ref="D131:O131" si="164">SUM(D132:D135)</f>
        <v>6694</v>
      </c>
      <c r="E131" s="193">
        <f t="shared" si="164"/>
        <v>0</v>
      </c>
      <c r="F131" s="133">
        <f t="shared" si="164"/>
        <v>6694</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5" customHeight="1" x14ac:dyDescent="0.25">
      <c r="A132" s="51">
        <v>2311</v>
      </c>
      <c r="B132" s="88" t="s">
        <v>149</v>
      </c>
      <c r="C132" s="89">
        <f t="shared" si="102"/>
        <v>1480</v>
      </c>
      <c r="D132" s="194">
        <v>1480</v>
      </c>
      <c r="E132" s="195"/>
      <c r="F132" s="55">
        <f t="shared" ref="F132:F135" si="165">D132+E132</f>
        <v>1480</v>
      </c>
      <c r="G132" s="53"/>
      <c r="H132" s="54"/>
      <c r="I132" s="55">
        <f t="shared" ref="I132:I135" si="166">G132+H132</f>
        <v>0</v>
      </c>
      <c r="J132" s="53"/>
      <c r="K132" s="54"/>
      <c r="L132" s="55">
        <f t="shared" ref="L132:L135" si="167">K132+J132</f>
        <v>0</v>
      </c>
      <c r="M132" s="53"/>
      <c r="N132" s="822"/>
      <c r="O132" s="55">
        <f t="shared" ref="O132:O135" si="168">N132+M132</f>
        <v>0</v>
      </c>
      <c r="P132" s="57"/>
    </row>
    <row r="133" spans="1:16" ht="15" customHeight="1" x14ac:dyDescent="0.25">
      <c r="A133" s="51">
        <v>2312</v>
      </c>
      <c r="B133" s="88" t="s">
        <v>150</v>
      </c>
      <c r="C133" s="89">
        <f t="shared" si="102"/>
        <v>4854</v>
      </c>
      <c r="D133" s="194">
        <v>4854</v>
      </c>
      <c r="E133" s="195"/>
      <c r="F133" s="55">
        <f t="shared" si="165"/>
        <v>4854</v>
      </c>
      <c r="G133" s="53"/>
      <c r="H133" s="54"/>
      <c r="I133" s="55">
        <f t="shared" si="166"/>
        <v>0</v>
      </c>
      <c r="J133" s="53"/>
      <c r="K133" s="54"/>
      <c r="L133" s="55">
        <f t="shared" si="167"/>
        <v>0</v>
      </c>
      <c r="M133" s="53"/>
      <c r="N133" s="54"/>
      <c r="O133" s="55">
        <f t="shared" si="168"/>
        <v>0</v>
      </c>
      <c r="P133" s="57"/>
    </row>
    <row r="134" spans="1:16" ht="15.75" customHeight="1" x14ac:dyDescent="0.25">
      <c r="A134" s="51">
        <v>2313</v>
      </c>
      <c r="B134" s="88" t="s">
        <v>151</v>
      </c>
      <c r="C134" s="89">
        <f t="shared" si="102"/>
        <v>60</v>
      </c>
      <c r="D134" s="194">
        <v>60</v>
      </c>
      <c r="E134" s="195"/>
      <c r="F134" s="55">
        <f t="shared" si="165"/>
        <v>60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300</v>
      </c>
      <c r="D135" s="194">
        <v>300</v>
      </c>
      <c r="E135" s="195"/>
      <c r="F135" s="55">
        <f t="shared" si="165"/>
        <v>300</v>
      </c>
      <c r="G135" s="53"/>
      <c r="H135" s="54"/>
      <c r="I135" s="55">
        <f t="shared" si="166"/>
        <v>0</v>
      </c>
      <c r="J135" s="53"/>
      <c r="K135" s="54"/>
      <c r="L135" s="55">
        <f t="shared" si="167"/>
        <v>0</v>
      </c>
      <c r="M135" s="53"/>
      <c r="N135" s="54"/>
      <c r="O135" s="55">
        <f t="shared" si="168"/>
        <v>0</v>
      </c>
      <c r="P135" s="57"/>
    </row>
    <row r="136" spans="1:16" ht="15.75" customHeight="1" x14ac:dyDescent="0.25">
      <c r="A136" s="188">
        <v>2320</v>
      </c>
      <c r="B136" s="88" t="s">
        <v>153</v>
      </c>
      <c r="C136" s="89">
        <f t="shared" si="102"/>
        <v>65</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65</v>
      </c>
      <c r="K136" s="190">
        <f t="shared" ref="K136:L136" si="171">SUM(K137:K139)</f>
        <v>0</v>
      </c>
      <c r="L136" s="55">
        <f t="shared" si="171"/>
        <v>65</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5" customHeight="1" x14ac:dyDescent="0.25">
      <c r="A138" s="51">
        <v>2322</v>
      </c>
      <c r="B138" s="88" t="s">
        <v>155</v>
      </c>
      <c r="C138" s="89">
        <f t="shared" si="102"/>
        <v>65</v>
      </c>
      <c r="D138" s="194"/>
      <c r="E138" s="195"/>
      <c r="F138" s="55">
        <f t="shared" si="173"/>
        <v>0</v>
      </c>
      <c r="G138" s="53"/>
      <c r="H138" s="54"/>
      <c r="I138" s="55">
        <f t="shared" si="174"/>
        <v>0</v>
      </c>
      <c r="J138" s="53">
        <v>65</v>
      </c>
      <c r="K138" s="54"/>
      <c r="L138" s="55">
        <f t="shared" si="175"/>
        <v>65</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9.5" customHeight="1" x14ac:dyDescent="0.25">
      <c r="A141" s="188">
        <v>2340</v>
      </c>
      <c r="B141" s="88" t="s">
        <v>158</v>
      </c>
      <c r="C141" s="89">
        <f t="shared" si="102"/>
        <v>50</v>
      </c>
      <c r="D141" s="189">
        <f>SUM(D142:D143)</f>
        <v>50</v>
      </c>
      <c r="E141" s="190">
        <f t="shared" ref="E141:F141" si="177">SUM(E142:E143)</f>
        <v>0</v>
      </c>
      <c r="F141" s="55">
        <f t="shared" si="177"/>
        <v>50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4.25" customHeight="1" x14ac:dyDescent="0.25">
      <c r="A142" s="51">
        <v>2341</v>
      </c>
      <c r="B142" s="88" t="s">
        <v>159</v>
      </c>
      <c r="C142" s="89">
        <f t="shared" si="102"/>
        <v>50</v>
      </c>
      <c r="D142" s="194">
        <v>50</v>
      </c>
      <c r="E142" s="195"/>
      <c r="F142" s="55">
        <f t="shared" ref="F142:F143" si="181">D142+E142</f>
        <v>50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5.5" customHeight="1" x14ac:dyDescent="0.25">
      <c r="A144" s="185">
        <v>2350</v>
      </c>
      <c r="B144" s="137" t="s">
        <v>161</v>
      </c>
      <c r="C144" s="142">
        <f t="shared" si="102"/>
        <v>3125</v>
      </c>
      <c r="D144" s="186">
        <f>SUM(D145:D150)</f>
        <v>3125</v>
      </c>
      <c r="E144" s="187">
        <f t="shared" ref="E144:F144" si="185">SUM(E145:E150)</f>
        <v>0</v>
      </c>
      <c r="F144" s="140">
        <f t="shared" si="185"/>
        <v>3125</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4.25" customHeight="1" x14ac:dyDescent="0.25">
      <c r="A145" s="44">
        <v>2351</v>
      </c>
      <c r="B145" s="81" t="s">
        <v>162</v>
      </c>
      <c r="C145" s="82">
        <f t="shared" si="102"/>
        <v>1100</v>
      </c>
      <c r="D145" s="196">
        <v>1100</v>
      </c>
      <c r="E145" s="197"/>
      <c r="F145" s="133">
        <f t="shared" ref="F145:F150" si="189">D145+E145</f>
        <v>1100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5" customHeight="1" x14ac:dyDescent="0.25">
      <c r="A146" s="51">
        <v>2352</v>
      </c>
      <c r="B146" s="88" t="s">
        <v>163</v>
      </c>
      <c r="C146" s="89">
        <f t="shared" si="102"/>
        <v>1940</v>
      </c>
      <c r="D146" s="194">
        <v>1940</v>
      </c>
      <c r="E146" s="195"/>
      <c r="F146" s="55">
        <f t="shared" si="189"/>
        <v>1940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75" customHeight="1" x14ac:dyDescent="0.25">
      <c r="A149" s="51">
        <v>2355</v>
      </c>
      <c r="B149" s="88" t="s">
        <v>166</v>
      </c>
      <c r="C149" s="89">
        <f t="shared" si="193"/>
        <v>85</v>
      </c>
      <c r="D149" s="194">
        <v>85</v>
      </c>
      <c r="E149" s="195"/>
      <c r="F149" s="55">
        <f t="shared" si="189"/>
        <v>85</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6.25" customHeight="1" x14ac:dyDescent="0.25">
      <c r="A151" s="188">
        <v>2360</v>
      </c>
      <c r="B151" s="88" t="s">
        <v>168</v>
      </c>
      <c r="C151" s="89">
        <f t="shared" si="193"/>
        <v>600</v>
      </c>
      <c r="D151" s="189">
        <f>SUM(D152:D158)</f>
        <v>600</v>
      </c>
      <c r="E151" s="190">
        <f t="shared" ref="E151:F151" si="194">SUM(E152:E158)</f>
        <v>0</v>
      </c>
      <c r="F151" s="55">
        <f t="shared" si="194"/>
        <v>600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5.75" customHeight="1" x14ac:dyDescent="0.25">
      <c r="A152" s="50">
        <v>2361</v>
      </c>
      <c r="B152" s="88" t="s">
        <v>169</v>
      </c>
      <c r="C152" s="89">
        <f t="shared" si="193"/>
        <v>120</v>
      </c>
      <c r="D152" s="194">
        <v>120</v>
      </c>
      <c r="E152" s="195"/>
      <c r="F152" s="55">
        <f t="shared" ref="F152:F159" si="198">D152+E152</f>
        <v>120</v>
      </c>
      <c r="G152" s="53"/>
      <c r="H152" s="54"/>
      <c r="I152" s="55">
        <f t="shared" ref="I152:I159" si="199">G152+H152</f>
        <v>0</v>
      </c>
      <c r="J152" s="53"/>
      <c r="K152" s="54"/>
      <c r="L152" s="55">
        <f t="shared" ref="L152:L159" si="200">K152+J152</f>
        <v>0</v>
      </c>
      <c r="M152" s="53"/>
      <c r="N152" s="54"/>
      <c r="O152" s="55">
        <f t="shared" ref="O152:O159" si="201">N152+M152</f>
        <v>0</v>
      </c>
      <c r="P152" s="57"/>
    </row>
    <row r="153" spans="1:16" ht="27" customHeight="1" x14ac:dyDescent="0.25">
      <c r="A153" s="50">
        <v>2362</v>
      </c>
      <c r="B153" s="88" t="s">
        <v>170</v>
      </c>
      <c r="C153" s="89">
        <f t="shared" si="193"/>
        <v>200</v>
      </c>
      <c r="D153" s="194">
        <v>200</v>
      </c>
      <c r="E153" s="195"/>
      <c r="F153" s="55">
        <f t="shared" si="198"/>
        <v>200</v>
      </c>
      <c r="G153" s="53"/>
      <c r="H153" s="54"/>
      <c r="I153" s="55">
        <f t="shared" si="199"/>
        <v>0</v>
      </c>
      <c r="J153" s="53"/>
      <c r="K153" s="54"/>
      <c r="L153" s="55">
        <f t="shared" si="200"/>
        <v>0</v>
      </c>
      <c r="M153" s="53"/>
      <c r="N153" s="54"/>
      <c r="O153" s="55">
        <f t="shared" si="201"/>
        <v>0</v>
      </c>
      <c r="P153" s="57"/>
    </row>
    <row r="154" spans="1:16" ht="15.75" customHeight="1" x14ac:dyDescent="0.25">
      <c r="A154" s="50">
        <v>2363</v>
      </c>
      <c r="B154" s="88" t="s">
        <v>171</v>
      </c>
      <c r="C154" s="89">
        <f t="shared" si="193"/>
        <v>280</v>
      </c>
      <c r="D154" s="194">
        <v>280</v>
      </c>
      <c r="E154" s="827"/>
      <c r="F154" s="55">
        <f t="shared" si="198"/>
        <v>280</v>
      </c>
      <c r="G154" s="53"/>
      <c r="H154" s="54"/>
      <c r="I154" s="55">
        <f t="shared" si="199"/>
        <v>0</v>
      </c>
      <c r="J154" s="53"/>
      <c r="K154" s="54"/>
      <c r="L154" s="55">
        <f t="shared" si="200"/>
        <v>0</v>
      </c>
      <c r="M154" s="53"/>
      <c r="N154" s="54"/>
      <c r="O154" s="55">
        <f t="shared" si="201"/>
        <v>0</v>
      </c>
      <c r="P154" s="288"/>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4.25" customHeight="1" x14ac:dyDescent="0.25">
      <c r="A159" s="185">
        <v>2370</v>
      </c>
      <c r="B159" s="137" t="s">
        <v>176</v>
      </c>
      <c r="C159" s="142">
        <f t="shared" si="193"/>
        <v>4467</v>
      </c>
      <c r="D159" s="202">
        <v>3306</v>
      </c>
      <c r="E159" s="203"/>
      <c r="F159" s="140">
        <f t="shared" si="198"/>
        <v>3306</v>
      </c>
      <c r="G159" s="143">
        <v>1161</v>
      </c>
      <c r="H159" s="144"/>
      <c r="I159" s="140">
        <f t="shared" si="199"/>
        <v>1161</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8.5" customHeight="1" x14ac:dyDescent="0.25">
      <c r="A165" s="68">
        <v>2500</v>
      </c>
      <c r="B165" s="182" t="s">
        <v>182</v>
      </c>
      <c r="C165" s="69">
        <f t="shared" si="193"/>
        <v>523</v>
      </c>
      <c r="D165" s="183">
        <f>SUM(D166,D171)</f>
        <v>523</v>
      </c>
      <c r="E165" s="184">
        <f t="shared" ref="E165:O165" si="210">SUM(E166,E171)</f>
        <v>0</v>
      </c>
      <c r="F165" s="72">
        <f t="shared" si="210"/>
        <v>523</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27" customHeight="1" x14ac:dyDescent="0.25">
      <c r="A166" s="293">
        <v>2510</v>
      </c>
      <c r="B166" s="81" t="s">
        <v>183</v>
      </c>
      <c r="C166" s="82">
        <f t="shared" si="193"/>
        <v>523</v>
      </c>
      <c r="D166" s="192">
        <f>SUM(D167:D170)</f>
        <v>523</v>
      </c>
      <c r="E166" s="193">
        <f t="shared" ref="E166:O166" si="211">SUM(E167:E170)</f>
        <v>0</v>
      </c>
      <c r="F166" s="133">
        <f t="shared" si="211"/>
        <v>523</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9" customHeight="1" x14ac:dyDescent="0.25">
      <c r="A168" s="51">
        <v>2513</v>
      </c>
      <c r="B168" s="88" t="s">
        <v>185</v>
      </c>
      <c r="C168" s="89">
        <f t="shared" si="193"/>
        <v>523</v>
      </c>
      <c r="D168" s="194">
        <v>523</v>
      </c>
      <c r="E168" s="195"/>
      <c r="F168" s="55">
        <f t="shared" si="212"/>
        <v>523</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5.5" customHeight="1" x14ac:dyDescent="0.25">
      <c r="A194" s="224"/>
      <c r="B194" s="23" t="s">
        <v>211</v>
      </c>
      <c r="C194" s="171">
        <f t="shared" si="193"/>
        <v>7484</v>
      </c>
      <c r="D194" s="172">
        <f t="shared" ref="D194:O194" si="259">SUM(D195,D230,D269,D283)</f>
        <v>3025</v>
      </c>
      <c r="E194" s="173">
        <f t="shared" si="259"/>
        <v>2556</v>
      </c>
      <c r="F194" s="174">
        <f t="shared" si="259"/>
        <v>5581</v>
      </c>
      <c r="G194" s="172">
        <f t="shared" si="259"/>
        <v>1903</v>
      </c>
      <c r="H194" s="173">
        <f t="shared" si="259"/>
        <v>0</v>
      </c>
      <c r="I194" s="174">
        <f t="shared" si="259"/>
        <v>1903</v>
      </c>
      <c r="J194" s="172">
        <f t="shared" si="259"/>
        <v>0</v>
      </c>
      <c r="K194" s="173">
        <f t="shared" si="259"/>
        <v>0</v>
      </c>
      <c r="L194" s="174">
        <f t="shared" si="259"/>
        <v>0</v>
      </c>
      <c r="M194" s="172">
        <f t="shared" si="259"/>
        <v>0</v>
      </c>
      <c r="N194" s="173">
        <f t="shared" si="259"/>
        <v>0</v>
      </c>
      <c r="O194" s="174">
        <f t="shared" si="259"/>
        <v>0</v>
      </c>
      <c r="P194" s="175"/>
    </row>
    <row r="195" spans="1:16" ht="12.75" customHeight="1" x14ac:dyDescent="0.25">
      <c r="A195" s="176">
        <v>5000</v>
      </c>
      <c r="B195" s="176" t="s">
        <v>212</v>
      </c>
      <c r="C195" s="177">
        <f t="shared" si="193"/>
        <v>7484</v>
      </c>
      <c r="D195" s="178">
        <f>D196+D204</f>
        <v>3025</v>
      </c>
      <c r="E195" s="179">
        <f t="shared" ref="E195:F195" si="260">E196+E204</f>
        <v>2556</v>
      </c>
      <c r="F195" s="180">
        <f t="shared" si="260"/>
        <v>5581</v>
      </c>
      <c r="G195" s="178">
        <f>G196+G204</f>
        <v>1903</v>
      </c>
      <c r="H195" s="179">
        <f t="shared" ref="H195:I195" si="261">H196+H204</f>
        <v>0</v>
      </c>
      <c r="I195" s="180">
        <f t="shared" si="261"/>
        <v>1903</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t="13.5" customHeight="1" x14ac:dyDescent="0.25">
      <c r="A196" s="68">
        <v>5100</v>
      </c>
      <c r="B196" s="182" t="s">
        <v>213</v>
      </c>
      <c r="C196" s="69">
        <f t="shared" si="193"/>
        <v>240</v>
      </c>
      <c r="D196" s="183">
        <f>D197+D198+D201+D202+D203</f>
        <v>240</v>
      </c>
      <c r="E196" s="184">
        <f t="shared" ref="E196:F196" si="264">E197+E198+E201+E202+E203</f>
        <v>0</v>
      </c>
      <c r="F196" s="72">
        <f t="shared" si="264"/>
        <v>240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x14ac:dyDescent="0.25">
      <c r="A198" s="188">
        <v>5120</v>
      </c>
      <c r="B198" s="88" t="s">
        <v>215</v>
      </c>
      <c r="C198" s="89">
        <f t="shared" si="193"/>
        <v>240</v>
      </c>
      <c r="D198" s="189">
        <f>D199+D200</f>
        <v>240</v>
      </c>
      <c r="E198" s="190">
        <f t="shared" ref="E198:F198" si="268">E199+E200</f>
        <v>0</v>
      </c>
      <c r="F198" s="55">
        <f t="shared" si="268"/>
        <v>240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3.5" customHeight="1" x14ac:dyDescent="0.25">
      <c r="A199" s="51">
        <v>5121</v>
      </c>
      <c r="B199" s="88" t="s">
        <v>216</v>
      </c>
      <c r="C199" s="89">
        <f t="shared" si="193"/>
        <v>240</v>
      </c>
      <c r="D199" s="194">
        <v>240</v>
      </c>
      <c r="E199" s="828"/>
      <c r="F199" s="55">
        <f t="shared" ref="F199:F203" si="272">D199+E199</f>
        <v>240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t="15.75" customHeight="1" x14ac:dyDescent="0.25">
      <c r="A204" s="68">
        <v>5200</v>
      </c>
      <c r="B204" s="182" t="s">
        <v>221</v>
      </c>
      <c r="C204" s="69">
        <f t="shared" si="193"/>
        <v>7244</v>
      </c>
      <c r="D204" s="183">
        <f>D205+D215+D216+D225+D226+D227+D229</f>
        <v>2785</v>
      </c>
      <c r="E204" s="184">
        <f t="shared" ref="E204:F204" si="276">E205+E215+E216+E225+E226+E227+E229</f>
        <v>2556</v>
      </c>
      <c r="F204" s="72">
        <f t="shared" si="276"/>
        <v>5341</v>
      </c>
      <c r="G204" s="183">
        <f>G205+G215+G216+G225+G226+G227+G229</f>
        <v>1903</v>
      </c>
      <c r="H204" s="184">
        <f t="shared" ref="H204:I204" si="277">H205+H215+H216+H225+H226+H227+H229</f>
        <v>0</v>
      </c>
      <c r="I204" s="72">
        <f t="shared" si="277"/>
        <v>1903</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t="14.25" customHeight="1" x14ac:dyDescent="0.25">
      <c r="A216" s="188">
        <v>5230</v>
      </c>
      <c r="B216" s="88" t="s">
        <v>233</v>
      </c>
      <c r="C216" s="89">
        <f t="shared" si="288"/>
        <v>7244</v>
      </c>
      <c r="D216" s="189">
        <f>SUM(D217:D224)</f>
        <v>2785</v>
      </c>
      <c r="E216" s="190">
        <f t="shared" ref="E216:F216" si="289">SUM(E217:E224)</f>
        <v>2556</v>
      </c>
      <c r="F216" s="55">
        <f t="shared" si="289"/>
        <v>5341</v>
      </c>
      <c r="G216" s="189">
        <f>SUM(G217:G224)</f>
        <v>1903</v>
      </c>
      <c r="H216" s="190">
        <f t="shared" ref="H216:I216" si="290">SUM(H217:H224)</f>
        <v>0</v>
      </c>
      <c r="I216" s="55">
        <f t="shared" si="290"/>
        <v>1903</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4.25" customHeight="1" x14ac:dyDescent="0.25">
      <c r="A219" s="51">
        <v>5233</v>
      </c>
      <c r="B219" s="88" t="s">
        <v>236</v>
      </c>
      <c r="C219" s="89">
        <f t="shared" si="288"/>
        <v>2688</v>
      </c>
      <c r="D219" s="194">
        <v>785</v>
      </c>
      <c r="E219" s="195"/>
      <c r="F219" s="55">
        <f t="shared" si="293"/>
        <v>785</v>
      </c>
      <c r="G219" s="53">
        <v>1903</v>
      </c>
      <c r="H219" s="54"/>
      <c r="I219" s="55">
        <f t="shared" si="294"/>
        <v>1903</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5.5" customHeight="1" x14ac:dyDescent="0.25">
      <c r="A223" s="51">
        <v>5238</v>
      </c>
      <c r="B223" s="88" t="s">
        <v>240</v>
      </c>
      <c r="C223" s="89">
        <f t="shared" si="288"/>
        <v>2000</v>
      </c>
      <c r="D223" s="194">
        <v>2000</v>
      </c>
      <c r="E223" s="195"/>
      <c r="F223" s="55">
        <f t="shared" si="293"/>
        <v>2000</v>
      </c>
      <c r="G223" s="53"/>
      <c r="H223" s="54"/>
      <c r="I223" s="55">
        <f t="shared" si="294"/>
        <v>0</v>
      </c>
      <c r="J223" s="53"/>
      <c r="K223" s="54"/>
      <c r="L223" s="55">
        <f t="shared" si="295"/>
        <v>0</v>
      </c>
      <c r="M223" s="53"/>
      <c r="N223" s="54"/>
      <c r="O223" s="55">
        <f t="shared" si="296"/>
        <v>0</v>
      </c>
      <c r="P223" s="57"/>
    </row>
    <row r="224" spans="1:16" ht="29.25" customHeight="1" x14ac:dyDescent="0.25">
      <c r="A224" s="51">
        <v>5239</v>
      </c>
      <c r="B224" s="88" t="s">
        <v>241</v>
      </c>
      <c r="C224" s="89">
        <f t="shared" si="288"/>
        <v>2556</v>
      </c>
      <c r="D224" s="194"/>
      <c r="E224" s="615">
        <v>2556</v>
      </c>
      <c r="F224" s="55">
        <f t="shared" si="293"/>
        <v>2556</v>
      </c>
      <c r="G224" s="53"/>
      <c r="H224" s="54"/>
      <c r="I224" s="55">
        <f t="shared" si="294"/>
        <v>0</v>
      </c>
      <c r="J224" s="53"/>
      <c r="K224" s="54"/>
      <c r="L224" s="55">
        <f t="shared" si="295"/>
        <v>0</v>
      </c>
      <c r="M224" s="53"/>
      <c r="N224" s="54"/>
      <c r="O224" s="55">
        <f t="shared" si="296"/>
        <v>0</v>
      </c>
      <c r="P224" s="57" t="s">
        <v>1024</v>
      </c>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666512</v>
      </c>
      <c r="D289" s="251">
        <f t="shared" ref="D289:O289" si="389">SUM(D286,D269,D230,D195,D187,D173,D75,D53,D283)</f>
        <v>317042</v>
      </c>
      <c r="E289" s="252">
        <f t="shared" si="389"/>
        <v>2556</v>
      </c>
      <c r="F289" s="253">
        <f t="shared" si="389"/>
        <v>319598</v>
      </c>
      <c r="G289" s="251">
        <f t="shared" si="389"/>
        <v>343290</v>
      </c>
      <c r="H289" s="252">
        <f t="shared" si="389"/>
        <v>0</v>
      </c>
      <c r="I289" s="253">
        <f t="shared" si="389"/>
        <v>343290</v>
      </c>
      <c r="J289" s="251">
        <f t="shared" si="389"/>
        <v>3735</v>
      </c>
      <c r="K289" s="252">
        <f t="shared" si="389"/>
        <v>-112</v>
      </c>
      <c r="L289" s="253">
        <f t="shared" si="389"/>
        <v>3623</v>
      </c>
      <c r="M289" s="251">
        <f t="shared" si="389"/>
        <v>1</v>
      </c>
      <c r="N289" s="252">
        <f t="shared" si="389"/>
        <v>0</v>
      </c>
      <c r="O289" s="253">
        <f t="shared" si="389"/>
        <v>1</v>
      </c>
      <c r="P289" s="254"/>
    </row>
    <row r="290" spans="1:16" s="28" customFormat="1" ht="13.5" thickTop="1" thickBot="1" x14ac:dyDescent="0.3">
      <c r="A290" s="1945" t="s">
        <v>309</v>
      </c>
      <c r="B290" s="1946"/>
      <c r="C290" s="255">
        <f t="shared" si="371"/>
        <v>-101</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-100</v>
      </c>
      <c r="K290" s="257">
        <f t="shared" ref="K290:L290" si="392">(K26+K43)-K51</f>
        <v>0</v>
      </c>
      <c r="L290" s="258">
        <f t="shared" si="392"/>
        <v>-100</v>
      </c>
      <c r="M290" s="256">
        <f>M45-M51</f>
        <v>-1</v>
      </c>
      <c r="N290" s="257">
        <f t="shared" ref="N290:O290" si="393">N45-N51</f>
        <v>0</v>
      </c>
      <c r="O290" s="258">
        <f t="shared" si="393"/>
        <v>-1</v>
      </c>
      <c r="P290" s="259"/>
    </row>
    <row r="291" spans="1:16" s="28" customFormat="1" ht="12.75" thickTop="1" x14ac:dyDescent="0.25">
      <c r="A291" s="1947" t="s">
        <v>310</v>
      </c>
      <c r="B291" s="1948"/>
      <c r="C291" s="260">
        <f t="shared" si="371"/>
        <v>101</v>
      </c>
      <c r="D291" s="261">
        <f t="shared" ref="D291:O291" si="394">SUM(D292,D293)-D300+D301</f>
        <v>0</v>
      </c>
      <c r="E291" s="262">
        <f t="shared" si="394"/>
        <v>0</v>
      </c>
      <c r="F291" s="263">
        <f t="shared" si="394"/>
        <v>0</v>
      </c>
      <c r="G291" s="261">
        <f t="shared" si="394"/>
        <v>0</v>
      </c>
      <c r="H291" s="262">
        <f t="shared" si="394"/>
        <v>0</v>
      </c>
      <c r="I291" s="263">
        <f t="shared" si="394"/>
        <v>0</v>
      </c>
      <c r="J291" s="261">
        <f t="shared" si="394"/>
        <v>100</v>
      </c>
      <c r="K291" s="262">
        <f t="shared" si="394"/>
        <v>0</v>
      </c>
      <c r="L291" s="263">
        <f t="shared" si="394"/>
        <v>100</v>
      </c>
      <c r="M291" s="261">
        <f t="shared" si="394"/>
        <v>1</v>
      </c>
      <c r="N291" s="262">
        <f t="shared" si="394"/>
        <v>0</v>
      </c>
      <c r="O291" s="263">
        <f t="shared" si="394"/>
        <v>1</v>
      </c>
      <c r="P291" s="264"/>
    </row>
    <row r="292" spans="1:16" s="28" customFormat="1" ht="12.75" thickBot="1" x14ac:dyDescent="0.3">
      <c r="A292" s="156" t="s">
        <v>311</v>
      </c>
      <c r="B292" s="156" t="s">
        <v>312</v>
      </c>
      <c r="C292" s="157">
        <f t="shared" si="371"/>
        <v>101</v>
      </c>
      <c r="D292" s="158">
        <f t="shared" ref="D292:O292" si="395">D21-D286</f>
        <v>0</v>
      </c>
      <c r="E292" s="159">
        <f t="shared" si="395"/>
        <v>0</v>
      </c>
      <c r="F292" s="160">
        <f t="shared" si="395"/>
        <v>0</v>
      </c>
      <c r="G292" s="158">
        <f t="shared" si="395"/>
        <v>0</v>
      </c>
      <c r="H292" s="159">
        <f t="shared" si="395"/>
        <v>0</v>
      </c>
      <c r="I292" s="160">
        <f t="shared" si="395"/>
        <v>0</v>
      </c>
      <c r="J292" s="158">
        <f t="shared" si="395"/>
        <v>100</v>
      </c>
      <c r="K292" s="159">
        <f t="shared" si="395"/>
        <v>0</v>
      </c>
      <c r="L292" s="160">
        <f t="shared" si="395"/>
        <v>100</v>
      </c>
      <c r="M292" s="158">
        <f t="shared" si="395"/>
        <v>1</v>
      </c>
      <c r="N292" s="159">
        <f t="shared" si="395"/>
        <v>0</v>
      </c>
      <c r="O292" s="160">
        <f t="shared" si="395"/>
        <v>1</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si2NeVfNazvvfSralJfwNoAA/2HHozqQwBmA0cMjSUZ1nD1FSRksVh8fQO1q3cu4FiBG8b0K0c8fNmwVWd8L/g==" saltValue="tGNiNU7OoMsBnHvEKPC3Og==" spinCount="100000" sheet="1" objects="1" scenarios="1" formatCells="0" formatColumns="0" formatRows="0" deleteColumns="0"/>
  <autoFilter ref="A18:P301">
    <filterColumn colId="2">
      <filters>
        <filter val="1"/>
        <filter val="1 029"/>
        <filter val="1 100"/>
        <filter val="1 133"/>
        <filter val="1 196"/>
        <filter val="1 197"/>
        <filter val="1 480"/>
        <filter val="1 718"/>
        <filter val="1 940"/>
        <filter val="101"/>
        <filter val="-101"/>
        <filter val="114 880"/>
        <filter val="116"/>
        <filter val="12 955"/>
        <filter val="120"/>
        <filter val="140"/>
        <filter val="141 374"/>
        <filter val="15 001"/>
        <filter val="16 236"/>
        <filter val="17 315"/>
        <filter val="17 456"/>
        <filter val="2 000"/>
        <filter val="2 080"/>
        <filter val="2 317"/>
        <filter val="2 556"/>
        <filter val="2 688"/>
        <filter val="2 788"/>
        <filter val="20"/>
        <filter val="200"/>
        <filter val="240"/>
        <filter val="26 494"/>
        <filter val="27 721"/>
        <filter val="280"/>
        <filter val="3 125"/>
        <filter val="3 323"/>
        <filter val="300"/>
        <filter val="31 053"/>
        <filter val="329"/>
        <filter val="353"/>
        <filter val="389"/>
        <filter val="4 140"/>
        <filter val="4 172"/>
        <filter val="4 467"/>
        <filter val="4 854"/>
        <filter val="422 216"/>
        <filter val="456 057"/>
        <filter val="46 073"/>
        <filter val="481"/>
        <filter val="5 218"/>
        <filter val="5 272"/>
        <filter val="5 732"/>
        <filter val="50"/>
        <filter val="500"/>
        <filter val="523"/>
        <filter val="530"/>
        <filter val="597 431"/>
        <filter val="6 694"/>
        <filter val="60"/>
        <filter val="600"/>
        <filter val="61 597"/>
        <filter val="65"/>
        <filter val="659"/>
        <filter val="659 028"/>
        <filter val="662 888"/>
        <filter val="666 512"/>
        <filter val="7 244"/>
        <filter val="7 348"/>
        <filter val="7 484"/>
        <filter val="730"/>
        <filter val="8 538"/>
        <filter val="819"/>
        <filter val="85"/>
        <filter val="99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52.pielikums Jūrmalas pilsētas domes
2019.gada 29.augusta saistošajiem noteikumiem Nr.31
(protokols Nr.12, 20.punkts)
 </firstHeader>
    <firstFooter>&amp;L&amp;9&amp;D; &amp;T&amp;R&amp;9&amp;P (&amp;N)</first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Q8" sqref="Q8"/>
    </sheetView>
  </sheetViews>
  <sheetFormatPr defaultRowHeight="12" outlineLevelCol="1" x14ac:dyDescent="0.25"/>
  <cols>
    <col min="1" max="1" width="7.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8.5703125" style="200"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865</v>
      </c>
      <c r="P1" s="732"/>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866</v>
      </c>
      <c r="D3" s="1977"/>
      <c r="E3" s="1977"/>
      <c r="F3" s="1977"/>
      <c r="G3" s="1977"/>
      <c r="H3" s="1977"/>
      <c r="I3" s="1977"/>
      <c r="J3" s="1977"/>
      <c r="K3" s="1977"/>
      <c r="L3" s="1977"/>
      <c r="M3" s="1977"/>
      <c r="N3" s="1977"/>
      <c r="O3" s="1977"/>
      <c r="P3" s="1978"/>
      <c r="Q3" s="276"/>
    </row>
    <row r="4" spans="1:17" ht="12.75" customHeight="1" x14ac:dyDescent="0.25">
      <c r="A4" s="5" t="s">
        <v>4</v>
      </c>
      <c r="B4" s="6"/>
      <c r="C4" s="1977" t="s">
        <v>867</v>
      </c>
      <c r="D4" s="1977"/>
      <c r="E4" s="1977"/>
      <c r="F4" s="1977"/>
      <c r="G4" s="1977"/>
      <c r="H4" s="1977"/>
      <c r="I4" s="1977"/>
      <c r="J4" s="1977"/>
      <c r="K4" s="1977"/>
      <c r="L4" s="1977"/>
      <c r="M4" s="1977"/>
      <c r="N4" s="1977"/>
      <c r="O4" s="1977"/>
      <c r="P4" s="1978"/>
      <c r="Q4" s="276"/>
    </row>
    <row r="5" spans="1:17" ht="12.75" customHeight="1" x14ac:dyDescent="0.25">
      <c r="A5" s="7" t="s">
        <v>6</v>
      </c>
      <c r="B5" s="8"/>
      <c r="C5" s="1972" t="s">
        <v>868</v>
      </c>
      <c r="D5" s="1972"/>
      <c r="E5" s="1972"/>
      <c r="F5" s="1972"/>
      <c r="G5" s="1972"/>
      <c r="H5" s="1972"/>
      <c r="I5" s="1972"/>
      <c r="J5" s="1972"/>
      <c r="K5" s="1972"/>
      <c r="L5" s="1972"/>
      <c r="M5" s="1972"/>
      <c r="N5" s="1972"/>
      <c r="O5" s="1972"/>
      <c r="P5" s="1973"/>
      <c r="Q5" s="276"/>
    </row>
    <row r="6" spans="1:17" ht="12.75" customHeight="1" x14ac:dyDescent="0.25">
      <c r="A6" s="7" t="s">
        <v>8</v>
      </c>
      <c r="B6" s="8"/>
      <c r="C6" s="1972" t="s">
        <v>853</v>
      </c>
      <c r="D6" s="1972"/>
      <c r="E6" s="1972"/>
      <c r="F6" s="1972"/>
      <c r="G6" s="1972"/>
      <c r="H6" s="1972"/>
      <c r="I6" s="1972"/>
      <c r="J6" s="1972"/>
      <c r="K6" s="1972"/>
      <c r="L6" s="1972"/>
      <c r="M6" s="1972"/>
      <c r="N6" s="1972"/>
      <c r="O6" s="1972"/>
      <c r="P6" s="1973"/>
      <c r="Q6" s="276"/>
    </row>
    <row r="7" spans="1:17" ht="25.5" customHeight="1" x14ac:dyDescent="0.25">
      <c r="A7" s="7" t="s">
        <v>10</v>
      </c>
      <c r="B7" s="8"/>
      <c r="C7" s="1977" t="s">
        <v>869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870</v>
      </c>
      <c r="D9" s="1972"/>
      <c r="E9" s="1972"/>
      <c r="F9" s="1972"/>
      <c r="G9" s="1972"/>
      <c r="H9" s="1972"/>
      <c r="I9" s="1972"/>
      <c r="J9" s="1972"/>
      <c r="K9" s="1972"/>
      <c r="L9" s="1972"/>
      <c r="M9" s="1972"/>
      <c r="N9" s="1972"/>
      <c r="O9" s="1972"/>
      <c r="P9" s="1973"/>
      <c r="Q9" s="276"/>
    </row>
    <row r="10" spans="1:17" ht="12.75" customHeight="1" x14ac:dyDescent="0.25">
      <c r="A10" s="7"/>
      <c r="B10" s="8" t="s">
        <v>15</v>
      </c>
      <c r="C10" s="1972" t="s">
        <v>871</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872</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733">
        <v>16</v>
      </c>
    </row>
    <row r="19" spans="1:16" s="28" customFormat="1" ht="12" hidden="1" customHeight="1" x14ac:dyDescent="0.25">
      <c r="A19" s="22"/>
      <c r="B19" s="23" t="s">
        <v>38</v>
      </c>
      <c r="C19" s="24"/>
      <c r="D19" s="25"/>
      <c r="E19" s="26"/>
      <c r="F19" s="27"/>
      <c r="G19" s="25"/>
      <c r="H19" s="26"/>
      <c r="I19" s="27"/>
      <c r="J19" s="25"/>
      <c r="K19" s="26"/>
      <c r="L19" s="27"/>
      <c r="M19" s="25"/>
      <c r="N19" s="26"/>
      <c r="O19" s="27"/>
      <c r="P19" s="734"/>
    </row>
    <row r="20" spans="1:16" s="28" customFormat="1" ht="12.75" thickBot="1" x14ac:dyDescent="0.3">
      <c r="A20" s="29"/>
      <c r="B20" s="30" t="s">
        <v>39</v>
      </c>
      <c r="C20" s="31">
        <f t="shared" ref="C20:C83" si="0">F20+I20+L20+O20</f>
        <v>202541</v>
      </c>
      <c r="D20" s="32">
        <f>SUM(D21,D24,D25,D41,D43)</f>
        <v>97131</v>
      </c>
      <c r="E20" s="33">
        <f t="shared" ref="E20:F20" si="1">SUM(E21,E24,E25,E41,E43)</f>
        <v>-22970</v>
      </c>
      <c r="F20" s="34">
        <f t="shared" si="1"/>
        <v>74161</v>
      </c>
      <c r="G20" s="32">
        <f>SUM(G21,G24,G43)</f>
        <v>144886</v>
      </c>
      <c r="H20" s="33">
        <f t="shared" ref="H20:I20" si="2">SUM(H21,H24,H43)</f>
        <v>-16546</v>
      </c>
      <c r="I20" s="34">
        <f t="shared" si="2"/>
        <v>128340</v>
      </c>
      <c r="J20" s="32">
        <f>SUM(J21,J26,J43)</f>
        <v>40</v>
      </c>
      <c r="K20" s="33">
        <f t="shared" ref="K20:L20" si="3">SUM(K21,K26,K43)</f>
        <v>0</v>
      </c>
      <c r="L20" s="34">
        <f t="shared" si="3"/>
        <v>40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5.25" customHeight="1" thickTop="1" thickBot="1" x14ac:dyDescent="0.3">
      <c r="A24" s="58">
        <v>19300</v>
      </c>
      <c r="B24" s="58" t="s">
        <v>43</v>
      </c>
      <c r="C24" s="59">
        <f>F24+I24</f>
        <v>202501</v>
      </c>
      <c r="D24" s="60">
        <v>97131</v>
      </c>
      <c r="E24" s="61">
        <v>-22970</v>
      </c>
      <c r="F24" s="62">
        <f t="shared" si="9"/>
        <v>74161</v>
      </c>
      <c r="G24" s="60">
        <v>144886</v>
      </c>
      <c r="H24" s="61">
        <v>-16546</v>
      </c>
      <c r="I24" s="62">
        <f t="shared" si="10"/>
        <v>128340</v>
      </c>
      <c r="J24" s="63" t="s">
        <v>44</v>
      </c>
      <c r="K24" s="64" t="s">
        <v>44</v>
      </c>
      <c r="L24" s="65" t="s">
        <v>44</v>
      </c>
      <c r="M24" s="63" t="s">
        <v>44</v>
      </c>
      <c r="N24" s="64" t="s">
        <v>44</v>
      </c>
      <c r="O24" s="65" t="s">
        <v>44</v>
      </c>
      <c r="P24" s="57" t="s">
        <v>873</v>
      </c>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thickTop="1" x14ac:dyDescent="0.25">
      <c r="A43" s="80">
        <v>21490</v>
      </c>
      <c r="B43" s="68" t="s">
        <v>63</v>
      </c>
      <c r="C43" s="131">
        <f>F43+I43+L43</f>
        <v>40</v>
      </c>
      <c r="D43" s="77">
        <f>D44</f>
        <v>0</v>
      </c>
      <c r="E43" s="78">
        <f t="shared" ref="E43:L43" si="22">E44</f>
        <v>0</v>
      </c>
      <c r="F43" s="79">
        <f t="shared" si="22"/>
        <v>0</v>
      </c>
      <c r="G43" s="77">
        <f t="shared" si="22"/>
        <v>0</v>
      </c>
      <c r="H43" s="78">
        <f t="shared" si="22"/>
        <v>0</v>
      </c>
      <c r="I43" s="79">
        <f t="shared" si="22"/>
        <v>0</v>
      </c>
      <c r="J43" s="77">
        <f t="shared" si="22"/>
        <v>40</v>
      </c>
      <c r="K43" s="78">
        <f t="shared" si="22"/>
        <v>0</v>
      </c>
      <c r="L43" s="79">
        <f t="shared" si="22"/>
        <v>40</v>
      </c>
      <c r="M43" s="77" t="s">
        <v>44</v>
      </c>
      <c r="N43" s="78" t="s">
        <v>44</v>
      </c>
      <c r="O43" s="79" t="s">
        <v>44</v>
      </c>
      <c r="P43" s="76"/>
    </row>
    <row r="44" spans="1:16" s="28" customFormat="1" ht="24" customHeight="1" x14ac:dyDescent="0.25">
      <c r="A44" s="51">
        <v>21499</v>
      </c>
      <c r="B44" s="88" t="s">
        <v>64</v>
      </c>
      <c r="C44" s="132">
        <f>F44+I44+L44</f>
        <v>40</v>
      </c>
      <c r="D44" s="46"/>
      <c r="E44" s="47"/>
      <c r="F44" s="133">
        <f>D44+E44</f>
        <v>0</v>
      </c>
      <c r="G44" s="46"/>
      <c r="H44" s="47"/>
      <c r="I44" s="133">
        <f>G44+H44</f>
        <v>0</v>
      </c>
      <c r="J44" s="46">
        <v>40</v>
      </c>
      <c r="K44" s="47"/>
      <c r="L44" s="48">
        <f>K44+J44</f>
        <v>40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202541</v>
      </c>
      <c r="D50" s="158">
        <f>SUM(D51,D286)</f>
        <v>97131</v>
      </c>
      <c r="E50" s="159">
        <f t="shared" ref="E50:F50" si="26">SUM(E51,E286)</f>
        <v>-22970</v>
      </c>
      <c r="F50" s="160">
        <f t="shared" si="26"/>
        <v>74161</v>
      </c>
      <c r="G50" s="158">
        <f>SUM(G51,G286)</f>
        <v>144886</v>
      </c>
      <c r="H50" s="159">
        <f>SUM(H51,H286)</f>
        <v>-16546</v>
      </c>
      <c r="I50" s="160">
        <f t="shared" ref="I50" si="27">SUM(I51,I286)</f>
        <v>128340</v>
      </c>
      <c r="J50" s="32">
        <f>SUM(J51,J286)</f>
        <v>40</v>
      </c>
      <c r="K50" s="33">
        <f t="shared" ref="K50:L50" si="28">SUM(K51,K286)</f>
        <v>0</v>
      </c>
      <c r="L50" s="34">
        <f t="shared" si="28"/>
        <v>40</v>
      </c>
      <c r="M50" s="32">
        <f>SUM(M51,M286)</f>
        <v>0</v>
      </c>
      <c r="N50" s="33">
        <f t="shared" ref="N50:O50" si="29">SUM(N51,N286)</f>
        <v>0</v>
      </c>
      <c r="O50" s="34">
        <f t="shared" si="29"/>
        <v>0</v>
      </c>
      <c r="P50" s="35"/>
    </row>
    <row r="51" spans="1:16" s="28" customFormat="1" ht="36.75" thickTop="1" x14ac:dyDescent="0.25">
      <c r="A51" s="161"/>
      <c r="B51" s="162" t="s">
        <v>70</v>
      </c>
      <c r="C51" s="163">
        <f t="shared" si="0"/>
        <v>202331</v>
      </c>
      <c r="D51" s="164">
        <f>SUM(D52,D194)</f>
        <v>97131</v>
      </c>
      <c r="E51" s="165">
        <f t="shared" ref="E51:F51" si="30">SUM(E52,E194)</f>
        <v>-22970</v>
      </c>
      <c r="F51" s="166">
        <f t="shared" si="30"/>
        <v>74161</v>
      </c>
      <c r="G51" s="164">
        <f>SUM(G52,G194)</f>
        <v>144676</v>
      </c>
      <c r="H51" s="165">
        <f t="shared" ref="H51:I51" si="31">SUM(H52,H194)</f>
        <v>-16546</v>
      </c>
      <c r="I51" s="166">
        <f t="shared" si="31"/>
        <v>128130</v>
      </c>
      <c r="J51" s="167">
        <f>SUM(J52,J194)</f>
        <v>40</v>
      </c>
      <c r="K51" s="168">
        <f t="shared" ref="K51:L51" si="32">SUM(K52,K194)</f>
        <v>0</v>
      </c>
      <c r="L51" s="169">
        <f t="shared" si="32"/>
        <v>40</v>
      </c>
      <c r="M51" s="167">
        <f>SUM(M52,M194)</f>
        <v>0</v>
      </c>
      <c r="N51" s="168">
        <f t="shared" ref="N51:O51" si="33">SUM(N52,N194)</f>
        <v>0</v>
      </c>
      <c r="O51" s="169">
        <f t="shared" si="33"/>
        <v>0</v>
      </c>
      <c r="P51" s="170"/>
    </row>
    <row r="52" spans="1:16" s="28" customFormat="1" ht="24" x14ac:dyDescent="0.25">
      <c r="A52" s="24"/>
      <c r="B52" s="22" t="s">
        <v>71</v>
      </c>
      <c r="C52" s="171">
        <f t="shared" si="0"/>
        <v>201759</v>
      </c>
      <c r="D52" s="172">
        <f>SUM(D53,D75,D173,D187)</f>
        <v>96559</v>
      </c>
      <c r="E52" s="173">
        <f t="shared" ref="E52:F52" si="34">SUM(E53,E75,E173,E187)</f>
        <v>-22970</v>
      </c>
      <c r="F52" s="174">
        <f t="shared" si="34"/>
        <v>73589</v>
      </c>
      <c r="G52" s="172">
        <f>SUM(G53,G75,G173,G187)</f>
        <v>143523</v>
      </c>
      <c r="H52" s="173">
        <f t="shared" ref="H52:I52" si="35">SUM(H53,H75,H173,H187)</f>
        <v>-15393</v>
      </c>
      <c r="I52" s="174">
        <f t="shared" si="35"/>
        <v>128130</v>
      </c>
      <c r="J52" s="172">
        <f>SUM(J53,J75,J173,J187)</f>
        <v>40</v>
      </c>
      <c r="K52" s="173">
        <f t="shared" ref="K52:L52" si="36">SUM(K53,K75,K173,K187)</f>
        <v>0</v>
      </c>
      <c r="L52" s="174">
        <f t="shared" si="36"/>
        <v>40</v>
      </c>
      <c r="M52" s="172">
        <f>SUM(M53,M75,M173,M187)</f>
        <v>0</v>
      </c>
      <c r="N52" s="173">
        <f t="shared" ref="N52:O52" si="37">SUM(N53,N75,N173,N187)</f>
        <v>0</v>
      </c>
      <c r="O52" s="174">
        <f t="shared" si="37"/>
        <v>0</v>
      </c>
      <c r="P52" s="175"/>
    </row>
    <row r="53" spans="1:16" s="28" customFormat="1" x14ac:dyDescent="0.25">
      <c r="A53" s="176">
        <v>1000</v>
      </c>
      <c r="B53" s="176" t="s">
        <v>72</v>
      </c>
      <c r="C53" s="177">
        <f t="shared" si="0"/>
        <v>187964</v>
      </c>
      <c r="D53" s="178">
        <f>SUM(D54,D67)</f>
        <v>82804</v>
      </c>
      <c r="E53" s="179">
        <f t="shared" ref="E53:F53" si="38">SUM(E54,E67)</f>
        <v>-22970</v>
      </c>
      <c r="F53" s="180">
        <f t="shared" si="38"/>
        <v>59834</v>
      </c>
      <c r="G53" s="178">
        <f>SUM(G54,G67)</f>
        <v>141523</v>
      </c>
      <c r="H53" s="179">
        <f t="shared" ref="H53:I53" si="39">SUM(H54,H67)</f>
        <v>-13393</v>
      </c>
      <c r="I53" s="180">
        <f t="shared" si="39"/>
        <v>128130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105979</v>
      </c>
      <c r="D54" s="183">
        <f>SUM(D55,D58,D66)</f>
        <v>56344</v>
      </c>
      <c r="E54" s="184">
        <f t="shared" ref="E54:F54" si="42">SUM(E55,E58,E66)</f>
        <v>-24550</v>
      </c>
      <c r="F54" s="72">
        <f t="shared" si="42"/>
        <v>31794</v>
      </c>
      <c r="G54" s="183">
        <f>SUM(G55,G58,G66)</f>
        <v>112648</v>
      </c>
      <c r="H54" s="184">
        <f t="shared" ref="H54:I54" si="43">SUM(H55,H58,H66)</f>
        <v>-38463</v>
      </c>
      <c r="I54" s="72">
        <f t="shared" si="43"/>
        <v>74185</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89302</v>
      </c>
      <c r="D55" s="186">
        <f>SUM(D56:D57)</f>
        <v>45629</v>
      </c>
      <c r="E55" s="187">
        <f t="shared" ref="E55:F55" si="46">SUM(E56:E57)</f>
        <v>-16007</v>
      </c>
      <c r="F55" s="140">
        <f t="shared" si="46"/>
        <v>29622</v>
      </c>
      <c r="G55" s="186">
        <f>SUM(G56:G57)</f>
        <v>94858</v>
      </c>
      <c r="H55" s="187">
        <f t="shared" ref="H55:I55" si="47">SUM(H56:H57)</f>
        <v>-35178</v>
      </c>
      <c r="I55" s="140">
        <f t="shared" si="47"/>
        <v>59680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7" customHeight="1" x14ac:dyDescent="0.25">
      <c r="A57" s="51">
        <v>1119</v>
      </c>
      <c r="B57" s="88" t="s">
        <v>76</v>
      </c>
      <c r="C57" s="89">
        <f t="shared" si="0"/>
        <v>89302</v>
      </c>
      <c r="D57" s="53">
        <v>45629</v>
      </c>
      <c r="E57" s="54">
        <v>-16007</v>
      </c>
      <c r="F57" s="55">
        <f t="shared" si="50"/>
        <v>29622</v>
      </c>
      <c r="G57" s="53">
        <v>94858</v>
      </c>
      <c r="H57" s="54">
        <f>-35268+90</f>
        <v>-35178</v>
      </c>
      <c r="I57" s="55">
        <f t="shared" si="51"/>
        <v>59680</v>
      </c>
      <c r="J57" s="53"/>
      <c r="K57" s="54"/>
      <c r="L57" s="55">
        <f t="shared" si="52"/>
        <v>0</v>
      </c>
      <c r="M57" s="53"/>
      <c r="N57" s="54"/>
      <c r="O57" s="55">
        <f t="shared" si="53"/>
        <v>0</v>
      </c>
      <c r="P57" s="57" t="s">
        <v>874</v>
      </c>
    </row>
    <row r="58" spans="1:16" x14ac:dyDescent="0.25">
      <c r="A58" s="188">
        <v>1140</v>
      </c>
      <c r="B58" s="88" t="s">
        <v>77</v>
      </c>
      <c r="C58" s="89">
        <f t="shared" si="0"/>
        <v>16677</v>
      </c>
      <c r="D58" s="189">
        <f>SUM(D59:D65)</f>
        <v>10715</v>
      </c>
      <c r="E58" s="190">
        <f>SUM(E59:E65)</f>
        <v>-8543</v>
      </c>
      <c r="F58" s="55">
        <f t="shared" ref="F58" si="54">SUM(F59:F65)</f>
        <v>2172</v>
      </c>
      <c r="G58" s="189">
        <f>SUM(G59:G65)</f>
        <v>17790</v>
      </c>
      <c r="H58" s="190">
        <f t="shared" ref="H58:I58" si="55">SUM(H59:H65)</f>
        <v>-3285</v>
      </c>
      <c r="I58" s="55">
        <f t="shared" si="55"/>
        <v>14505</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3.5" customHeight="1" x14ac:dyDescent="0.25">
      <c r="A63" s="51">
        <v>1147</v>
      </c>
      <c r="B63" s="88" t="s">
        <v>82</v>
      </c>
      <c r="C63" s="89">
        <f t="shared" si="0"/>
        <v>8115</v>
      </c>
      <c r="D63" s="53">
        <v>953</v>
      </c>
      <c r="E63" s="54">
        <v>12</v>
      </c>
      <c r="F63" s="55">
        <f t="shared" si="58"/>
        <v>965</v>
      </c>
      <c r="G63" s="53">
        <v>10830</v>
      </c>
      <c r="H63" s="54">
        <v>-3680</v>
      </c>
      <c r="I63" s="55">
        <f t="shared" si="59"/>
        <v>7150</v>
      </c>
      <c r="J63" s="53"/>
      <c r="K63" s="54"/>
      <c r="L63" s="55">
        <f t="shared" si="60"/>
        <v>0</v>
      </c>
      <c r="M63" s="53"/>
      <c r="N63" s="54"/>
      <c r="O63" s="55">
        <f t="shared" si="61"/>
        <v>0</v>
      </c>
      <c r="P63" s="57" t="s">
        <v>873</v>
      </c>
    </row>
    <row r="64" spans="1:16" ht="12" customHeight="1" x14ac:dyDescent="0.25">
      <c r="A64" s="51">
        <v>1148</v>
      </c>
      <c r="B64" s="88" t="s">
        <v>83</v>
      </c>
      <c r="C64" s="89">
        <f t="shared" si="0"/>
        <v>1207</v>
      </c>
      <c r="D64" s="53">
        <v>9762</v>
      </c>
      <c r="E64" s="54">
        <v>-8555</v>
      </c>
      <c r="F64" s="55">
        <f t="shared" si="58"/>
        <v>1207</v>
      </c>
      <c r="G64" s="53"/>
      <c r="H64" s="54"/>
      <c r="I64" s="55">
        <f t="shared" si="59"/>
        <v>0</v>
      </c>
      <c r="J64" s="53"/>
      <c r="K64" s="54"/>
      <c r="L64" s="55">
        <f t="shared" si="60"/>
        <v>0</v>
      </c>
      <c r="M64" s="53"/>
      <c r="N64" s="54"/>
      <c r="O64" s="55">
        <f t="shared" si="61"/>
        <v>0</v>
      </c>
      <c r="P64" s="57"/>
    </row>
    <row r="65" spans="1:16" ht="27" customHeight="1" x14ac:dyDescent="0.25">
      <c r="A65" s="51">
        <v>1149</v>
      </c>
      <c r="B65" s="88" t="s">
        <v>84</v>
      </c>
      <c r="C65" s="89">
        <f t="shared" si="0"/>
        <v>7355</v>
      </c>
      <c r="D65" s="53"/>
      <c r="E65" s="54"/>
      <c r="F65" s="55">
        <f t="shared" si="58"/>
        <v>0</v>
      </c>
      <c r="G65" s="53">
        <v>6960</v>
      </c>
      <c r="H65" s="54">
        <f>371+24</f>
        <v>395</v>
      </c>
      <c r="I65" s="55">
        <f t="shared" si="59"/>
        <v>7355</v>
      </c>
      <c r="J65" s="53"/>
      <c r="K65" s="54"/>
      <c r="L65" s="55">
        <f t="shared" si="60"/>
        <v>0</v>
      </c>
      <c r="M65" s="53"/>
      <c r="N65" s="54"/>
      <c r="O65" s="55">
        <f t="shared" si="61"/>
        <v>0</v>
      </c>
      <c r="P65" s="57" t="s">
        <v>873</v>
      </c>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81985</v>
      </c>
      <c r="D67" s="183">
        <f>SUM(D68:D69)</f>
        <v>26460</v>
      </c>
      <c r="E67" s="184">
        <f t="shared" ref="E67:F67" si="62">SUM(E68:E69)</f>
        <v>1580</v>
      </c>
      <c r="F67" s="72">
        <f t="shared" si="62"/>
        <v>28040</v>
      </c>
      <c r="G67" s="183">
        <f>SUM(G68:G69)</f>
        <v>28875</v>
      </c>
      <c r="H67" s="184">
        <f t="shared" ref="H67:I67" si="63">SUM(H68:H69)</f>
        <v>25070</v>
      </c>
      <c r="I67" s="72">
        <f t="shared" si="63"/>
        <v>53945</v>
      </c>
      <c r="J67" s="183">
        <f>SUM(J68:J69)</f>
        <v>0</v>
      </c>
      <c r="K67" s="184">
        <f t="shared" ref="K67:L67" si="64">SUM(K68:K69)</f>
        <v>0</v>
      </c>
      <c r="L67" s="72">
        <f t="shared" si="64"/>
        <v>0</v>
      </c>
      <c r="M67" s="183">
        <f>SUM(M68:M69)</f>
        <v>0</v>
      </c>
      <c r="N67" s="184">
        <f t="shared" ref="N67:O67" si="65">SUM(N68:N69)</f>
        <v>0</v>
      </c>
      <c r="O67" s="72">
        <f t="shared" si="65"/>
        <v>0</v>
      </c>
      <c r="P67" s="76"/>
    </row>
    <row r="68" spans="1:16" ht="27" customHeight="1" x14ac:dyDescent="0.25">
      <c r="A68" s="293">
        <v>1210</v>
      </c>
      <c r="B68" s="81" t="s">
        <v>87</v>
      </c>
      <c r="C68" s="82">
        <f t="shared" si="0"/>
        <v>34695</v>
      </c>
      <c r="D68" s="46">
        <v>15024</v>
      </c>
      <c r="E68" s="47">
        <v>-4804</v>
      </c>
      <c r="F68" s="133">
        <f>D68+E68</f>
        <v>10220</v>
      </c>
      <c r="G68" s="46">
        <v>27475</v>
      </c>
      <c r="H68" s="47">
        <f>-2886-114</f>
        <v>-3000</v>
      </c>
      <c r="I68" s="133">
        <f>G68+H68</f>
        <v>24475</v>
      </c>
      <c r="J68" s="46"/>
      <c r="K68" s="47"/>
      <c r="L68" s="133">
        <f>K68+J68</f>
        <v>0</v>
      </c>
      <c r="M68" s="46"/>
      <c r="N68" s="47"/>
      <c r="O68" s="133">
        <f>N68+M68</f>
        <v>0</v>
      </c>
      <c r="P68" s="57" t="s">
        <v>875</v>
      </c>
    </row>
    <row r="69" spans="1:16" ht="24" x14ac:dyDescent="0.25">
      <c r="A69" s="188">
        <v>1220</v>
      </c>
      <c r="B69" s="88" t="s">
        <v>88</v>
      </c>
      <c r="C69" s="89">
        <f t="shared" si="0"/>
        <v>47290</v>
      </c>
      <c r="D69" s="189">
        <f>SUM(D70:D74)</f>
        <v>11436</v>
      </c>
      <c r="E69" s="190">
        <f t="shared" ref="E69:F69" si="66">SUM(E70:E74)</f>
        <v>6384</v>
      </c>
      <c r="F69" s="55">
        <f t="shared" si="66"/>
        <v>17820</v>
      </c>
      <c r="G69" s="189">
        <f>SUM(G70:G74)</f>
        <v>1400</v>
      </c>
      <c r="H69" s="190">
        <f t="shared" ref="H69:I69" si="67">SUM(H70:H74)</f>
        <v>28070</v>
      </c>
      <c r="I69" s="55">
        <f t="shared" si="67"/>
        <v>29470</v>
      </c>
      <c r="J69" s="189">
        <f>SUM(J70:J74)</f>
        <v>0</v>
      </c>
      <c r="K69" s="190">
        <f t="shared" ref="K69:L69" si="68">SUM(K70:K74)</f>
        <v>0</v>
      </c>
      <c r="L69" s="55">
        <f t="shared" si="68"/>
        <v>0</v>
      </c>
      <c r="M69" s="189">
        <f>SUM(M70:M74)</f>
        <v>0</v>
      </c>
      <c r="N69" s="190">
        <f t="shared" ref="N69:O69" si="69">SUM(N70:N74)</f>
        <v>0</v>
      </c>
      <c r="O69" s="55">
        <f t="shared" si="69"/>
        <v>0</v>
      </c>
      <c r="P69" s="57"/>
    </row>
    <row r="70" spans="1:16" ht="51.75" customHeight="1" x14ac:dyDescent="0.25">
      <c r="A70" s="51">
        <v>1221</v>
      </c>
      <c r="B70" s="88" t="s">
        <v>89</v>
      </c>
      <c r="C70" s="89">
        <f t="shared" si="0"/>
        <v>41874</v>
      </c>
      <c r="D70" s="53">
        <v>6020</v>
      </c>
      <c r="E70" s="54">
        <v>6384</v>
      </c>
      <c r="F70" s="55">
        <f t="shared" ref="F70:F74" si="70">D70+E70</f>
        <v>12404</v>
      </c>
      <c r="G70" s="53">
        <v>1400</v>
      </c>
      <c r="H70" s="54">
        <v>28070</v>
      </c>
      <c r="I70" s="55">
        <f t="shared" ref="I70:I74" si="71">G70+H70</f>
        <v>29470</v>
      </c>
      <c r="J70" s="53"/>
      <c r="K70" s="54"/>
      <c r="L70" s="55">
        <f t="shared" ref="L70:L74" si="72">K70+J70</f>
        <v>0</v>
      </c>
      <c r="M70" s="53"/>
      <c r="N70" s="54"/>
      <c r="O70" s="55">
        <f t="shared" ref="O70:O74" si="73">N70+M70</f>
        <v>0</v>
      </c>
      <c r="P70" s="57" t="s">
        <v>876</v>
      </c>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4916</v>
      </c>
      <c r="D73" s="53">
        <v>4916</v>
      </c>
      <c r="E73" s="54"/>
      <c r="F73" s="55">
        <f t="shared" si="70"/>
        <v>4916</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13795</v>
      </c>
      <c r="D75" s="178">
        <f>SUM(D76,D83,D130,D164,D165,D172)</f>
        <v>13755</v>
      </c>
      <c r="E75" s="179">
        <f t="shared" ref="E75:F75" si="74">SUM(E76,E83,E130,E164,E165,E172)</f>
        <v>0</v>
      </c>
      <c r="F75" s="180">
        <f t="shared" si="74"/>
        <v>13755</v>
      </c>
      <c r="G75" s="178">
        <f>SUM(G76,G83,G130,G164,G165,G172)</f>
        <v>2000</v>
      </c>
      <c r="H75" s="179">
        <f t="shared" ref="H75:I75" si="75">SUM(H76,H83,H130,H164,H165,H172)</f>
        <v>-2000</v>
      </c>
      <c r="I75" s="180">
        <f t="shared" si="75"/>
        <v>0</v>
      </c>
      <c r="J75" s="178">
        <f>SUM(J76,J83,J130,J164,J165,J172)</f>
        <v>40</v>
      </c>
      <c r="K75" s="179">
        <f t="shared" ref="K75:L75" si="76">SUM(K76,K83,K130,K164,K165,K172)</f>
        <v>0</v>
      </c>
      <c r="L75" s="180">
        <f t="shared" si="76"/>
        <v>40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9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6676</v>
      </c>
      <c r="D83" s="183">
        <f>SUM(D84,D89,D95,D103,D112,D116,D122,D128)</f>
        <v>6636</v>
      </c>
      <c r="E83" s="184">
        <f t="shared" ref="E83:F83" si="98">SUM(E84,E89,E95,E103,E112,E116,E122,E128)</f>
        <v>0</v>
      </c>
      <c r="F83" s="72">
        <f t="shared" si="98"/>
        <v>6636</v>
      </c>
      <c r="G83" s="183">
        <f>SUM(G84,G89,G95,G103,G112,G116,G122,G128)</f>
        <v>0</v>
      </c>
      <c r="H83" s="184">
        <f t="shared" ref="H83:I83" si="99">SUM(H84,H89,H95,H103,H112,H116,H122,H128)</f>
        <v>0</v>
      </c>
      <c r="I83" s="72">
        <f t="shared" si="99"/>
        <v>0</v>
      </c>
      <c r="J83" s="183">
        <f>SUM(J84,J89,J95,J103,J112,J116,J122,J128)</f>
        <v>40</v>
      </c>
      <c r="K83" s="184">
        <f t="shared" ref="K83:L83" si="100">SUM(K84,K89,K95,K103,K112,K116,K122,K128)</f>
        <v>0</v>
      </c>
      <c r="L83" s="72">
        <f t="shared" si="100"/>
        <v>40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347</v>
      </c>
      <c r="D84" s="186">
        <f>SUM(D85:D88)</f>
        <v>307</v>
      </c>
      <c r="E84" s="187">
        <f t="shared" ref="E84:F84" si="103">SUM(E85:E88)</f>
        <v>0</v>
      </c>
      <c r="F84" s="140">
        <f t="shared" si="103"/>
        <v>307</v>
      </c>
      <c r="G84" s="186">
        <f>SUM(G85:G88)</f>
        <v>0</v>
      </c>
      <c r="H84" s="187">
        <f t="shared" ref="H84:I84" si="104">SUM(H85:H88)</f>
        <v>0</v>
      </c>
      <c r="I84" s="140">
        <f t="shared" si="104"/>
        <v>0</v>
      </c>
      <c r="J84" s="186">
        <f>SUM(J85:J88)</f>
        <v>40</v>
      </c>
      <c r="K84" s="187">
        <f t="shared" ref="K84:L84" si="105">SUM(K85:K88)</f>
        <v>0</v>
      </c>
      <c r="L84" s="140">
        <f t="shared" si="105"/>
        <v>40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236</v>
      </c>
      <c r="D86" s="194">
        <v>216</v>
      </c>
      <c r="E86" s="195"/>
      <c r="F86" s="55">
        <f t="shared" si="107"/>
        <v>216</v>
      </c>
      <c r="G86" s="53"/>
      <c r="H86" s="54"/>
      <c r="I86" s="55">
        <f t="shared" si="108"/>
        <v>0</v>
      </c>
      <c r="J86" s="53">
        <v>20</v>
      </c>
      <c r="K86" s="54"/>
      <c r="L86" s="55">
        <f t="shared" si="109"/>
        <v>20</v>
      </c>
      <c r="M86" s="53"/>
      <c r="N86" s="54"/>
      <c r="O86" s="55">
        <f t="shared" si="110"/>
        <v>0</v>
      </c>
      <c r="P86" s="57"/>
    </row>
    <row r="87" spans="1:16" ht="24" customHeight="1" x14ac:dyDescent="0.25">
      <c r="A87" s="51">
        <v>2214</v>
      </c>
      <c r="B87" s="88" t="s">
        <v>104</v>
      </c>
      <c r="C87" s="89">
        <f t="shared" si="102"/>
        <v>71</v>
      </c>
      <c r="D87" s="194">
        <v>51</v>
      </c>
      <c r="E87" s="195"/>
      <c r="F87" s="55">
        <f t="shared" si="107"/>
        <v>51</v>
      </c>
      <c r="G87" s="53"/>
      <c r="H87" s="54"/>
      <c r="I87" s="55">
        <f t="shared" si="108"/>
        <v>0</v>
      </c>
      <c r="J87" s="53">
        <v>20</v>
      </c>
      <c r="K87" s="54"/>
      <c r="L87" s="55">
        <f t="shared" si="109"/>
        <v>20</v>
      </c>
      <c r="M87" s="53"/>
      <c r="N87" s="54"/>
      <c r="O87" s="55">
        <f t="shared" si="110"/>
        <v>0</v>
      </c>
      <c r="P87" s="57"/>
    </row>
    <row r="88" spans="1:16" ht="12" customHeight="1" x14ac:dyDescent="0.25">
      <c r="A88" s="51">
        <v>2219</v>
      </c>
      <c r="B88" s="88" t="s">
        <v>105</v>
      </c>
      <c r="C88" s="89">
        <f t="shared" si="102"/>
        <v>40</v>
      </c>
      <c r="D88" s="194">
        <v>40</v>
      </c>
      <c r="E88" s="195"/>
      <c r="F88" s="55">
        <f t="shared" si="107"/>
        <v>40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5734</v>
      </c>
      <c r="D95" s="189">
        <f>SUM(D96:D102)</f>
        <v>5734</v>
      </c>
      <c r="E95" s="190">
        <f t="shared" ref="E95:F95" si="119">SUM(E96:E102)</f>
        <v>0</v>
      </c>
      <c r="F95" s="55">
        <f t="shared" si="119"/>
        <v>5734</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customHeight="1" x14ac:dyDescent="0.25">
      <c r="A99" s="51">
        <v>2234</v>
      </c>
      <c r="B99" s="88" t="s">
        <v>116</v>
      </c>
      <c r="C99" s="89">
        <f t="shared" si="102"/>
        <v>40</v>
      </c>
      <c r="D99" s="194">
        <v>40</v>
      </c>
      <c r="E99" s="195"/>
      <c r="F99" s="55">
        <f t="shared" si="123"/>
        <v>40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75" customHeight="1" x14ac:dyDescent="0.25">
      <c r="A102" s="51">
        <v>2239</v>
      </c>
      <c r="B102" s="88" t="s">
        <v>119</v>
      </c>
      <c r="C102" s="89">
        <f t="shared" si="102"/>
        <v>5694</v>
      </c>
      <c r="D102" s="194">
        <v>5694</v>
      </c>
      <c r="E102" s="195"/>
      <c r="F102" s="55">
        <f t="shared" si="123"/>
        <v>5694</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510</v>
      </c>
      <c r="D103" s="189">
        <f>SUM(D104:D111)</f>
        <v>510</v>
      </c>
      <c r="E103" s="190">
        <f t="shared" ref="E103:F103" si="127">SUM(E104:E111)</f>
        <v>0</v>
      </c>
      <c r="F103" s="55">
        <f t="shared" si="127"/>
        <v>510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410</v>
      </c>
      <c r="D106" s="194">
        <v>410</v>
      </c>
      <c r="E106" s="195"/>
      <c r="F106" s="55">
        <f t="shared" si="131"/>
        <v>410</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8" t="s">
        <v>124</v>
      </c>
      <c r="C107" s="89">
        <f t="shared" si="102"/>
        <v>100</v>
      </c>
      <c r="D107" s="194">
        <v>100</v>
      </c>
      <c r="E107" s="195"/>
      <c r="F107" s="55">
        <f t="shared" si="131"/>
        <v>100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8" t="s">
        <v>129</v>
      </c>
      <c r="C112" s="89">
        <f t="shared" si="102"/>
        <v>85</v>
      </c>
      <c r="D112" s="189">
        <f>SUM(D113:D115)</f>
        <v>85</v>
      </c>
      <c r="E112" s="190">
        <f t="shared" ref="E112:F112" si="135">SUM(E113:E115)</f>
        <v>0</v>
      </c>
      <c r="F112" s="55">
        <f t="shared" si="135"/>
        <v>85</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customHeight="1" x14ac:dyDescent="0.25">
      <c r="A113" s="51">
        <v>2251</v>
      </c>
      <c r="B113" s="88" t="s">
        <v>130</v>
      </c>
      <c r="C113" s="89">
        <f t="shared" si="102"/>
        <v>85</v>
      </c>
      <c r="D113" s="194">
        <v>85</v>
      </c>
      <c r="E113" s="195"/>
      <c r="F113" s="55">
        <f t="shared" ref="F113:F115" si="139">D113+E113</f>
        <v>85</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735"/>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1.25"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215"/>
    </row>
    <row r="118" spans="1:16" ht="18" hidden="1" customHeight="1" x14ac:dyDescent="0.25">
      <c r="A118" s="51">
        <v>2262</v>
      </c>
      <c r="B118" s="88" t="s">
        <v>135</v>
      </c>
      <c r="C118" s="89">
        <f t="shared" si="102"/>
        <v>0</v>
      </c>
      <c r="D118" s="194"/>
      <c r="E118" s="195"/>
      <c r="F118" s="55">
        <f t="shared" si="147"/>
        <v>0</v>
      </c>
      <c r="G118" s="53">
        <v>0</v>
      </c>
      <c r="H118" s="54">
        <v>0</v>
      </c>
      <c r="I118" s="55">
        <f t="shared" si="148"/>
        <v>0</v>
      </c>
      <c r="J118" s="53"/>
      <c r="K118" s="54"/>
      <c r="L118" s="55">
        <f t="shared" si="149"/>
        <v>0</v>
      </c>
      <c r="M118" s="53"/>
      <c r="N118" s="54"/>
      <c r="O118" s="55">
        <f t="shared" si="150"/>
        <v>0</v>
      </c>
      <c r="P118" s="736" t="s">
        <v>877</v>
      </c>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737"/>
    </row>
    <row r="120" spans="1:16" ht="24" hidden="1" customHeight="1" x14ac:dyDescent="0.25">
      <c r="A120" s="51">
        <v>2264</v>
      </c>
      <c r="B120" s="88" t="s">
        <v>137</v>
      </c>
      <c r="C120" s="89">
        <f t="shared" si="102"/>
        <v>0</v>
      </c>
      <c r="D120" s="194"/>
      <c r="E120" s="195"/>
      <c r="F120" s="55">
        <f t="shared" si="147"/>
        <v>0</v>
      </c>
      <c r="G120" s="53"/>
      <c r="H120" s="735"/>
      <c r="I120" s="55">
        <f t="shared" si="148"/>
        <v>0</v>
      </c>
      <c r="J120" s="53"/>
      <c r="K120" s="54"/>
      <c r="L120" s="55">
        <f t="shared" si="149"/>
        <v>0</v>
      </c>
      <c r="M120" s="53"/>
      <c r="N120" s="54"/>
      <c r="O120" s="55">
        <f t="shared" si="150"/>
        <v>0</v>
      </c>
      <c r="P120" s="737"/>
    </row>
    <row r="121" spans="1:16" ht="27"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738"/>
    </row>
    <row r="122" spans="1:16" ht="0.75" hidden="1" customHeight="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739" t="s">
        <v>877</v>
      </c>
    </row>
    <row r="123" spans="1:16" ht="49.5"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73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73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740"/>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39" hidden="1" customHeight="1" x14ac:dyDescent="0.25">
      <c r="A127" s="51">
        <v>2279</v>
      </c>
      <c r="B127" s="88" t="s">
        <v>144</v>
      </c>
      <c r="C127" s="89">
        <f t="shared" si="102"/>
        <v>0</v>
      </c>
      <c r="D127" s="194"/>
      <c r="E127" s="195"/>
      <c r="F127" s="55">
        <f t="shared" si="155"/>
        <v>0</v>
      </c>
      <c r="G127" s="53">
        <v>0</v>
      </c>
      <c r="H127" s="54"/>
      <c r="I127" s="55">
        <f t="shared" si="156"/>
        <v>0</v>
      </c>
      <c r="J127" s="53"/>
      <c r="K127" s="54"/>
      <c r="L127" s="55">
        <f t="shared" si="157"/>
        <v>0</v>
      </c>
      <c r="M127" s="53"/>
      <c r="N127" s="54"/>
      <c r="O127" s="55">
        <f t="shared" si="158"/>
        <v>0</v>
      </c>
      <c r="P127" s="57"/>
    </row>
    <row r="128" spans="1:16" ht="48" hidden="1" x14ac:dyDescent="0.25">
      <c r="A128" s="29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7119</v>
      </c>
      <c r="D130" s="183">
        <f>SUM(D131,D136,D140,D141,D144,D151,D159,D160,D163)</f>
        <v>7119</v>
      </c>
      <c r="E130" s="184">
        <f t="shared" ref="E130:F130" si="160">SUM(E131,E136,E140,E141,E144,E151,E159,E160,E163)</f>
        <v>0</v>
      </c>
      <c r="F130" s="72">
        <f t="shared" si="160"/>
        <v>7119</v>
      </c>
      <c r="G130" s="183">
        <f>SUM(G131,G136,G140,G141,G144,G151,G159,G160,G163)</f>
        <v>2000</v>
      </c>
      <c r="H130" s="184">
        <f t="shared" ref="H130:I130" si="161">SUM(H131,H136,H140,H141,H144,H151,H159,H160,H163)</f>
        <v>-2000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93">
        <v>2310</v>
      </c>
      <c r="B131" s="81" t="s">
        <v>148</v>
      </c>
      <c r="C131" s="82">
        <f t="shared" si="102"/>
        <v>4667</v>
      </c>
      <c r="D131" s="192">
        <f t="shared" ref="D131:O131" si="164">SUM(D132:D135)</f>
        <v>4667</v>
      </c>
      <c r="E131" s="193">
        <f t="shared" si="164"/>
        <v>0</v>
      </c>
      <c r="F131" s="133">
        <f t="shared" si="164"/>
        <v>4667</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1793</v>
      </c>
      <c r="D132" s="194">
        <v>1793</v>
      </c>
      <c r="E132" s="195"/>
      <c r="F132" s="55">
        <f t="shared" ref="F132:F135" si="165">D132+E132</f>
        <v>1793</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2874</v>
      </c>
      <c r="D133" s="194">
        <v>2874</v>
      </c>
      <c r="E133" s="195"/>
      <c r="F133" s="55">
        <f t="shared" si="165"/>
        <v>2874</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80</v>
      </c>
      <c r="D141" s="189">
        <f>SUM(D142:D143)</f>
        <v>80</v>
      </c>
      <c r="E141" s="190">
        <f t="shared" ref="E141:F141" si="177">SUM(E142:E143)</f>
        <v>0</v>
      </c>
      <c r="F141" s="55">
        <f t="shared" si="177"/>
        <v>80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8" t="s">
        <v>159</v>
      </c>
      <c r="C142" s="89">
        <f t="shared" si="102"/>
        <v>80</v>
      </c>
      <c r="D142" s="194">
        <v>80</v>
      </c>
      <c r="E142" s="195"/>
      <c r="F142" s="55">
        <f t="shared" ref="F142:F143" si="181">D142+E142</f>
        <v>80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581</v>
      </c>
      <c r="D144" s="186">
        <f>SUM(D145:D150)</f>
        <v>581</v>
      </c>
      <c r="E144" s="187">
        <f t="shared" ref="E144:F144" si="185">SUM(E145:E150)</f>
        <v>0</v>
      </c>
      <c r="F144" s="140">
        <f t="shared" si="185"/>
        <v>581</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customHeight="1" x14ac:dyDescent="0.25">
      <c r="A145" s="44">
        <v>2351</v>
      </c>
      <c r="B145" s="81" t="s">
        <v>162</v>
      </c>
      <c r="C145" s="82">
        <f t="shared" si="102"/>
        <v>143</v>
      </c>
      <c r="D145" s="196">
        <v>143</v>
      </c>
      <c r="E145" s="197"/>
      <c r="F145" s="133">
        <f t="shared" ref="F145:F150" si="189">D145+E145</f>
        <v>143</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328</v>
      </c>
      <c r="D146" s="194">
        <v>328</v>
      </c>
      <c r="E146" s="195"/>
      <c r="F146" s="55">
        <f t="shared" si="189"/>
        <v>328</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8" t="s">
        <v>166</v>
      </c>
      <c r="C149" s="89">
        <f t="shared" si="193"/>
        <v>110</v>
      </c>
      <c r="D149" s="194">
        <v>110</v>
      </c>
      <c r="E149" s="195"/>
      <c r="F149" s="55">
        <f t="shared" si="189"/>
        <v>110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5">
        <v>2370</v>
      </c>
      <c r="B159" s="137" t="s">
        <v>176</v>
      </c>
      <c r="C159" s="142">
        <f t="shared" si="193"/>
        <v>1791</v>
      </c>
      <c r="D159" s="202">
        <v>1791</v>
      </c>
      <c r="E159" s="203"/>
      <c r="F159" s="140">
        <f t="shared" si="198"/>
        <v>1791</v>
      </c>
      <c r="G159" s="143">
        <v>2000</v>
      </c>
      <c r="H159" s="144">
        <v>-2000</v>
      </c>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9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48" hidden="1" x14ac:dyDescent="0.25">
      <c r="A175" s="29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9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9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9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572</v>
      </c>
      <c r="D194" s="172">
        <f t="shared" ref="D194:O194" si="259">SUM(D195,D230,D269,D283)</f>
        <v>572</v>
      </c>
      <c r="E194" s="173">
        <f t="shared" si="259"/>
        <v>0</v>
      </c>
      <c r="F194" s="174">
        <f t="shared" si="259"/>
        <v>572</v>
      </c>
      <c r="G194" s="172">
        <f t="shared" si="259"/>
        <v>1153</v>
      </c>
      <c r="H194" s="173">
        <f t="shared" si="259"/>
        <v>-1153</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572</v>
      </c>
      <c r="D195" s="178">
        <f>D196+D204</f>
        <v>572</v>
      </c>
      <c r="E195" s="179">
        <f t="shared" ref="E195:F195" si="260">E196+E204</f>
        <v>0</v>
      </c>
      <c r="F195" s="180">
        <f t="shared" si="260"/>
        <v>572</v>
      </c>
      <c r="G195" s="178">
        <f>G196+G204</f>
        <v>1153</v>
      </c>
      <c r="H195" s="179">
        <f t="shared" ref="H195:I195" si="261">H196+H204</f>
        <v>-1153</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9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572</v>
      </c>
      <c r="D204" s="183">
        <f>D205+D215+D216+D225+D226+D227+D229</f>
        <v>572</v>
      </c>
      <c r="E204" s="184">
        <f t="shared" ref="E204:F204" si="276">E205+E215+E216+E225+E226+E227+E229</f>
        <v>0</v>
      </c>
      <c r="F204" s="72">
        <f t="shared" si="276"/>
        <v>572</v>
      </c>
      <c r="G204" s="183">
        <f>G205+G215+G216+G225+G226+G227+G229</f>
        <v>1153</v>
      </c>
      <c r="H204" s="184">
        <f t="shared" ref="H204:I204" si="277">H205+H215+H216+H225+H226+H227+H229</f>
        <v>-1153</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572</v>
      </c>
      <c r="D216" s="189">
        <f>SUM(D217:D224)</f>
        <v>572</v>
      </c>
      <c r="E216" s="190">
        <f t="shared" ref="E216:F216" si="289">SUM(E217:E224)</f>
        <v>0</v>
      </c>
      <c r="F216" s="55">
        <f t="shared" si="289"/>
        <v>572</v>
      </c>
      <c r="G216" s="189">
        <f>SUM(G217:G224)</f>
        <v>1153</v>
      </c>
      <c r="H216" s="190">
        <f t="shared" ref="H216:I216" si="290">SUM(H217:H224)</f>
        <v>-1153</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customHeight="1" x14ac:dyDescent="0.25">
      <c r="A219" s="51">
        <v>5233</v>
      </c>
      <c r="B219" s="88" t="s">
        <v>236</v>
      </c>
      <c r="C219" s="89">
        <f t="shared" si="288"/>
        <v>572</v>
      </c>
      <c r="D219" s="194">
        <v>572</v>
      </c>
      <c r="E219" s="195"/>
      <c r="F219" s="55">
        <f t="shared" si="293"/>
        <v>572</v>
      </c>
      <c r="G219" s="53">
        <v>1153</v>
      </c>
      <c r="H219" s="54">
        <v>-1153</v>
      </c>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9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9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9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9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9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9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210</v>
      </c>
      <c r="D286" s="189">
        <f>SUM(D287:D288)</f>
        <v>0</v>
      </c>
      <c r="E286" s="190">
        <f t="shared" ref="E286:F286" si="381">SUM(E287:E288)</f>
        <v>0</v>
      </c>
      <c r="F286" s="55">
        <f t="shared" si="381"/>
        <v>0</v>
      </c>
      <c r="G286" s="189">
        <f>SUM(G287:G288)</f>
        <v>210</v>
      </c>
      <c r="H286" s="190">
        <f t="shared" ref="H286:I286" si="382">SUM(H287:H288)</f>
        <v>0</v>
      </c>
      <c r="I286" s="55">
        <f t="shared" si="382"/>
        <v>210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customHeight="1" x14ac:dyDescent="0.25">
      <c r="A288" s="199" t="s">
        <v>306</v>
      </c>
      <c r="B288" s="248" t="s">
        <v>307</v>
      </c>
      <c r="C288" s="82">
        <f t="shared" si="371"/>
        <v>210</v>
      </c>
      <c r="D288" s="196"/>
      <c r="E288" s="197"/>
      <c r="F288" s="133">
        <f t="shared" si="385"/>
        <v>0</v>
      </c>
      <c r="G288" s="46">
        <v>210</v>
      </c>
      <c r="H288" s="47"/>
      <c r="I288" s="133">
        <f t="shared" si="386"/>
        <v>210</v>
      </c>
      <c r="J288" s="46"/>
      <c r="K288" s="47"/>
      <c r="L288" s="133">
        <f t="shared" si="387"/>
        <v>0</v>
      </c>
      <c r="M288" s="46"/>
      <c r="N288" s="47"/>
      <c r="O288" s="133">
        <f t="shared" si="388"/>
        <v>0</v>
      </c>
      <c r="P288" s="49"/>
    </row>
    <row r="289" spans="1:16" ht="12.75" thickBot="1" x14ac:dyDescent="0.3">
      <c r="A289" s="249"/>
      <c r="B289" s="249" t="s">
        <v>308</v>
      </c>
      <c r="C289" s="250">
        <f t="shared" si="371"/>
        <v>202541</v>
      </c>
      <c r="D289" s="251">
        <f t="shared" ref="D289:O289" si="389">SUM(D286,D269,D230,D195,D187,D173,D75,D53,D283)</f>
        <v>97131</v>
      </c>
      <c r="E289" s="252">
        <f t="shared" si="389"/>
        <v>-22970</v>
      </c>
      <c r="F289" s="253">
        <f t="shared" si="389"/>
        <v>74161</v>
      </c>
      <c r="G289" s="251">
        <f t="shared" si="389"/>
        <v>144886</v>
      </c>
      <c r="H289" s="252">
        <f t="shared" si="389"/>
        <v>-16546</v>
      </c>
      <c r="I289" s="253">
        <f t="shared" si="389"/>
        <v>128340</v>
      </c>
      <c r="J289" s="251">
        <f t="shared" si="389"/>
        <v>40</v>
      </c>
      <c r="K289" s="252">
        <f t="shared" si="389"/>
        <v>0</v>
      </c>
      <c r="L289" s="253">
        <f t="shared" si="389"/>
        <v>40</v>
      </c>
      <c r="M289" s="251">
        <f t="shared" si="389"/>
        <v>0</v>
      </c>
      <c r="N289" s="252">
        <f t="shared" si="389"/>
        <v>0</v>
      </c>
      <c r="O289" s="253">
        <f t="shared" si="389"/>
        <v>0</v>
      </c>
      <c r="P289" s="254"/>
    </row>
    <row r="290" spans="1:16" s="28" customFormat="1" ht="13.5" thickTop="1" thickBot="1" x14ac:dyDescent="0.3">
      <c r="A290" s="1945" t="s">
        <v>309</v>
      </c>
      <c r="B290" s="1946"/>
      <c r="C290" s="255">
        <f t="shared" si="371"/>
        <v>210</v>
      </c>
      <c r="D290" s="256">
        <f>SUM(D24,D25,D41)-D51</f>
        <v>0</v>
      </c>
      <c r="E290" s="257">
        <f t="shared" ref="E290:F290" si="390">SUM(E24,E25,E41)-E51</f>
        <v>0</v>
      </c>
      <c r="F290" s="258">
        <f t="shared" si="390"/>
        <v>0</v>
      </c>
      <c r="G290" s="256">
        <f>SUM(G24,G25,G41)-G51</f>
        <v>210</v>
      </c>
      <c r="H290" s="257">
        <f t="shared" ref="H290:I290" si="391">SUM(H24,H25,H41)-H51</f>
        <v>0</v>
      </c>
      <c r="I290" s="258">
        <f t="shared" si="391"/>
        <v>210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947" t="s">
        <v>310</v>
      </c>
      <c r="B291" s="1948"/>
      <c r="C291" s="260">
        <f t="shared" si="371"/>
        <v>-210</v>
      </c>
      <c r="D291" s="261">
        <f t="shared" ref="D291:O291" si="394">SUM(D292,D293)-D300+D301</f>
        <v>0</v>
      </c>
      <c r="E291" s="262">
        <f t="shared" si="394"/>
        <v>0</v>
      </c>
      <c r="F291" s="263">
        <f t="shared" si="394"/>
        <v>0</v>
      </c>
      <c r="G291" s="261">
        <f t="shared" si="394"/>
        <v>-210</v>
      </c>
      <c r="H291" s="262">
        <f t="shared" si="394"/>
        <v>0</v>
      </c>
      <c r="I291" s="263">
        <f t="shared" si="394"/>
        <v>-210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6" t="s">
        <v>311</v>
      </c>
      <c r="B292" s="156" t="s">
        <v>312</v>
      </c>
      <c r="C292" s="157">
        <f t="shared" si="371"/>
        <v>-210</v>
      </c>
      <c r="D292" s="158">
        <f t="shared" ref="D292:O292" si="395">D21-D286</f>
        <v>0</v>
      </c>
      <c r="E292" s="159">
        <f t="shared" si="395"/>
        <v>0</v>
      </c>
      <c r="F292" s="160">
        <f t="shared" si="395"/>
        <v>0</v>
      </c>
      <c r="G292" s="158">
        <f t="shared" si="395"/>
        <v>-210</v>
      </c>
      <c r="H292" s="159">
        <f t="shared" si="395"/>
        <v>0</v>
      </c>
      <c r="I292" s="160">
        <f t="shared" si="395"/>
        <v>-210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sWSvGErLBeiSplSUp9j43WLTcOn+ErOwN9QCq6bKQrpXpavz/wcQBOI4asRiWbi7kbNmUacKrkK3Q6emvNXpQ==" saltValue="Q+X4V67ltSnyOzSHgEDshA==" spinCount="100000" sheet="1" objects="1" scenarios="1" formatCells="0" formatColumns="0" formatRows="0" deleteColumns="0"/>
  <autoFilter ref="A18:P301">
    <filterColumn colId="2">
      <filters>
        <filter val="1 207"/>
        <filter val="1 791"/>
        <filter val="1 793"/>
        <filter val="100"/>
        <filter val="105 865"/>
        <filter val="110"/>
        <filter val="13 795"/>
        <filter val="143"/>
        <filter val="16 653"/>
        <filter val="187 964"/>
        <filter val="2 874"/>
        <filter val="201 759"/>
        <filter val="202 331"/>
        <filter val="202 501"/>
        <filter val="202 541"/>
        <filter val="210"/>
        <filter val="-210"/>
        <filter val="236"/>
        <filter val="328"/>
        <filter val="34 809"/>
        <filter val="347"/>
        <filter val="4 667"/>
        <filter val="4 916"/>
        <filter val="40"/>
        <filter val="41 874"/>
        <filter val="410"/>
        <filter val="47 290"/>
        <filter val="5 694"/>
        <filter val="5 734"/>
        <filter val="500"/>
        <filter val="510"/>
        <filter val="572"/>
        <filter val="581"/>
        <filter val="6 676"/>
        <filter val="7 119"/>
        <filter val="7 331"/>
        <filter val="71"/>
        <filter val="8 115"/>
        <filter val="80"/>
        <filter val="82 099"/>
        <filter val="85"/>
        <filter val="89 21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53.pielikums Jūrmalas pilsētas domes 
2019.gada 29.augusta saistošajiem noteikumiem Nr.31
(protokols Nr.12,  20.punkts) </firstHeader>
    <firstFooter>&amp;L&amp;9&amp;D; &amp;T&amp;R&amp;9&amp;P (&amp;N)</first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8"/>
  <sheetViews>
    <sheetView showGridLines="0" view="pageLayout" zoomScaleNormal="100" workbookViewId="0">
      <selection activeCell="T7" sqref="T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1773</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360</v>
      </c>
      <c r="D6" s="1972"/>
      <c r="E6" s="1972"/>
      <c r="F6" s="1972"/>
      <c r="G6" s="1972"/>
      <c r="H6" s="1972"/>
      <c r="I6" s="1972"/>
      <c r="J6" s="1972"/>
      <c r="K6" s="1972"/>
      <c r="L6" s="1972"/>
      <c r="M6" s="1972"/>
      <c r="N6" s="1972"/>
      <c r="O6" s="1972"/>
      <c r="P6" s="1973"/>
      <c r="Q6" s="276"/>
    </row>
    <row r="7" spans="1:17" ht="25.5" customHeight="1" x14ac:dyDescent="0.25">
      <c r="A7" s="7" t="s">
        <v>10</v>
      </c>
      <c r="B7" s="8"/>
      <c r="C7" s="1977" t="s">
        <v>1339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240451</v>
      </c>
      <c r="D20" s="32">
        <f>SUM(D21,D24,D25,D41,D43)</f>
        <v>242089</v>
      </c>
      <c r="E20" s="33">
        <f t="shared" ref="E20:F20" si="1">SUM(E21,E24,E25,E41,E43)</f>
        <v>-1638</v>
      </c>
      <c r="F20" s="34">
        <f t="shared" si="1"/>
        <v>240451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3.75" customHeight="1" thickTop="1" thickBot="1" x14ac:dyDescent="0.3">
      <c r="A24" s="58">
        <v>19300</v>
      </c>
      <c r="B24" s="58" t="s">
        <v>43</v>
      </c>
      <c r="C24" s="59">
        <f>F24+I24</f>
        <v>240451</v>
      </c>
      <c r="D24" s="60">
        <f>D51</f>
        <v>242089</v>
      </c>
      <c r="E24" s="741">
        <f>-1638</f>
        <v>-1638</v>
      </c>
      <c r="F24" s="62">
        <f t="shared" si="9"/>
        <v>240451</v>
      </c>
      <c r="G24" s="60">
        <f>G51</f>
        <v>0</v>
      </c>
      <c r="H24" s="61"/>
      <c r="I24" s="62">
        <f t="shared" si="10"/>
        <v>0</v>
      </c>
      <c r="J24" s="63" t="s">
        <v>44</v>
      </c>
      <c r="K24" s="64" t="s">
        <v>44</v>
      </c>
      <c r="L24" s="65" t="s">
        <v>44</v>
      </c>
      <c r="M24" s="63" t="s">
        <v>44</v>
      </c>
      <c r="N24" s="64" t="s">
        <v>44</v>
      </c>
      <c r="O24" s="65" t="s">
        <v>44</v>
      </c>
      <c r="P24" s="66" t="s">
        <v>1774</v>
      </c>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240451</v>
      </c>
      <c r="D50" s="158">
        <f>SUM(D51,D286)</f>
        <v>242089</v>
      </c>
      <c r="E50" s="159">
        <f t="shared" ref="E50:F50" si="26">SUM(E51,E286)</f>
        <v>-1638</v>
      </c>
      <c r="F50" s="160">
        <f t="shared" si="26"/>
        <v>240451</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240451</v>
      </c>
      <c r="D51" s="164">
        <f>SUM(D52,D194)</f>
        <v>242089</v>
      </c>
      <c r="E51" s="165">
        <f t="shared" ref="E51:F51" si="30">SUM(E52,E194)</f>
        <v>-1638</v>
      </c>
      <c r="F51" s="166">
        <f t="shared" si="30"/>
        <v>240451</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7473</v>
      </c>
      <c r="D52" s="172">
        <f>SUM(D53,D75,D173,D187)</f>
        <v>7473</v>
      </c>
      <c r="E52" s="173">
        <f t="shared" ref="E52:F52" si="34">SUM(E53,E75,E173,E187)</f>
        <v>0</v>
      </c>
      <c r="F52" s="174">
        <f t="shared" si="34"/>
        <v>7473</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213">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7473</v>
      </c>
      <c r="D75" s="178">
        <f>SUM(D76,D83,D130,D164,D165,D172)</f>
        <v>7473</v>
      </c>
      <c r="E75" s="179">
        <f t="shared" ref="E75:F75" si="74">SUM(E76,E83,E130,E164,E165,E172)</f>
        <v>0</v>
      </c>
      <c r="F75" s="180">
        <f t="shared" si="74"/>
        <v>7473</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21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7473</v>
      </c>
      <c r="D83" s="183">
        <f>SUM(D84,D89,D95,D103,D112,D116,D122,D128)</f>
        <v>7473</v>
      </c>
      <c r="E83" s="184">
        <f t="shared" ref="E83:F83" si="98">SUM(E84,E89,E95,E103,E112,E116,E122,E128)</f>
        <v>0</v>
      </c>
      <c r="F83" s="72">
        <f t="shared" si="98"/>
        <v>7473</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7473</v>
      </c>
      <c r="D103" s="189">
        <f>SUM(D104:D111)</f>
        <v>7473</v>
      </c>
      <c r="E103" s="190">
        <f t="shared" ref="E103:F103" si="127">SUM(E104:E111)</f>
        <v>0</v>
      </c>
      <c r="F103" s="55">
        <f t="shared" si="127"/>
        <v>7473</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customHeight="1" x14ac:dyDescent="0.25">
      <c r="A104" s="51">
        <v>2241</v>
      </c>
      <c r="B104" s="88" t="s">
        <v>121</v>
      </c>
      <c r="C104" s="89">
        <f t="shared" si="102"/>
        <v>7473</v>
      </c>
      <c r="D104" s="194">
        <v>7473</v>
      </c>
      <c r="E104" s="195"/>
      <c r="F104" s="55">
        <f t="shared" ref="F104:F111" si="131">D104+E104</f>
        <v>7473</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21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213">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v>0</v>
      </c>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21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21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21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21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21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232978</v>
      </c>
      <c r="D194" s="172">
        <f>SUM(D195,D230,D269,D283)</f>
        <v>234616</v>
      </c>
      <c r="E194" s="173">
        <f t="shared" ref="E194:O194" si="259">SUM(E195,E230,E269,E283)</f>
        <v>-1638</v>
      </c>
      <c r="F194" s="174">
        <f t="shared" si="259"/>
        <v>232978</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232978</v>
      </c>
      <c r="D195" s="178">
        <f>D196+D204</f>
        <v>234616</v>
      </c>
      <c r="E195" s="179">
        <f t="shared" ref="E195:F195" si="260">E196+E204</f>
        <v>-1638</v>
      </c>
      <c r="F195" s="180">
        <f t="shared" si="260"/>
        <v>232978</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213">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232978</v>
      </c>
      <c r="D204" s="183">
        <f>D205+D215+D216+D225+D226+D227+D229</f>
        <v>234616</v>
      </c>
      <c r="E204" s="184">
        <f t="shared" ref="E204:F204" si="276">E205+E215+E216+E225+E226+E227+E229</f>
        <v>-1638</v>
      </c>
      <c r="F204" s="72">
        <f t="shared" si="276"/>
        <v>232978</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v>0</v>
      </c>
      <c r="E224" s="195"/>
      <c r="F224" s="55">
        <f t="shared" si="293"/>
        <v>0</v>
      </c>
      <c r="G224" s="53"/>
      <c r="H224" s="54"/>
      <c r="I224" s="55">
        <f t="shared" si="294"/>
        <v>0</v>
      </c>
      <c r="J224" s="53"/>
      <c r="K224" s="54"/>
      <c r="L224" s="55">
        <f t="shared" si="295"/>
        <v>0</v>
      </c>
      <c r="M224" s="53"/>
      <c r="N224" s="54"/>
      <c r="O224" s="55">
        <f t="shared" si="296"/>
        <v>0</v>
      </c>
      <c r="P224" s="57"/>
    </row>
    <row r="225" spans="1:16" ht="24" customHeight="1" x14ac:dyDescent="0.25">
      <c r="A225" s="188">
        <v>5240</v>
      </c>
      <c r="B225" s="88" t="s">
        <v>242</v>
      </c>
      <c r="C225" s="89">
        <f t="shared" si="288"/>
        <v>158408</v>
      </c>
      <c r="D225" s="194">
        <v>158408</v>
      </c>
      <c r="E225" s="195"/>
      <c r="F225" s="55">
        <f t="shared" si="293"/>
        <v>158408</v>
      </c>
      <c r="G225" s="53"/>
      <c r="H225" s="54"/>
      <c r="I225" s="55">
        <f t="shared" si="294"/>
        <v>0</v>
      </c>
      <c r="J225" s="53"/>
      <c r="K225" s="54"/>
      <c r="L225" s="55">
        <f t="shared" si="295"/>
        <v>0</v>
      </c>
      <c r="M225" s="53"/>
      <c r="N225" s="54"/>
      <c r="O225" s="55">
        <f t="shared" si="296"/>
        <v>0</v>
      </c>
      <c r="P225" s="57"/>
    </row>
    <row r="226" spans="1:16" ht="23.25" customHeight="1" x14ac:dyDescent="0.25">
      <c r="A226" s="188">
        <v>5250</v>
      </c>
      <c r="B226" s="88" t="s">
        <v>243</v>
      </c>
      <c r="C226" s="89">
        <f t="shared" si="288"/>
        <v>74570</v>
      </c>
      <c r="D226" s="194">
        <v>76208</v>
      </c>
      <c r="E226" s="198">
        <v>-1638</v>
      </c>
      <c r="F226" s="55">
        <f t="shared" si="293"/>
        <v>74570</v>
      </c>
      <c r="G226" s="53"/>
      <c r="H226" s="54"/>
      <c r="I226" s="55">
        <f t="shared" si="294"/>
        <v>0</v>
      </c>
      <c r="J226" s="53"/>
      <c r="K226" s="54"/>
      <c r="L226" s="55">
        <f t="shared" si="295"/>
        <v>0</v>
      </c>
      <c r="M226" s="53"/>
      <c r="N226" s="54"/>
      <c r="O226" s="55">
        <f t="shared" si="296"/>
        <v>0</v>
      </c>
      <c r="P226" s="57" t="s">
        <v>1775</v>
      </c>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21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21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21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21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21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21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240451</v>
      </c>
      <c r="D289" s="251">
        <f t="shared" ref="D289:O289" si="389">SUM(D286,D269,D230,D195,D187,D173,D75,D53,D283)</f>
        <v>242089</v>
      </c>
      <c r="E289" s="252">
        <f t="shared" si="389"/>
        <v>-1638</v>
      </c>
      <c r="F289" s="253">
        <f t="shared" si="389"/>
        <v>240451</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sheetData>
  <sheetProtection algorithmName="SHA-512" hashValue="fAoz65R132kSMVexZXxRiMud5mllNj/iBGpOJh+48/W+ulebrzqg4cMzDREHrQEZNn3mwi8FmXYHN7PW/RekeQ==" saltValue="KonNcnu1Aov3rE1g5Ajccg==" spinCount="100000" sheet="1" objects="1" scenarios="1" formatCells="0" formatColumns="0" formatRows="0" deleteColumns="0"/>
  <autoFilter ref="A18:P301">
    <filterColumn colId="2">
      <filters>
        <filter val="158 408"/>
        <filter val="232 978"/>
        <filter val="240 451"/>
        <filter val="7 473"/>
        <filter val="74 57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54.pielikums Jūrmalas pilsētas domes
2019.gada 29.augusta saistošajiem noteikumiem Nr.31
(protokols Nr.12, 20.punkts)
 </firstHeader>
    <firstFooter>&amp;L&amp;9&amp;D; &amp;T&amp;R&amp;9&amp;P (&amp;N)</first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9" sqref="T9"/>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470</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459</v>
      </c>
      <c r="D6" s="1972"/>
      <c r="E6" s="1972"/>
      <c r="F6" s="1972"/>
      <c r="G6" s="1972"/>
      <c r="H6" s="1972"/>
      <c r="I6" s="1972"/>
      <c r="J6" s="1972"/>
      <c r="K6" s="1972"/>
      <c r="L6" s="1972"/>
      <c r="M6" s="1972"/>
      <c r="N6" s="1972"/>
      <c r="O6" s="1972"/>
      <c r="P6" s="1972"/>
      <c r="Q6" s="276"/>
    </row>
    <row r="7" spans="1:17" x14ac:dyDescent="0.25">
      <c r="A7" s="7" t="s">
        <v>10</v>
      </c>
      <c r="B7" s="8"/>
      <c r="C7" s="1977" t="s">
        <v>11</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t="s">
        <v>460</v>
      </c>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t="s">
        <v>461</v>
      </c>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831910</v>
      </c>
      <c r="D20" s="32">
        <f>SUM(D21,D24,D25,D41,D43)</f>
        <v>827368</v>
      </c>
      <c r="E20" s="33">
        <f t="shared" ref="E20:F20" si="1">SUM(E21,E24,E25,E41,E43)</f>
        <v>0</v>
      </c>
      <c r="F20" s="34">
        <f t="shared" si="1"/>
        <v>827368</v>
      </c>
      <c r="G20" s="32">
        <f>SUM(G21,G24,G43)</f>
        <v>4371</v>
      </c>
      <c r="H20" s="33">
        <f t="shared" ref="H20:I20" si="2">SUM(H21,H24,H43)</f>
        <v>0</v>
      </c>
      <c r="I20" s="34">
        <f t="shared" si="2"/>
        <v>4371</v>
      </c>
      <c r="J20" s="32">
        <f>SUM(J21,J26,J43)</f>
        <v>171</v>
      </c>
      <c r="K20" s="33">
        <f t="shared" ref="K20:L20" si="3">SUM(K21,K26,K43)</f>
        <v>0</v>
      </c>
      <c r="L20" s="34">
        <f t="shared" si="3"/>
        <v>171</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831739</v>
      </c>
      <c r="D24" s="60">
        <f>D50</f>
        <v>827368</v>
      </c>
      <c r="E24" s="60">
        <f>E50</f>
        <v>0</v>
      </c>
      <c r="F24" s="62">
        <f t="shared" si="9"/>
        <v>827368</v>
      </c>
      <c r="G24" s="60">
        <v>4371</v>
      </c>
      <c r="H24" s="61"/>
      <c r="I24" s="62">
        <f t="shared" si="10"/>
        <v>4371</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thickTop="1" x14ac:dyDescent="0.25">
      <c r="A43" s="80">
        <v>21490</v>
      </c>
      <c r="B43" s="68" t="s">
        <v>63</v>
      </c>
      <c r="C43" s="131">
        <f>F43+I43+L43</f>
        <v>171</v>
      </c>
      <c r="D43" s="77">
        <f>D44</f>
        <v>0</v>
      </c>
      <c r="E43" s="78">
        <f t="shared" ref="E43:L43" si="22">E44</f>
        <v>0</v>
      </c>
      <c r="F43" s="79">
        <f t="shared" si="22"/>
        <v>0</v>
      </c>
      <c r="G43" s="77">
        <f t="shared" si="22"/>
        <v>0</v>
      </c>
      <c r="H43" s="78">
        <f t="shared" si="22"/>
        <v>0</v>
      </c>
      <c r="I43" s="79">
        <f t="shared" si="22"/>
        <v>0</v>
      </c>
      <c r="J43" s="77">
        <f t="shared" si="22"/>
        <v>171</v>
      </c>
      <c r="K43" s="78">
        <f t="shared" si="22"/>
        <v>0</v>
      </c>
      <c r="L43" s="79">
        <f t="shared" si="22"/>
        <v>171</v>
      </c>
      <c r="M43" s="77" t="s">
        <v>44</v>
      </c>
      <c r="N43" s="78" t="s">
        <v>44</v>
      </c>
      <c r="O43" s="79" t="s">
        <v>44</v>
      </c>
      <c r="P43" s="76"/>
    </row>
    <row r="44" spans="1:16" s="28" customFormat="1" ht="24" customHeight="1" x14ac:dyDescent="0.25">
      <c r="A44" s="51">
        <v>21499</v>
      </c>
      <c r="B44" s="88" t="s">
        <v>64</v>
      </c>
      <c r="C44" s="132">
        <f>F44+I44+L44</f>
        <v>171</v>
      </c>
      <c r="D44" s="46"/>
      <c r="E44" s="47"/>
      <c r="F44" s="133">
        <f>D44+E44</f>
        <v>0</v>
      </c>
      <c r="G44" s="46"/>
      <c r="H44" s="47"/>
      <c r="I44" s="133">
        <f>G44+H44</f>
        <v>0</v>
      </c>
      <c r="J44" s="46">
        <v>171</v>
      </c>
      <c r="K44" s="47"/>
      <c r="L44" s="48">
        <f>K44+J44</f>
        <v>171</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831910</v>
      </c>
      <c r="D50" s="158">
        <f>SUM(D51,D286)</f>
        <v>827368</v>
      </c>
      <c r="E50" s="159">
        <f t="shared" ref="E50:F50" si="26">SUM(E51,E286)</f>
        <v>0</v>
      </c>
      <c r="F50" s="160">
        <f t="shared" si="26"/>
        <v>827368</v>
      </c>
      <c r="G50" s="158">
        <f>SUM(G51,G286)</f>
        <v>4371</v>
      </c>
      <c r="H50" s="159">
        <f>SUM(H51,H286)</f>
        <v>0</v>
      </c>
      <c r="I50" s="160">
        <f t="shared" ref="I50" si="27">SUM(I51,I286)</f>
        <v>4371</v>
      </c>
      <c r="J50" s="32">
        <f>SUM(J51,J286)</f>
        <v>171</v>
      </c>
      <c r="K50" s="33">
        <f t="shared" ref="K50:L50" si="28">SUM(K51,K286)</f>
        <v>0</v>
      </c>
      <c r="L50" s="34">
        <f t="shared" si="28"/>
        <v>171</v>
      </c>
      <c r="M50" s="32">
        <f>SUM(M51,M286)</f>
        <v>0</v>
      </c>
      <c r="N50" s="33">
        <f t="shared" ref="N50:O50" si="29">SUM(N51,N286)</f>
        <v>0</v>
      </c>
      <c r="O50" s="34">
        <f t="shared" si="29"/>
        <v>0</v>
      </c>
      <c r="P50" s="35"/>
    </row>
    <row r="51" spans="1:16" s="28" customFormat="1" ht="36.75" thickTop="1" x14ac:dyDescent="0.25">
      <c r="A51" s="161"/>
      <c r="B51" s="162" t="s">
        <v>70</v>
      </c>
      <c r="C51" s="163">
        <f t="shared" si="0"/>
        <v>831910</v>
      </c>
      <c r="D51" s="164">
        <f>SUM(D52,D194)</f>
        <v>827368</v>
      </c>
      <c r="E51" s="165">
        <f t="shared" ref="E51:F51" si="30">SUM(E52,E194)</f>
        <v>0</v>
      </c>
      <c r="F51" s="166">
        <f t="shared" si="30"/>
        <v>827368</v>
      </c>
      <c r="G51" s="164">
        <f>SUM(G52,G194)</f>
        <v>4371</v>
      </c>
      <c r="H51" s="165">
        <f t="shared" ref="H51:I51" si="31">SUM(H52,H194)</f>
        <v>0</v>
      </c>
      <c r="I51" s="166">
        <f t="shared" si="31"/>
        <v>4371</v>
      </c>
      <c r="J51" s="167">
        <f>SUM(J52,J194)</f>
        <v>171</v>
      </c>
      <c r="K51" s="168">
        <f t="shared" ref="K51:L51" si="32">SUM(K52,K194)</f>
        <v>0</v>
      </c>
      <c r="L51" s="169">
        <f t="shared" si="32"/>
        <v>171</v>
      </c>
      <c r="M51" s="167">
        <f>SUM(M52,M194)</f>
        <v>0</v>
      </c>
      <c r="N51" s="168">
        <f t="shared" ref="N51:O51" si="33">SUM(N52,N194)</f>
        <v>0</v>
      </c>
      <c r="O51" s="169">
        <f t="shared" si="33"/>
        <v>0</v>
      </c>
      <c r="P51" s="170"/>
    </row>
    <row r="52" spans="1:16" s="28" customFormat="1" ht="24" x14ac:dyDescent="0.25">
      <c r="A52" s="24"/>
      <c r="B52" s="22" t="s">
        <v>71</v>
      </c>
      <c r="C52" s="171">
        <f t="shared" si="0"/>
        <v>808799</v>
      </c>
      <c r="D52" s="172">
        <f>SUM(D53,D75,D173,D187)</f>
        <v>801468</v>
      </c>
      <c r="E52" s="173">
        <f t="shared" ref="E52:F52" si="34">SUM(E53,E75,E173,E187)</f>
        <v>2900</v>
      </c>
      <c r="F52" s="174">
        <f t="shared" si="34"/>
        <v>804368</v>
      </c>
      <c r="G52" s="172">
        <f>SUM(G53,G75,G173,G187)</f>
        <v>4371</v>
      </c>
      <c r="H52" s="173">
        <f t="shared" ref="H52:I52" si="35">SUM(H53,H75,H173,H187)</f>
        <v>0</v>
      </c>
      <c r="I52" s="174">
        <f t="shared" si="35"/>
        <v>4371</v>
      </c>
      <c r="J52" s="172">
        <f>SUM(J53,J75,J173,J187)</f>
        <v>60</v>
      </c>
      <c r="K52" s="173">
        <f t="shared" ref="K52:L52" si="36">SUM(K53,K75,K173,K187)</f>
        <v>0</v>
      </c>
      <c r="L52" s="174">
        <f t="shared" si="36"/>
        <v>60</v>
      </c>
      <c r="M52" s="172">
        <f>SUM(M53,M75,M173,M187)</f>
        <v>0</v>
      </c>
      <c r="N52" s="173">
        <f t="shared" ref="N52:O52" si="37">SUM(N53,N75,N173,N187)</f>
        <v>0</v>
      </c>
      <c r="O52" s="174">
        <f t="shared" si="37"/>
        <v>0</v>
      </c>
      <c r="P52" s="175"/>
    </row>
    <row r="53" spans="1:16" s="28" customFormat="1" x14ac:dyDescent="0.25">
      <c r="A53" s="176">
        <v>1000</v>
      </c>
      <c r="B53" s="176" t="s">
        <v>72</v>
      </c>
      <c r="C53" s="177">
        <f t="shared" si="0"/>
        <v>742537</v>
      </c>
      <c r="D53" s="178">
        <f>SUM(D54,D67)</f>
        <v>733968</v>
      </c>
      <c r="E53" s="179">
        <f t="shared" ref="E53:F53" si="38">SUM(E54,E67)</f>
        <v>4198</v>
      </c>
      <c r="F53" s="180">
        <f t="shared" si="38"/>
        <v>738166</v>
      </c>
      <c r="G53" s="178">
        <f>SUM(G54,G67)</f>
        <v>4371</v>
      </c>
      <c r="H53" s="179">
        <f t="shared" ref="H53:I53" si="39">SUM(H54,H67)</f>
        <v>0</v>
      </c>
      <c r="I53" s="180">
        <f t="shared" si="39"/>
        <v>4371</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562481</v>
      </c>
      <c r="D54" s="183">
        <f>SUM(D55,D58,D66)</f>
        <v>555576</v>
      </c>
      <c r="E54" s="184">
        <f t="shared" ref="E54:F54" si="42">SUM(E55,E58,E66)</f>
        <v>3383</v>
      </c>
      <c r="F54" s="72">
        <f t="shared" si="42"/>
        <v>558959</v>
      </c>
      <c r="G54" s="183">
        <f>SUM(G55,G58,G66)</f>
        <v>3522</v>
      </c>
      <c r="H54" s="184">
        <f t="shared" ref="H54:I54" si="43">SUM(H55,H58,H66)</f>
        <v>0</v>
      </c>
      <c r="I54" s="72">
        <f t="shared" si="43"/>
        <v>3522</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510565</v>
      </c>
      <c r="D55" s="186">
        <f>SUM(D56:D57)</f>
        <v>510565</v>
      </c>
      <c r="E55" s="187">
        <f t="shared" ref="E55:F55" si="46">SUM(E56:E57)</f>
        <v>0</v>
      </c>
      <c r="F55" s="140">
        <f t="shared" si="46"/>
        <v>510565</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510565</v>
      </c>
      <c r="D57" s="53">
        <v>510565</v>
      </c>
      <c r="E57" s="54"/>
      <c r="F57" s="55">
        <f t="shared" si="50"/>
        <v>510565</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50721</v>
      </c>
      <c r="D58" s="189">
        <f>SUM(D59:D65)</f>
        <v>43816</v>
      </c>
      <c r="E58" s="190">
        <f>SUM(E59:E65)</f>
        <v>3383</v>
      </c>
      <c r="F58" s="55">
        <f t="shared" ref="F58" si="54">SUM(F59:F65)</f>
        <v>47199</v>
      </c>
      <c r="G58" s="189">
        <f>SUM(G59:G65)</f>
        <v>3522</v>
      </c>
      <c r="H58" s="190">
        <f t="shared" ref="H58:I58" si="55">SUM(H59:H65)</f>
        <v>0</v>
      </c>
      <c r="I58" s="55">
        <f t="shared" si="55"/>
        <v>3522</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customHeight="1" x14ac:dyDescent="0.25">
      <c r="A62" s="51">
        <v>1146</v>
      </c>
      <c r="B62" s="88" t="s">
        <v>81</v>
      </c>
      <c r="C62" s="89">
        <f t="shared" si="0"/>
        <v>3522</v>
      </c>
      <c r="D62" s="53"/>
      <c r="E62" s="54"/>
      <c r="F62" s="55">
        <f t="shared" si="58"/>
        <v>0</v>
      </c>
      <c r="G62" s="53">
        <v>3522</v>
      </c>
      <c r="H62" s="54"/>
      <c r="I62" s="55">
        <f t="shared" si="59"/>
        <v>3522</v>
      </c>
      <c r="J62" s="53"/>
      <c r="K62" s="54"/>
      <c r="L62" s="55">
        <f t="shared" si="60"/>
        <v>0</v>
      </c>
      <c r="M62" s="53"/>
      <c r="N62" s="54"/>
      <c r="O62" s="55">
        <f t="shared" si="61"/>
        <v>0</v>
      </c>
      <c r="P62" s="57"/>
    </row>
    <row r="63" spans="1:16" ht="12" customHeight="1" x14ac:dyDescent="0.25">
      <c r="A63" s="51">
        <v>1147</v>
      </c>
      <c r="B63" s="88" t="s">
        <v>82</v>
      </c>
      <c r="C63" s="89">
        <f t="shared" si="0"/>
        <v>11878</v>
      </c>
      <c r="D63" s="53">
        <v>11878</v>
      </c>
      <c r="E63" s="54"/>
      <c r="F63" s="55">
        <f t="shared" si="58"/>
        <v>11878</v>
      </c>
      <c r="G63" s="53"/>
      <c r="H63" s="54"/>
      <c r="I63" s="55">
        <f t="shared" si="59"/>
        <v>0</v>
      </c>
      <c r="J63" s="53"/>
      <c r="K63" s="54"/>
      <c r="L63" s="55">
        <f t="shared" si="60"/>
        <v>0</v>
      </c>
      <c r="M63" s="53"/>
      <c r="N63" s="54"/>
      <c r="O63" s="55">
        <f t="shared" si="61"/>
        <v>0</v>
      </c>
      <c r="P63" s="57"/>
    </row>
    <row r="64" spans="1:16" ht="16.5" customHeight="1" x14ac:dyDescent="0.25">
      <c r="A64" s="51">
        <v>1148</v>
      </c>
      <c r="B64" s="88" t="s">
        <v>83</v>
      </c>
      <c r="C64" s="89">
        <f t="shared" si="0"/>
        <v>35321</v>
      </c>
      <c r="D64" s="53">
        <v>31938</v>
      </c>
      <c r="E64" s="54">
        <v>3383</v>
      </c>
      <c r="F64" s="55">
        <f t="shared" si="58"/>
        <v>35321</v>
      </c>
      <c r="G64" s="53"/>
      <c r="H64" s="54"/>
      <c r="I64" s="55">
        <f t="shared" si="59"/>
        <v>0</v>
      </c>
      <c r="J64" s="53"/>
      <c r="K64" s="54"/>
      <c r="L64" s="55">
        <f t="shared" si="60"/>
        <v>0</v>
      </c>
      <c r="M64" s="53"/>
      <c r="N64" s="54"/>
      <c r="O64" s="55">
        <f t="shared" si="61"/>
        <v>0</v>
      </c>
      <c r="P64" s="57" t="s">
        <v>462</v>
      </c>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1195</v>
      </c>
      <c r="D66" s="143">
        <v>1195</v>
      </c>
      <c r="E66" s="144"/>
      <c r="F66" s="140">
        <f t="shared" si="58"/>
        <v>1195</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180056</v>
      </c>
      <c r="D67" s="183">
        <f>SUM(D68:D69)</f>
        <v>178392</v>
      </c>
      <c r="E67" s="184">
        <f t="shared" ref="E67:F67" si="62">SUM(E68:E69)</f>
        <v>815</v>
      </c>
      <c r="F67" s="72">
        <f t="shared" si="62"/>
        <v>179207</v>
      </c>
      <c r="G67" s="183">
        <f>SUM(G68:G69)</f>
        <v>849</v>
      </c>
      <c r="H67" s="184">
        <f t="shared" ref="H67:I67" si="63">SUM(H68:H69)</f>
        <v>0</v>
      </c>
      <c r="I67" s="72">
        <f t="shared" si="63"/>
        <v>849</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278">
        <v>1210</v>
      </c>
      <c r="B68" s="81" t="s">
        <v>87</v>
      </c>
      <c r="C68" s="82">
        <f t="shared" si="0"/>
        <v>142021</v>
      </c>
      <c r="D68" s="46">
        <v>140357</v>
      </c>
      <c r="E68" s="47">
        <v>815</v>
      </c>
      <c r="F68" s="133">
        <f>D68+E68</f>
        <v>141172</v>
      </c>
      <c r="G68" s="46">
        <v>849</v>
      </c>
      <c r="H68" s="47"/>
      <c r="I68" s="133">
        <f>G68+H68</f>
        <v>849</v>
      </c>
      <c r="J68" s="46"/>
      <c r="K68" s="47"/>
      <c r="L68" s="133">
        <f>K68+J68</f>
        <v>0</v>
      </c>
      <c r="M68" s="46"/>
      <c r="N68" s="47"/>
      <c r="O68" s="133">
        <f>N68+M68</f>
        <v>0</v>
      </c>
      <c r="P68" s="49" t="s">
        <v>463</v>
      </c>
    </row>
    <row r="69" spans="1:16" ht="24" x14ac:dyDescent="0.25">
      <c r="A69" s="188">
        <v>1220</v>
      </c>
      <c r="B69" s="88" t="s">
        <v>88</v>
      </c>
      <c r="C69" s="89">
        <f t="shared" si="0"/>
        <v>38035</v>
      </c>
      <c r="D69" s="189">
        <f>SUM(D70:D74)</f>
        <v>38035</v>
      </c>
      <c r="E69" s="190">
        <f t="shared" ref="E69:F69" si="66">SUM(E70:E74)</f>
        <v>0</v>
      </c>
      <c r="F69" s="55">
        <f t="shared" si="66"/>
        <v>38035</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27060</v>
      </c>
      <c r="D70" s="53">
        <v>27060</v>
      </c>
      <c r="E70" s="54"/>
      <c r="F70" s="55">
        <f t="shared" ref="F70:F74" si="70">D70+E70</f>
        <v>27060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10475</v>
      </c>
      <c r="D73" s="53">
        <v>10475</v>
      </c>
      <c r="E73" s="54"/>
      <c r="F73" s="55">
        <f t="shared" si="70"/>
        <v>10475</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66262</v>
      </c>
      <c r="D75" s="178">
        <f>SUM(D76,D83,D130,D164,D165,D172)</f>
        <v>67500</v>
      </c>
      <c r="E75" s="179">
        <f t="shared" ref="E75:F75" si="74">SUM(E76,E83,E130,E164,E165,E172)</f>
        <v>-1298</v>
      </c>
      <c r="F75" s="180">
        <f t="shared" si="74"/>
        <v>66202</v>
      </c>
      <c r="G75" s="178">
        <f>SUM(G76,G83,G130,G164,G165,G172)</f>
        <v>0</v>
      </c>
      <c r="H75" s="179">
        <f t="shared" ref="H75:I75" si="75">SUM(H76,H83,H130,H164,H165,H172)</f>
        <v>0</v>
      </c>
      <c r="I75" s="180">
        <f t="shared" si="75"/>
        <v>0</v>
      </c>
      <c r="J75" s="178">
        <f>SUM(J76,J83,J130,J164,J165,J172)</f>
        <v>60</v>
      </c>
      <c r="K75" s="179">
        <f t="shared" ref="K75:L75" si="76">SUM(K76,K83,K130,K164,K165,K172)</f>
        <v>0</v>
      </c>
      <c r="L75" s="180">
        <f t="shared" si="76"/>
        <v>60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50879</v>
      </c>
      <c r="D83" s="183">
        <f>SUM(D84,D89,D95,D103,D112,D116,D122,D128)</f>
        <v>51947</v>
      </c>
      <c r="E83" s="184">
        <f t="shared" ref="E83:F83" si="98">SUM(E84,E89,E95,E103,E112,E116,E122,E128)</f>
        <v>-1128</v>
      </c>
      <c r="F83" s="72">
        <f t="shared" si="98"/>
        <v>50819</v>
      </c>
      <c r="G83" s="183">
        <f>SUM(G84,G89,G95,G103,G112,G116,G122,G128)</f>
        <v>0</v>
      </c>
      <c r="H83" s="184">
        <f t="shared" ref="H83:I83" si="99">SUM(H84,H89,H95,H103,H112,H116,H122,H128)</f>
        <v>0</v>
      </c>
      <c r="I83" s="72">
        <f t="shared" si="99"/>
        <v>0</v>
      </c>
      <c r="J83" s="183">
        <f>SUM(J84,J89,J95,J103,J112,J116,J122,J128)</f>
        <v>60</v>
      </c>
      <c r="K83" s="184">
        <f t="shared" ref="K83:L83" si="100">SUM(K84,K89,K95,K103,K112,K116,K122,K128)</f>
        <v>0</v>
      </c>
      <c r="L83" s="72">
        <f t="shared" si="100"/>
        <v>60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8506</v>
      </c>
      <c r="D84" s="186">
        <f>SUM(D85:D88)</f>
        <v>9146</v>
      </c>
      <c r="E84" s="187">
        <f t="shared" ref="E84:F84" si="103">SUM(E85:E88)</f>
        <v>-700</v>
      </c>
      <c r="F84" s="140">
        <f t="shared" si="103"/>
        <v>8446</v>
      </c>
      <c r="G84" s="186">
        <f>SUM(G85:G88)</f>
        <v>0</v>
      </c>
      <c r="H84" s="187">
        <f t="shared" ref="H84:I84" si="104">SUM(H85:H88)</f>
        <v>0</v>
      </c>
      <c r="I84" s="140">
        <f t="shared" si="104"/>
        <v>0</v>
      </c>
      <c r="J84" s="186">
        <f>SUM(J85:J88)</f>
        <v>60</v>
      </c>
      <c r="K84" s="187">
        <f t="shared" ref="K84:L84" si="105">SUM(K85:K88)</f>
        <v>0</v>
      </c>
      <c r="L84" s="140">
        <f t="shared" si="105"/>
        <v>60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5623</v>
      </c>
      <c r="D86" s="194">
        <v>5623</v>
      </c>
      <c r="E86" s="195"/>
      <c r="F86" s="55">
        <f t="shared" si="107"/>
        <v>5623</v>
      </c>
      <c r="G86" s="53"/>
      <c r="H86" s="54"/>
      <c r="I86" s="55">
        <f t="shared" si="108"/>
        <v>0</v>
      </c>
      <c r="J86" s="53"/>
      <c r="K86" s="54"/>
      <c r="L86" s="55">
        <f t="shared" si="109"/>
        <v>0</v>
      </c>
      <c r="M86" s="53"/>
      <c r="N86" s="54"/>
      <c r="O86" s="55">
        <f t="shared" si="110"/>
        <v>0</v>
      </c>
      <c r="P86" s="57"/>
    </row>
    <row r="87" spans="1:16" ht="24" customHeight="1" x14ac:dyDescent="0.25">
      <c r="A87" s="51">
        <v>2214</v>
      </c>
      <c r="B87" s="88" t="s">
        <v>104</v>
      </c>
      <c r="C87" s="89">
        <f t="shared" si="102"/>
        <v>492</v>
      </c>
      <c r="D87" s="194">
        <v>432</v>
      </c>
      <c r="E87" s="195"/>
      <c r="F87" s="55">
        <f t="shared" si="107"/>
        <v>432</v>
      </c>
      <c r="G87" s="53"/>
      <c r="H87" s="54"/>
      <c r="I87" s="55">
        <f t="shared" si="108"/>
        <v>0</v>
      </c>
      <c r="J87" s="53">
        <v>60</v>
      </c>
      <c r="K87" s="54"/>
      <c r="L87" s="55">
        <f t="shared" si="109"/>
        <v>60</v>
      </c>
      <c r="M87" s="53"/>
      <c r="N87" s="54"/>
      <c r="O87" s="55">
        <f t="shared" si="110"/>
        <v>0</v>
      </c>
      <c r="P87" s="57"/>
    </row>
    <row r="88" spans="1:16" ht="12" customHeight="1" x14ac:dyDescent="0.25">
      <c r="A88" s="51">
        <v>2219</v>
      </c>
      <c r="B88" s="88" t="s">
        <v>105</v>
      </c>
      <c r="C88" s="89">
        <f t="shared" si="102"/>
        <v>2391</v>
      </c>
      <c r="D88" s="194">
        <v>3091</v>
      </c>
      <c r="E88" s="195">
        <v>-700</v>
      </c>
      <c r="F88" s="55">
        <f t="shared" si="107"/>
        <v>2391</v>
      </c>
      <c r="G88" s="53"/>
      <c r="H88" s="54"/>
      <c r="I88" s="55">
        <f t="shared" si="108"/>
        <v>0</v>
      </c>
      <c r="J88" s="53"/>
      <c r="K88" s="54"/>
      <c r="L88" s="55">
        <f t="shared" si="109"/>
        <v>0</v>
      </c>
      <c r="M88" s="53"/>
      <c r="N88" s="54"/>
      <c r="O88" s="55">
        <f t="shared" si="110"/>
        <v>0</v>
      </c>
      <c r="P88" s="57" t="s">
        <v>464</v>
      </c>
    </row>
    <row r="89" spans="1:16" ht="24" x14ac:dyDescent="0.25">
      <c r="A89" s="188">
        <v>2220</v>
      </c>
      <c r="B89" s="88" t="s">
        <v>106</v>
      </c>
      <c r="C89" s="89">
        <f t="shared" si="102"/>
        <v>12283</v>
      </c>
      <c r="D89" s="189">
        <f>SUM(D90:D94)</f>
        <v>12734</v>
      </c>
      <c r="E89" s="190">
        <f t="shared" ref="E89:F89" si="111">SUM(E90:E94)</f>
        <v>-451</v>
      </c>
      <c r="F89" s="55">
        <f t="shared" si="111"/>
        <v>12283</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customHeight="1" x14ac:dyDescent="0.25">
      <c r="A90" s="51">
        <v>2221</v>
      </c>
      <c r="B90" s="88" t="s">
        <v>107</v>
      </c>
      <c r="C90" s="89">
        <f t="shared" si="102"/>
        <v>5241</v>
      </c>
      <c r="D90" s="194">
        <v>6592</v>
      </c>
      <c r="E90" s="195">
        <f>-1400+49</f>
        <v>-1351</v>
      </c>
      <c r="F90" s="55">
        <f t="shared" ref="F90:F94" si="115">D90+E90</f>
        <v>5241</v>
      </c>
      <c r="G90" s="53"/>
      <c r="H90" s="54"/>
      <c r="I90" s="55">
        <f t="shared" ref="I90:I94" si="116">G90+H90</f>
        <v>0</v>
      </c>
      <c r="J90" s="53"/>
      <c r="K90" s="54"/>
      <c r="L90" s="55">
        <f t="shared" ref="L90:L94" si="117">K90+J90</f>
        <v>0</v>
      </c>
      <c r="M90" s="53"/>
      <c r="N90" s="54"/>
      <c r="O90" s="55">
        <f t="shared" ref="O90:O94" si="118">N90+M90</f>
        <v>0</v>
      </c>
      <c r="P90" s="57" t="s">
        <v>464</v>
      </c>
    </row>
    <row r="91" spans="1:16" ht="12" customHeight="1" x14ac:dyDescent="0.25">
      <c r="A91" s="51">
        <v>2222</v>
      </c>
      <c r="B91" s="88" t="s">
        <v>108</v>
      </c>
      <c r="C91" s="89">
        <f t="shared" si="102"/>
        <v>1146</v>
      </c>
      <c r="D91" s="194">
        <v>1146</v>
      </c>
      <c r="E91" s="195"/>
      <c r="F91" s="55">
        <f t="shared" si="115"/>
        <v>1146</v>
      </c>
      <c r="G91" s="53"/>
      <c r="H91" s="54"/>
      <c r="I91" s="55">
        <f t="shared" si="116"/>
        <v>0</v>
      </c>
      <c r="J91" s="53"/>
      <c r="K91" s="54"/>
      <c r="L91" s="55">
        <f t="shared" si="117"/>
        <v>0</v>
      </c>
      <c r="M91" s="53"/>
      <c r="N91" s="54"/>
      <c r="O91" s="55">
        <f t="shared" si="118"/>
        <v>0</v>
      </c>
      <c r="P91" s="57"/>
    </row>
    <row r="92" spans="1:16" ht="15.75" customHeight="1" x14ac:dyDescent="0.25">
      <c r="A92" s="51">
        <v>2223</v>
      </c>
      <c r="B92" s="88" t="s">
        <v>109</v>
      </c>
      <c r="C92" s="89">
        <f t="shared" si="102"/>
        <v>5520</v>
      </c>
      <c r="D92" s="194">
        <v>4620</v>
      </c>
      <c r="E92" s="195">
        <v>900</v>
      </c>
      <c r="F92" s="55">
        <f t="shared" si="115"/>
        <v>5520</v>
      </c>
      <c r="G92" s="53"/>
      <c r="H92" s="54"/>
      <c r="I92" s="55">
        <f t="shared" si="116"/>
        <v>0</v>
      </c>
      <c r="J92" s="53"/>
      <c r="K92" s="54"/>
      <c r="L92" s="55">
        <f t="shared" si="117"/>
        <v>0</v>
      </c>
      <c r="M92" s="53"/>
      <c r="N92" s="54"/>
      <c r="O92" s="55">
        <f t="shared" si="118"/>
        <v>0</v>
      </c>
      <c r="P92" s="57" t="s">
        <v>465</v>
      </c>
    </row>
    <row r="93" spans="1:16" ht="48" customHeight="1" x14ac:dyDescent="0.25">
      <c r="A93" s="51">
        <v>2224</v>
      </c>
      <c r="B93" s="88" t="s">
        <v>110</v>
      </c>
      <c r="C93" s="89">
        <f t="shared" si="102"/>
        <v>376</v>
      </c>
      <c r="D93" s="194">
        <v>376</v>
      </c>
      <c r="E93" s="195"/>
      <c r="F93" s="55">
        <f t="shared" si="115"/>
        <v>376</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4332</v>
      </c>
      <c r="D95" s="189">
        <f>SUM(D96:D102)</f>
        <v>4332</v>
      </c>
      <c r="E95" s="190">
        <f t="shared" ref="E95:F95" si="119">SUM(E96:E102)</f>
        <v>0</v>
      </c>
      <c r="F95" s="55">
        <f t="shared" si="119"/>
        <v>4332</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157</v>
      </c>
      <c r="D100" s="194">
        <v>157</v>
      </c>
      <c r="E100" s="195"/>
      <c r="F100" s="55">
        <f t="shared" si="123"/>
        <v>157</v>
      </c>
      <c r="G100" s="53"/>
      <c r="H100" s="54"/>
      <c r="I100" s="55">
        <f t="shared" si="124"/>
        <v>0</v>
      </c>
      <c r="J100" s="53"/>
      <c r="K100" s="54"/>
      <c r="L100" s="55">
        <f t="shared" si="125"/>
        <v>0</v>
      </c>
      <c r="M100" s="53"/>
      <c r="N100" s="54"/>
      <c r="O100" s="55">
        <f t="shared" si="126"/>
        <v>0</v>
      </c>
      <c r="P100" s="57"/>
    </row>
    <row r="101" spans="1:16" ht="12" customHeight="1" x14ac:dyDescent="0.25">
      <c r="A101" s="51">
        <v>2236</v>
      </c>
      <c r="B101" s="88" t="s">
        <v>118</v>
      </c>
      <c r="C101" s="89">
        <f t="shared" si="102"/>
        <v>25</v>
      </c>
      <c r="D101" s="194">
        <v>25</v>
      </c>
      <c r="E101" s="195"/>
      <c r="F101" s="55">
        <f t="shared" si="123"/>
        <v>25</v>
      </c>
      <c r="G101" s="53"/>
      <c r="H101" s="54"/>
      <c r="I101" s="55">
        <f t="shared" si="124"/>
        <v>0</v>
      </c>
      <c r="J101" s="53"/>
      <c r="K101" s="54"/>
      <c r="L101" s="55">
        <f t="shared" si="125"/>
        <v>0</v>
      </c>
      <c r="M101" s="53"/>
      <c r="N101" s="54"/>
      <c r="O101" s="55">
        <f t="shared" si="126"/>
        <v>0</v>
      </c>
      <c r="P101" s="57"/>
    </row>
    <row r="102" spans="1:16" ht="26.25" customHeight="1" x14ac:dyDescent="0.25">
      <c r="A102" s="51">
        <v>2239</v>
      </c>
      <c r="B102" s="88" t="s">
        <v>119</v>
      </c>
      <c r="C102" s="89">
        <f t="shared" si="102"/>
        <v>4150</v>
      </c>
      <c r="D102" s="194">
        <v>4150</v>
      </c>
      <c r="E102" s="195"/>
      <c r="F102" s="55">
        <f t="shared" si="123"/>
        <v>4150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19132</v>
      </c>
      <c r="D103" s="189">
        <f>SUM(D104:D111)</f>
        <v>19132</v>
      </c>
      <c r="E103" s="190">
        <f t="shared" ref="E103:F103" si="127">SUM(E104:E111)</f>
        <v>0</v>
      </c>
      <c r="F103" s="55">
        <f t="shared" si="127"/>
        <v>19132</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8" t="s">
        <v>122</v>
      </c>
      <c r="C105" s="89">
        <f t="shared" si="102"/>
        <v>2427</v>
      </c>
      <c r="D105" s="194">
        <v>2427</v>
      </c>
      <c r="E105" s="195"/>
      <c r="F105" s="55">
        <f t="shared" si="131"/>
        <v>2427</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320</v>
      </c>
      <c r="D106" s="194">
        <v>320</v>
      </c>
      <c r="E106" s="195"/>
      <c r="F106" s="55">
        <f t="shared" si="131"/>
        <v>320</v>
      </c>
      <c r="G106" s="53"/>
      <c r="H106" s="54"/>
      <c r="I106" s="55">
        <f t="shared" si="132"/>
        <v>0</v>
      </c>
      <c r="J106" s="53"/>
      <c r="K106" s="54"/>
      <c r="L106" s="55">
        <f t="shared" si="133"/>
        <v>0</v>
      </c>
      <c r="M106" s="53"/>
      <c r="N106" s="54"/>
      <c r="O106" s="55">
        <f t="shared" si="134"/>
        <v>0</v>
      </c>
      <c r="P106" s="57"/>
    </row>
    <row r="107" spans="1:16" ht="15.75" customHeight="1" x14ac:dyDescent="0.25">
      <c r="A107" s="51">
        <v>2244</v>
      </c>
      <c r="B107" s="88" t="s">
        <v>124</v>
      </c>
      <c r="C107" s="89">
        <f t="shared" si="102"/>
        <v>16385</v>
      </c>
      <c r="D107" s="194">
        <v>16385</v>
      </c>
      <c r="E107" s="195"/>
      <c r="F107" s="55">
        <f t="shared" si="131"/>
        <v>16385</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8" t="s">
        <v>129</v>
      </c>
      <c r="C112" s="89">
        <f t="shared" si="102"/>
        <v>285</v>
      </c>
      <c r="D112" s="189">
        <f>SUM(D113:D115)</f>
        <v>285</v>
      </c>
      <c r="E112" s="190">
        <f t="shared" ref="E112:F112" si="135">SUM(E113:E115)</f>
        <v>0</v>
      </c>
      <c r="F112" s="55">
        <f t="shared" si="135"/>
        <v>285</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8" t="s">
        <v>132</v>
      </c>
      <c r="C115" s="89">
        <f t="shared" si="102"/>
        <v>285</v>
      </c>
      <c r="D115" s="194">
        <v>285</v>
      </c>
      <c r="E115" s="195"/>
      <c r="F115" s="55">
        <f t="shared" si="139"/>
        <v>285</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6341</v>
      </c>
      <c r="D116" s="189">
        <f>SUM(D117:D121)</f>
        <v>6318</v>
      </c>
      <c r="E116" s="190">
        <f t="shared" ref="E116:F116" si="143">SUM(E117:E121)</f>
        <v>23</v>
      </c>
      <c r="F116" s="55">
        <f t="shared" si="143"/>
        <v>6341</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customHeight="1" x14ac:dyDescent="0.25">
      <c r="A119" s="51">
        <v>2263</v>
      </c>
      <c r="B119" s="88" t="s">
        <v>136</v>
      </c>
      <c r="C119" s="89">
        <f t="shared" si="102"/>
        <v>6016</v>
      </c>
      <c r="D119" s="194">
        <v>6016</v>
      </c>
      <c r="E119" s="195"/>
      <c r="F119" s="55">
        <f t="shared" si="147"/>
        <v>6016</v>
      </c>
      <c r="G119" s="53"/>
      <c r="H119" s="54"/>
      <c r="I119" s="55">
        <f t="shared" si="148"/>
        <v>0</v>
      </c>
      <c r="J119" s="53"/>
      <c r="K119" s="54"/>
      <c r="L119" s="55">
        <f t="shared" si="149"/>
        <v>0</v>
      </c>
      <c r="M119" s="53"/>
      <c r="N119" s="54"/>
      <c r="O119" s="55">
        <f t="shared" si="150"/>
        <v>0</v>
      </c>
      <c r="P119" s="57"/>
    </row>
    <row r="120" spans="1:16" ht="26.25" customHeight="1" x14ac:dyDescent="0.25">
      <c r="A120" s="51">
        <v>2264</v>
      </c>
      <c r="B120" s="88" t="s">
        <v>137</v>
      </c>
      <c r="C120" s="89">
        <f t="shared" si="102"/>
        <v>299</v>
      </c>
      <c r="D120" s="194">
        <v>276</v>
      </c>
      <c r="E120" s="195">
        <v>23</v>
      </c>
      <c r="F120" s="55">
        <f t="shared" si="147"/>
        <v>299</v>
      </c>
      <c r="G120" s="53"/>
      <c r="H120" s="54"/>
      <c r="I120" s="55">
        <f t="shared" si="148"/>
        <v>0</v>
      </c>
      <c r="J120" s="53"/>
      <c r="K120" s="54"/>
      <c r="L120" s="55">
        <f t="shared" si="149"/>
        <v>0</v>
      </c>
      <c r="M120" s="53"/>
      <c r="N120" s="54"/>
      <c r="O120" s="55">
        <f t="shared" si="150"/>
        <v>0</v>
      </c>
      <c r="P120" s="57" t="s">
        <v>466</v>
      </c>
    </row>
    <row r="121" spans="1:16" ht="12" customHeight="1" x14ac:dyDescent="0.25">
      <c r="A121" s="51">
        <v>2269</v>
      </c>
      <c r="B121" s="88" t="s">
        <v>138</v>
      </c>
      <c r="C121" s="89">
        <f t="shared" si="102"/>
        <v>26</v>
      </c>
      <c r="D121" s="194">
        <v>26</v>
      </c>
      <c r="E121" s="195"/>
      <c r="F121" s="55">
        <f t="shared" si="147"/>
        <v>26</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36.75" hidden="1" customHeight="1" x14ac:dyDescent="0.25">
      <c r="A127" s="51">
        <v>2279</v>
      </c>
      <c r="B127" s="88" t="s">
        <v>144</v>
      </c>
      <c r="C127" s="89">
        <f t="shared" si="102"/>
        <v>0</v>
      </c>
      <c r="D127" s="194">
        <v>0</v>
      </c>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15134</v>
      </c>
      <c r="D130" s="183">
        <f>SUM(D131,D136,D140,D141,D144,D151,D159,D160,D163)</f>
        <v>15334</v>
      </c>
      <c r="E130" s="184">
        <f t="shared" ref="E130:F130" si="160">SUM(E131,E136,E140,E141,E144,E151,E159,E160,E163)</f>
        <v>-200</v>
      </c>
      <c r="F130" s="72">
        <f t="shared" si="160"/>
        <v>15134</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7320</v>
      </c>
      <c r="D131" s="192">
        <f t="shared" ref="D131:O131" si="164">SUM(D132:D135)</f>
        <v>7320</v>
      </c>
      <c r="E131" s="193">
        <f t="shared" si="164"/>
        <v>0</v>
      </c>
      <c r="F131" s="133">
        <f t="shared" si="164"/>
        <v>7320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5400</v>
      </c>
      <c r="D132" s="194">
        <v>5400</v>
      </c>
      <c r="E132" s="195"/>
      <c r="F132" s="55">
        <f t="shared" ref="F132:F135" si="165">D132+E132</f>
        <v>5400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1794</v>
      </c>
      <c r="D133" s="194">
        <v>1794</v>
      </c>
      <c r="E133" s="195"/>
      <c r="F133" s="55">
        <f t="shared" si="165"/>
        <v>1794</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126</v>
      </c>
      <c r="D135" s="194">
        <v>126</v>
      </c>
      <c r="E135" s="195"/>
      <c r="F135" s="55">
        <f t="shared" si="165"/>
        <v>126</v>
      </c>
      <c r="G135" s="53"/>
      <c r="H135" s="54"/>
      <c r="I135" s="55">
        <f t="shared" si="166"/>
        <v>0</v>
      </c>
      <c r="J135" s="53"/>
      <c r="K135" s="54"/>
      <c r="L135" s="55">
        <f t="shared" si="167"/>
        <v>0</v>
      </c>
      <c r="M135" s="53"/>
      <c r="N135" s="54"/>
      <c r="O135" s="55">
        <f t="shared" si="168"/>
        <v>0</v>
      </c>
      <c r="P135" s="57"/>
    </row>
    <row r="136" spans="1:16" x14ac:dyDescent="0.25">
      <c r="A136" s="188">
        <v>2320</v>
      </c>
      <c r="B136" s="88" t="s">
        <v>153</v>
      </c>
      <c r="C136" s="89">
        <f t="shared" si="102"/>
        <v>5757</v>
      </c>
      <c r="D136" s="189">
        <f>SUM(D137:D139)</f>
        <v>6657</v>
      </c>
      <c r="E136" s="190">
        <f t="shared" ref="E136:F136" si="169">SUM(E137:E139)</f>
        <v>-900</v>
      </c>
      <c r="F136" s="55">
        <f t="shared" si="169"/>
        <v>5757</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75" customHeight="1" x14ac:dyDescent="0.25">
      <c r="A137" s="51">
        <v>2321</v>
      </c>
      <c r="B137" s="88" t="s">
        <v>154</v>
      </c>
      <c r="C137" s="89">
        <f t="shared" si="102"/>
        <v>2400</v>
      </c>
      <c r="D137" s="194">
        <v>3300</v>
      </c>
      <c r="E137" s="195">
        <v>-900</v>
      </c>
      <c r="F137" s="55">
        <f t="shared" ref="F137:F140" si="173">D137+E137</f>
        <v>2400</v>
      </c>
      <c r="G137" s="53"/>
      <c r="H137" s="54"/>
      <c r="I137" s="55">
        <f t="shared" ref="I137:I140" si="174">G137+H137</f>
        <v>0</v>
      </c>
      <c r="J137" s="53"/>
      <c r="K137" s="54"/>
      <c r="L137" s="55">
        <f t="shared" ref="L137:L140" si="175">K137+J137</f>
        <v>0</v>
      </c>
      <c r="M137" s="53"/>
      <c r="N137" s="54"/>
      <c r="O137" s="55">
        <f t="shared" ref="O137:O140" si="176">N137+M137</f>
        <v>0</v>
      </c>
      <c r="P137" s="57" t="s">
        <v>467</v>
      </c>
    </row>
    <row r="138" spans="1:16" ht="12" customHeight="1" x14ac:dyDescent="0.25">
      <c r="A138" s="51">
        <v>2322</v>
      </c>
      <c r="B138" s="88" t="s">
        <v>155</v>
      </c>
      <c r="C138" s="89">
        <f t="shared" si="102"/>
        <v>3357</v>
      </c>
      <c r="D138" s="194">
        <v>3357</v>
      </c>
      <c r="E138" s="195"/>
      <c r="F138" s="55">
        <f t="shared" si="173"/>
        <v>3357</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2057</v>
      </c>
      <c r="D144" s="186">
        <f>SUM(D145:D150)</f>
        <v>1357</v>
      </c>
      <c r="E144" s="187">
        <f t="shared" ref="E144:F144" si="185">SUM(E145:E150)</f>
        <v>700</v>
      </c>
      <c r="F144" s="140">
        <f t="shared" si="185"/>
        <v>2057</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4.25" customHeight="1" x14ac:dyDescent="0.25">
      <c r="A146" s="51">
        <v>2352</v>
      </c>
      <c r="B146" s="88" t="s">
        <v>163</v>
      </c>
      <c r="C146" s="89">
        <f t="shared" si="102"/>
        <v>1900</v>
      </c>
      <c r="D146" s="194">
        <v>1200</v>
      </c>
      <c r="E146" s="195">
        <v>700</v>
      </c>
      <c r="F146" s="55">
        <f t="shared" si="189"/>
        <v>1900</v>
      </c>
      <c r="G146" s="53"/>
      <c r="H146" s="54"/>
      <c r="I146" s="55">
        <f t="shared" si="190"/>
        <v>0</v>
      </c>
      <c r="J146" s="53"/>
      <c r="K146" s="54"/>
      <c r="L146" s="55">
        <f t="shared" si="191"/>
        <v>0</v>
      </c>
      <c r="M146" s="53"/>
      <c r="N146" s="54"/>
      <c r="O146" s="55">
        <f t="shared" si="192"/>
        <v>0</v>
      </c>
      <c r="P146" s="57" t="s">
        <v>468</v>
      </c>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8" t="s">
        <v>165</v>
      </c>
      <c r="C148" s="89">
        <f t="shared" ref="C148:C211" si="193">F148+I148+L148+O148</f>
        <v>136</v>
      </c>
      <c r="D148" s="194">
        <v>136</v>
      </c>
      <c r="E148" s="195"/>
      <c r="F148" s="55">
        <f t="shared" si="189"/>
        <v>136</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8" t="s">
        <v>166</v>
      </c>
      <c r="C149" s="89">
        <f t="shared" si="193"/>
        <v>21</v>
      </c>
      <c r="D149" s="194">
        <v>21</v>
      </c>
      <c r="E149" s="195"/>
      <c r="F149" s="55">
        <f t="shared" si="189"/>
        <v>21</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x14ac:dyDescent="0.25">
      <c r="A165" s="68">
        <v>2500</v>
      </c>
      <c r="B165" s="182" t="s">
        <v>182</v>
      </c>
      <c r="C165" s="69">
        <f t="shared" si="193"/>
        <v>249</v>
      </c>
      <c r="D165" s="183">
        <f>SUM(D166,D171)</f>
        <v>219</v>
      </c>
      <c r="E165" s="184">
        <f t="shared" ref="E165:O165" si="210">SUM(E166,E171)</f>
        <v>30</v>
      </c>
      <c r="F165" s="72">
        <f t="shared" si="210"/>
        <v>249</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24" x14ac:dyDescent="0.25">
      <c r="A166" s="278">
        <v>2510</v>
      </c>
      <c r="B166" s="81" t="s">
        <v>183</v>
      </c>
      <c r="C166" s="82">
        <f t="shared" si="193"/>
        <v>249</v>
      </c>
      <c r="D166" s="192">
        <f>SUM(D167:D170)</f>
        <v>219</v>
      </c>
      <c r="E166" s="193">
        <f t="shared" ref="E166:O166" si="211">SUM(E167:E170)</f>
        <v>30</v>
      </c>
      <c r="F166" s="133">
        <f t="shared" si="211"/>
        <v>249</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7.75" customHeight="1" x14ac:dyDescent="0.25">
      <c r="A170" s="51">
        <v>2519</v>
      </c>
      <c r="B170" s="88" t="s">
        <v>187</v>
      </c>
      <c r="C170" s="89">
        <f t="shared" si="193"/>
        <v>249</v>
      </c>
      <c r="D170" s="194">
        <v>219</v>
      </c>
      <c r="E170" s="195">
        <v>30</v>
      </c>
      <c r="F170" s="55">
        <f t="shared" si="212"/>
        <v>249</v>
      </c>
      <c r="G170" s="53"/>
      <c r="H170" s="54"/>
      <c r="I170" s="55">
        <f t="shared" si="213"/>
        <v>0</v>
      </c>
      <c r="J170" s="53"/>
      <c r="K170" s="54"/>
      <c r="L170" s="55">
        <f t="shared" si="214"/>
        <v>0</v>
      </c>
      <c r="M170" s="53"/>
      <c r="N170" s="54"/>
      <c r="O170" s="55">
        <f t="shared" si="215"/>
        <v>0</v>
      </c>
      <c r="P170" s="57" t="s">
        <v>469</v>
      </c>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23111</v>
      </c>
      <c r="D194" s="172">
        <f t="shared" ref="D194:O194" si="259">SUM(D195,D230,D269,D283)</f>
        <v>25900</v>
      </c>
      <c r="E194" s="173">
        <f t="shared" si="259"/>
        <v>-2900</v>
      </c>
      <c r="F194" s="174">
        <f t="shared" si="259"/>
        <v>23000</v>
      </c>
      <c r="G194" s="172">
        <f t="shared" si="259"/>
        <v>0</v>
      </c>
      <c r="H194" s="173">
        <f t="shared" si="259"/>
        <v>0</v>
      </c>
      <c r="I194" s="174">
        <f t="shared" si="259"/>
        <v>0</v>
      </c>
      <c r="J194" s="172">
        <f t="shared" si="259"/>
        <v>111</v>
      </c>
      <c r="K194" s="173">
        <f t="shared" si="259"/>
        <v>0</v>
      </c>
      <c r="L194" s="174">
        <f t="shared" si="259"/>
        <v>111</v>
      </c>
      <c r="M194" s="172">
        <f t="shared" si="259"/>
        <v>0</v>
      </c>
      <c r="N194" s="173">
        <f t="shared" si="259"/>
        <v>0</v>
      </c>
      <c r="O194" s="174">
        <f t="shared" si="259"/>
        <v>0</v>
      </c>
      <c r="P194" s="175"/>
    </row>
    <row r="195" spans="1:16" x14ac:dyDescent="0.25">
      <c r="A195" s="176">
        <v>5000</v>
      </c>
      <c r="B195" s="176" t="s">
        <v>212</v>
      </c>
      <c r="C195" s="177">
        <f t="shared" si="193"/>
        <v>23000</v>
      </c>
      <c r="D195" s="178">
        <f>D196+D204</f>
        <v>25900</v>
      </c>
      <c r="E195" s="179">
        <f t="shared" ref="E195:F195" si="260">E196+E204</f>
        <v>-2900</v>
      </c>
      <c r="F195" s="180">
        <f t="shared" si="260"/>
        <v>23000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23000</v>
      </c>
      <c r="D204" s="183">
        <f>D205+D215+D216+D225+D226+D227+D229</f>
        <v>25900</v>
      </c>
      <c r="E204" s="184">
        <f t="shared" ref="E204:F204" si="276">E205+E215+E216+E225+E226+E227+E229</f>
        <v>-2900</v>
      </c>
      <c r="F204" s="72">
        <f t="shared" si="276"/>
        <v>23000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23000</v>
      </c>
      <c r="D216" s="189">
        <f>SUM(D217:D224)</f>
        <v>25900</v>
      </c>
      <c r="E216" s="190">
        <f t="shared" ref="E216:F216" si="289">SUM(E217:E224)</f>
        <v>-2900</v>
      </c>
      <c r="F216" s="55">
        <f t="shared" si="289"/>
        <v>23000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customHeight="1" x14ac:dyDescent="0.25">
      <c r="A217" s="51">
        <v>5231</v>
      </c>
      <c r="B217" s="88" t="s">
        <v>234</v>
      </c>
      <c r="C217" s="89">
        <f t="shared" si="288"/>
        <v>19100</v>
      </c>
      <c r="D217" s="194">
        <v>22000</v>
      </c>
      <c r="E217" s="195">
        <v>-2900</v>
      </c>
      <c r="F217" s="55">
        <f t="shared" ref="F217:F226" si="293">D217+E217</f>
        <v>19100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3900</v>
      </c>
      <c r="D223" s="194">
        <v>3900</v>
      </c>
      <c r="E223" s="195"/>
      <c r="F223" s="55">
        <f t="shared" si="293"/>
        <v>3900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111</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111</v>
      </c>
      <c r="K269" s="230">
        <f t="shared" ref="K269:L269" si="357">SUM(K270,K281)</f>
        <v>0</v>
      </c>
      <c r="L269" s="231">
        <f t="shared" si="357"/>
        <v>111</v>
      </c>
      <c r="M269" s="229">
        <f>SUM(M270,M281)</f>
        <v>0</v>
      </c>
      <c r="N269" s="230">
        <f t="shared" ref="N269:O269" si="358">SUM(N270,N281)</f>
        <v>0</v>
      </c>
      <c r="O269" s="231">
        <f t="shared" si="358"/>
        <v>0</v>
      </c>
      <c r="P269" s="232"/>
    </row>
    <row r="270" spans="1:16" ht="24" x14ac:dyDescent="0.25">
      <c r="A270" s="68">
        <v>7200</v>
      </c>
      <c r="B270" s="182" t="s">
        <v>287</v>
      </c>
      <c r="C270" s="69">
        <f t="shared" si="288"/>
        <v>111</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111</v>
      </c>
      <c r="K270" s="184">
        <f t="shared" ref="K270:L270" si="361">SUM(K271,K272,K275,K276,K280)</f>
        <v>0</v>
      </c>
      <c r="L270" s="72">
        <f t="shared" si="361"/>
        <v>111</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customHeight="1" x14ac:dyDescent="0.25">
      <c r="A275" s="188">
        <v>7230</v>
      </c>
      <c r="B275" s="88" t="s">
        <v>292</v>
      </c>
      <c r="C275" s="89">
        <f t="shared" si="288"/>
        <v>111</v>
      </c>
      <c r="D275" s="194"/>
      <c r="E275" s="195"/>
      <c r="F275" s="55">
        <f t="shared" si="367"/>
        <v>0</v>
      </c>
      <c r="G275" s="53"/>
      <c r="H275" s="54"/>
      <c r="I275" s="55">
        <f t="shared" si="368"/>
        <v>0</v>
      </c>
      <c r="J275" s="53">
        <v>111</v>
      </c>
      <c r="K275" s="54"/>
      <c r="L275" s="55">
        <f t="shared" si="369"/>
        <v>111</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831910</v>
      </c>
      <c r="D289" s="251">
        <f t="shared" ref="D289:O289" si="389">SUM(D286,D269,D230,D195,D187,D173,D75,D53,D283)</f>
        <v>827368</v>
      </c>
      <c r="E289" s="252">
        <f t="shared" si="389"/>
        <v>0</v>
      </c>
      <c r="F289" s="253">
        <f t="shared" si="389"/>
        <v>827368</v>
      </c>
      <c r="G289" s="251">
        <f t="shared" si="389"/>
        <v>4371</v>
      </c>
      <c r="H289" s="252">
        <f t="shared" si="389"/>
        <v>0</v>
      </c>
      <c r="I289" s="253">
        <f t="shared" si="389"/>
        <v>4371</v>
      </c>
      <c r="J289" s="251">
        <f t="shared" si="389"/>
        <v>171</v>
      </c>
      <c r="K289" s="252">
        <f t="shared" si="389"/>
        <v>0</v>
      </c>
      <c r="L289" s="253">
        <f t="shared" si="389"/>
        <v>171</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IS0TvtNrxTEw6SvLTiGuUR7VpxdxgDEbqhguZRHKsw50u7EFScZCQsaM25OUo69vz0ZgeyhZ6aifSk73LgpSMg==" saltValue="i8ft7JhXf3AikkCA4vyVmQ==" spinCount="100000" sheet="1" objects="1" scenarios="1" formatCells="0" formatColumns="0" formatRows="0" deleteColumns="0"/>
  <autoFilter ref="A18:P301">
    <filterColumn colId="2">
      <filters>
        <filter val="1 146"/>
        <filter val="1 195"/>
        <filter val="1 794"/>
        <filter val="1 900"/>
        <filter val="10 475"/>
        <filter val="11 878"/>
        <filter val="111"/>
        <filter val="12 283"/>
        <filter val="126"/>
        <filter val="136"/>
        <filter val="142 021"/>
        <filter val="15 134"/>
        <filter val="157"/>
        <filter val="16 385"/>
        <filter val="171"/>
        <filter val="180 056"/>
        <filter val="19 100"/>
        <filter val="19 132"/>
        <filter val="2 057"/>
        <filter val="2 391"/>
        <filter val="2 400"/>
        <filter val="2 427"/>
        <filter val="21"/>
        <filter val="23 000"/>
        <filter val="23 111"/>
        <filter val="249"/>
        <filter val="25"/>
        <filter val="26"/>
        <filter val="27 060"/>
        <filter val="285"/>
        <filter val="299"/>
        <filter val="3 357"/>
        <filter val="3 522"/>
        <filter val="3 900"/>
        <filter val="320"/>
        <filter val="35 321"/>
        <filter val="376"/>
        <filter val="38 035"/>
        <filter val="4 150"/>
        <filter val="4 332"/>
        <filter val="492"/>
        <filter val="5 241"/>
        <filter val="5 400"/>
        <filter val="5 520"/>
        <filter val="5 623"/>
        <filter val="5 757"/>
        <filter val="50 721"/>
        <filter val="50 879"/>
        <filter val="500"/>
        <filter val="510 565"/>
        <filter val="562 481"/>
        <filter val="6 016"/>
        <filter val="6 341"/>
        <filter val="66 262"/>
        <filter val="7 320"/>
        <filter val="742 537"/>
        <filter val="8 506"/>
        <filter val="808 799"/>
        <filter val="831 739"/>
        <filter val="831 910"/>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55.pielikums Jūrmalas pilsētas domes
2019.gada 29.augusta saistošajiem noteikumiem Nr.31
(protokols Nr.12, 20.punkts) </firstHeader>
    <firstFooter>&amp;L&amp;9&amp;D; &amp;T&amp;R&amp;9&amp;P (&amp;N)</first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9" sqref="T9"/>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431</v>
      </c>
      <c r="P1" s="1"/>
    </row>
    <row r="2" spans="1:17" ht="35.25" customHeight="1" x14ac:dyDescent="0.25">
      <c r="A2" s="1974" t="s">
        <v>432</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424</v>
      </c>
      <c r="D6" s="1972"/>
      <c r="E6" s="1972"/>
      <c r="F6" s="1972"/>
      <c r="G6" s="1972"/>
      <c r="H6" s="1972"/>
      <c r="I6" s="1972"/>
      <c r="J6" s="1972"/>
      <c r="K6" s="1972"/>
      <c r="L6" s="1972"/>
      <c r="M6" s="1972"/>
      <c r="N6" s="1972"/>
      <c r="O6" s="1972"/>
      <c r="P6" s="1972"/>
      <c r="Q6" s="276"/>
    </row>
    <row r="7" spans="1:17" x14ac:dyDescent="0.25">
      <c r="A7" s="7" t="s">
        <v>10</v>
      </c>
      <c r="B7" s="8"/>
      <c r="C7" s="1977" t="s">
        <v>425</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9" t="s">
        <v>426</v>
      </c>
      <c r="D10" s="1979"/>
      <c r="E10" s="1979"/>
      <c r="F10" s="1979"/>
      <c r="G10" s="1979"/>
      <c r="H10" s="1979"/>
      <c r="I10" s="1979"/>
      <c r="J10" s="1979"/>
      <c r="K10" s="1979"/>
      <c r="L10" s="1979"/>
      <c r="M10" s="1979"/>
      <c r="N10" s="1979"/>
      <c r="O10" s="1979"/>
      <c r="P10" s="1979"/>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245320</v>
      </c>
      <c r="D20" s="32">
        <f>SUM(D21,D24,D25,D41,D43)</f>
        <v>13834</v>
      </c>
      <c r="E20" s="33">
        <f t="shared" ref="E20:F20" si="1">SUM(E21,E24,E25,E41,E43)</f>
        <v>790</v>
      </c>
      <c r="F20" s="34">
        <f t="shared" si="1"/>
        <v>14624</v>
      </c>
      <c r="G20" s="32">
        <f>SUM(G21,G24,G43)</f>
        <v>211007</v>
      </c>
      <c r="H20" s="33">
        <f t="shared" ref="H20:I20" si="2">SUM(H21,H24,H43)</f>
        <v>19689</v>
      </c>
      <c r="I20" s="34">
        <f t="shared" si="2"/>
        <v>230696</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245320</v>
      </c>
      <c r="D24" s="60">
        <f>D50</f>
        <v>13834</v>
      </c>
      <c r="E24" s="60">
        <f>E50</f>
        <v>790</v>
      </c>
      <c r="F24" s="62">
        <f t="shared" si="9"/>
        <v>14624</v>
      </c>
      <c r="G24" s="60">
        <f>G50</f>
        <v>211007</v>
      </c>
      <c r="H24" s="60">
        <f>H50</f>
        <v>19689</v>
      </c>
      <c r="I24" s="62">
        <f t="shared" si="10"/>
        <v>230696</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245320</v>
      </c>
      <c r="D50" s="158">
        <f>SUM(D51,D286)</f>
        <v>13834</v>
      </c>
      <c r="E50" s="159">
        <f t="shared" ref="E50:F50" si="26">SUM(E51,E286)</f>
        <v>790</v>
      </c>
      <c r="F50" s="160">
        <f t="shared" si="26"/>
        <v>14624</v>
      </c>
      <c r="G50" s="158">
        <f>SUM(G51,G286)</f>
        <v>211007</v>
      </c>
      <c r="H50" s="159">
        <f>SUM(H51,H286)</f>
        <v>19689</v>
      </c>
      <c r="I50" s="160">
        <f t="shared" ref="I50" si="27">SUM(I51,I286)</f>
        <v>230696</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245320</v>
      </c>
      <c r="D51" s="164">
        <f>SUM(D52,D194)</f>
        <v>13834</v>
      </c>
      <c r="E51" s="165">
        <f t="shared" ref="E51:F51" si="30">SUM(E52,E194)</f>
        <v>790</v>
      </c>
      <c r="F51" s="166">
        <f t="shared" si="30"/>
        <v>14624</v>
      </c>
      <c r="G51" s="164">
        <f>SUM(G52,G194)</f>
        <v>211007</v>
      </c>
      <c r="H51" s="165">
        <f t="shared" ref="H51:I51" si="31">SUM(H52,H194)</f>
        <v>19689</v>
      </c>
      <c r="I51" s="166">
        <f t="shared" si="31"/>
        <v>230696</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235882</v>
      </c>
      <c r="D52" s="172">
        <f>SUM(D53,D75,D173,D187)</f>
        <v>5186</v>
      </c>
      <c r="E52" s="173">
        <f t="shared" ref="E52:F52" si="34">SUM(E53,E75,E173,E187)</f>
        <v>0</v>
      </c>
      <c r="F52" s="174">
        <f t="shared" si="34"/>
        <v>5186</v>
      </c>
      <c r="G52" s="172">
        <f>SUM(G53,G75,G173,G187)</f>
        <v>211007</v>
      </c>
      <c r="H52" s="173">
        <f t="shared" ref="H52:I52" si="35">SUM(H53,H75,H173,H187)</f>
        <v>19689</v>
      </c>
      <c r="I52" s="174">
        <f t="shared" si="35"/>
        <v>230696</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206730</v>
      </c>
      <c r="D53" s="178">
        <f>SUM(D54,D67)</f>
        <v>0</v>
      </c>
      <c r="E53" s="179">
        <f t="shared" ref="E53:F53" si="38">SUM(E54,E67)</f>
        <v>0</v>
      </c>
      <c r="F53" s="180">
        <f t="shared" si="38"/>
        <v>0</v>
      </c>
      <c r="G53" s="178">
        <f>SUM(G54,G67)</f>
        <v>195007</v>
      </c>
      <c r="H53" s="179">
        <f t="shared" ref="H53:I53" si="39">SUM(H54,H67)</f>
        <v>11723</v>
      </c>
      <c r="I53" s="180">
        <f t="shared" si="39"/>
        <v>206730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167642</v>
      </c>
      <c r="D54" s="183">
        <f>SUM(D55,D58,D66)</f>
        <v>0</v>
      </c>
      <c r="E54" s="184">
        <f t="shared" ref="E54:F54" si="42">SUM(E55,E58,E66)</f>
        <v>0</v>
      </c>
      <c r="F54" s="72">
        <f t="shared" si="42"/>
        <v>0</v>
      </c>
      <c r="G54" s="183">
        <f>SUM(G55,G58,G66)</f>
        <v>158300</v>
      </c>
      <c r="H54" s="184">
        <f t="shared" ref="H54:I54" si="43">SUM(H55,H58,H66)</f>
        <v>9342</v>
      </c>
      <c r="I54" s="72">
        <f t="shared" si="43"/>
        <v>167642</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167642</v>
      </c>
      <c r="D66" s="143"/>
      <c r="E66" s="144"/>
      <c r="F66" s="140">
        <f t="shared" si="58"/>
        <v>0</v>
      </c>
      <c r="G66" s="143">
        <v>158300</v>
      </c>
      <c r="H66" s="144">
        <v>9342</v>
      </c>
      <c r="I66" s="140">
        <f t="shared" si="59"/>
        <v>167642</v>
      </c>
      <c r="J66" s="143"/>
      <c r="K66" s="144"/>
      <c r="L66" s="140">
        <f t="shared" si="60"/>
        <v>0</v>
      </c>
      <c r="M66" s="143"/>
      <c r="N66" s="144"/>
      <c r="O66" s="140">
        <f t="shared" si="61"/>
        <v>0</v>
      </c>
      <c r="P66" s="128" t="s">
        <v>427</v>
      </c>
    </row>
    <row r="67" spans="1:16" ht="24" x14ac:dyDescent="0.25">
      <c r="A67" s="68">
        <v>1200</v>
      </c>
      <c r="B67" s="182" t="s">
        <v>86</v>
      </c>
      <c r="C67" s="69">
        <f t="shared" si="0"/>
        <v>39088</v>
      </c>
      <c r="D67" s="183">
        <f>SUM(D68:D69)</f>
        <v>0</v>
      </c>
      <c r="E67" s="184">
        <f t="shared" ref="E67:F67" si="62">SUM(E68:E69)</f>
        <v>0</v>
      </c>
      <c r="F67" s="72">
        <f t="shared" si="62"/>
        <v>0</v>
      </c>
      <c r="G67" s="183">
        <f>SUM(G68:G69)</f>
        <v>36707</v>
      </c>
      <c r="H67" s="184">
        <f t="shared" ref="H67:I67" si="63">SUM(H68:H69)</f>
        <v>2381</v>
      </c>
      <c r="I67" s="72">
        <f t="shared" si="63"/>
        <v>39088</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278">
        <v>1210</v>
      </c>
      <c r="B68" s="81" t="s">
        <v>87</v>
      </c>
      <c r="C68" s="82">
        <f t="shared" si="0"/>
        <v>39088</v>
      </c>
      <c r="D68" s="46"/>
      <c r="E68" s="47"/>
      <c r="F68" s="133">
        <f>D68+E68</f>
        <v>0</v>
      </c>
      <c r="G68" s="46">
        <v>36707</v>
      </c>
      <c r="H68" s="47">
        <v>2381</v>
      </c>
      <c r="I68" s="133">
        <f>G68+H68</f>
        <v>39088</v>
      </c>
      <c r="J68" s="46"/>
      <c r="K68" s="47"/>
      <c r="L68" s="133">
        <f>K68+J68</f>
        <v>0</v>
      </c>
      <c r="M68" s="46"/>
      <c r="N68" s="47"/>
      <c r="O68" s="133">
        <f>N68+M68</f>
        <v>0</v>
      </c>
      <c r="P68" s="49" t="s">
        <v>428</v>
      </c>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29152</v>
      </c>
      <c r="D75" s="178">
        <f>SUM(D76,D83,D130,D164,D165,D172)</f>
        <v>5186</v>
      </c>
      <c r="E75" s="179">
        <f t="shared" ref="E75:F75" si="74">SUM(E76,E83,E130,E164,E165,E172)</f>
        <v>0</v>
      </c>
      <c r="F75" s="180">
        <f t="shared" si="74"/>
        <v>5186</v>
      </c>
      <c r="G75" s="178">
        <f>SUM(G76,G83,G130,G164,G165,G172)</f>
        <v>16000</v>
      </c>
      <c r="H75" s="179">
        <f t="shared" ref="H75:I75" si="75">SUM(H76,H83,H130,H164,H165,H172)</f>
        <v>7966</v>
      </c>
      <c r="I75" s="180">
        <f t="shared" si="75"/>
        <v>23966</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19812</v>
      </c>
      <c r="D83" s="183">
        <f>SUM(D84,D89,D95,D103,D112,D116,D122,D128)</f>
        <v>5186</v>
      </c>
      <c r="E83" s="184">
        <f t="shared" ref="E83:F83" si="98">SUM(E84,E89,E95,E103,E112,E116,E122,E128)</f>
        <v>0</v>
      </c>
      <c r="F83" s="72">
        <f t="shared" si="98"/>
        <v>5186</v>
      </c>
      <c r="G83" s="183">
        <f>SUM(G84,G89,G95,G103,G112,G116,G122,G128)</f>
        <v>10000</v>
      </c>
      <c r="H83" s="184">
        <f t="shared" ref="H83:I83" si="99">SUM(H84,H89,H95,H103,H112,H116,H122,H128)</f>
        <v>4626</v>
      </c>
      <c r="I83" s="72">
        <f t="shared" si="99"/>
        <v>14626</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86</v>
      </c>
      <c r="D95" s="189">
        <f>SUM(D96:D102)</f>
        <v>86</v>
      </c>
      <c r="E95" s="190">
        <f t="shared" ref="E95:F95" si="119">SUM(E96:E102)</f>
        <v>0</v>
      </c>
      <c r="F95" s="55">
        <f t="shared" si="119"/>
        <v>86</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86</v>
      </c>
      <c r="D102" s="194">
        <v>86</v>
      </c>
      <c r="E102" s="195"/>
      <c r="F102" s="55">
        <f t="shared" si="123"/>
        <v>86</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19726</v>
      </c>
      <c r="D122" s="189">
        <f>SUM(D123:D127)</f>
        <v>5100</v>
      </c>
      <c r="E122" s="190">
        <f t="shared" ref="E122:F122" si="151">SUM(E123:E127)</f>
        <v>0</v>
      </c>
      <c r="F122" s="55">
        <f t="shared" si="151"/>
        <v>5100</v>
      </c>
      <c r="G122" s="189">
        <f>SUM(G123:G127)</f>
        <v>10000</v>
      </c>
      <c r="H122" s="190">
        <f t="shared" ref="H122:I122" si="152">SUM(H123:H127)</f>
        <v>4626</v>
      </c>
      <c r="I122" s="55">
        <f t="shared" si="152"/>
        <v>14626</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19726</v>
      </c>
      <c r="D127" s="194">
        <v>5100</v>
      </c>
      <c r="E127" s="195"/>
      <c r="F127" s="55">
        <f t="shared" si="155"/>
        <v>5100</v>
      </c>
      <c r="G127" s="53">
        <v>10000</v>
      </c>
      <c r="H127" s="54">
        <v>4626</v>
      </c>
      <c r="I127" s="55">
        <f t="shared" si="156"/>
        <v>14626</v>
      </c>
      <c r="J127" s="53"/>
      <c r="K127" s="54"/>
      <c r="L127" s="55">
        <f t="shared" si="157"/>
        <v>0</v>
      </c>
      <c r="M127" s="53"/>
      <c r="N127" s="54"/>
      <c r="O127" s="55">
        <f t="shared" si="158"/>
        <v>0</v>
      </c>
      <c r="P127" s="57" t="s">
        <v>427</v>
      </c>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9340</v>
      </c>
      <c r="D130" s="183">
        <f>SUM(D131,D136,D140,D141,D144,D151,D159,D160,D163)</f>
        <v>0</v>
      </c>
      <c r="E130" s="184">
        <f t="shared" ref="E130:F130" si="160">SUM(E131,E136,E140,E141,E144,E151,E159,E160,E163)</f>
        <v>0</v>
      </c>
      <c r="F130" s="72">
        <f t="shared" si="160"/>
        <v>0</v>
      </c>
      <c r="G130" s="183">
        <f>SUM(G131,G136,G140,G141,G144,G151,G159,G160,G163)</f>
        <v>6000</v>
      </c>
      <c r="H130" s="184">
        <f t="shared" ref="H130:I130" si="161">SUM(H131,H136,H140,H141,H144,H151,H159,H160,H163)</f>
        <v>3340</v>
      </c>
      <c r="I130" s="72">
        <f t="shared" si="161"/>
        <v>9340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278">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x14ac:dyDescent="0.25">
      <c r="A136" s="188">
        <v>2320</v>
      </c>
      <c r="B136" s="88" t="s">
        <v>153</v>
      </c>
      <c r="C136" s="89">
        <f t="shared" si="102"/>
        <v>9340</v>
      </c>
      <c r="D136" s="189">
        <f>SUM(D137:D139)</f>
        <v>0</v>
      </c>
      <c r="E136" s="190">
        <f t="shared" ref="E136:F136" si="169">SUM(E137:E139)</f>
        <v>0</v>
      </c>
      <c r="F136" s="55">
        <f t="shared" si="169"/>
        <v>0</v>
      </c>
      <c r="G136" s="189">
        <f>SUM(G137:G139)</f>
        <v>6000</v>
      </c>
      <c r="H136" s="190">
        <f t="shared" ref="H136:I136" si="170">SUM(H137:H139)</f>
        <v>3340</v>
      </c>
      <c r="I136" s="55">
        <f t="shared" si="170"/>
        <v>9340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6.5" customHeight="1" x14ac:dyDescent="0.25">
      <c r="A138" s="51">
        <v>2322</v>
      </c>
      <c r="B138" s="88" t="s">
        <v>155</v>
      </c>
      <c r="C138" s="89">
        <f t="shared" si="102"/>
        <v>9340</v>
      </c>
      <c r="D138" s="194"/>
      <c r="E138" s="195"/>
      <c r="F138" s="55">
        <f t="shared" si="173"/>
        <v>0</v>
      </c>
      <c r="G138" s="53">
        <v>6000</v>
      </c>
      <c r="H138" s="54">
        <v>3340</v>
      </c>
      <c r="I138" s="55">
        <f t="shared" si="174"/>
        <v>9340</v>
      </c>
      <c r="J138" s="53"/>
      <c r="K138" s="54"/>
      <c r="L138" s="55">
        <f t="shared" si="175"/>
        <v>0</v>
      </c>
      <c r="M138" s="53"/>
      <c r="N138" s="54"/>
      <c r="O138" s="55">
        <f t="shared" si="176"/>
        <v>0</v>
      </c>
      <c r="P138" s="57" t="s">
        <v>429</v>
      </c>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9438</v>
      </c>
      <c r="D194" s="172">
        <f t="shared" ref="D194:O194" si="259">SUM(D195,D230,D269,D283)</f>
        <v>8648</v>
      </c>
      <c r="E194" s="173">
        <f t="shared" si="259"/>
        <v>790</v>
      </c>
      <c r="F194" s="174">
        <f t="shared" si="259"/>
        <v>9438</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9438</v>
      </c>
      <c r="D230" s="178">
        <f>D231+D251+D259</f>
        <v>8648</v>
      </c>
      <c r="E230" s="179">
        <f t="shared" ref="E230:F230" si="305">E231+E251+E259</f>
        <v>790</v>
      </c>
      <c r="F230" s="180">
        <f t="shared" si="305"/>
        <v>9438</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customHeight="1" x14ac:dyDescent="0.25">
      <c r="A231" s="216">
        <v>6200</v>
      </c>
      <c r="B231" s="207" t="s">
        <v>248</v>
      </c>
      <c r="C231" s="217">
        <f t="shared" si="288"/>
        <v>2290</v>
      </c>
      <c r="D231" s="218">
        <f>SUM(D232,D233,D235,D238,D244,D245,D246)</f>
        <v>1500</v>
      </c>
      <c r="E231" s="219">
        <f t="shared" ref="E231:F231" si="309">SUM(E232,E233,E235,E238,E244,E245,E246)</f>
        <v>790</v>
      </c>
      <c r="F231" s="220">
        <f t="shared" si="309"/>
        <v>2290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customHeight="1" x14ac:dyDescent="0.25">
      <c r="A238" s="188">
        <v>6250</v>
      </c>
      <c r="B238" s="88" t="s">
        <v>255</v>
      </c>
      <c r="C238" s="89">
        <f t="shared" si="288"/>
        <v>2290</v>
      </c>
      <c r="D238" s="189">
        <f>SUM(D239:D243)</f>
        <v>1500</v>
      </c>
      <c r="E238" s="190">
        <f t="shared" ref="E238:F238" si="322">SUM(E239:E243)</f>
        <v>790</v>
      </c>
      <c r="F238" s="55">
        <f t="shared" si="322"/>
        <v>2290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4.25" customHeight="1" x14ac:dyDescent="0.25">
      <c r="A243" s="51">
        <v>6259</v>
      </c>
      <c r="B243" s="88" t="s">
        <v>260</v>
      </c>
      <c r="C243" s="89">
        <f t="shared" si="288"/>
        <v>2290</v>
      </c>
      <c r="D243" s="194">
        <v>1500</v>
      </c>
      <c r="E243" s="195">
        <v>790</v>
      </c>
      <c r="F243" s="55">
        <f t="shared" si="326"/>
        <v>2290</v>
      </c>
      <c r="G243" s="53"/>
      <c r="H243" s="54"/>
      <c r="I243" s="55">
        <f t="shared" si="327"/>
        <v>0</v>
      </c>
      <c r="J243" s="53"/>
      <c r="K243" s="54"/>
      <c r="L243" s="55">
        <f t="shared" si="328"/>
        <v>0</v>
      </c>
      <c r="M243" s="53"/>
      <c r="N243" s="54"/>
      <c r="O243" s="55">
        <f t="shared" si="329"/>
        <v>0</v>
      </c>
      <c r="P243" s="57" t="s">
        <v>430</v>
      </c>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x14ac:dyDescent="0.25">
      <c r="A251" s="68">
        <v>6300</v>
      </c>
      <c r="B251" s="182" t="s">
        <v>268</v>
      </c>
      <c r="C251" s="69">
        <f t="shared" si="288"/>
        <v>2846</v>
      </c>
      <c r="D251" s="183">
        <f>SUM(D252,D257,D258)</f>
        <v>2846</v>
      </c>
      <c r="E251" s="184">
        <f t="shared" ref="E251:O251" si="335">SUM(E252,E257,E258)</f>
        <v>0</v>
      </c>
      <c r="F251" s="72">
        <f t="shared" si="335"/>
        <v>2846</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customHeight="1" x14ac:dyDescent="0.25">
      <c r="A257" s="225">
        <v>6330</v>
      </c>
      <c r="B257" s="226" t="s">
        <v>274</v>
      </c>
      <c r="C257" s="208">
        <f t="shared" si="288"/>
        <v>2846</v>
      </c>
      <c r="D257" s="210">
        <v>2846</v>
      </c>
      <c r="E257" s="211"/>
      <c r="F257" s="212">
        <f t="shared" si="337"/>
        <v>2846</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4302</v>
      </c>
      <c r="D259" s="183">
        <f>SUM(D260,D264)</f>
        <v>4302</v>
      </c>
      <c r="E259" s="184">
        <f t="shared" ref="E259:O259" si="341">SUM(E260,E264)</f>
        <v>0</v>
      </c>
      <c r="F259" s="72">
        <f t="shared" si="341"/>
        <v>4302</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4302</v>
      </c>
      <c r="D264" s="189">
        <f>SUM(D265:D268)</f>
        <v>4302</v>
      </c>
      <c r="E264" s="190">
        <f t="shared" ref="E264:F264" si="347">SUM(E265:E268)</f>
        <v>0</v>
      </c>
      <c r="F264" s="55">
        <f t="shared" si="347"/>
        <v>4302</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customHeight="1" x14ac:dyDescent="0.25">
      <c r="A267" s="51">
        <v>6423</v>
      </c>
      <c r="B267" s="88" t="s">
        <v>284</v>
      </c>
      <c r="C267" s="89">
        <f t="shared" si="288"/>
        <v>4302</v>
      </c>
      <c r="D267" s="194">
        <v>4302</v>
      </c>
      <c r="E267" s="195"/>
      <c r="F267" s="55">
        <f t="shared" si="351"/>
        <v>4302</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245320</v>
      </c>
      <c r="D289" s="251">
        <f t="shared" ref="D289:O289" si="389">SUM(D286,D269,D230,D195,D187,D173,D75,D53,D283)</f>
        <v>13834</v>
      </c>
      <c r="E289" s="252">
        <f t="shared" si="389"/>
        <v>790</v>
      </c>
      <c r="F289" s="253">
        <f t="shared" si="389"/>
        <v>14624</v>
      </c>
      <c r="G289" s="251">
        <f t="shared" si="389"/>
        <v>211007</v>
      </c>
      <c r="H289" s="252">
        <f t="shared" si="389"/>
        <v>19689</v>
      </c>
      <c r="I289" s="253">
        <f t="shared" si="389"/>
        <v>230696</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cneer/wrI08x6a76enA+HX+hP99evC/k8i4bNxp5M9/CIrPpY73xkuRrq6suSQF/J+gk2XokdJfYghWYHLDQGA==" saltValue="XWRzyiIf/jwViWonej+jLQ==" spinCount="100000" sheet="1" objects="1" scenarios="1" formatCells="0" formatColumns="0" formatRows="0" deleteColumns="0"/>
  <autoFilter ref="A18:P301">
    <filterColumn colId="2">
      <filters>
        <filter val="167 642"/>
        <filter val="19 726"/>
        <filter val="19 812"/>
        <filter val="2 290"/>
        <filter val="2 846"/>
        <filter val="206 730"/>
        <filter val="235 882"/>
        <filter val="245 320"/>
        <filter val="29 152"/>
        <filter val="39 088"/>
        <filter val="4 302"/>
        <filter val="86"/>
        <filter val="9 340"/>
        <filter val="9 438"/>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56.pielikums Jūrmalas pilsētas domes
2019.gada 29.augusta saistošajiem noteikumiem Nr.31
(protokols Nr.12, 20.punkts)
 </firstHeader>
    <firstFooter>&amp;L&amp;9&amp;D; &amp;T&amp;R&amp;9&amp;P (&amp;N)</first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6" sqref="T6"/>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475</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350</v>
      </c>
      <c r="D6" s="1972"/>
      <c r="E6" s="1972"/>
      <c r="F6" s="1972"/>
      <c r="G6" s="1972"/>
      <c r="H6" s="1972"/>
      <c r="I6" s="1972"/>
      <c r="J6" s="1972"/>
      <c r="K6" s="1972"/>
      <c r="L6" s="1972"/>
      <c r="M6" s="1972"/>
      <c r="N6" s="1972"/>
      <c r="O6" s="1972"/>
      <c r="P6" s="1972"/>
      <c r="Q6" s="276"/>
    </row>
    <row r="7" spans="1:17" x14ac:dyDescent="0.25">
      <c r="A7" s="7" t="s">
        <v>10</v>
      </c>
      <c r="B7" s="8"/>
      <c r="C7" s="1977" t="s">
        <v>471</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t="s">
        <v>460</v>
      </c>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688032</v>
      </c>
      <c r="D20" s="32">
        <f>SUM(D21,D24,D25,D41,D43)</f>
        <v>676112</v>
      </c>
      <c r="E20" s="33">
        <f t="shared" ref="E20:F20" si="1">SUM(E21,E24,E25,E41,E43)</f>
        <v>6700</v>
      </c>
      <c r="F20" s="34">
        <f t="shared" si="1"/>
        <v>682812</v>
      </c>
      <c r="G20" s="32">
        <f>SUM(G21,G24,G43)</f>
        <v>4270</v>
      </c>
      <c r="H20" s="33">
        <f t="shared" ref="H20:I20" si="2">SUM(H21,H24,H43)</f>
        <v>950</v>
      </c>
      <c r="I20" s="34">
        <f t="shared" si="2"/>
        <v>5220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688032</v>
      </c>
      <c r="D24" s="60">
        <f>D50</f>
        <v>676112</v>
      </c>
      <c r="E24" s="60">
        <f>E50</f>
        <v>6700</v>
      </c>
      <c r="F24" s="62">
        <f t="shared" si="9"/>
        <v>682812</v>
      </c>
      <c r="G24" s="60">
        <f>G50</f>
        <v>4270</v>
      </c>
      <c r="H24" s="60">
        <f>H50</f>
        <v>950</v>
      </c>
      <c r="I24" s="62">
        <f t="shared" si="10"/>
        <v>5220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688032</v>
      </c>
      <c r="D50" s="158">
        <f>SUM(D51,D286)</f>
        <v>676112</v>
      </c>
      <c r="E50" s="159">
        <f t="shared" ref="E50:F50" si="26">SUM(E51,E286)</f>
        <v>6700</v>
      </c>
      <c r="F50" s="160">
        <f t="shared" si="26"/>
        <v>682812</v>
      </c>
      <c r="G50" s="158">
        <f>SUM(G51,G286)</f>
        <v>4270</v>
      </c>
      <c r="H50" s="159">
        <f>SUM(H51,H286)</f>
        <v>950</v>
      </c>
      <c r="I50" s="160">
        <f t="shared" ref="I50" si="27">SUM(I51,I286)</f>
        <v>5220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688032</v>
      </c>
      <c r="D51" s="164">
        <f>SUM(D52,D194)</f>
        <v>676112</v>
      </c>
      <c r="E51" s="165">
        <f t="shared" ref="E51:F51" si="30">SUM(E52,E194)</f>
        <v>6700</v>
      </c>
      <c r="F51" s="166">
        <f t="shared" si="30"/>
        <v>682812</v>
      </c>
      <c r="G51" s="164">
        <f>SUM(G52,G194)</f>
        <v>4270</v>
      </c>
      <c r="H51" s="165">
        <f t="shared" ref="H51:I51" si="31">SUM(H52,H194)</f>
        <v>950</v>
      </c>
      <c r="I51" s="166">
        <f t="shared" si="31"/>
        <v>5220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hidden="1" x14ac:dyDescent="0.25">
      <c r="A52" s="24"/>
      <c r="B52" s="22" t="s">
        <v>71</v>
      </c>
      <c r="C52" s="171">
        <f t="shared" si="0"/>
        <v>0</v>
      </c>
      <c r="D52" s="172">
        <f>SUM(D53,D75,D173,D187)</f>
        <v>0</v>
      </c>
      <c r="E52" s="173">
        <f t="shared" ref="E52:F52" si="34">SUM(E53,E75,E173,E187)</f>
        <v>0</v>
      </c>
      <c r="F52" s="174">
        <f t="shared" si="34"/>
        <v>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278">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688032</v>
      </c>
      <c r="D194" s="172">
        <f t="shared" ref="D194:O194" si="259">SUM(D195,D230,D269,D283)</f>
        <v>676112</v>
      </c>
      <c r="E194" s="173">
        <f t="shared" si="259"/>
        <v>6700</v>
      </c>
      <c r="F194" s="174">
        <f t="shared" si="259"/>
        <v>682812</v>
      </c>
      <c r="G194" s="172">
        <f t="shared" si="259"/>
        <v>4270</v>
      </c>
      <c r="H194" s="173">
        <f t="shared" si="259"/>
        <v>950</v>
      </c>
      <c r="I194" s="174">
        <f t="shared" si="259"/>
        <v>5220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688032</v>
      </c>
      <c r="D230" s="178">
        <f>D231+D251+D259</f>
        <v>676112</v>
      </c>
      <c r="E230" s="179">
        <f t="shared" ref="E230:F230" si="305">E231+E251+E259</f>
        <v>6700</v>
      </c>
      <c r="F230" s="180">
        <f t="shared" si="305"/>
        <v>682812</v>
      </c>
      <c r="G230" s="178">
        <f>G231+G251+G259</f>
        <v>4270</v>
      </c>
      <c r="H230" s="179">
        <f t="shared" ref="H230:I230" si="306">H231+H251+H259</f>
        <v>950</v>
      </c>
      <c r="I230" s="180">
        <f t="shared" si="306"/>
        <v>5220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customHeight="1" x14ac:dyDescent="0.25">
      <c r="A231" s="216">
        <v>6200</v>
      </c>
      <c r="B231" s="207" t="s">
        <v>248</v>
      </c>
      <c r="C231" s="217">
        <f t="shared" si="288"/>
        <v>39000</v>
      </c>
      <c r="D231" s="218">
        <f>SUM(D232,D233,D235,D238,D244,D245,D246)</f>
        <v>37000</v>
      </c>
      <c r="E231" s="219">
        <f t="shared" ref="E231:F231" si="309">SUM(E232,E233,E235,E238,E244,E245,E246)</f>
        <v>2000</v>
      </c>
      <c r="F231" s="220">
        <f t="shared" si="309"/>
        <v>39000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customHeight="1" x14ac:dyDescent="0.25">
      <c r="A238" s="188">
        <v>6250</v>
      </c>
      <c r="B238" s="88" t="s">
        <v>255</v>
      </c>
      <c r="C238" s="89">
        <f t="shared" si="288"/>
        <v>39000</v>
      </c>
      <c r="D238" s="189">
        <f>SUM(D239:D243)</f>
        <v>37000</v>
      </c>
      <c r="E238" s="190">
        <f t="shared" ref="E238:F238" si="322">SUM(E239:E243)</f>
        <v>2000</v>
      </c>
      <c r="F238" s="55">
        <f t="shared" si="322"/>
        <v>39000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8" customHeight="1" x14ac:dyDescent="0.25">
      <c r="A239" s="51">
        <v>6252</v>
      </c>
      <c r="B239" s="88" t="s">
        <v>256</v>
      </c>
      <c r="C239" s="89">
        <f t="shared" si="288"/>
        <v>39000</v>
      </c>
      <c r="D239" s="194">
        <v>37000</v>
      </c>
      <c r="E239" s="195">
        <v>2000</v>
      </c>
      <c r="F239" s="55">
        <f t="shared" ref="F239:F245" si="326">D239+E239</f>
        <v>39000</v>
      </c>
      <c r="G239" s="53"/>
      <c r="H239" s="54"/>
      <c r="I239" s="55">
        <f t="shared" ref="I239:I245" si="327">G239+H239</f>
        <v>0</v>
      </c>
      <c r="J239" s="53"/>
      <c r="K239" s="54"/>
      <c r="L239" s="55">
        <f t="shared" ref="L239:L245" si="328">K239+J239</f>
        <v>0</v>
      </c>
      <c r="M239" s="53"/>
      <c r="N239" s="54"/>
      <c r="O239" s="55">
        <f t="shared" ref="O239:O245" si="329">N239+M239</f>
        <v>0</v>
      </c>
      <c r="P239" s="57" t="s">
        <v>472</v>
      </c>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649032</v>
      </c>
      <c r="D259" s="183">
        <f>SUM(D260,D264)</f>
        <v>639112</v>
      </c>
      <c r="E259" s="184">
        <f t="shared" ref="E259:O259" si="341">SUM(E260,E264)</f>
        <v>4700</v>
      </c>
      <c r="F259" s="72">
        <f t="shared" si="341"/>
        <v>643812</v>
      </c>
      <c r="G259" s="183">
        <f t="shared" si="341"/>
        <v>4270</v>
      </c>
      <c r="H259" s="184">
        <f t="shared" si="341"/>
        <v>950</v>
      </c>
      <c r="I259" s="72">
        <f t="shared" si="341"/>
        <v>5220</v>
      </c>
      <c r="J259" s="183">
        <f t="shared" si="341"/>
        <v>0</v>
      </c>
      <c r="K259" s="184">
        <f t="shared" si="341"/>
        <v>0</v>
      </c>
      <c r="L259" s="72">
        <f t="shared" si="341"/>
        <v>0</v>
      </c>
      <c r="M259" s="183">
        <f t="shared" si="341"/>
        <v>0</v>
      </c>
      <c r="N259" s="184">
        <f t="shared" si="341"/>
        <v>0</v>
      </c>
      <c r="O259" s="72">
        <f t="shared" si="341"/>
        <v>0</v>
      </c>
      <c r="P259" s="76"/>
    </row>
    <row r="260" spans="1:16" ht="24" x14ac:dyDescent="0.25">
      <c r="A260" s="278">
        <v>6410</v>
      </c>
      <c r="B260" s="81" t="s">
        <v>277</v>
      </c>
      <c r="C260" s="82">
        <f t="shared" si="288"/>
        <v>148282</v>
      </c>
      <c r="D260" s="192">
        <f>SUM(D261:D263)</f>
        <v>143062</v>
      </c>
      <c r="E260" s="193">
        <f t="shared" ref="E260:O260" si="342">SUM(E261:E263)</f>
        <v>0</v>
      </c>
      <c r="F260" s="133">
        <f t="shared" si="342"/>
        <v>143062</v>
      </c>
      <c r="G260" s="192">
        <f t="shared" si="342"/>
        <v>4270</v>
      </c>
      <c r="H260" s="193">
        <f t="shared" si="342"/>
        <v>950</v>
      </c>
      <c r="I260" s="133">
        <f t="shared" si="342"/>
        <v>5220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customHeight="1" x14ac:dyDescent="0.25">
      <c r="A262" s="51">
        <v>6412</v>
      </c>
      <c r="B262" s="88" t="s">
        <v>279</v>
      </c>
      <c r="C262" s="89">
        <f t="shared" si="288"/>
        <v>148282</v>
      </c>
      <c r="D262" s="194">
        <v>143062</v>
      </c>
      <c r="E262" s="195"/>
      <c r="F262" s="55">
        <f t="shared" si="343"/>
        <v>143062</v>
      </c>
      <c r="G262" s="53">
        <v>4270</v>
      </c>
      <c r="H262" s="54">
        <v>950</v>
      </c>
      <c r="I262" s="55">
        <f t="shared" si="344"/>
        <v>5220</v>
      </c>
      <c r="J262" s="53"/>
      <c r="K262" s="54"/>
      <c r="L262" s="55">
        <f t="shared" si="345"/>
        <v>0</v>
      </c>
      <c r="M262" s="53"/>
      <c r="N262" s="54"/>
      <c r="O262" s="55">
        <f t="shared" si="346"/>
        <v>0</v>
      </c>
      <c r="P262" s="57" t="s">
        <v>473</v>
      </c>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500750</v>
      </c>
      <c r="D264" s="189">
        <f>SUM(D265:D268)</f>
        <v>496050</v>
      </c>
      <c r="E264" s="190">
        <f t="shared" ref="E264:F264" si="347">SUM(E265:E268)</f>
        <v>4700</v>
      </c>
      <c r="F264" s="55">
        <f t="shared" si="347"/>
        <v>500750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20.25" customHeight="1" x14ac:dyDescent="0.25">
      <c r="A267" s="51">
        <v>6423</v>
      </c>
      <c r="B267" s="88" t="s">
        <v>284</v>
      </c>
      <c r="C267" s="89">
        <f t="shared" si="288"/>
        <v>500750</v>
      </c>
      <c r="D267" s="194">
        <v>496050</v>
      </c>
      <c r="E267" s="195">
        <f>6700-2000</f>
        <v>4700</v>
      </c>
      <c r="F267" s="55">
        <f t="shared" si="351"/>
        <v>500750</v>
      </c>
      <c r="G267" s="53"/>
      <c r="H267" s="54"/>
      <c r="I267" s="55">
        <f t="shared" si="352"/>
        <v>0</v>
      </c>
      <c r="J267" s="53"/>
      <c r="K267" s="54"/>
      <c r="L267" s="55">
        <f t="shared" si="353"/>
        <v>0</v>
      </c>
      <c r="M267" s="53"/>
      <c r="N267" s="54"/>
      <c r="O267" s="55">
        <f t="shared" si="354"/>
        <v>0</v>
      </c>
      <c r="P267" s="57" t="s">
        <v>474</v>
      </c>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688032</v>
      </c>
      <c r="D289" s="251">
        <f t="shared" ref="D289:O289" si="389">SUM(D286,D269,D230,D195,D187,D173,D75,D53,D283)</f>
        <v>676112</v>
      </c>
      <c r="E289" s="252">
        <f t="shared" si="389"/>
        <v>6700</v>
      </c>
      <c r="F289" s="253">
        <f t="shared" si="389"/>
        <v>682812</v>
      </c>
      <c r="G289" s="251">
        <f t="shared" si="389"/>
        <v>4270</v>
      </c>
      <c r="H289" s="252">
        <f t="shared" si="389"/>
        <v>950</v>
      </c>
      <c r="I289" s="253">
        <f t="shared" si="389"/>
        <v>5220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UBQUO8vgiJ0z306BPVIR8b/YJk/v93D2yEHqdvGS0oIhpBWu/JsDAIztMznld6oN8NPwTm56nO2cbp+OSspMNA==" saltValue="qqAJHR4mFRdrdZF+Ig+tWA==" spinCount="100000" sheet="1" objects="1" scenarios="1" formatCells="0" formatColumns="0" formatRows="0" deleteColumns="0"/>
  <autoFilter ref="A18:P301">
    <filterColumn colId="2">
      <filters>
        <filter val="148 282"/>
        <filter val="39 000"/>
        <filter val="500 750"/>
        <filter val="649 032"/>
        <filter val="688 032"/>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57.pielikums Jūrmalas pilsētas domes
2019.gada 29.augusta saistošajiem noteikumiem Nr.31
(protokols Nr.12, 20.punkts)
 </firstHeader>
    <firstFooter>&amp;L&amp;9&amp;D; &amp;T&amp;R&amp;9&amp;P (&amp;N)</first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9" sqref="T9"/>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0" width="8.28515625" style="296" hidden="1" customWidth="1" outlineLevel="1"/>
    <col min="11"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K1" s="1"/>
      <c r="L1" s="1"/>
      <c r="M1" s="1"/>
      <c r="N1" s="2"/>
      <c r="O1" s="3" t="s">
        <v>438</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433</v>
      </c>
      <c r="D6" s="1972"/>
      <c r="E6" s="1972"/>
      <c r="F6" s="1972"/>
      <c r="G6" s="1972"/>
      <c r="H6" s="1972"/>
      <c r="I6" s="1972"/>
      <c r="J6" s="1972"/>
      <c r="K6" s="1972"/>
      <c r="L6" s="1972"/>
      <c r="M6" s="1972"/>
      <c r="N6" s="1972"/>
      <c r="O6" s="1972"/>
      <c r="P6" s="1972"/>
      <c r="Q6" s="276"/>
    </row>
    <row r="7" spans="1:17" x14ac:dyDescent="0.25">
      <c r="A7" s="7" t="s">
        <v>10</v>
      </c>
      <c r="B7" s="8"/>
      <c r="C7" s="1977" t="s">
        <v>434</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7"/>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t="s">
        <v>435</v>
      </c>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2008"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2008"/>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298">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99"/>
      <c r="K19" s="26"/>
      <c r="L19" s="27"/>
      <c r="M19" s="25"/>
      <c r="N19" s="26"/>
      <c r="O19" s="27"/>
      <c r="P19" s="27"/>
    </row>
    <row r="20" spans="1:16" s="28" customFormat="1" ht="12.75" thickBot="1" x14ac:dyDescent="0.3">
      <c r="A20" s="29"/>
      <c r="B20" s="30" t="s">
        <v>39</v>
      </c>
      <c r="C20" s="31">
        <f t="shared" ref="C20:C83" si="0">F20+I20+L20+O20</f>
        <v>446624</v>
      </c>
      <c r="D20" s="32">
        <f>SUM(D21,D24,D25,D41,D43)</f>
        <v>462492</v>
      </c>
      <c r="E20" s="33">
        <f t="shared" ref="E20:F20" si="1">SUM(E21,E24,E25,E41,E43)</f>
        <v>-18146</v>
      </c>
      <c r="F20" s="34">
        <f t="shared" si="1"/>
        <v>444346</v>
      </c>
      <c r="G20" s="32">
        <f>SUM(G21,G24,G43)</f>
        <v>0</v>
      </c>
      <c r="H20" s="33">
        <f t="shared" ref="H20:I20" si="2">SUM(H21,H24,H43)</f>
        <v>0</v>
      </c>
      <c r="I20" s="34">
        <f t="shared" si="2"/>
        <v>0</v>
      </c>
      <c r="J20" s="300">
        <f>SUM(J21,J26,J43)</f>
        <v>2278</v>
      </c>
      <c r="K20" s="33">
        <f t="shared" ref="K20:L20" si="3">SUM(K21,K26,K43)</f>
        <v>0</v>
      </c>
      <c r="L20" s="34">
        <f t="shared" si="3"/>
        <v>2278</v>
      </c>
      <c r="M20" s="32">
        <f>SUM(M21,M45)</f>
        <v>0</v>
      </c>
      <c r="N20" s="33">
        <f t="shared" ref="N20:O20" si="4">SUM(N21,N45)</f>
        <v>0</v>
      </c>
      <c r="O20" s="34">
        <f t="shared" si="4"/>
        <v>0</v>
      </c>
      <c r="P20" s="35"/>
    </row>
    <row r="21" spans="1:16" ht="12.75" thickTop="1" x14ac:dyDescent="0.25">
      <c r="A21" s="36"/>
      <c r="B21" s="37" t="s">
        <v>40</v>
      </c>
      <c r="C21" s="38">
        <f t="shared" si="0"/>
        <v>142</v>
      </c>
      <c r="D21" s="39">
        <f>SUM(D22:D23)</f>
        <v>0</v>
      </c>
      <c r="E21" s="40">
        <f t="shared" ref="E21:F21" si="5">SUM(E22:E23)</f>
        <v>0</v>
      </c>
      <c r="F21" s="41">
        <f t="shared" si="5"/>
        <v>0</v>
      </c>
      <c r="G21" s="39">
        <f>SUM(G22:G23)</f>
        <v>0</v>
      </c>
      <c r="H21" s="40">
        <f t="shared" ref="H21:I21" si="6">SUM(H22:H23)</f>
        <v>0</v>
      </c>
      <c r="I21" s="41">
        <f t="shared" si="6"/>
        <v>0</v>
      </c>
      <c r="J21" s="301">
        <f>SUM(J22:J23)</f>
        <v>142</v>
      </c>
      <c r="K21" s="40">
        <f t="shared" ref="K21:L21" si="7">SUM(K22:K23)</f>
        <v>0</v>
      </c>
      <c r="L21" s="41">
        <f t="shared" si="7"/>
        <v>142</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302"/>
      <c r="K22" s="47"/>
      <c r="L22" s="48">
        <f>K22+J22</f>
        <v>0</v>
      </c>
      <c r="M22" s="46"/>
      <c r="N22" s="47"/>
      <c r="O22" s="48">
        <f>N22+M22</f>
        <v>0</v>
      </c>
      <c r="P22" s="49"/>
    </row>
    <row r="23" spans="1:16" x14ac:dyDescent="0.25">
      <c r="A23" s="50"/>
      <c r="B23" s="51" t="s">
        <v>42</v>
      </c>
      <c r="C23" s="52">
        <f t="shared" si="0"/>
        <v>142</v>
      </c>
      <c r="D23" s="53"/>
      <c r="E23" s="54"/>
      <c r="F23" s="55">
        <f t="shared" ref="F23:F25" si="9">D23+E23</f>
        <v>0</v>
      </c>
      <c r="G23" s="53"/>
      <c r="H23" s="54"/>
      <c r="I23" s="55">
        <f t="shared" ref="I23:I24" si="10">G23+H23</f>
        <v>0</v>
      </c>
      <c r="J23" s="303">
        <v>142</v>
      </c>
      <c r="K23" s="54"/>
      <c r="L23" s="56">
        <f>K23+J23</f>
        <v>142</v>
      </c>
      <c r="M23" s="53"/>
      <c r="N23" s="54"/>
      <c r="O23" s="55">
        <f>N23+M23</f>
        <v>0</v>
      </c>
      <c r="P23" s="57"/>
    </row>
    <row r="24" spans="1:16" s="28" customFormat="1" ht="30" customHeight="1" thickBot="1" x14ac:dyDescent="0.3">
      <c r="A24" s="58">
        <v>19300</v>
      </c>
      <c r="B24" s="58" t="s">
        <v>43</v>
      </c>
      <c r="C24" s="59">
        <f>F24+I24</f>
        <v>444346</v>
      </c>
      <c r="D24" s="60">
        <f>D50</f>
        <v>462492</v>
      </c>
      <c r="E24" s="60">
        <f>E50</f>
        <v>-18146</v>
      </c>
      <c r="F24" s="62">
        <f t="shared" si="9"/>
        <v>444346</v>
      </c>
      <c r="G24" s="60"/>
      <c r="H24" s="61"/>
      <c r="I24" s="62">
        <f t="shared" si="10"/>
        <v>0</v>
      </c>
      <c r="J24" s="304"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305" t="s">
        <v>44</v>
      </c>
      <c r="K25" s="74" t="s">
        <v>44</v>
      </c>
      <c r="L25" s="75" t="s">
        <v>44</v>
      </c>
      <c r="M25" s="73" t="s">
        <v>44</v>
      </c>
      <c r="N25" s="74" t="s">
        <v>44</v>
      </c>
      <c r="O25" s="75" t="s">
        <v>44</v>
      </c>
      <c r="P25" s="76"/>
    </row>
    <row r="26" spans="1:16" s="28" customFormat="1" ht="40.5" customHeight="1" thickTop="1" x14ac:dyDescent="0.25">
      <c r="A26" s="68">
        <v>21300</v>
      </c>
      <c r="B26" s="68" t="s">
        <v>46</v>
      </c>
      <c r="C26" s="69">
        <f>L26</f>
        <v>2136</v>
      </c>
      <c r="D26" s="73" t="s">
        <v>44</v>
      </c>
      <c r="E26" s="74" t="s">
        <v>44</v>
      </c>
      <c r="F26" s="75" t="s">
        <v>44</v>
      </c>
      <c r="G26" s="73" t="s">
        <v>44</v>
      </c>
      <c r="H26" s="74" t="s">
        <v>44</v>
      </c>
      <c r="I26" s="75" t="s">
        <v>44</v>
      </c>
      <c r="J26" s="306">
        <f>SUM(J27,J31,J33,J36)</f>
        <v>2136</v>
      </c>
      <c r="K26" s="78">
        <f t="shared" ref="K26:L26" si="11">SUM(K27,K31,K33,K36)</f>
        <v>0</v>
      </c>
      <c r="L26" s="79">
        <f t="shared" si="11"/>
        <v>2136</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306">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302"/>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30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30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306">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307"/>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306">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302"/>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303"/>
      <c r="K35" s="54"/>
      <c r="L35" s="56">
        <f t="shared" si="18"/>
        <v>0</v>
      </c>
      <c r="M35" s="93" t="s">
        <v>44</v>
      </c>
      <c r="N35" s="94" t="s">
        <v>44</v>
      </c>
      <c r="O35" s="56" t="s">
        <v>44</v>
      </c>
      <c r="P35" s="57"/>
    </row>
    <row r="36" spans="1:16" s="28" customFormat="1" ht="28.5" customHeight="1" x14ac:dyDescent="0.25">
      <c r="A36" s="80">
        <v>21390</v>
      </c>
      <c r="B36" s="68" t="s">
        <v>56</v>
      </c>
      <c r="C36" s="69">
        <f t="shared" si="16"/>
        <v>2136</v>
      </c>
      <c r="D36" s="73" t="s">
        <v>44</v>
      </c>
      <c r="E36" s="74" t="s">
        <v>44</v>
      </c>
      <c r="F36" s="75" t="s">
        <v>44</v>
      </c>
      <c r="G36" s="73" t="s">
        <v>44</v>
      </c>
      <c r="H36" s="74" t="s">
        <v>44</v>
      </c>
      <c r="I36" s="75" t="s">
        <v>44</v>
      </c>
      <c r="J36" s="306">
        <f>SUM(J37:J40)</f>
        <v>2136</v>
      </c>
      <c r="K36" s="78">
        <f t="shared" ref="K36:L36" si="19">SUM(K37:K40)</f>
        <v>0</v>
      </c>
      <c r="L36" s="79">
        <f t="shared" si="19"/>
        <v>2136</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302"/>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30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303"/>
      <c r="K39" s="54"/>
      <c r="L39" s="56">
        <f t="shared" si="20"/>
        <v>0</v>
      </c>
      <c r="M39" s="93" t="s">
        <v>44</v>
      </c>
      <c r="N39" s="94" t="s">
        <v>44</v>
      </c>
      <c r="O39" s="56" t="s">
        <v>44</v>
      </c>
      <c r="P39" s="57"/>
    </row>
    <row r="40" spans="1:16" ht="24" customHeight="1" x14ac:dyDescent="0.25">
      <c r="A40" s="107">
        <v>21399</v>
      </c>
      <c r="B40" s="108" t="s">
        <v>60</v>
      </c>
      <c r="C40" s="109">
        <f t="shared" si="16"/>
        <v>2136</v>
      </c>
      <c r="D40" s="110" t="s">
        <v>44</v>
      </c>
      <c r="E40" s="111" t="s">
        <v>44</v>
      </c>
      <c r="F40" s="112" t="s">
        <v>44</v>
      </c>
      <c r="G40" s="110" t="s">
        <v>44</v>
      </c>
      <c r="H40" s="111" t="s">
        <v>44</v>
      </c>
      <c r="I40" s="112" t="s">
        <v>44</v>
      </c>
      <c r="J40" s="308">
        <v>2136</v>
      </c>
      <c r="K40" s="114"/>
      <c r="L40" s="115">
        <f t="shared" si="20"/>
        <v>2136</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309"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3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306">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302"/>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311"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309"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309"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312"/>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302"/>
      <c r="K49" s="152"/>
      <c r="L49" s="154"/>
      <c r="M49" s="151"/>
      <c r="N49" s="152"/>
      <c r="O49" s="153"/>
      <c r="P49" s="155"/>
    </row>
    <row r="50" spans="1:16" s="28" customFormat="1" ht="18" customHeight="1" thickBot="1" x14ac:dyDescent="0.3">
      <c r="A50" s="156"/>
      <c r="B50" s="29" t="s">
        <v>69</v>
      </c>
      <c r="C50" s="157">
        <f t="shared" si="0"/>
        <v>446624</v>
      </c>
      <c r="D50" s="158">
        <f>SUM(D51,D286)</f>
        <v>462492</v>
      </c>
      <c r="E50" s="159">
        <f t="shared" ref="E50:F50" si="26">SUM(E51,E286)</f>
        <v>-18146</v>
      </c>
      <c r="F50" s="160">
        <f t="shared" si="26"/>
        <v>444346</v>
      </c>
      <c r="G50" s="158">
        <f>SUM(G51,G286)</f>
        <v>0</v>
      </c>
      <c r="H50" s="159">
        <f>SUM(H51,H286)</f>
        <v>0</v>
      </c>
      <c r="I50" s="160">
        <f t="shared" ref="I50" si="27">SUM(I51,I286)</f>
        <v>0</v>
      </c>
      <c r="J50" s="300">
        <f>SUM(J51,J286)</f>
        <v>2278</v>
      </c>
      <c r="K50" s="33">
        <f t="shared" ref="K50:L50" si="28">SUM(K51,K286)</f>
        <v>0</v>
      </c>
      <c r="L50" s="34">
        <f t="shared" si="28"/>
        <v>2278</v>
      </c>
      <c r="M50" s="32">
        <f>SUM(M51,M286)</f>
        <v>0</v>
      </c>
      <c r="N50" s="33">
        <f t="shared" ref="N50:O50" si="29">SUM(N51,N286)</f>
        <v>0</v>
      </c>
      <c r="O50" s="34">
        <f t="shared" si="29"/>
        <v>0</v>
      </c>
      <c r="P50" s="35"/>
    </row>
    <row r="51" spans="1:16" s="28" customFormat="1" ht="43.5" customHeight="1" thickTop="1" x14ac:dyDescent="0.25">
      <c r="A51" s="161"/>
      <c r="B51" s="162" t="s">
        <v>70</v>
      </c>
      <c r="C51" s="163">
        <f t="shared" si="0"/>
        <v>446624</v>
      </c>
      <c r="D51" s="164">
        <f>SUM(D52,D194)</f>
        <v>462492</v>
      </c>
      <c r="E51" s="165">
        <f t="shared" ref="E51:F51" si="30">SUM(E52,E194)</f>
        <v>-18146</v>
      </c>
      <c r="F51" s="166">
        <f t="shared" si="30"/>
        <v>444346</v>
      </c>
      <c r="G51" s="164">
        <f>SUM(G52,G194)</f>
        <v>0</v>
      </c>
      <c r="H51" s="165">
        <f t="shared" ref="H51:I51" si="31">SUM(H52,H194)</f>
        <v>0</v>
      </c>
      <c r="I51" s="166">
        <f t="shared" si="31"/>
        <v>0</v>
      </c>
      <c r="J51" s="313">
        <f>SUM(J52,J194)</f>
        <v>2278</v>
      </c>
      <c r="K51" s="168">
        <f t="shared" ref="K51:L51" si="32">SUM(K52,K194)</f>
        <v>0</v>
      </c>
      <c r="L51" s="169">
        <f t="shared" si="32"/>
        <v>2278</v>
      </c>
      <c r="M51" s="167">
        <f>SUM(M52,M194)</f>
        <v>0</v>
      </c>
      <c r="N51" s="168">
        <f t="shared" ref="N51:O51" si="33">SUM(N52,N194)</f>
        <v>0</v>
      </c>
      <c r="O51" s="169">
        <f t="shared" si="33"/>
        <v>0</v>
      </c>
      <c r="P51" s="170"/>
    </row>
    <row r="52" spans="1:16" s="28" customFormat="1" ht="27" customHeight="1" x14ac:dyDescent="0.25">
      <c r="A52" s="24"/>
      <c r="B52" s="22" t="s">
        <v>71</v>
      </c>
      <c r="C52" s="171">
        <f t="shared" si="0"/>
        <v>4758</v>
      </c>
      <c r="D52" s="172">
        <f>SUM(D53,D75,D173,D187)</f>
        <v>2480</v>
      </c>
      <c r="E52" s="173">
        <f t="shared" ref="E52:F52" si="34">SUM(E53,E75,E173,E187)</f>
        <v>0</v>
      </c>
      <c r="F52" s="174">
        <f t="shared" si="34"/>
        <v>2480</v>
      </c>
      <c r="G52" s="172">
        <f>SUM(G53,G75,G173,G187)</f>
        <v>0</v>
      </c>
      <c r="H52" s="173">
        <f t="shared" ref="H52:I52" si="35">SUM(H53,H75,H173,H187)</f>
        <v>0</v>
      </c>
      <c r="I52" s="174">
        <f t="shared" si="35"/>
        <v>0</v>
      </c>
      <c r="J52" s="314">
        <f>SUM(J53,J75,J173,J187)</f>
        <v>2278</v>
      </c>
      <c r="K52" s="173">
        <f t="shared" ref="K52:L52" si="36">SUM(K53,K75,K173,K187)</f>
        <v>0</v>
      </c>
      <c r="L52" s="174">
        <f t="shared" si="36"/>
        <v>2278</v>
      </c>
      <c r="M52" s="172">
        <f>SUM(M53,M75,M173,M187)</f>
        <v>0</v>
      </c>
      <c r="N52" s="173">
        <f t="shared" ref="N52:O52" si="37">SUM(N53,N75,N173,N187)</f>
        <v>0</v>
      </c>
      <c r="O52" s="174">
        <f t="shared" si="37"/>
        <v>0</v>
      </c>
      <c r="P52" s="175"/>
    </row>
    <row r="53" spans="1:16" s="28" customFormat="1" x14ac:dyDescent="0.25">
      <c r="A53" s="176">
        <v>1000</v>
      </c>
      <c r="B53" s="176" t="s">
        <v>72</v>
      </c>
      <c r="C53" s="177">
        <f t="shared" si="0"/>
        <v>1993</v>
      </c>
      <c r="D53" s="178">
        <f>SUM(D54,D67)</f>
        <v>0</v>
      </c>
      <c r="E53" s="179">
        <f t="shared" ref="E53:F53" si="38">SUM(E54,E67)</f>
        <v>0</v>
      </c>
      <c r="F53" s="180">
        <f t="shared" si="38"/>
        <v>0</v>
      </c>
      <c r="G53" s="178">
        <f>SUM(G54,G67)</f>
        <v>0</v>
      </c>
      <c r="H53" s="179">
        <f t="shared" ref="H53:I53" si="39">SUM(H54,H67)</f>
        <v>0</v>
      </c>
      <c r="I53" s="180">
        <f t="shared" si="39"/>
        <v>0</v>
      </c>
      <c r="J53" s="315">
        <f>SUM(J54,J67)</f>
        <v>1993</v>
      </c>
      <c r="K53" s="179">
        <f t="shared" ref="K53:L53" si="40">SUM(K54,K67)</f>
        <v>0</v>
      </c>
      <c r="L53" s="180">
        <f t="shared" si="40"/>
        <v>1993</v>
      </c>
      <c r="M53" s="178">
        <f>SUM(M54,M67)</f>
        <v>0</v>
      </c>
      <c r="N53" s="179">
        <f t="shared" ref="N53:O53" si="41">SUM(N54,N67)</f>
        <v>0</v>
      </c>
      <c r="O53" s="180">
        <f t="shared" si="41"/>
        <v>0</v>
      </c>
      <c r="P53" s="181"/>
    </row>
    <row r="54" spans="1:16" ht="17.25" customHeight="1" x14ac:dyDescent="0.25">
      <c r="A54" s="68">
        <v>1100</v>
      </c>
      <c r="B54" s="182" t="s">
        <v>73</v>
      </c>
      <c r="C54" s="69">
        <f t="shared" si="0"/>
        <v>1605</v>
      </c>
      <c r="D54" s="183">
        <f>SUM(D55,D58,D66)</f>
        <v>0</v>
      </c>
      <c r="E54" s="184">
        <f t="shared" ref="E54:F54" si="42">SUM(E55,E58,E66)</f>
        <v>0</v>
      </c>
      <c r="F54" s="72">
        <f t="shared" si="42"/>
        <v>0</v>
      </c>
      <c r="G54" s="183">
        <f>SUM(G55,G58,G66)</f>
        <v>0</v>
      </c>
      <c r="H54" s="184">
        <f t="shared" ref="H54:I54" si="43">SUM(H55,H58,H66)</f>
        <v>0</v>
      </c>
      <c r="I54" s="72">
        <f t="shared" si="43"/>
        <v>0</v>
      </c>
      <c r="J54" s="316">
        <f>SUM(J55,J58,J66)</f>
        <v>1605</v>
      </c>
      <c r="K54" s="184">
        <f t="shared" ref="K54:L54" si="44">SUM(K55,K58,K66)</f>
        <v>0</v>
      </c>
      <c r="L54" s="72">
        <f t="shared" si="44"/>
        <v>1605</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317">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302"/>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30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318">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30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30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30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30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30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30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303"/>
      <c r="K65" s="54"/>
      <c r="L65" s="55">
        <f t="shared" si="60"/>
        <v>0</v>
      </c>
      <c r="M65" s="53"/>
      <c r="N65" s="54"/>
      <c r="O65" s="55">
        <f t="shared" si="61"/>
        <v>0</v>
      </c>
      <c r="P65" s="57"/>
    </row>
    <row r="66" spans="1:16" ht="36" customHeight="1" x14ac:dyDescent="0.25">
      <c r="A66" s="185">
        <v>1150</v>
      </c>
      <c r="B66" s="137" t="s">
        <v>85</v>
      </c>
      <c r="C66" s="142">
        <f t="shared" si="0"/>
        <v>1605</v>
      </c>
      <c r="D66" s="143"/>
      <c r="E66" s="144"/>
      <c r="F66" s="140">
        <f t="shared" si="58"/>
        <v>0</v>
      </c>
      <c r="G66" s="143"/>
      <c r="H66" s="144"/>
      <c r="I66" s="140">
        <f t="shared" si="59"/>
        <v>0</v>
      </c>
      <c r="J66" s="312">
        <v>1605</v>
      </c>
      <c r="K66" s="144"/>
      <c r="L66" s="140">
        <f t="shared" si="60"/>
        <v>1605</v>
      </c>
      <c r="M66" s="143"/>
      <c r="N66" s="144"/>
      <c r="O66" s="140">
        <f t="shared" si="61"/>
        <v>0</v>
      </c>
      <c r="P66" s="128"/>
    </row>
    <row r="67" spans="1:16" ht="27.75" customHeight="1" x14ac:dyDescent="0.25">
      <c r="A67" s="68">
        <v>1200</v>
      </c>
      <c r="B67" s="182" t="s">
        <v>86</v>
      </c>
      <c r="C67" s="69">
        <f t="shared" si="0"/>
        <v>388</v>
      </c>
      <c r="D67" s="183">
        <f>SUM(D68:D69)</f>
        <v>0</v>
      </c>
      <c r="E67" s="184">
        <f t="shared" ref="E67:F67" si="62">SUM(E68:E69)</f>
        <v>0</v>
      </c>
      <c r="F67" s="72">
        <f t="shared" si="62"/>
        <v>0</v>
      </c>
      <c r="G67" s="183">
        <f>SUM(G68:G69)</f>
        <v>0</v>
      </c>
      <c r="H67" s="184">
        <f t="shared" ref="H67:I67" si="63">SUM(H68:H69)</f>
        <v>0</v>
      </c>
      <c r="I67" s="72">
        <f t="shared" si="63"/>
        <v>0</v>
      </c>
      <c r="J67" s="316">
        <f>SUM(J68:J69)</f>
        <v>388</v>
      </c>
      <c r="K67" s="184">
        <f t="shared" ref="K67:L67" si="64">SUM(K68:K69)</f>
        <v>0</v>
      </c>
      <c r="L67" s="72">
        <f t="shared" si="64"/>
        <v>388</v>
      </c>
      <c r="M67" s="183">
        <f>SUM(M68:M69)</f>
        <v>0</v>
      </c>
      <c r="N67" s="184">
        <f t="shared" ref="N67:O67" si="65">SUM(N68:N69)</f>
        <v>0</v>
      </c>
      <c r="O67" s="72">
        <f t="shared" si="65"/>
        <v>0</v>
      </c>
      <c r="P67" s="76"/>
    </row>
    <row r="68" spans="1:16" ht="27.75" customHeight="1" x14ac:dyDescent="0.25">
      <c r="A68" s="278">
        <v>1210</v>
      </c>
      <c r="B68" s="81" t="s">
        <v>87</v>
      </c>
      <c r="C68" s="82">
        <f t="shared" si="0"/>
        <v>388</v>
      </c>
      <c r="D68" s="46"/>
      <c r="E68" s="47"/>
      <c r="F68" s="133">
        <f>D68+E68</f>
        <v>0</v>
      </c>
      <c r="G68" s="46"/>
      <c r="H68" s="47"/>
      <c r="I68" s="133">
        <f>G68+H68</f>
        <v>0</v>
      </c>
      <c r="J68" s="302">
        <v>388</v>
      </c>
      <c r="K68" s="47"/>
      <c r="L68" s="133">
        <f>K68+J68</f>
        <v>388</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318">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30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30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30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30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303"/>
      <c r="K74" s="54"/>
      <c r="L74" s="55">
        <f t="shared" si="72"/>
        <v>0</v>
      </c>
      <c r="M74" s="53"/>
      <c r="N74" s="54"/>
      <c r="O74" s="55">
        <f t="shared" si="73"/>
        <v>0</v>
      </c>
      <c r="P74" s="57"/>
    </row>
    <row r="75" spans="1:16" ht="14.25" customHeight="1" x14ac:dyDescent="0.25">
      <c r="A75" s="176">
        <v>2000</v>
      </c>
      <c r="B75" s="176" t="s">
        <v>94</v>
      </c>
      <c r="C75" s="177">
        <f t="shared" si="0"/>
        <v>2765</v>
      </c>
      <c r="D75" s="178">
        <f>SUM(D76,D83,D130,D164,D165,D172)</f>
        <v>2480</v>
      </c>
      <c r="E75" s="179">
        <f t="shared" ref="E75:F75" si="74">SUM(E76,E83,E130,E164,E165,E172)</f>
        <v>0</v>
      </c>
      <c r="F75" s="180">
        <f t="shared" si="74"/>
        <v>2480</v>
      </c>
      <c r="G75" s="178">
        <f>SUM(G76,G83,G130,G164,G165,G172)</f>
        <v>0</v>
      </c>
      <c r="H75" s="179">
        <f t="shared" ref="H75:I75" si="75">SUM(H76,H83,H130,H164,H165,H172)</f>
        <v>0</v>
      </c>
      <c r="I75" s="180">
        <f t="shared" si="75"/>
        <v>0</v>
      </c>
      <c r="J75" s="315">
        <f>SUM(J76,J83,J130,J164,J165,J172)</f>
        <v>285</v>
      </c>
      <c r="K75" s="179">
        <f t="shared" ref="K75:L75" si="76">SUM(K76,K83,K130,K164,K165,K172)</f>
        <v>0</v>
      </c>
      <c r="L75" s="180">
        <f t="shared" si="76"/>
        <v>285</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316">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319">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30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30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318">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303"/>
      <c r="K81" s="54"/>
      <c r="L81" s="55">
        <f t="shared" ref="L81:L82" si="96">K81+J81</f>
        <v>0</v>
      </c>
      <c r="M81" s="53"/>
      <c r="N81" s="54"/>
      <c r="O81" s="55">
        <f t="shared" ref="O81:O82" si="97">N81+M81</f>
        <v>0</v>
      </c>
      <c r="P81" s="57"/>
    </row>
    <row r="82" spans="1:16" ht="2.25" hidden="1" customHeight="1" x14ac:dyDescent="0.25">
      <c r="A82" s="51">
        <v>2122</v>
      </c>
      <c r="B82" s="88" t="s">
        <v>98</v>
      </c>
      <c r="C82" s="89">
        <f t="shared" si="0"/>
        <v>0</v>
      </c>
      <c r="D82" s="194"/>
      <c r="E82" s="195"/>
      <c r="F82" s="55">
        <f t="shared" si="94"/>
        <v>0</v>
      </c>
      <c r="G82" s="53"/>
      <c r="H82" s="54"/>
      <c r="I82" s="55">
        <f t="shared" si="95"/>
        <v>0</v>
      </c>
      <c r="J82" s="303"/>
      <c r="K82" s="54"/>
      <c r="L82" s="55">
        <f t="shared" si="96"/>
        <v>0</v>
      </c>
      <c r="M82" s="53"/>
      <c r="N82" s="54"/>
      <c r="O82" s="55">
        <f t="shared" si="97"/>
        <v>0</v>
      </c>
      <c r="P82" s="57"/>
    </row>
    <row r="83" spans="1:16" ht="15.75" customHeight="1" x14ac:dyDescent="0.25">
      <c r="A83" s="68">
        <v>2200</v>
      </c>
      <c r="B83" s="182" t="s">
        <v>100</v>
      </c>
      <c r="C83" s="69">
        <f t="shared" si="0"/>
        <v>585</v>
      </c>
      <c r="D83" s="183">
        <f>SUM(D84,D89,D95,D103,D112,D116,D122,D128)</f>
        <v>300</v>
      </c>
      <c r="E83" s="184">
        <f t="shared" ref="E83:F83" si="98">SUM(E84,E89,E95,E103,E112,E116,E122,E128)</f>
        <v>0</v>
      </c>
      <c r="F83" s="72">
        <f t="shared" si="98"/>
        <v>300</v>
      </c>
      <c r="G83" s="183">
        <f>SUM(G84,G89,G95,G103,G112,G116,G122,G128)</f>
        <v>0</v>
      </c>
      <c r="H83" s="184">
        <f t="shared" ref="H83:I83" si="99">SUM(H84,H89,H95,H103,H112,H116,H122,H128)</f>
        <v>0</v>
      </c>
      <c r="I83" s="72">
        <f t="shared" si="99"/>
        <v>0</v>
      </c>
      <c r="J83" s="316">
        <f>SUM(J84,J89,J95,J103,J112,J116,J122,J128)</f>
        <v>285</v>
      </c>
      <c r="K83" s="184">
        <f t="shared" ref="K83:L83" si="100">SUM(K84,K89,K95,K103,K112,K116,K122,K128)</f>
        <v>0</v>
      </c>
      <c r="L83" s="72">
        <f t="shared" si="100"/>
        <v>285</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317">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302"/>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30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30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30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318">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30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30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30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30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30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318">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30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30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302"/>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30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30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30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30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318">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30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30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30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30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30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30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30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30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318">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30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30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30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318">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30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30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30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303"/>
      <c r="K120" s="54"/>
      <c r="L120" s="55">
        <f t="shared" si="149"/>
        <v>0</v>
      </c>
      <c r="M120" s="53"/>
      <c r="N120" s="54"/>
      <c r="O120" s="55">
        <f t="shared" si="150"/>
        <v>0</v>
      </c>
      <c r="P120" s="57"/>
    </row>
    <row r="121" spans="1:16" ht="3" hidden="1" customHeight="1" x14ac:dyDescent="0.25">
      <c r="A121" s="51">
        <v>2269</v>
      </c>
      <c r="B121" s="88" t="s">
        <v>138</v>
      </c>
      <c r="C121" s="89">
        <f t="shared" si="102"/>
        <v>0</v>
      </c>
      <c r="D121" s="194"/>
      <c r="E121" s="195"/>
      <c r="F121" s="55">
        <f t="shared" si="147"/>
        <v>0</v>
      </c>
      <c r="G121" s="53"/>
      <c r="H121" s="54"/>
      <c r="I121" s="55">
        <f t="shared" si="148"/>
        <v>0</v>
      </c>
      <c r="J121" s="303"/>
      <c r="K121" s="54"/>
      <c r="L121" s="55">
        <f t="shared" si="149"/>
        <v>0</v>
      </c>
      <c r="M121" s="53"/>
      <c r="N121" s="54"/>
      <c r="O121" s="55">
        <f t="shared" si="150"/>
        <v>0</v>
      </c>
      <c r="P121" s="57"/>
    </row>
    <row r="122" spans="1:16" x14ac:dyDescent="0.25">
      <c r="A122" s="188">
        <v>2270</v>
      </c>
      <c r="B122" s="88" t="s">
        <v>139</v>
      </c>
      <c r="C122" s="89">
        <f t="shared" si="102"/>
        <v>585</v>
      </c>
      <c r="D122" s="189">
        <f>SUM(D123:D127)</f>
        <v>300</v>
      </c>
      <c r="E122" s="190">
        <f t="shared" ref="E122:F122" si="151">SUM(E123:E127)</f>
        <v>0</v>
      </c>
      <c r="F122" s="55">
        <f t="shared" si="151"/>
        <v>300</v>
      </c>
      <c r="G122" s="189">
        <f>SUM(G123:G127)</f>
        <v>0</v>
      </c>
      <c r="H122" s="190">
        <f t="shared" ref="H122:I122" si="152">SUM(H123:H127)</f>
        <v>0</v>
      </c>
      <c r="I122" s="55">
        <f t="shared" si="152"/>
        <v>0</v>
      </c>
      <c r="J122" s="318">
        <f>SUM(J123:J127)</f>
        <v>285</v>
      </c>
      <c r="K122" s="190">
        <f t="shared" ref="K122:L122" si="153">SUM(K123:K127)</f>
        <v>0</v>
      </c>
      <c r="L122" s="55">
        <f t="shared" si="153"/>
        <v>285</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30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30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30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303"/>
      <c r="K126" s="54"/>
      <c r="L126" s="55">
        <f t="shared" si="157"/>
        <v>0</v>
      </c>
      <c r="M126" s="53"/>
      <c r="N126" s="54"/>
      <c r="O126" s="55">
        <f t="shared" si="158"/>
        <v>0</v>
      </c>
      <c r="P126" s="57"/>
    </row>
    <row r="127" spans="1:16" ht="27" customHeight="1" x14ac:dyDescent="0.25">
      <c r="A127" s="51">
        <v>2279</v>
      </c>
      <c r="B127" s="88" t="s">
        <v>144</v>
      </c>
      <c r="C127" s="89">
        <f t="shared" si="102"/>
        <v>585</v>
      </c>
      <c r="D127" s="194">
        <v>300</v>
      </c>
      <c r="E127" s="195"/>
      <c r="F127" s="55">
        <f t="shared" si="155"/>
        <v>300</v>
      </c>
      <c r="G127" s="53"/>
      <c r="H127" s="54"/>
      <c r="I127" s="55">
        <f t="shared" si="156"/>
        <v>0</v>
      </c>
      <c r="J127" s="303">
        <v>285</v>
      </c>
      <c r="K127" s="54"/>
      <c r="L127" s="55">
        <f t="shared" si="157"/>
        <v>285</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319">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303"/>
      <c r="K129" s="54"/>
      <c r="L129" s="55">
        <f>K129+J129</f>
        <v>0</v>
      </c>
      <c r="M129" s="53"/>
      <c r="N129" s="54"/>
      <c r="O129" s="55">
        <f>N129+M129</f>
        <v>0</v>
      </c>
      <c r="P129" s="57"/>
    </row>
    <row r="130" spans="1:16" ht="38.25" customHeight="1" x14ac:dyDescent="0.25">
      <c r="A130" s="68">
        <v>2300</v>
      </c>
      <c r="B130" s="182" t="s">
        <v>147</v>
      </c>
      <c r="C130" s="69">
        <f t="shared" si="102"/>
        <v>2180</v>
      </c>
      <c r="D130" s="183">
        <f>SUM(D131,D136,D140,D141,D144,D151,D159,D160,D163)</f>
        <v>2180</v>
      </c>
      <c r="E130" s="184">
        <f t="shared" ref="E130:F130" si="160">SUM(E131,E136,E140,E141,E144,E151,E159,E160,E163)</f>
        <v>0</v>
      </c>
      <c r="F130" s="72">
        <f t="shared" si="160"/>
        <v>2180</v>
      </c>
      <c r="G130" s="183">
        <f>SUM(G131,G136,G140,G141,G144,G151,G159,G160,G163)</f>
        <v>0</v>
      </c>
      <c r="H130" s="184">
        <f t="shared" ref="H130:I130" si="161">SUM(H131,H136,H140,H141,H144,H151,H159,H160,H163)</f>
        <v>0</v>
      </c>
      <c r="I130" s="72">
        <f t="shared" si="161"/>
        <v>0</v>
      </c>
      <c r="J130" s="316">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2180</v>
      </c>
      <c r="D131" s="192">
        <f t="shared" ref="D131:O131" si="164">SUM(D132:D135)</f>
        <v>2180</v>
      </c>
      <c r="E131" s="193">
        <f t="shared" si="164"/>
        <v>0</v>
      </c>
      <c r="F131" s="133">
        <f t="shared" si="164"/>
        <v>2180</v>
      </c>
      <c r="G131" s="192">
        <f t="shared" si="164"/>
        <v>0</v>
      </c>
      <c r="H131" s="193">
        <f t="shared" si="164"/>
        <v>0</v>
      </c>
      <c r="I131" s="133">
        <f t="shared" si="164"/>
        <v>0</v>
      </c>
      <c r="J131" s="319">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30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303"/>
      <c r="K133" s="54"/>
      <c r="L133" s="55">
        <f t="shared" si="167"/>
        <v>0</v>
      </c>
      <c r="M133" s="53"/>
      <c r="N133" s="54"/>
      <c r="O133" s="55">
        <f t="shared" si="168"/>
        <v>0</v>
      </c>
      <c r="P133" s="57"/>
    </row>
    <row r="134" spans="1:16" ht="3.75" hidden="1" customHeight="1" x14ac:dyDescent="0.25">
      <c r="A134" s="51">
        <v>2313</v>
      </c>
      <c r="B134" s="88" t="s">
        <v>151</v>
      </c>
      <c r="C134" s="89">
        <f t="shared" si="102"/>
        <v>0</v>
      </c>
      <c r="D134" s="194"/>
      <c r="E134" s="195"/>
      <c r="F134" s="55">
        <f t="shared" si="165"/>
        <v>0</v>
      </c>
      <c r="G134" s="53"/>
      <c r="H134" s="54"/>
      <c r="I134" s="55">
        <f t="shared" si="166"/>
        <v>0</v>
      </c>
      <c r="J134" s="303"/>
      <c r="K134" s="54"/>
      <c r="L134" s="55">
        <f t="shared" si="167"/>
        <v>0</v>
      </c>
      <c r="M134" s="53"/>
      <c r="N134" s="54"/>
      <c r="O134" s="55">
        <f t="shared" si="168"/>
        <v>0</v>
      </c>
      <c r="P134" s="57"/>
    </row>
    <row r="135" spans="1:16" ht="36" customHeight="1" x14ac:dyDescent="0.25">
      <c r="A135" s="51">
        <v>2314</v>
      </c>
      <c r="B135" s="88" t="s">
        <v>152</v>
      </c>
      <c r="C135" s="89">
        <f t="shared" si="102"/>
        <v>2180</v>
      </c>
      <c r="D135" s="194">
        <v>2180</v>
      </c>
      <c r="E135" s="195"/>
      <c r="F135" s="55">
        <f t="shared" si="165"/>
        <v>2180</v>
      </c>
      <c r="G135" s="53"/>
      <c r="H135" s="54"/>
      <c r="I135" s="55">
        <f t="shared" si="166"/>
        <v>0</v>
      </c>
      <c r="J135" s="30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318">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30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30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30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30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318">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30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30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317">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302"/>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30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30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30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30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30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318">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30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30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30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30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30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30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30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312"/>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317">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302"/>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30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312"/>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32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316">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319">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30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30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30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30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30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302"/>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315">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316">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319">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30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30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30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319">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30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30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30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321"/>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322">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312"/>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302"/>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315">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316">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302"/>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30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316">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319">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303"/>
      <c r="K193" s="54"/>
      <c r="L193" s="55">
        <f>K193+J193</f>
        <v>0</v>
      </c>
      <c r="M193" s="53"/>
      <c r="N193" s="54"/>
      <c r="O193" s="55">
        <f>N193+M193</f>
        <v>0</v>
      </c>
      <c r="P193" s="57"/>
    </row>
    <row r="194" spans="1:16" s="28" customFormat="1" ht="24" x14ac:dyDescent="0.25">
      <c r="A194" s="224"/>
      <c r="B194" s="23" t="s">
        <v>211</v>
      </c>
      <c r="C194" s="171">
        <f t="shared" si="193"/>
        <v>441866</v>
      </c>
      <c r="D194" s="172">
        <f t="shared" ref="D194:O194" si="259">SUM(D195,D230,D269,D283)</f>
        <v>460012</v>
      </c>
      <c r="E194" s="173">
        <f t="shared" si="259"/>
        <v>-18146</v>
      </c>
      <c r="F194" s="174">
        <f t="shared" si="259"/>
        <v>441866</v>
      </c>
      <c r="G194" s="172">
        <f t="shared" si="259"/>
        <v>0</v>
      </c>
      <c r="H194" s="173">
        <f t="shared" si="259"/>
        <v>0</v>
      </c>
      <c r="I194" s="174">
        <f t="shared" si="259"/>
        <v>0</v>
      </c>
      <c r="J194" s="314">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315">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316">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302"/>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318">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30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30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30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30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30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316">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317">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302"/>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30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30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30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30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30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30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30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30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30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318">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30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30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30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30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30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30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30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30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30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30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318">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30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312"/>
      <c r="K229" s="144"/>
      <c r="L229" s="140">
        <f t="shared" si="303"/>
        <v>0</v>
      </c>
      <c r="M229" s="143"/>
      <c r="N229" s="144"/>
      <c r="O229" s="140">
        <f t="shared" si="304"/>
        <v>0</v>
      </c>
      <c r="P229" s="128"/>
    </row>
    <row r="230" spans="1:16" x14ac:dyDescent="0.25">
      <c r="A230" s="176">
        <v>6000</v>
      </c>
      <c r="B230" s="176" t="s">
        <v>247</v>
      </c>
      <c r="C230" s="177">
        <f t="shared" si="288"/>
        <v>428915</v>
      </c>
      <c r="D230" s="178">
        <f>D231+D251+D259</f>
        <v>447061</v>
      </c>
      <c r="E230" s="179">
        <f t="shared" ref="E230:F230" si="305">E231+E251+E259</f>
        <v>-18146</v>
      </c>
      <c r="F230" s="180">
        <f t="shared" si="305"/>
        <v>428915</v>
      </c>
      <c r="G230" s="178">
        <f>G231+G251+G259</f>
        <v>0</v>
      </c>
      <c r="H230" s="179">
        <f t="shared" ref="H230:I230" si="306">H231+H251+H259</f>
        <v>0</v>
      </c>
      <c r="I230" s="180">
        <f t="shared" si="306"/>
        <v>0</v>
      </c>
      <c r="J230" s="315">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customHeight="1" x14ac:dyDescent="0.25">
      <c r="A231" s="216">
        <v>6200</v>
      </c>
      <c r="B231" s="207" t="s">
        <v>248</v>
      </c>
      <c r="C231" s="217">
        <f t="shared" si="288"/>
        <v>67020</v>
      </c>
      <c r="D231" s="218">
        <f>SUM(D232,D233,D235,D238,D244,D245,D246)</f>
        <v>66020</v>
      </c>
      <c r="E231" s="219">
        <f t="shared" ref="E231:F231" si="309">SUM(E232,E233,E235,E238,E244,E245,E246)</f>
        <v>1000</v>
      </c>
      <c r="F231" s="220">
        <f t="shared" si="309"/>
        <v>67020</v>
      </c>
      <c r="G231" s="218">
        <f>SUM(G232,G233,G235,G238,G244,G245,G246)</f>
        <v>0</v>
      </c>
      <c r="H231" s="219">
        <f t="shared" ref="H231:I231" si="310">SUM(H232,H233,H235,H238,H244,H245,H246)</f>
        <v>0</v>
      </c>
      <c r="I231" s="220">
        <f t="shared" si="310"/>
        <v>0</v>
      </c>
      <c r="J231" s="322">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302"/>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318">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302"/>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318">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30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303"/>
      <c r="K237" s="54"/>
      <c r="L237" s="55">
        <f t="shared" si="320"/>
        <v>0</v>
      </c>
      <c r="M237" s="53"/>
      <c r="N237" s="54"/>
      <c r="O237" s="55">
        <f t="shared" si="321"/>
        <v>0</v>
      </c>
      <c r="P237" s="57"/>
    </row>
    <row r="238" spans="1:16" ht="25.5" customHeight="1" x14ac:dyDescent="0.25">
      <c r="A238" s="188">
        <v>6250</v>
      </c>
      <c r="B238" s="88" t="s">
        <v>255</v>
      </c>
      <c r="C238" s="89">
        <f t="shared" si="288"/>
        <v>40020</v>
      </c>
      <c r="D238" s="189">
        <f>SUM(D239:D243)</f>
        <v>39020</v>
      </c>
      <c r="E238" s="190">
        <f t="shared" ref="E238:F238" si="322">SUM(E239:E243)</f>
        <v>1000</v>
      </c>
      <c r="F238" s="55">
        <f t="shared" si="322"/>
        <v>40020</v>
      </c>
      <c r="G238" s="189">
        <f>SUM(G239:G243)</f>
        <v>0</v>
      </c>
      <c r="H238" s="190">
        <f t="shared" ref="H238:I238" si="323">SUM(H239:H243)</f>
        <v>0</v>
      </c>
      <c r="I238" s="55">
        <f t="shared" si="323"/>
        <v>0</v>
      </c>
      <c r="J238" s="318">
        <f>SUM(J239:J243)</f>
        <v>0</v>
      </c>
      <c r="K238" s="190">
        <f t="shared" ref="K238:L238" si="324">SUM(K239:K243)</f>
        <v>0</v>
      </c>
      <c r="L238" s="55">
        <f t="shared" si="324"/>
        <v>0</v>
      </c>
      <c r="M238" s="189">
        <f>SUM(M239:M243)</f>
        <v>0</v>
      </c>
      <c r="N238" s="190">
        <f t="shared" ref="N238:O238" si="325">SUM(N239:N243)</f>
        <v>0</v>
      </c>
      <c r="O238" s="55">
        <f t="shared" si="325"/>
        <v>0</v>
      </c>
      <c r="P238" s="57"/>
    </row>
    <row r="239" spans="1:16" ht="16.5" customHeight="1" x14ac:dyDescent="0.25">
      <c r="A239" s="51">
        <v>6252</v>
      </c>
      <c r="B239" s="88" t="s">
        <v>256</v>
      </c>
      <c r="C239" s="89">
        <f t="shared" si="288"/>
        <v>10500</v>
      </c>
      <c r="D239" s="194">
        <v>9500</v>
      </c>
      <c r="E239" s="195">
        <v>1000</v>
      </c>
      <c r="F239" s="55">
        <f t="shared" ref="F239:F245" si="326">D239+E239</f>
        <v>10500</v>
      </c>
      <c r="G239" s="53"/>
      <c r="H239" s="54"/>
      <c r="I239" s="55">
        <f t="shared" ref="I239:I245" si="327">G239+H239</f>
        <v>0</v>
      </c>
      <c r="J239" s="303"/>
      <c r="K239" s="54"/>
      <c r="L239" s="55">
        <f t="shared" ref="L239:L245" si="328">K239+J239</f>
        <v>0</v>
      </c>
      <c r="M239" s="53"/>
      <c r="N239" s="54"/>
      <c r="O239" s="55">
        <f t="shared" ref="O239:O245" si="329">N239+M239</f>
        <v>0</v>
      </c>
      <c r="P239" s="57" t="s">
        <v>436</v>
      </c>
    </row>
    <row r="240" spans="1:16" ht="14.25" hidden="1" customHeight="1" x14ac:dyDescent="0.25">
      <c r="A240" s="51">
        <v>6253</v>
      </c>
      <c r="B240" s="88" t="s">
        <v>257</v>
      </c>
      <c r="C240" s="89">
        <f t="shared" si="288"/>
        <v>0</v>
      </c>
      <c r="D240" s="194"/>
      <c r="E240" s="195"/>
      <c r="F240" s="55">
        <f t="shared" si="326"/>
        <v>0</v>
      </c>
      <c r="G240" s="53"/>
      <c r="H240" s="54"/>
      <c r="I240" s="55">
        <f t="shared" si="327"/>
        <v>0</v>
      </c>
      <c r="J240" s="30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303"/>
      <c r="K241" s="54"/>
      <c r="L241" s="55">
        <f t="shared" si="328"/>
        <v>0</v>
      </c>
      <c r="M241" s="53"/>
      <c r="N241" s="54"/>
      <c r="O241" s="55">
        <f t="shared" si="329"/>
        <v>0</v>
      </c>
      <c r="P241" s="57"/>
    </row>
    <row r="242" spans="1:16" ht="24" customHeight="1" x14ac:dyDescent="0.25">
      <c r="A242" s="51">
        <v>6255</v>
      </c>
      <c r="B242" s="88" t="s">
        <v>259</v>
      </c>
      <c r="C242" s="89">
        <f t="shared" si="288"/>
        <v>25020</v>
      </c>
      <c r="D242" s="194">
        <v>25020</v>
      </c>
      <c r="E242" s="195"/>
      <c r="F242" s="55">
        <f t="shared" si="326"/>
        <v>25020</v>
      </c>
      <c r="G242" s="53"/>
      <c r="H242" s="54"/>
      <c r="I242" s="55">
        <f t="shared" si="327"/>
        <v>0</v>
      </c>
      <c r="J242" s="303"/>
      <c r="K242" s="54"/>
      <c r="L242" s="55">
        <f t="shared" si="328"/>
        <v>0</v>
      </c>
      <c r="M242" s="53"/>
      <c r="N242" s="54"/>
      <c r="O242" s="55">
        <f t="shared" si="329"/>
        <v>0</v>
      </c>
      <c r="P242" s="57"/>
    </row>
    <row r="243" spans="1:16" ht="12" customHeight="1" x14ac:dyDescent="0.25">
      <c r="A243" s="51">
        <v>6259</v>
      </c>
      <c r="B243" s="88" t="s">
        <v>260</v>
      </c>
      <c r="C243" s="89">
        <f t="shared" si="288"/>
        <v>4500</v>
      </c>
      <c r="D243" s="194">
        <v>4500</v>
      </c>
      <c r="E243" s="195"/>
      <c r="F243" s="55">
        <f t="shared" si="326"/>
        <v>4500</v>
      </c>
      <c r="G243" s="53"/>
      <c r="H243" s="54"/>
      <c r="I243" s="55">
        <f t="shared" si="327"/>
        <v>0</v>
      </c>
      <c r="J243" s="303"/>
      <c r="K243" s="54"/>
      <c r="L243" s="55">
        <f t="shared" si="328"/>
        <v>0</v>
      </c>
      <c r="M243" s="53"/>
      <c r="N243" s="54"/>
      <c r="O243" s="55">
        <f t="shared" si="329"/>
        <v>0</v>
      </c>
      <c r="P243" s="57"/>
    </row>
    <row r="244" spans="1:16" ht="26.25" customHeight="1" x14ac:dyDescent="0.25">
      <c r="A244" s="188">
        <v>6260</v>
      </c>
      <c r="B244" s="88" t="s">
        <v>261</v>
      </c>
      <c r="C244" s="89">
        <f t="shared" si="288"/>
        <v>27000</v>
      </c>
      <c r="D244" s="194">
        <v>27000</v>
      </c>
      <c r="E244" s="195"/>
      <c r="F244" s="55">
        <f t="shared" si="326"/>
        <v>27000</v>
      </c>
      <c r="G244" s="53"/>
      <c r="H244" s="54"/>
      <c r="I244" s="55">
        <f t="shared" si="327"/>
        <v>0</v>
      </c>
      <c r="J244" s="30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30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319">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30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30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30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30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316">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319">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30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30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30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302"/>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321"/>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303"/>
      <c r="K258" s="54"/>
      <c r="L258" s="55">
        <f t="shared" si="339"/>
        <v>0</v>
      </c>
      <c r="M258" s="53"/>
      <c r="N258" s="54"/>
      <c r="O258" s="55">
        <f t="shared" si="340"/>
        <v>0</v>
      </c>
      <c r="P258" s="57"/>
    </row>
    <row r="259" spans="1:16" ht="39" customHeight="1" x14ac:dyDescent="0.25">
      <c r="A259" s="68">
        <v>6400</v>
      </c>
      <c r="B259" s="182" t="s">
        <v>276</v>
      </c>
      <c r="C259" s="69">
        <f t="shared" si="288"/>
        <v>361895</v>
      </c>
      <c r="D259" s="183">
        <f>SUM(D260,D264)</f>
        <v>381041</v>
      </c>
      <c r="E259" s="184">
        <f t="shared" ref="E259:O259" si="341">SUM(E260,E264)</f>
        <v>-19146</v>
      </c>
      <c r="F259" s="72">
        <f t="shared" si="341"/>
        <v>361895</v>
      </c>
      <c r="G259" s="183">
        <f t="shared" si="341"/>
        <v>0</v>
      </c>
      <c r="H259" s="184">
        <f t="shared" si="341"/>
        <v>0</v>
      </c>
      <c r="I259" s="72">
        <f t="shared" si="341"/>
        <v>0</v>
      </c>
      <c r="J259" s="316">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319">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30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30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303"/>
      <c r="K263" s="54"/>
      <c r="L263" s="55">
        <f t="shared" si="345"/>
        <v>0</v>
      </c>
      <c r="M263" s="53"/>
      <c r="N263" s="54"/>
      <c r="O263" s="55">
        <f t="shared" si="346"/>
        <v>0</v>
      </c>
      <c r="P263" s="57"/>
    </row>
    <row r="264" spans="1:16" ht="51" customHeight="1" x14ac:dyDescent="0.25">
      <c r="A264" s="188">
        <v>6420</v>
      </c>
      <c r="B264" s="88" t="s">
        <v>281</v>
      </c>
      <c r="C264" s="89">
        <f t="shared" si="288"/>
        <v>361895</v>
      </c>
      <c r="D264" s="189">
        <f>SUM(D265:D268)</f>
        <v>381041</v>
      </c>
      <c r="E264" s="190">
        <f t="shared" ref="E264:F264" si="347">SUM(E265:E268)</f>
        <v>-19146</v>
      </c>
      <c r="F264" s="55">
        <f t="shared" si="347"/>
        <v>361895</v>
      </c>
      <c r="G264" s="189">
        <f>SUM(G265:G268)</f>
        <v>0</v>
      </c>
      <c r="H264" s="190">
        <f t="shared" ref="H264:I264" si="348">SUM(H265:H268)</f>
        <v>0</v>
      </c>
      <c r="I264" s="55">
        <f t="shared" si="348"/>
        <v>0</v>
      </c>
      <c r="J264" s="318">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30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303"/>
      <c r="K266" s="54"/>
      <c r="L266" s="55">
        <f t="shared" si="353"/>
        <v>0</v>
      </c>
      <c r="M266" s="53"/>
      <c r="N266" s="54"/>
      <c r="O266" s="55">
        <f t="shared" si="354"/>
        <v>0</v>
      </c>
      <c r="P266" s="57"/>
    </row>
    <row r="267" spans="1:16" ht="18" customHeight="1" x14ac:dyDescent="0.25">
      <c r="A267" s="51">
        <v>6423</v>
      </c>
      <c r="B267" s="88" t="s">
        <v>284</v>
      </c>
      <c r="C267" s="89">
        <f t="shared" si="288"/>
        <v>361895</v>
      </c>
      <c r="D267" s="194">
        <v>381041</v>
      </c>
      <c r="E267" s="195">
        <v>-19146</v>
      </c>
      <c r="F267" s="55">
        <f t="shared" si="351"/>
        <v>361895</v>
      </c>
      <c r="G267" s="53"/>
      <c r="H267" s="54"/>
      <c r="I267" s="55">
        <f t="shared" si="352"/>
        <v>0</v>
      </c>
      <c r="J267" s="303"/>
      <c r="K267" s="54"/>
      <c r="L267" s="55">
        <f t="shared" si="353"/>
        <v>0</v>
      </c>
      <c r="M267" s="53"/>
      <c r="N267" s="54"/>
      <c r="O267" s="55">
        <f t="shared" si="354"/>
        <v>0</v>
      </c>
      <c r="P267" s="57" t="s">
        <v>437</v>
      </c>
    </row>
    <row r="268" spans="1:16" ht="36" hidden="1" customHeight="1" x14ac:dyDescent="0.25">
      <c r="A268" s="51">
        <v>6424</v>
      </c>
      <c r="B268" s="88" t="s">
        <v>285</v>
      </c>
      <c r="C268" s="89">
        <f t="shared" si="288"/>
        <v>0</v>
      </c>
      <c r="D268" s="194"/>
      <c r="E268" s="195"/>
      <c r="F268" s="55">
        <f t="shared" si="351"/>
        <v>0</v>
      </c>
      <c r="G268" s="53"/>
      <c r="H268" s="54"/>
      <c r="I268" s="55">
        <f t="shared" si="352"/>
        <v>0</v>
      </c>
      <c r="J268" s="303"/>
      <c r="K268" s="54"/>
      <c r="L268" s="55">
        <f t="shared" si="353"/>
        <v>0</v>
      </c>
      <c r="M268" s="53"/>
      <c r="N268" s="54"/>
      <c r="O268" s="55">
        <f t="shared" si="354"/>
        <v>0</v>
      </c>
      <c r="P268" s="57"/>
    </row>
    <row r="269" spans="1:16" ht="42.75" customHeight="1" x14ac:dyDescent="0.25">
      <c r="A269" s="227">
        <v>7000</v>
      </c>
      <c r="B269" s="227" t="s">
        <v>286</v>
      </c>
      <c r="C269" s="228">
        <f t="shared" si="288"/>
        <v>12951</v>
      </c>
      <c r="D269" s="229">
        <f>SUM(D270,D281)</f>
        <v>12951</v>
      </c>
      <c r="E269" s="230">
        <f t="shared" ref="E269:F269" si="355">SUM(E270,E281)</f>
        <v>0</v>
      </c>
      <c r="F269" s="231">
        <f t="shared" si="355"/>
        <v>12951</v>
      </c>
      <c r="G269" s="229">
        <f>SUM(G270,G281)</f>
        <v>0</v>
      </c>
      <c r="H269" s="230">
        <f t="shared" ref="H269:I269" si="356">SUM(H270,H281)</f>
        <v>0</v>
      </c>
      <c r="I269" s="231">
        <f t="shared" si="356"/>
        <v>0</v>
      </c>
      <c r="J269" s="323">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8.5" customHeight="1" x14ac:dyDescent="0.25">
      <c r="A270" s="68">
        <v>7200</v>
      </c>
      <c r="B270" s="182" t="s">
        <v>287</v>
      </c>
      <c r="C270" s="69">
        <f t="shared" si="288"/>
        <v>12951</v>
      </c>
      <c r="D270" s="183">
        <f>SUM(D271,D272,D275,D276,D280)</f>
        <v>12951</v>
      </c>
      <c r="E270" s="184">
        <f t="shared" ref="E270:F270" si="359">SUM(E271,E272,E275,E276,E280)</f>
        <v>0</v>
      </c>
      <c r="F270" s="72">
        <f t="shared" si="359"/>
        <v>12951</v>
      </c>
      <c r="G270" s="183">
        <f>SUM(G271,G272,G275,G276,G280)</f>
        <v>0</v>
      </c>
      <c r="H270" s="184">
        <f t="shared" ref="H270:I270" si="360">SUM(H271,H272,H275,H276,H280)</f>
        <v>0</v>
      </c>
      <c r="I270" s="72">
        <f t="shared" si="360"/>
        <v>0</v>
      </c>
      <c r="J270" s="316">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302"/>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318">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30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30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303"/>
      <c r="K275" s="54"/>
      <c r="L275" s="55">
        <f t="shared" si="369"/>
        <v>0</v>
      </c>
      <c r="M275" s="53"/>
      <c r="N275" s="54"/>
      <c r="O275" s="55">
        <f t="shared" si="370"/>
        <v>0</v>
      </c>
      <c r="P275" s="57"/>
    </row>
    <row r="276" spans="1:16" ht="27" customHeight="1" x14ac:dyDescent="0.25">
      <c r="A276" s="188">
        <v>7240</v>
      </c>
      <c r="B276" s="88" t="s">
        <v>293</v>
      </c>
      <c r="C276" s="89">
        <f t="shared" ref="C276:C301" si="371">F276+I276+L276+O276</f>
        <v>12951</v>
      </c>
      <c r="D276" s="189">
        <f t="shared" ref="D276:O276" si="372">SUM(D277:D279)</f>
        <v>12951</v>
      </c>
      <c r="E276" s="190">
        <f t="shared" si="372"/>
        <v>0</v>
      </c>
      <c r="F276" s="55">
        <f t="shared" si="372"/>
        <v>12951</v>
      </c>
      <c r="G276" s="189">
        <f t="shared" si="372"/>
        <v>0</v>
      </c>
      <c r="H276" s="190">
        <f t="shared" si="372"/>
        <v>0</v>
      </c>
      <c r="I276" s="55">
        <f t="shared" si="372"/>
        <v>0</v>
      </c>
      <c r="J276" s="318">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30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303"/>
      <c r="K278" s="54"/>
      <c r="L278" s="55">
        <f t="shared" si="376"/>
        <v>0</v>
      </c>
      <c r="M278" s="53"/>
      <c r="N278" s="54"/>
      <c r="O278" s="55">
        <f t="shared" si="377"/>
        <v>0</v>
      </c>
      <c r="P278" s="57"/>
    </row>
    <row r="279" spans="1:16" ht="36" customHeight="1" x14ac:dyDescent="0.25">
      <c r="A279" s="51">
        <v>7247</v>
      </c>
      <c r="B279" s="88" t="s">
        <v>296</v>
      </c>
      <c r="C279" s="89">
        <f t="shared" si="371"/>
        <v>12951</v>
      </c>
      <c r="D279" s="194">
        <v>12951</v>
      </c>
      <c r="E279" s="195"/>
      <c r="F279" s="55">
        <f t="shared" si="374"/>
        <v>12951</v>
      </c>
      <c r="G279" s="53"/>
      <c r="H279" s="54"/>
      <c r="I279" s="55">
        <f t="shared" si="375"/>
        <v>0</v>
      </c>
      <c r="J279" s="30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302"/>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32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307"/>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325">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317">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312"/>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318">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30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302"/>
      <c r="K288" s="47"/>
      <c r="L288" s="133">
        <f t="shared" si="387"/>
        <v>0</v>
      </c>
      <c r="M288" s="46"/>
      <c r="N288" s="47"/>
      <c r="O288" s="133">
        <f t="shared" si="388"/>
        <v>0</v>
      </c>
      <c r="P288" s="49"/>
    </row>
    <row r="289" spans="1:16" ht="12.75" thickBot="1" x14ac:dyDescent="0.3">
      <c r="A289" s="249"/>
      <c r="B289" s="249" t="s">
        <v>308</v>
      </c>
      <c r="C289" s="250">
        <f t="shared" si="371"/>
        <v>446624</v>
      </c>
      <c r="D289" s="251">
        <f t="shared" ref="D289:O289" si="389">SUM(D286,D269,D230,D195,D187,D173,D75,D53,D283)</f>
        <v>462492</v>
      </c>
      <c r="E289" s="252">
        <f t="shared" si="389"/>
        <v>-18146</v>
      </c>
      <c r="F289" s="253">
        <f t="shared" si="389"/>
        <v>444346</v>
      </c>
      <c r="G289" s="251">
        <f t="shared" si="389"/>
        <v>0</v>
      </c>
      <c r="H289" s="252">
        <f t="shared" si="389"/>
        <v>0</v>
      </c>
      <c r="I289" s="253">
        <f t="shared" si="389"/>
        <v>0</v>
      </c>
      <c r="J289" s="326">
        <f t="shared" si="389"/>
        <v>2278</v>
      </c>
      <c r="K289" s="252">
        <f t="shared" si="389"/>
        <v>0</v>
      </c>
      <c r="L289" s="253">
        <f t="shared" si="389"/>
        <v>2278</v>
      </c>
      <c r="M289" s="251">
        <f t="shared" si="389"/>
        <v>0</v>
      </c>
      <c r="N289" s="252">
        <f t="shared" si="389"/>
        <v>0</v>
      </c>
      <c r="O289" s="253">
        <f t="shared" si="389"/>
        <v>0</v>
      </c>
      <c r="P289" s="254"/>
    </row>
    <row r="290" spans="1:16" s="28" customFormat="1" ht="13.5" thickTop="1" thickBot="1" x14ac:dyDescent="0.3">
      <c r="A290" s="1945" t="s">
        <v>309</v>
      </c>
      <c r="B290" s="1946"/>
      <c r="C290" s="255">
        <f t="shared" si="371"/>
        <v>-142</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327">
        <f>(J26+J43)-J51</f>
        <v>-142</v>
      </c>
      <c r="K290" s="257">
        <f t="shared" ref="K290:L290" si="392">(K26+K43)-K51</f>
        <v>0</v>
      </c>
      <c r="L290" s="258">
        <f t="shared" si="392"/>
        <v>-142</v>
      </c>
      <c r="M290" s="256">
        <f>M45-M51</f>
        <v>0</v>
      </c>
      <c r="N290" s="257">
        <f t="shared" ref="N290:O290" si="393">N45-N51</f>
        <v>0</v>
      </c>
      <c r="O290" s="258">
        <f t="shared" si="393"/>
        <v>0</v>
      </c>
      <c r="P290" s="259"/>
    </row>
    <row r="291" spans="1:16" s="28" customFormat="1" ht="12.75" thickTop="1" x14ac:dyDescent="0.25">
      <c r="A291" s="1947" t="s">
        <v>310</v>
      </c>
      <c r="B291" s="1948"/>
      <c r="C291" s="260">
        <f t="shared" si="371"/>
        <v>142</v>
      </c>
      <c r="D291" s="261">
        <f t="shared" ref="D291:O291" si="394">SUM(D292,D293)-D300+D301</f>
        <v>0</v>
      </c>
      <c r="E291" s="262">
        <f t="shared" si="394"/>
        <v>0</v>
      </c>
      <c r="F291" s="263">
        <f t="shared" si="394"/>
        <v>0</v>
      </c>
      <c r="G291" s="261">
        <f t="shared" si="394"/>
        <v>0</v>
      </c>
      <c r="H291" s="262">
        <f t="shared" si="394"/>
        <v>0</v>
      </c>
      <c r="I291" s="263">
        <f t="shared" si="394"/>
        <v>0</v>
      </c>
      <c r="J291" s="323">
        <f t="shared" si="394"/>
        <v>142</v>
      </c>
      <c r="K291" s="262">
        <f t="shared" si="394"/>
        <v>0</v>
      </c>
      <c r="L291" s="263">
        <f t="shared" si="394"/>
        <v>142</v>
      </c>
      <c r="M291" s="261">
        <f t="shared" si="394"/>
        <v>0</v>
      </c>
      <c r="N291" s="262">
        <f t="shared" si="394"/>
        <v>0</v>
      </c>
      <c r="O291" s="263">
        <f t="shared" si="394"/>
        <v>0</v>
      </c>
      <c r="P291" s="264"/>
    </row>
    <row r="292" spans="1:16" s="28" customFormat="1" ht="12.75" thickBot="1" x14ac:dyDescent="0.3">
      <c r="A292" s="156" t="s">
        <v>311</v>
      </c>
      <c r="B292" s="156" t="s">
        <v>312</v>
      </c>
      <c r="C292" s="157">
        <f t="shared" si="371"/>
        <v>142</v>
      </c>
      <c r="D292" s="158">
        <f t="shared" ref="D292:O292" si="395">D21-D286</f>
        <v>0</v>
      </c>
      <c r="E292" s="159">
        <f t="shared" si="395"/>
        <v>0</v>
      </c>
      <c r="F292" s="160">
        <f t="shared" si="395"/>
        <v>0</v>
      </c>
      <c r="G292" s="158">
        <f t="shared" si="395"/>
        <v>0</v>
      </c>
      <c r="H292" s="159">
        <f t="shared" si="395"/>
        <v>0</v>
      </c>
      <c r="I292" s="160">
        <f t="shared" si="395"/>
        <v>0</v>
      </c>
      <c r="J292" s="328">
        <f t="shared" si="395"/>
        <v>142</v>
      </c>
      <c r="K292" s="159">
        <f t="shared" si="395"/>
        <v>0</v>
      </c>
      <c r="L292" s="160">
        <f t="shared" si="395"/>
        <v>142</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323">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307"/>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30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30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30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30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321"/>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329"/>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330"/>
      <c r="K301" s="205"/>
      <c r="L301" s="72">
        <f t="shared" si="399"/>
        <v>0</v>
      </c>
      <c r="M301" s="204"/>
      <c r="N301" s="205"/>
      <c r="O301" s="72">
        <f t="shared" si="400"/>
        <v>0</v>
      </c>
      <c r="P301" s="76"/>
    </row>
    <row r="302" spans="1:16" ht="12.75" thickTop="1" x14ac:dyDescent="0.25">
      <c r="A302" s="4"/>
      <c r="B302" s="4"/>
      <c r="C302" s="4"/>
      <c r="D302" s="4"/>
      <c r="E302" s="4"/>
      <c r="F302" s="4"/>
      <c r="G302" s="4"/>
      <c r="H302" s="4"/>
      <c r="I302" s="4"/>
      <c r="K302" s="4"/>
      <c r="L302" s="4"/>
      <c r="M302" s="4"/>
    </row>
    <row r="303" spans="1:16" x14ac:dyDescent="0.25">
      <c r="A303" s="4"/>
      <c r="B303" s="4"/>
      <c r="C303" s="4"/>
      <c r="D303" s="4"/>
      <c r="E303" s="4"/>
      <c r="F303" s="4"/>
      <c r="G303" s="4"/>
      <c r="H303" s="4"/>
      <c r="I303" s="4"/>
      <c r="K303" s="4"/>
      <c r="L303" s="4"/>
      <c r="M303" s="4"/>
    </row>
    <row r="304" spans="1:16" x14ac:dyDescent="0.25">
      <c r="A304" s="4"/>
      <c r="B304" s="4"/>
      <c r="C304" s="4"/>
      <c r="D304" s="4"/>
      <c r="E304" s="4"/>
      <c r="F304" s="4"/>
      <c r="G304" s="4"/>
      <c r="H304" s="4"/>
      <c r="I304" s="4"/>
      <c r="K304" s="4"/>
      <c r="L304" s="4"/>
      <c r="M304" s="4"/>
    </row>
    <row r="305" spans="1:13" x14ac:dyDescent="0.25">
      <c r="A305" s="4"/>
      <c r="B305" s="4"/>
      <c r="C305" s="4"/>
      <c r="D305" s="4"/>
      <c r="E305" s="4"/>
      <c r="F305" s="4"/>
      <c r="G305" s="4"/>
      <c r="H305" s="4"/>
      <c r="I305" s="4"/>
      <c r="K305" s="4"/>
      <c r="L305" s="4"/>
      <c r="M305" s="4"/>
    </row>
    <row r="306" spans="1:13" x14ac:dyDescent="0.25">
      <c r="A306" s="4"/>
      <c r="B306" s="4"/>
      <c r="C306" s="4"/>
      <c r="D306" s="4"/>
      <c r="E306" s="4"/>
      <c r="F306" s="4"/>
      <c r="G306" s="4"/>
      <c r="H306" s="4"/>
      <c r="I306" s="4"/>
      <c r="K306" s="4"/>
      <c r="L306" s="4"/>
      <c r="M306" s="4"/>
    </row>
    <row r="307" spans="1:13" x14ac:dyDescent="0.25">
      <c r="A307" s="4"/>
      <c r="B307" s="4"/>
      <c r="C307" s="4"/>
      <c r="D307" s="4"/>
      <c r="E307" s="4"/>
      <c r="F307" s="4"/>
      <c r="G307" s="4"/>
      <c r="H307" s="4"/>
      <c r="I307" s="4"/>
      <c r="K307" s="4"/>
      <c r="L307" s="4"/>
      <c r="M307" s="4"/>
    </row>
    <row r="308" spans="1:13" x14ac:dyDescent="0.25">
      <c r="A308" s="4"/>
      <c r="B308" s="4"/>
      <c r="C308" s="4"/>
      <c r="D308" s="4"/>
      <c r="E308" s="4"/>
      <c r="F308" s="4"/>
      <c r="G308" s="4"/>
      <c r="H308" s="4"/>
      <c r="I308" s="4"/>
      <c r="K308" s="4"/>
      <c r="L308" s="4"/>
      <c r="M308" s="4"/>
    </row>
    <row r="309" spans="1:13" x14ac:dyDescent="0.25">
      <c r="A309" s="4"/>
      <c r="B309" s="4"/>
      <c r="C309" s="4"/>
      <c r="D309" s="4"/>
      <c r="E309" s="4"/>
      <c r="F309" s="4"/>
      <c r="G309" s="4"/>
      <c r="H309" s="4"/>
      <c r="I309" s="4"/>
      <c r="K309" s="4"/>
      <c r="L309" s="4"/>
      <c r="M309" s="4"/>
    </row>
    <row r="310" spans="1:13" x14ac:dyDescent="0.25">
      <c r="A310" s="4"/>
      <c r="B310" s="4"/>
      <c r="C310" s="4"/>
      <c r="D310" s="4"/>
      <c r="E310" s="4"/>
      <c r="F310" s="4"/>
      <c r="G310" s="4"/>
      <c r="H310" s="4"/>
      <c r="I310" s="4"/>
      <c r="K310" s="4"/>
      <c r="L310" s="4"/>
      <c r="M310" s="4"/>
    </row>
    <row r="311" spans="1:13" x14ac:dyDescent="0.25">
      <c r="A311" s="4"/>
      <c r="B311" s="4"/>
      <c r="C311" s="4"/>
      <c r="D311" s="4"/>
      <c r="E311" s="4"/>
      <c r="F311" s="4"/>
      <c r="G311" s="4"/>
      <c r="H311" s="4"/>
      <c r="I311" s="4"/>
      <c r="K311" s="4"/>
      <c r="L311" s="4"/>
      <c r="M311" s="4"/>
    </row>
    <row r="312" spans="1:13" x14ac:dyDescent="0.25">
      <c r="A312" s="4"/>
      <c r="B312" s="4"/>
      <c r="C312" s="4"/>
      <c r="D312" s="4"/>
      <c r="E312" s="4"/>
      <c r="F312" s="4"/>
      <c r="G312" s="4"/>
      <c r="H312" s="4"/>
      <c r="I312" s="4"/>
      <c r="K312" s="4"/>
      <c r="L312" s="4"/>
      <c r="M312" s="4"/>
    </row>
    <row r="313" spans="1:13" x14ac:dyDescent="0.25">
      <c r="A313" s="4"/>
      <c r="B313" s="4"/>
      <c r="C313" s="4"/>
      <c r="D313" s="4"/>
      <c r="E313" s="4"/>
      <c r="F313" s="4"/>
      <c r="G313" s="4"/>
      <c r="H313" s="4"/>
      <c r="I313" s="4"/>
      <c r="K313" s="4"/>
      <c r="L313" s="4"/>
      <c r="M313" s="4"/>
    </row>
  </sheetData>
  <sheetProtection algorithmName="SHA-512" hashValue="ZlLWI2wYEYJa6fdkStNFuVcFPJiLP42+UyCJgtHeaVIBm23Rl6L9jWdoFUa6d6H9W1kB9wkt0ABUaNKkPFwaMQ==" saltValue="lMurqNnWClUtSxcmQ4fuqQ==" spinCount="100000" sheet="1" objects="1" scenarios="1" formatCells="0" formatColumns="0" formatRows="0" deleteColumns="0"/>
  <autoFilter ref="A18:P301">
    <filterColumn colId="2">
      <filters>
        <filter val="1 605"/>
        <filter val="1 993"/>
        <filter val="10 500"/>
        <filter val="12 951"/>
        <filter val="142"/>
        <filter val="-142"/>
        <filter val="2 136"/>
        <filter val="2 180"/>
        <filter val="2 765"/>
        <filter val="25 020"/>
        <filter val="27 000"/>
        <filter val="361 895"/>
        <filter val="388"/>
        <filter val="4 500"/>
        <filter val="4 758"/>
        <filter val="40 020"/>
        <filter val="428 915"/>
        <filter val="441 866"/>
        <filter val="444 346"/>
        <filter val="446 624"/>
        <filter val="585"/>
        <filter val="67 020"/>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58.pielikums Jūrmalas pilsētas domes
2019.gada 29.augusta saistošajiem noteikumiem Nr.31
(protokols Nr.12, 20.punkts)
 </firstHeader>
    <firstFooter>&amp;L&amp;9&amp;D; &amp;T&amp;R&amp;9&amp;P (&amp;N)</first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T5" sqref="T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480</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476</v>
      </c>
      <c r="D6" s="1972"/>
      <c r="E6" s="1972"/>
      <c r="F6" s="1972"/>
      <c r="G6" s="1972"/>
      <c r="H6" s="1972"/>
      <c r="I6" s="1972"/>
      <c r="J6" s="1972"/>
      <c r="K6" s="1972"/>
      <c r="L6" s="1972"/>
      <c r="M6" s="1972"/>
      <c r="N6" s="1972"/>
      <c r="O6" s="1972"/>
      <c r="P6" s="1972"/>
      <c r="Q6" s="276"/>
    </row>
    <row r="7" spans="1:17" x14ac:dyDescent="0.25">
      <c r="A7" s="7" t="s">
        <v>10</v>
      </c>
      <c r="B7" s="8"/>
      <c r="C7" s="1977" t="s">
        <v>477</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293874</v>
      </c>
      <c r="D20" s="32">
        <f>SUM(D21,D24,D25,D41,D43)</f>
        <v>283800</v>
      </c>
      <c r="E20" s="33">
        <f t="shared" ref="E20:F20" si="1">SUM(E21,E24,E25,E41,E43)</f>
        <v>10074</v>
      </c>
      <c r="F20" s="34">
        <f t="shared" si="1"/>
        <v>293874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293874</v>
      </c>
      <c r="D24" s="60">
        <f>D50</f>
        <v>283800</v>
      </c>
      <c r="E24" s="60">
        <f>E50</f>
        <v>10074</v>
      </c>
      <c r="F24" s="62">
        <f t="shared" si="9"/>
        <v>293874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293874</v>
      </c>
      <c r="D50" s="158">
        <f>SUM(D51,D286)</f>
        <v>283800</v>
      </c>
      <c r="E50" s="159">
        <f t="shared" ref="E50:F50" si="26">SUM(E51,E286)</f>
        <v>10074</v>
      </c>
      <c r="F50" s="160">
        <f t="shared" si="26"/>
        <v>293874</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293874</v>
      </c>
      <c r="D51" s="164">
        <f>SUM(D52,D194)</f>
        <v>283800</v>
      </c>
      <c r="E51" s="165">
        <f t="shared" ref="E51:F51" si="30">SUM(E52,E194)</f>
        <v>10074</v>
      </c>
      <c r="F51" s="166">
        <f t="shared" si="30"/>
        <v>293874</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hidden="1" x14ac:dyDescent="0.25">
      <c r="A52" s="24"/>
      <c r="B52" s="22" t="s">
        <v>71</v>
      </c>
      <c r="C52" s="171">
        <f t="shared" si="0"/>
        <v>0</v>
      </c>
      <c r="D52" s="172">
        <f>SUM(D53,D75,D173,D187)</f>
        <v>0</v>
      </c>
      <c r="E52" s="173">
        <f t="shared" ref="E52:F52" si="34">SUM(E53,E75,E173,E187)</f>
        <v>0</v>
      </c>
      <c r="F52" s="174">
        <f t="shared" si="34"/>
        <v>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278">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293874</v>
      </c>
      <c r="D194" s="172">
        <f t="shared" ref="D194:O194" si="259">SUM(D195,D230,D269,D283)</f>
        <v>283800</v>
      </c>
      <c r="E194" s="173">
        <f t="shared" si="259"/>
        <v>10074</v>
      </c>
      <c r="F194" s="174">
        <f t="shared" si="259"/>
        <v>293874</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293874</v>
      </c>
      <c r="D230" s="178">
        <f>D231+D251+D259</f>
        <v>283800</v>
      </c>
      <c r="E230" s="179">
        <f t="shared" ref="E230:F230" si="305">E231+E251+E259</f>
        <v>10074</v>
      </c>
      <c r="F230" s="180">
        <f t="shared" si="305"/>
        <v>293874</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customHeight="1" x14ac:dyDescent="0.25">
      <c r="A231" s="216">
        <v>6200</v>
      </c>
      <c r="B231" s="207" t="s">
        <v>248</v>
      </c>
      <c r="C231" s="217">
        <f t="shared" si="288"/>
        <v>18900</v>
      </c>
      <c r="D231" s="218">
        <f>SUM(D232,D233,D235,D238,D244,D245,D246)</f>
        <v>17400</v>
      </c>
      <c r="E231" s="219">
        <f t="shared" ref="E231:F231" si="309">SUM(E232,E233,E235,E238,E244,E245,E246)</f>
        <v>1500</v>
      </c>
      <c r="F231" s="220">
        <f t="shared" si="309"/>
        <v>18900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customHeight="1" x14ac:dyDescent="0.25">
      <c r="A238" s="188">
        <v>6250</v>
      </c>
      <c r="B238" s="88" t="s">
        <v>255</v>
      </c>
      <c r="C238" s="89">
        <f t="shared" si="288"/>
        <v>15400</v>
      </c>
      <c r="D238" s="189">
        <f>SUM(D239:D243)</f>
        <v>15400</v>
      </c>
      <c r="E238" s="190">
        <f t="shared" ref="E238:F238" si="322">SUM(E239:E243)</f>
        <v>0</v>
      </c>
      <c r="F238" s="55">
        <f t="shared" si="322"/>
        <v>15400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customHeight="1" x14ac:dyDescent="0.25">
      <c r="A242" s="51">
        <v>6255</v>
      </c>
      <c r="B242" s="88" t="s">
        <v>259</v>
      </c>
      <c r="C242" s="89">
        <f t="shared" si="288"/>
        <v>15400</v>
      </c>
      <c r="D242" s="194">
        <v>15400</v>
      </c>
      <c r="E242" s="195"/>
      <c r="F242" s="55">
        <f t="shared" si="326"/>
        <v>15400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5" customHeight="1" x14ac:dyDescent="0.25">
      <c r="A245" s="188">
        <v>6270</v>
      </c>
      <c r="B245" s="88" t="s">
        <v>262</v>
      </c>
      <c r="C245" s="89">
        <f t="shared" si="288"/>
        <v>3500</v>
      </c>
      <c r="D245" s="194">
        <v>2000</v>
      </c>
      <c r="E245" s="195">
        <v>1500</v>
      </c>
      <c r="F245" s="55">
        <f t="shared" si="326"/>
        <v>3500</v>
      </c>
      <c r="G245" s="53"/>
      <c r="H245" s="54"/>
      <c r="I245" s="55">
        <f t="shared" si="327"/>
        <v>0</v>
      </c>
      <c r="J245" s="53"/>
      <c r="K245" s="54"/>
      <c r="L245" s="55">
        <f t="shared" si="328"/>
        <v>0</v>
      </c>
      <c r="M245" s="53"/>
      <c r="N245" s="54"/>
      <c r="O245" s="55">
        <f t="shared" si="329"/>
        <v>0</v>
      </c>
      <c r="P245" s="57" t="s">
        <v>478</v>
      </c>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x14ac:dyDescent="0.25">
      <c r="A251" s="68">
        <v>6300</v>
      </c>
      <c r="B251" s="182" t="s">
        <v>268</v>
      </c>
      <c r="C251" s="69">
        <f t="shared" si="288"/>
        <v>252974</v>
      </c>
      <c r="D251" s="183">
        <f>SUM(D252,D257,D258)</f>
        <v>244400</v>
      </c>
      <c r="E251" s="184">
        <f t="shared" ref="E251:O251" si="335">SUM(E252,E257,E258)</f>
        <v>8574</v>
      </c>
      <c r="F251" s="72">
        <f t="shared" si="335"/>
        <v>252974</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x14ac:dyDescent="0.25">
      <c r="A252" s="278">
        <v>6320</v>
      </c>
      <c r="B252" s="81" t="s">
        <v>269</v>
      </c>
      <c r="C252" s="208">
        <f t="shared" si="288"/>
        <v>1000</v>
      </c>
      <c r="D252" s="192">
        <f>SUM(D253:D256)</f>
        <v>1000</v>
      </c>
      <c r="E252" s="193">
        <f t="shared" ref="E252:O252" si="336">SUM(E253:E256)</f>
        <v>0</v>
      </c>
      <c r="F252" s="133">
        <f t="shared" si="336"/>
        <v>1000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customHeight="1" x14ac:dyDescent="0.25">
      <c r="A255" s="51">
        <v>6324</v>
      </c>
      <c r="B255" s="88" t="s">
        <v>272</v>
      </c>
      <c r="C255" s="89">
        <f t="shared" si="288"/>
        <v>1000</v>
      </c>
      <c r="D255" s="194">
        <v>1000</v>
      </c>
      <c r="E255" s="195"/>
      <c r="F255" s="55">
        <f t="shared" si="337"/>
        <v>1000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customHeight="1" x14ac:dyDescent="0.25">
      <c r="A257" s="225">
        <v>6330</v>
      </c>
      <c r="B257" s="226" t="s">
        <v>274</v>
      </c>
      <c r="C257" s="208">
        <f t="shared" si="288"/>
        <v>47774</v>
      </c>
      <c r="D257" s="210">
        <v>39200</v>
      </c>
      <c r="E257" s="211">
        <v>8574</v>
      </c>
      <c r="F257" s="212">
        <f t="shared" si="337"/>
        <v>47774</v>
      </c>
      <c r="G257" s="213"/>
      <c r="H257" s="214"/>
      <c r="I257" s="212">
        <f t="shared" si="338"/>
        <v>0</v>
      </c>
      <c r="J257" s="213"/>
      <c r="K257" s="214"/>
      <c r="L257" s="212">
        <f t="shared" si="339"/>
        <v>0</v>
      </c>
      <c r="M257" s="213"/>
      <c r="N257" s="214"/>
      <c r="O257" s="212">
        <f t="shared" si="340"/>
        <v>0</v>
      </c>
      <c r="P257" s="215" t="s">
        <v>479</v>
      </c>
    </row>
    <row r="258" spans="1:16" ht="12" customHeight="1" x14ac:dyDescent="0.25">
      <c r="A258" s="188">
        <v>6360</v>
      </c>
      <c r="B258" s="88" t="s">
        <v>275</v>
      </c>
      <c r="C258" s="89">
        <f t="shared" si="288"/>
        <v>204200</v>
      </c>
      <c r="D258" s="194">
        <v>204200</v>
      </c>
      <c r="E258" s="195"/>
      <c r="F258" s="55">
        <f t="shared" si="337"/>
        <v>204200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22000</v>
      </c>
      <c r="D259" s="183">
        <f>SUM(D260,D264)</f>
        <v>22000</v>
      </c>
      <c r="E259" s="184">
        <f t="shared" ref="E259:O259" si="341">SUM(E260,E264)</f>
        <v>0</v>
      </c>
      <c r="F259" s="72">
        <f t="shared" si="341"/>
        <v>22000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22000</v>
      </c>
      <c r="D264" s="189">
        <f>SUM(D265:D268)</f>
        <v>22000</v>
      </c>
      <c r="E264" s="190">
        <f t="shared" ref="E264:F264" si="347">SUM(E265:E268)</f>
        <v>0</v>
      </c>
      <c r="F264" s="55">
        <f t="shared" si="347"/>
        <v>22000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customHeight="1" x14ac:dyDescent="0.25">
      <c r="A267" s="51">
        <v>6423</v>
      </c>
      <c r="B267" s="88" t="s">
        <v>284</v>
      </c>
      <c r="C267" s="89">
        <f t="shared" si="288"/>
        <v>22000</v>
      </c>
      <c r="D267" s="194">
        <v>22000</v>
      </c>
      <c r="E267" s="195"/>
      <c r="F267" s="55">
        <f t="shared" si="351"/>
        <v>22000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293874</v>
      </c>
      <c r="D289" s="251">
        <f t="shared" ref="D289:O289" si="389">SUM(D286,D269,D230,D195,D187,D173,D75,D53,D283)</f>
        <v>283800</v>
      </c>
      <c r="E289" s="252">
        <f t="shared" si="389"/>
        <v>10074</v>
      </c>
      <c r="F289" s="253">
        <f t="shared" si="389"/>
        <v>293874</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lbt1A212tE/kG8TeQHV1/dhvIT59cc95lfk9pD2hCZ8rvz/rBbbE9J9BcLKGls2EhGD0uP1hviSgub+qDV34fg==" saltValue="FA5IHSXzqwPSvhGWyIFIBg==" spinCount="100000" sheet="1" objects="1" scenarios="1" formatCells="0" formatColumns="0" formatRows="0" deleteColumns="0"/>
  <autoFilter ref="A18:P301">
    <filterColumn colId="2">
      <filters>
        <filter val="1 000"/>
        <filter val="15 400"/>
        <filter val="18 900"/>
        <filter val="204 200"/>
        <filter val="22 000"/>
        <filter val="252 974"/>
        <filter val="293 874"/>
        <filter val="3 500"/>
        <filter val="47 774"/>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59.pielikums Jūrmalas pilsētas domes
2019.gada 29.augusta saistošajiem noteikumiem Nr.31
(protokols Nr.12, 20.punkts)
 </firstHeader>
    <firstFooter>&amp;L&amp;9&amp;D; &amp;T&amp;R&amp;9&amp;P (&amp;N)</first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R7" sqref="R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483</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481</v>
      </c>
      <c r="D6" s="1972"/>
      <c r="E6" s="1972"/>
      <c r="F6" s="1972"/>
      <c r="G6" s="1972"/>
      <c r="H6" s="1972"/>
      <c r="I6" s="1972"/>
      <c r="J6" s="1972"/>
      <c r="K6" s="1972"/>
      <c r="L6" s="1972"/>
      <c r="M6" s="1972"/>
      <c r="N6" s="1972"/>
      <c r="O6" s="1972"/>
      <c r="P6" s="1972"/>
      <c r="Q6" s="276"/>
    </row>
    <row r="7" spans="1:17" ht="25.5" customHeight="1" x14ac:dyDescent="0.25">
      <c r="A7" s="7" t="s">
        <v>10</v>
      </c>
      <c r="B7" s="8"/>
      <c r="C7" s="1977" t="s">
        <v>709</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339337</v>
      </c>
      <c r="D20" s="32">
        <f>SUM(D21,D24,D25,D41,D43)</f>
        <v>341522</v>
      </c>
      <c r="E20" s="33">
        <f t="shared" ref="E20:F20" si="1">SUM(E21,E24,E25,E41,E43)</f>
        <v>-2185</v>
      </c>
      <c r="F20" s="34">
        <f t="shared" si="1"/>
        <v>339337</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339337</v>
      </c>
      <c r="D24" s="60">
        <f>D50</f>
        <v>341522</v>
      </c>
      <c r="E24" s="60">
        <f>E50</f>
        <v>-2185</v>
      </c>
      <c r="F24" s="62">
        <f t="shared" si="9"/>
        <v>339337</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339337</v>
      </c>
      <c r="D50" s="158">
        <f>SUM(D51,D286)</f>
        <v>341522</v>
      </c>
      <c r="E50" s="159">
        <f t="shared" ref="E50:F50" si="26">SUM(E51,E286)</f>
        <v>-2185</v>
      </c>
      <c r="F50" s="160">
        <f t="shared" si="26"/>
        <v>339337</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339337</v>
      </c>
      <c r="D51" s="164">
        <f>SUM(D52,D194)</f>
        <v>341522</v>
      </c>
      <c r="E51" s="165">
        <f t="shared" ref="E51:F51" si="30">SUM(E52,E194)</f>
        <v>-2185</v>
      </c>
      <c r="F51" s="166">
        <f t="shared" si="30"/>
        <v>339337</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hidden="1" x14ac:dyDescent="0.25">
      <c r="A52" s="24"/>
      <c r="B52" s="22" t="s">
        <v>71</v>
      </c>
      <c r="C52" s="171">
        <f t="shared" si="0"/>
        <v>0</v>
      </c>
      <c r="D52" s="172">
        <f>SUM(D53,D75,D173,D187)</f>
        <v>0</v>
      </c>
      <c r="E52" s="173">
        <f t="shared" ref="E52:F52" si="34">SUM(E53,E75,E173,E187)</f>
        <v>0</v>
      </c>
      <c r="F52" s="174">
        <f t="shared" si="34"/>
        <v>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278">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339337</v>
      </c>
      <c r="D194" s="172">
        <f t="shared" ref="D194:O194" si="259">SUM(D195,D230,D269,D283)</f>
        <v>341522</v>
      </c>
      <c r="E194" s="173">
        <f t="shared" si="259"/>
        <v>-2185</v>
      </c>
      <c r="F194" s="174">
        <f t="shared" si="259"/>
        <v>339337</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339337</v>
      </c>
      <c r="D230" s="178">
        <f>D231+D251+D259</f>
        <v>341522</v>
      </c>
      <c r="E230" s="179">
        <f t="shared" ref="E230:F230" si="305">E231+E251+E259</f>
        <v>-2185</v>
      </c>
      <c r="F230" s="180">
        <f t="shared" si="305"/>
        <v>339337</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339337</v>
      </c>
      <c r="D259" s="183">
        <f>SUM(D260,D264)</f>
        <v>341522</v>
      </c>
      <c r="E259" s="184">
        <f t="shared" ref="E259:O259" si="341">SUM(E260,E264)</f>
        <v>-2185</v>
      </c>
      <c r="F259" s="72">
        <f t="shared" si="341"/>
        <v>339337</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339337</v>
      </c>
      <c r="D264" s="189">
        <f>SUM(D265:D268)</f>
        <v>341522</v>
      </c>
      <c r="E264" s="190">
        <f t="shared" ref="E264:F264" si="347">SUM(E265:E268)</f>
        <v>-2185</v>
      </c>
      <c r="F264" s="55">
        <f t="shared" si="347"/>
        <v>339337</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21" customHeight="1" x14ac:dyDescent="0.25">
      <c r="A267" s="51">
        <v>6423</v>
      </c>
      <c r="B267" s="88" t="s">
        <v>284</v>
      </c>
      <c r="C267" s="89">
        <f t="shared" si="288"/>
        <v>339337</v>
      </c>
      <c r="D267" s="194">
        <v>341522</v>
      </c>
      <c r="E267" s="195">
        <v>-2185</v>
      </c>
      <c r="F267" s="55">
        <f t="shared" si="351"/>
        <v>339337</v>
      </c>
      <c r="G267" s="53"/>
      <c r="H267" s="54"/>
      <c r="I267" s="55">
        <f t="shared" si="352"/>
        <v>0</v>
      </c>
      <c r="J267" s="53"/>
      <c r="K267" s="54"/>
      <c r="L267" s="55">
        <f t="shared" si="353"/>
        <v>0</v>
      </c>
      <c r="M267" s="53"/>
      <c r="N267" s="54"/>
      <c r="O267" s="55">
        <f t="shared" si="354"/>
        <v>0</v>
      </c>
      <c r="P267" s="57" t="s">
        <v>482</v>
      </c>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339337</v>
      </c>
      <c r="D289" s="251">
        <f t="shared" ref="D289:O289" si="389">SUM(D286,D269,D230,D195,D187,D173,D75,D53,D283)</f>
        <v>341522</v>
      </c>
      <c r="E289" s="252">
        <f t="shared" si="389"/>
        <v>-2185</v>
      </c>
      <c r="F289" s="253">
        <f t="shared" si="389"/>
        <v>339337</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fH1GDLQxvFFPwoK/V9i88lwPun1jwNRojP3AO/MsEDbXZrL7TXxMD5x3pbpeyHEdM8X/+8tE7fcVw+BHeFExSA==" saltValue="ruAzWF28V36cXWmPho76tA==" spinCount="100000" sheet="1" objects="1" scenarios="1" formatCells="0" formatColumns="0" formatRows="0" deleteColumns="0"/>
  <autoFilter ref="A18:P301">
    <filterColumn colId="2">
      <filters>
        <filter val="339 337"/>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60.pielikums Jūrmalas pilsētas domes
2019.gada 29.augusta saistošajiem noteikumiem Nr.31
(protokols Nr.12, 20.punkts)
 </firstHeader>
    <firstFooter>&amp;L&amp;9&amp;D; &amp;T&amp;R&amp;9&amp;P (&amp;N)</first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4" sqref="U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486</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360</v>
      </c>
      <c r="D6" s="1972"/>
      <c r="E6" s="1972"/>
      <c r="F6" s="1972"/>
      <c r="G6" s="1972"/>
      <c r="H6" s="1972"/>
      <c r="I6" s="1972"/>
      <c r="J6" s="1972"/>
      <c r="K6" s="1972"/>
      <c r="L6" s="1972"/>
      <c r="M6" s="1972"/>
      <c r="N6" s="1972"/>
      <c r="O6" s="1972"/>
      <c r="P6" s="1972"/>
      <c r="Q6" s="276"/>
    </row>
    <row r="7" spans="1:17" ht="25.5" customHeight="1" x14ac:dyDescent="0.25">
      <c r="A7" s="7" t="s">
        <v>10</v>
      </c>
      <c r="B7" s="8"/>
      <c r="C7" s="1977" t="s">
        <v>484</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9" t="s">
        <v>426</v>
      </c>
      <c r="D10" s="1979"/>
      <c r="E10" s="1979"/>
      <c r="F10" s="1979"/>
      <c r="G10" s="1979"/>
      <c r="H10" s="1979"/>
      <c r="I10" s="1979"/>
      <c r="J10" s="1979"/>
      <c r="K10" s="1979"/>
      <c r="L10" s="1979"/>
      <c r="M10" s="1979"/>
      <c r="N10" s="1979"/>
      <c r="O10" s="1979"/>
      <c r="P10" s="1979"/>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605050</v>
      </c>
      <c r="D20" s="32">
        <f>SUM(D21,D24,D25,D41,D43)</f>
        <v>606562</v>
      </c>
      <c r="E20" s="33">
        <f t="shared" ref="E20:F20" si="1">SUM(E21,E24,E25,E41,E43)</f>
        <v>-3272</v>
      </c>
      <c r="F20" s="34">
        <f t="shared" si="1"/>
        <v>603290</v>
      </c>
      <c r="G20" s="32">
        <f>SUM(G21,G24,G43)</f>
        <v>1760</v>
      </c>
      <c r="H20" s="33">
        <f t="shared" ref="H20:I20" si="2">SUM(H21,H24,H43)</f>
        <v>0</v>
      </c>
      <c r="I20" s="34">
        <f t="shared" si="2"/>
        <v>1760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605050</v>
      </c>
      <c r="D24" s="60">
        <f>D50</f>
        <v>606562</v>
      </c>
      <c r="E24" s="60">
        <f>E50</f>
        <v>-3272</v>
      </c>
      <c r="F24" s="62">
        <f t="shared" si="9"/>
        <v>603290</v>
      </c>
      <c r="G24" s="60">
        <f>G50</f>
        <v>1760</v>
      </c>
      <c r="H24" s="60">
        <f>H50</f>
        <v>0</v>
      </c>
      <c r="I24" s="62">
        <f t="shared" si="10"/>
        <v>1760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605050</v>
      </c>
      <c r="D50" s="158">
        <f>SUM(D51,D286)</f>
        <v>606562</v>
      </c>
      <c r="E50" s="159">
        <f t="shared" ref="E50:F50" si="26">SUM(E51,E286)</f>
        <v>-3272</v>
      </c>
      <c r="F50" s="160">
        <f t="shared" si="26"/>
        <v>603290</v>
      </c>
      <c r="G50" s="158">
        <f>SUM(G51,G286)</f>
        <v>1760</v>
      </c>
      <c r="H50" s="159">
        <f>SUM(H51,H286)</f>
        <v>0</v>
      </c>
      <c r="I50" s="160">
        <f t="shared" ref="I50" si="27">SUM(I51,I286)</f>
        <v>1760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605050</v>
      </c>
      <c r="D51" s="164">
        <f>SUM(D52,D194)</f>
        <v>606562</v>
      </c>
      <c r="E51" s="165">
        <f t="shared" ref="E51:F51" si="30">SUM(E52,E194)</f>
        <v>-3272</v>
      </c>
      <c r="F51" s="166">
        <f t="shared" si="30"/>
        <v>603290</v>
      </c>
      <c r="G51" s="164">
        <f>SUM(G52,G194)</f>
        <v>1760</v>
      </c>
      <c r="H51" s="165">
        <f t="shared" ref="H51:I51" si="31">SUM(H52,H194)</f>
        <v>0</v>
      </c>
      <c r="I51" s="166">
        <f t="shared" si="31"/>
        <v>1760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1760</v>
      </c>
      <c r="D52" s="172">
        <f>SUM(D53,D75,D173,D187)</f>
        <v>0</v>
      </c>
      <c r="E52" s="173">
        <f t="shared" ref="E52:F52" si="34">SUM(E53,E75,E173,E187)</f>
        <v>0</v>
      </c>
      <c r="F52" s="174">
        <f t="shared" si="34"/>
        <v>0</v>
      </c>
      <c r="G52" s="172">
        <f>SUM(G53,G75,G173,G187)</f>
        <v>1760</v>
      </c>
      <c r="H52" s="173">
        <f t="shared" ref="H52:I52" si="35">SUM(H53,H75,H173,H187)</f>
        <v>0</v>
      </c>
      <c r="I52" s="174">
        <f t="shared" si="35"/>
        <v>1760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278">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1760</v>
      </c>
      <c r="D75" s="178">
        <f>SUM(D76,D83,D130,D164,D165,D172)</f>
        <v>0</v>
      </c>
      <c r="E75" s="179">
        <f t="shared" ref="E75:F75" si="74">SUM(E76,E83,E130,E164,E165,E172)</f>
        <v>0</v>
      </c>
      <c r="F75" s="180">
        <f t="shared" si="74"/>
        <v>0</v>
      </c>
      <c r="G75" s="178">
        <f>SUM(G76,G83,G130,G164,G165,G172)</f>
        <v>1760</v>
      </c>
      <c r="H75" s="179">
        <f t="shared" ref="H75:I75" si="75">SUM(H76,H83,H130,H164,H165,H172)</f>
        <v>0</v>
      </c>
      <c r="I75" s="180">
        <f t="shared" si="75"/>
        <v>1760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1760</v>
      </c>
      <c r="D83" s="183">
        <f>SUM(D84,D89,D95,D103,D112,D116,D122,D128)</f>
        <v>0</v>
      </c>
      <c r="E83" s="184">
        <f t="shared" ref="E83:F83" si="98">SUM(E84,E89,E95,E103,E112,E116,E122,E128)</f>
        <v>0</v>
      </c>
      <c r="F83" s="72">
        <f t="shared" si="98"/>
        <v>0</v>
      </c>
      <c r="G83" s="183">
        <f>SUM(G84,G89,G95,G103,G112,G116,G122,G128)</f>
        <v>1760</v>
      </c>
      <c r="H83" s="184">
        <f t="shared" ref="H83:I83" si="99">SUM(H84,H89,H95,H103,H112,H116,H122,H128)</f>
        <v>0</v>
      </c>
      <c r="I83" s="72">
        <f t="shared" si="99"/>
        <v>1760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1760</v>
      </c>
      <c r="D122" s="189">
        <f>SUM(D123:D127)</f>
        <v>0</v>
      </c>
      <c r="E122" s="190">
        <f t="shared" ref="E122:F122" si="151">SUM(E123:E127)</f>
        <v>0</v>
      </c>
      <c r="F122" s="55">
        <f t="shared" si="151"/>
        <v>0</v>
      </c>
      <c r="G122" s="189">
        <f>SUM(G123:G127)</f>
        <v>1760</v>
      </c>
      <c r="H122" s="190">
        <f t="shared" ref="H122:I122" si="152">SUM(H123:H127)</f>
        <v>0</v>
      </c>
      <c r="I122" s="55">
        <f t="shared" si="152"/>
        <v>1760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1760</v>
      </c>
      <c r="D127" s="194"/>
      <c r="E127" s="195"/>
      <c r="F127" s="55">
        <f t="shared" si="155"/>
        <v>0</v>
      </c>
      <c r="G127" s="53">
        <v>1760</v>
      </c>
      <c r="H127" s="54"/>
      <c r="I127" s="55">
        <f t="shared" si="156"/>
        <v>1760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278">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603290</v>
      </c>
      <c r="D194" s="172">
        <f t="shared" ref="D194:O194" si="259">SUM(D195,D230,D269,D283)</f>
        <v>606562</v>
      </c>
      <c r="E194" s="173">
        <f t="shared" si="259"/>
        <v>-3272</v>
      </c>
      <c r="F194" s="174">
        <f t="shared" si="259"/>
        <v>603290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603290</v>
      </c>
      <c r="D230" s="178">
        <f>D231+D251+D259</f>
        <v>606562</v>
      </c>
      <c r="E230" s="179">
        <f t="shared" ref="E230:F230" si="305">E231+E251+E259</f>
        <v>-3272</v>
      </c>
      <c r="F230" s="180">
        <f t="shared" si="305"/>
        <v>603290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customHeight="1" x14ac:dyDescent="0.25">
      <c r="A231" s="216">
        <v>6200</v>
      </c>
      <c r="B231" s="207" t="s">
        <v>248</v>
      </c>
      <c r="C231" s="217">
        <f t="shared" si="288"/>
        <v>90531</v>
      </c>
      <c r="D231" s="218">
        <f>SUM(D232,D233,D235,D238,D244,D245,D246)</f>
        <v>95531</v>
      </c>
      <c r="E231" s="219">
        <f t="shared" ref="E231:F231" si="309">SUM(E232,E233,E235,E238,E244,E245,E246)</f>
        <v>-5000</v>
      </c>
      <c r="F231" s="220">
        <f t="shared" si="309"/>
        <v>90531</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customHeight="1" x14ac:dyDescent="0.25">
      <c r="A238" s="188">
        <v>6250</v>
      </c>
      <c r="B238" s="88" t="s">
        <v>255</v>
      </c>
      <c r="C238" s="89">
        <f t="shared" si="288"/>
        <v>38531</v>
      </c>
      <c r="D238" s="189">
        <f>SUM(D239:D243)</f>
        <v>43531</v>
      </c>
      <c r="E238" s="190">
        <f t="shared" ref="E238:F238" si="322">SUM(E239:E243)</f>
        <v>-5000</v>
      </c>
      <c r="F238" s="55">
        <f t="shared" si="322"/>
        <v>38531</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21.75" customHeight="1" x14ac:dyDescent="0.25">
      <c r="A239" s="51">
        <v>6252</v>
      </c>
      <c r="B239" s="88" t="s">
        <v>256</v>
      </c>
      <c r="C239" s="89">
        <f t="shared" si="288"/>
        <v>5970</v>
      </c>
      <c r="D239" s="194">
        <v>6970</v>
      </c>
      <c r="E239" s="195">
        <v>-1000</v>
      </c>
      <c r="F239" s="55">
        <f t="shared" ref="F239:F245" si="326">D239+E239</f>
        <v>5970</v>
      </c>
      <c r="G239" s="53"/>
      <c r="H239" s="54"/>
      <c r="I239" s="55">
        <f t="shared" ref="I239:I245" si="327">G239+H239</f>
        <v>0</v>
      </c>
      <c r="J239" s="53"/>
      <c r="K239" s="54"/>
      <c r="L239" s="55">
        <f t="shared" ref="L239:L245" si="328">K239+J239</f>
        <v>0</v>
      </c>
      <c r="M239" s="53"/>
      <c r="N239" s="54"/>
      <c r="O239" s="55">
        <f t="shared" ref="O239:O245" si="329">N239+M239</f>
        <v>0</v>
      </c>
      <c r="P239" s="57" t="s">
        <v>437</v>
      </c>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customHeight="1" x14ac:dyDescent="0.25">
      <c r="A241" s="51">
        <v>6254</v>
      </c>
      <c r="B241" s="88" t="s">
        <v>258</v>
      </c>
      <c r="C241" s="89">
        <f t="shared" si="288"/>
        <v>6000</v>
      </c>
      <c r="D241" s="194">
        <v>6000</v>
      </c>
      <c r="E241" s="195"/>
      <c r="F241" s="55">
        <f t="shared" si="326"/>
        <v>6000</v>
      </c>
      <c r="G241" s="53"/>
      <c r="H241" s="54"/>
      <c r="I241" s="55">
        <f t="shared" si="327"/>
        <v>0</v>
      </c>
      <c r="J241" s="53"/>
      <c r="K241" s="54"/>
      <c r="L241" s="55">
        <f t="shared" si="328"/>
        <v>0</v>
      </c>
      <c r="M241" s="53"/>
      <c r="N241" s="54"/>
      <c r="O241" s="55">
        <f t="shared" si="329"/>
        <v>0</v>
      </c>
      <c r="P241" s="57"/>
    </row>
    <row r="242" spans="1:16" ht="24" customHeight="1" x14ac:dyDescent="0.25">
      <c r="A242" s="51">
        <v>6255</v>
      </c>
      <c r="B242" s="88" t="s">
        <v>259</v>
      </c>
      <c r="C242" s="89">
        <f t="shared" si="288"/>
        <v>26561</v>
      </c>
      <c r="D242" s="194">
        <v>30561</v>
      </c>
      <c r="E242" s="195">
        <v>-4000</v>
      </c>
      <c r="F242" s="55">
        <f t="shared" si="326"/>
        <v>26561</v>
      </c>
      <c r="G242" s="53"/>
      <c r="H242" s="54"/>
      <c r="I242" s="55">
        <f t="shared" si="327"/>
        <v>0</v>
      </c>
      <c r="J242" s="53"/>
      <c r="K242" s="54"/>
      <c r="L242" s="55">
        <f t="shared" si="328"/>
        <v>0</v>
      </c>
      <c r="M242" s="53"/>
      <c r="N242" s="54"/>
      <c r="O242" s="55">
        <f t="shared" si="329"/>
        <v>0</v>
      </c>
      <c r="P242" s="57" t="s">
        <v>437</v>
      </c>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customHeight="1" x14ac:dyDescent="0.25">
      <c r="A244" s="188">
        <v>6260</v>
      </c>
      <c r="B244" s="88" t="s">
        <v>261</v>
      </c>
      <c r="C244" s="89">
        <f t="shared" si="288"/>
        <v>52000</v>
      </c>
      <c r="D244" s="194">
        <v>52000</v>
      </c>
      <c r="E244" s="195"/>
      <c r="F244" s="55">
        <f t="shared" si="326"/>
        <v>52000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69">
        <f t="shared" si="288"/>
        <v>512759</v>
      </c>
      <c r="D259" s="183">
        <f>SUM(D260,D264)</f>
        <v>511031</v>
      </c>
      <c r="E259" s="184">
        <f t="shared" ref="E259:O259" si="341">SUM(E260,E264)</f>
        <v>1728</v>
      </c>
      <c r="F259" s="72">
        <f t="shared" si="341"/>
        <v>512759</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x14ac:dyDescent="0.25">
      <c r="A260" s="278">
        <v>6410</v>
      </c>
      <c r="B260" s="81" t="s">
        <v>277</v>
      </c>
      <c r="C260" s="82">
        <f t="shared" si="288"/>
        <v>465877</v>
      </c>
      <c r="D260" s="192">
        <f>SUM(D261:D263)</f>
        <v>465877</v>
      </c>
      <c r="E260" s="193">
        <f t="shared" ref="E260:O260" si="342">SUM(E261:E263)</f>
        <v>0</v>
      </c>
      <c r="F260" s="133">
        <f t="shared" si="342"/>
        <v>465877</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customHeight="1" x14ac:dyDescent="0.25">
      <c r="A263" s="51">
        <v>6419</v>
      </c>
      <c r="B263" s="88" t="s">
        <v>280</v>
      </c>
      <c r="C263" s="89">
        <f t="shared" si="288"/>
        <v>465877</v>
      </c>
      <c r="D263" s="194">
        <v>465877</v>
      </c>
      <c r="E263" s="195"/>
      <c r="F263" s="55">
        <f t="shared" si="343"/>
        <v>465877</v>
      </c>
      <c r="G263" s="53"/>
      <c r="H263" s="54"/>
      <c r="I263" s="55">
        <f t="shared" si="344"/>
        <v>0</v>
      </c>
      <c r="J263" s="53"/>
      <c r="K263" s="54"/>
      <c r="L263" s="55">
        <f t="shared" si="345"/>
        <v>0</v>
      </c>
      <c r="M263" s="53"/>
      <c r="N263" s="54"/>
      <c r="O263" s="55">
        <f t="shared" si="346"/>
        <v>0</v>
      </c>
      <c r="P263" s="57"/>
    </row>
    <row r="264" spans="1:16" ht="48" x14ac:dyDescent="0.25">
      <c r="A264" s="188">
        <v>6420</v>
      </c>
      <c r="B264" s="88" t="s">
        <v>281</v>
      </c>
      <c r="C264" s="89">
        <f t="shared" si="288"/>
        <v>46882</v>
      </c>
      <c r="D264" s="189">
        <f>SUM(D265:D268)</f>
        <v>45154</v>
      </c>
      <c r="E264" s="190">
        <f t="shared" ref="E264:F264" si="347">SUM(E265:E268)</f>
        <v>1728</v>
      </c>
      <c r="F264" s="55">
        <f t="shared" si="347"/>
        <v>46882</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23.25" customHeight="1" x14ac:dyDescent="0.25">
      <c r="A267" s="51">
        <v>6423</v>
      </c>
      <c r="B267" s="88" t="s">
        <v>284</v>
      </c>
      <c r="C267" s="89">
        <f t="shared" si="288"/>
        <v>46882</v>
      </c>
      <c r="D267" s="194">
        <v>45154</v>
      </c>
      <c r="E267" s="195">
        <v>1728</v>
      </c>
      <c r="F267" s="55">
        <f t="shared" si="351"/>
        <v>46882</v>
      </c>
      <c r="G267" s="53"/>
      <c r="H267" s="54"/>
      <c r="I267" s="55">
        <f t="shared" si="352"/>
        <v>0</v>
      </c>
      <c r="J267" s="53"/>
      <c r="K267" s="54"/>
      <c r="L267" s="55">
        <f t="shared" si="353"/>
        <v>0</v>
      </c>
      <c r="M267" s="53"/>
      <c r="N267" s="54"/>
      <c r="O267" s="55">
        <f t="shared" si="354"/>
        <v>0</v>
      </c>
      <c r="P267" s="57" t="s">
        <v>485</v>
      </c>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605050</v>
      </c>
      <c r="D289" s="251">
        <f t="shared" ref="D289:O289" si="389">SUM(D286,D269,D230,D195,D187,D173,D75,D53,D283)</f>
        <v>606562</v>
      </c>
      <c r="E289" s="252">
        <f t="shared" si="389"/>
        <v>-3272</v>
      </c>
      <c r="F289" s="253">
        <f t="shared" si="389"/>
        <v>603290</v>
      </c>
      <c r="G289" s="251">
        <f t="shared" si="389"/>
        <v>1760</v>
      </c>
      <c r="H289" s="252">
        <f t="shared" si="389"/>
        <v>0</v>
      </c>
      <c r="I289" s="253">
        <f t="shared" si="389"/>
        <v>1760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N4IQLBgA0QU4HuhO7zw9HVH0iC0fhKHQz9uXyzafRToBIabrZnV67ltOl6rRAb1dmkbsaMmWgjl2jAg9IYl3Q==" saltValue="ypo9BZJmJss0EGkq57DIEg==" spinCount="100000" sheet="1" objects="1" scenarios="1" formatCells="0" formatColumns="0" formatRows="0" deleteColumns="0"/>
  <autoFilter ref="A18:P301">
    <filterColumn colId="2">
      <filters>
        <filter val="1 760"/>
        <filter val="26 561"/>
        <filter val="38 531"/>
        <filter val="46 882"/>
        <filter val="465 877"/>
        <filter val="5 970"/>
        <filter val="512 759"/>
        <filter val="52 000"/>
        <filter val="6 000"/>
        <filter val="603 290"/>
        <filter val="605 050"/>
        <filter val="90 531"/>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61.pielikums Jūrmalas pilsētas domes
2019.gada 29.augusta saistošajiem noteikumiem Nr.31
(protokols Nr.12, 20.punkts)
 </firstHeader>
    <firstFooter>&amp;L&amp;9&amp;D; &amp;T&amp;R&amp;9&amp;P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9"/>
  <sheetViews>
    <sheetView showGridLines="0" view="pageLayout" zoomScaleNormal="100" workbookViewId="0">
      <selection activeCell="T13" sqref="T1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1716</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1579</v>
      </c>
      <c r="D6" s="1972"/>
      <c r="E6" s="1972"/>
      <c r="F6" s="1972"/>
      <c r="G6" s="1972"/>
      <c r="H6" s="1972"/>
      <c r="I6" s="1972"/>
      <c r="J6" s="1972"/>
      <c r="K6" s="1972"/>
      <c r="L6" s="1972"/>
      <c r="M6" s="1972"/>
      <c r="N6" s="1972"/>
      <c r="O6" s="1972"/>
      <c r="P6" s="1973"/>
      <c r="Q6" s="276"/>
    </row>
    <row r="7" spans="1:17" x14ac:dyDescent="0.25">
      <c r="A7" s="7" t="s">
        <v>10</v>
      </c>
      <c r="B7" s="8"/>
      <c r="C7" s="1977" t="s">
        <v>11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14</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F20+I20+L20+O20</f>
        <v>3340884</v>
      </c>
      <c r="D20" s="32">
        <f>SUM(D21,D24,D25,D41,D43)</f>
        <v>3360884</v>
      </c>
      <c r="E20" s="33">
        <f>SUM(E21,E24,E25,E41,E43)</f>
        <v>-20000</v>
      </c>
      <c r="F20" s="34">
        <f>SUM(F21,F24,F25,F41,F43)</f>
        <v>3340884</v>
      </c>
      <c r="G20" s="32">
        <f>SUM(G21,G24,G43)</f>
        <v>0</v>
      </c>
      <c r="H20" s="33">
        <f>SUM(H21,H24,H43)</f>
        <v>0</v>
      </c>
      <c r="I20" s="34">
        <f>SUM(I21,I24,I43)</f>
        <v>0</v>
      </c>
      <c r="J20" s="32">
        <f>SUM(J21,J26,J43)</f>
        <v>0</v>
      </c>
      <c r="K20" s="33">
        <f>SUM(K21,K26,K43)</f>
        <v>0</v>
      </c>
      <c r="L20" s="34">
        <f>SUM(L21,L26,L43)</f>
        <v>0</v>
      </c>
      <c r="M20" s="32">
        <f>SUM(M21,M45)</f>
        <v>0</v>
      </c>
      <c r="N20" s="33">
        <f>SUM(N21,N45)</f>
        <v>0</v>
      </c>
      <c r="O20" s="34">
        <f>SUM(O21,O45)</f>
        <v>0</v>
      </c>
      <c r="P20" s="35"/>
    </row>
    <row r="21" spans="1:16" ht="12.75" hidden="1" thickTop="1" x14ac:dyDescent="0.25">
      <c r="A21" s="36"/>
      <c r="B21" s="37" t="s">
        <v>40</v>
      </c>
      <c r="C21" s="38">
        <f>F21+I21+L21+O21</f>
        <v>0</v>
      </c>
      <c r="D21" s="39">
        <f t="shared" ref="D21:O21" si="0">SUM(D22:D23)</f>
        <v>0</v>
      </c>
      <c r="E21" s="40">
        <f t="shared" si="0"/>
        <v>0</v>
      </c>
      <c r="F21" s="41">
        <f t="shared" si="0"/>
        <v>0</v>
      </c>
      <c r="G21" s="39">
        <f t="shared" si="0"/>
        <v>0</v>
      </c>
      <c r="H21" s="40">
        <f t="shared" si="0"/>
        <v>0</v>
      </c>
      <c r="I21" s="41">
        <f t="shared" si="0"/>
        <v>0</v>
      </c>
      <c r="J21" s="39">
        <f t="shared" si="0"/>
        <v>0</v>
      </c>
      <c r="K21" s="40">
        <f t="shared" si="0"/>
        <v>0</v>
      </c>
      <c r="L21" s="41">
        <f t="shared" si="0"/>
        <v>0</v>
      </c>
      <c r="M21" s="39">
        <f t="shared" si="0"/>
        <v>0</v>
      </c>
      <c r="N21" s="40">
        <f t="shared" si="0"/>
        <v>0</v>
      </c>
      <c r="O21" s="41">
        <f t="shared" si="0"/>
        <v>0</v>
      </c>
      <c r="P21" s="42"/>
    </row>
    <row r="22" spans="1:16" ht="12" hidden="1" customHeight="1" x14ac:dyDescent="0.25">
      <c r="A22" s="43"/>
      <c r="B22" s="44" t="s">
        <v>41</v>
      </c>
      <c r="C22" s="45">
        <f>F22+I22+L22+O22</f>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F23+I23+L23+O23</f>
        <v>0</v>
      </c>
      <c r="D23" s="53"/>
      <c r="E23" s="54"/>
      <c r="F23" s="55">
        <f>D23+E23</f>
        <v>0</v>
      </c>
      <c r="G23" s="53"/>
      <c r="H23" s="54"/>
      <c r="I23" s="55">
        <f>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3340884</v>
      </c>
      <c r="D24" s="60">
        <f>3353884+7000</f>
        <v>3360884</v>
      </c>
      <c r="E24" s="741">
        <v>-20000</v>
      </c>
      <c r="F24" s="62">
        <f>D24+E24</f>
        <v>3340884</v>
      </c>
      <c r="G24" s="60"/>
      <c r="H24" s="61"/>
      <c r="I24" s="62">
        <f>G24+H24</f>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D25+E25</f>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 t="shared" ref="C26:C40" si="1">L26</f>
        <v>0</v>
      </c>
      <c r="D26" s="73" t="s">
        <v>44</v>
      </c>
      <c r="E26" s="74" t="s">
        <v>44</v>
      </c>
      <c r="F26" s="75" t="s">
        <v>44</v>
      </c>
      <c r="G26" s="73" t="s">
        <v>44</v>
      </c>
      <c r="H26" s="74" t="s">
        <v>44</v>
      </c>
      <c r="I26" s="75" t="s">
        <v>44</v>
      </c>
      <c r="J26" s="77">
        <f>SUM(J27,J31,J33,J36)</f>
        <v>0</v>
      </c>
      <c r="K26" s="78">
        <f>SUM(K27,K31,K33,K36)</f>
        <v>0</v>
      </c>
      <c r="L26" s="79">
        <f>SUM(L27,L31,L33,L36)</f>
        <v>0</v>
      </c>
      <c r="M26" s="77" t="s">
        <v>44</v>
      </c>
      <c r="N26" s="78" t="s">
        <v>44</v>
      </c>
      <c r="O26" s="79" t="s">
        <v>44</v>
      </c>
      <c r="P26" s="76"/>
    </row>
    <row r="27" spans="1:16" s="28" customFormat="1" ht="24" hidden="1" customHeight="1" x14ac:dyDescent="0.25">
      <c r="A27" s="80">
        <v>21350</v>
      </c>
      <c r="B27" s="68" t="s">
        <v>47</v>
      </c>
      <c r="C27" s="69">
        <f t="shared" si="1"/>
        <v>0</v>
      </c>
      <c r="D27" s="73" t="s">
        <v>44</v>
      </c>
      <c r="E27" s="74" t="s">
        <v>44</v>
      </c>
      <c r="F27" s="75" t="s">
        <v>44</v>
      </c>
      <c r="G27" s="73" t="s">
        <v>44</v>
      </c>
      <c r="H27" s="74" t="s">
        <v>44</v>
      </c>
      <c r="I27" s="75" t="s">
        <v>44</v>
      </c>
      <c r="J27" s="77">
        <f>SUM(J28:J30)</f>
        <v>0</v>
      </c>
      <c r="K27" s="78">
        <f>SUM(K28:K30)</f>
        <v>0</v>
      </c>
      <c r="L27" s="79">
        <f>SUM(L28:L30)</f>
        <v>0</v>
      </c>
      <c r="M27" s="77" t="s">
        <v>44</v>
      </c>
      <c r="N27" s="78" t="s">
        <v>44</v>
      </c>
      <c r="O27" s="79" t="s">
        <v>44</v>
      </c>
      <c r="P27" s="76"/>
    </row>
    <row r="28" spans="1:16" ht="12" hidden="1" customHeight="1" x14ac:dyDescent="0.25">
      <c r="A28" s="43">
        <v>21351</v>
      </c>
      <c r="B28" s="81" t="s">
        <v>48</v>
      </c>
      <c r="C28" s="82">
        <f t="shared" si="1"/>
        <v>0</v>
      </c>
      <c r="D28" s="83" t="s">
        <v>44</v>
      </c>
      <c r="E28" s="84" t="s">
        <v>44</v>
      </c>
      <c r="F28" s="85" t="s">
        <v>44</v>
      </c>
      <c r="G28" s="83" t="s">
        <v>44</v>
      </c>
      <c r="H28" s="84" t="s">
        <v>44</v>
      </c>
      <c r="I28" s="85" t="s">
        <v>44</v>
      </c>
      <c r="J28" s="46"/>
      <c r="K28" s="47"/>
      <c r="L28" s="48">
        <f>K28+J28</f>
        <v>0</v>
      </c>
      <c r="M28" s="86" t="s">
        <v>44</v>
      </c>
      <c r="N28" s="87" t="s">
        <v>44</v>
      </c>
      <c r="O28" s="48" t="s">
        <v>44</v>
      </c>
      <c r="P28" s="49"/>
    </row>
    <row r="29" spans="1:16" ht="12" hidden="1" customHeight="1" x14ac:dyDescent="0.25">
      <c r="A29" s="50">
        <v>21352</v>
      </c>
      <c r="B29" s="88" t="s">
        <v>49</v>
      </c>
      <c r="C29" s="89">
        <f t="shared" si="1"/>
        <v>0</v>
      </c>
      <c r="D29" s="90" t="s">
        <v>44</v>
      </c>
      <c r="E29" s="91" t="s">
        <v>44</v>
      </c>
      <c r="F29" s="92" t="s">
        <v>44</v>
      </c>
      <c r="G29" s="90" t="s">
        <v>44</v>
      </c>
      <c r="H29" s="91" t="s">
        <v>44</v>
      </c>
      <c r="I29" s="92" t="s">
        <v>44</v>
      </c>
      <c r="J29" s="53"/>
      <c r="K29" s="54"/>
      <c r="L29" s="56">
        <f>K29+J29</f>
        <v>0</v>
      </c>
      <c r="M29" s="93" t="s">
        <v>44</v>
      </c>
      <c r="N29" s="94" t="s">
        <v>44</v>
      </c>
      <c r="O29" s="56" t="s">
        <v>44</v>
      </c>
      <c r="P29" s="57"/>
    </row>
    <row r="30" spans="1:16" ht="24" hidden="1" customHeight="1" x14ac:dyDescent="0.25">
      <c r="A30" s="50">
        <v>21359</v>
      </c>
      <c r="B30" s="88" t="s">
        <v>50</v>
      </c>
      <c r="C30" s="89">
        <f t="shared" si="1"/>
        <v>0</v>
      </c>
      <c r="D30" s="90" t="s">
        <v>44</v>
      </c>
      <c r="E30" s="91" t="s">
        <v>44</v>
      </c>
      <c r="F30" s="92" t="s">
        <v>44</v>
      </c>
      <c r="G30" s="90" t="s">
        <v>44</v>
      </c>
      <c r="H30" s="91" t="s">
        <v>44</v>
      </c>
      <c r="I30" s="92" t="s">
        <v>44</v>
      </c>
      <c r="J30" s="53"/>
      <c r="K30" s="54"/>
      <c r="L30" s="56">
        <f>K30+J30</f>
        <v>0</v>
      </c>
      <c r="M30" s="93" t="s">
        <v>44</v>
      </c>
      <c r="N30" s="94" t="s">
        <v>44</v>
      </c>
      <c r="O30" s="56" t="s">
        <v>44</v>
      </c>
      <c r="P30" s="57"/>
    </row>
    <row r="31" spans="1:16" s="28" customFormat="1" ht="36" hidden="1" customHeight="1" x14ac:dyDescent="0.25">
      <c r="A31" s="80">
        <v>21370</v>
      </c>
      <c r="B31" s="68" t="s">
        <v>51</v>
      </c>
      <c r="C31" s="69">
        <f t="shared" si="1"/>
        <v>0</v>
      </c>
      <c r="D31" s="73" t="s">
        <v>44</v>
      </c>
      <c r="E31" s="74" t="s">
        <v>44</v>
      </c>
      <c r="F31" s="75" t="s">
        <v>44</v>
      </c>
      <c r="G31" s="73" t="s">
        <v>44</v>
      </c>
      <c r="H31" s="74" t="s">
        <v>44</v>
      </c>
      <c r="I31" s="75" t="s">
        <v>44</v>
      </c>
      <c r="J31" s="77">
        <f>SUM(J32)</f>
        <v>0</v>
      </c>
      <c r="K31" s="78">
        <f>SUM(K32)</f>
        <v>0</v>
      </c>
      <c r="L31" s="79">
        <f>SUM(L32)</f>
        <v>0</v>
      </c>
      <c r="M31" s="77" t="s">
        <v>44</v>
      </c>
      <c r="N31" s="78" t="s">
        <v>44</v>
      </c>
      <c r="O31" s="79" t="s">
        <v>44</v>
      </c>
      <c r="P31" s="76"/>
    </row>
    <row r="32" spans="1:16" ht="36" hidden="1" customHeight="1" x14ac:dyDescent="0.25">
      <c r="A32" s="95">
        <v>21379</v>
      </c>
      <c r="B32" s="96" t="s">
        <v>52</v>
      </c>
      <c r="C32" s="97">
        <f t="shared" si="1"/>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
        <v>0</v>
      </c>
      <c r="D33" s="73" t="s">
        <v>44</v>
      </c>
      <c r="E33" s="74" t="s">
        <v>44</v>
      </c>
      <c r="F33" s="75" t="s">
        <v>44</v>
      </c>
      <c r="G33" s="73" t="s">
        <v>44</v>
      </c>
      <c r="H33" s="74" t="s">
        <v>44</v>
      </c>
      <c r="I33" s="75" t="s">
        <v>44</v>
      </c>
      <c r="J33" s="77">
        <f>SUM(J34:J35)</f>
        <v>0</v>
      </c>
      <c r="K33" s="78">
        <f>SUM(K34:K35)</f>
        <v>0</v>
      </c>
      <c r="L33" s="79">
        <f>SUM(L34:L35)</f>
        <v>0</v>
      </c>
      <c r="M33" s="77" t="s">
        <v>44</v>
      </c>
      <c r="N33" s="78" t="s">
        <v>44</v>
      </c>
      <c r="O33" s="79" t="s">
        <v>44</v>
      </c>
      <c r="P33" s="76"/>
    </row>
    <row r="34" spans="1:16" ht="12" hidden="1" customHeight="1" x14ac:dyDescent="0.25">
      <c r="A34" s="44">
        <v>21381</v>
      </c>
      <c r="B34" s="81" t="s">
        <v>54</v>
      </c>
      <c r="C34" s="82">
        <f t="shared" si="1"/>
        <v>0</v>
      </c>
      <c r="D34" s="83" t="s">
        <v>44</v>
      </c>
      <c r="E34" s="84" t="s">
        <v>44</v>
      </c>
      <c r="F34" s="85" t="s">
        <v>44</v>
      </c>
      <c r="G34" s="83" t="s">
        <v>44</v>
      </c>
      <c r="H34" s="84" t="s">
        <v>44</v>
      </c>
      <c r="I34" s="85" t="s">
        <v>44</v>
      </c>
      <c r="J34" s="46"/>
      <c r="K34" s="47"/>
      <c r="L34" s="48">
        <f>K34+J34</f>
        <v>0</v>
      </c>
      <c r="M34" s="86" t="s">
        <v>44</v>
      </c>
      <c r="N34" s="87" t="s">
        <v>44</v>
      </c>
      <c r="O34" s="48" t="s">
        <v>44</v>
      </c>
      <c r="P34" s="49"/>
    </row>
    <row r="35" spans="1:16" ht="24" hidden="1" customHeight="1" x14ac:dyDescent="0.25">
      <c r="A35" s="51">
        <v>21383</v>
      </c>
      <c r="B35" s="88" t="s">
        <v>55</v>
      </c>
      <c r="C35" s="89">
        <f t="shared" si="1"/>
        <v>0</v>
      </c>
      <c r="D35" s="90" t="s">
        <v>44</v>
      </c>
      <c r="E35" s="91" t="s">
        <v>44</v>
      </c>
      <c r="F35" s="92" t="s">
        <v>44</v>
      </c>
      <c r="G35" s="90" t="s">
        <v>44</v>
      </c>
      <c r="H35" s="91" t="s">
        <v>44</v>
      </c>
      <c r="I35" s="92" t="s">
        <v>44</v>
      </c>
      <c r="J35" s="53"/>
      <c r="K35" s="54"/>
      <c r="L35" s="56">
        <f>K35+J35</f>
        <v>0</v>
      </c>
      <c r="M35" s="93" t="s">
        <v>44</v>
      </c>
      <c r="N35" s="94" t="s">
        <v>44</v>
      </c>
      <c r="O35" s="56" t="s">
        <v>44</v>
      </c>
      <c r="P35" s="57"/>
    </row>
    <row r="36" spans="1:16" s="28" customFormat="1" ht="25.5" hidden="1" customHeight="1" x14ac:dyDescent="0.25">
      <c r="A36" s="80">
        <v>21390</v>
      </c>
      <c r="B36" s="68" t="s">
        <v>56</v>
      </c>
      <c r="C36" s="69">
        <f t="shared" si="1"/>
        <v>0</v>
      </c>
      <c r="D36" s="73" t="s">
        <v>44</v>
      </c>
      <c r="E36" s="74" t="s">
        <v>44</v>
      </c>
      <c r="F36" s="75" t="s">
        <v>44</v>
      </c>
      <c r="G36" s="73" t="s">
        <v>44</v>
      </c>
      <c r="H36" s="74" t="s">
        <v>44</v>
      </c>
      <c r="I36" s="75" t="s">
        <v>44</v>
      </c>
      <c r="J36" s="77">
        <f>SUM(J37:J40)</f>
        <v>0</v>
      </c>
      <c r="K36" s="78">
        <f>SUM(K37:K40)</f>
        <v>0</v>
      </c>
      <c r="L36" s="79">
        <f>SUM(L37:L40)</f>
        <v>0</v>
      </c>
      <c r="M36" s="77" t="s">
        <v>44</v>
      </c>
      <c r="N36" s="78" t="s">
        <v>44</v>
      </c>
      <c r="O36" s="79" t="s">
        <v>44</v>
      </c>
      <c r="P36" s="76"/>
    </row>
    <row r="37" spans="1:16" ht="24" hidden="1" customHeight="1" x14ac:dyDescent="0.25">
      <c r="A37" s="44">
        <v>21391</v>
      </c>
      <c r="B37" s="81" t="s">
        <v>57</v>
      </c>
      <c r="C37" s="82">
        <f t="shared" si="1"/>
        <v>0</v>
      </c>
      <c r="D37" s="83" t="s">
        <v>44</v>
      </c>
      <c r="E37" s="84" t="s">
        <v>44</v>
      </c>
      <c r="F37" s="85" t="s">
        <v>44</v>
      </c>
      <c r="G37" s="83" t="s">
        <v>44</v>
      </c>
      <c r="H37" s="84" t="s">
        <v>44</v>
      </c>
      <c r="I37" s="85" t="s">
        <v>44</v>
      </c>
      <c r="J37" s="46"/>
      <c r="K37" s="47"/>
      <c r="L37" s="48">
        <f>K37+J37</f>
        <v>0</v>
      </c>
      <c r="M37" s="86" t="s">
        <v>44</v>
      </c>
      <c r="N37" s="87" t="s">
        <v>44</v>
      </c>
      <c r="O37" s="48" t="s">
        <v>44</v>
      </c>
      <c r="P37" s="49"/>
    </row>
    <row r="38" spans="1:16" ht="12" hidden="1" customHeight="1" x14ac:dyDescent="0.25">
      <c r="A38" s="51">
        <v>21393</v>
      </c>
      <c r="B38" s="88" t="s">
        <v>58</v>
      </c>
      <c r="C38" s="89">
        <f t="shared" si="1"/>
        <v>0</v>
      </c>
      <c r="D38" s="90" t="s">
        <v>44</v>
      </c>
      <c r="E38" s="91" t="s">
        <v>44</v>
      </c>
      <c r="F38" s="92" t="s">
        <v>44</v>
      </c>
      <c r="G38" s="90" t="s">
        <v>44</v>
      </c>
      <c r="H38" s="91" t="s">
        <v>44</v>
      </c>
      <c r="I38" s="92" t="s">
        <v>44</v>
      </c>
      <c r="J38" s="53"/>
      <c r="K38" s="54"/>
      <c r="L38" s="56">
        <f>K38+J38</f>
        <v>0</v>
      </c>
      <c r="M38" s="93" t="s">
        <v>44</v>
      </c>
      <c r="N38" s="94" t="s">
        <v>44</v>
      </c>
      <c r="O38" s="56" t="s">
        <v>44</v>
      </c>
      <c r="P38" s="57"/>
    </row>
    <row r="39" spans="1:16" ht="12" hidden="1" customHeight="1" x14ac:dyDescent="0.25">
      <c r="A39" s="51">
        <v>21395</v>
      </c>
      <c r="B39" s="88" t="s">
        <v>59</v>
      </c>
      <c r="C39" s="89">
        <f t="shared" si="1"/>
        <v>0</v>
      </c>
      <c r="D39" s="90" t="s">
        <v>44</v>
      </c>
      <c r="E39" s="91" t="s">
        <v>44</v>
      </c>
      <c r="F39" s="92" t="s">
        <v>44</v>
      </c>
      <c r="G39" s="90" t="s">
        <v>44</v>
      </c>
      <c r="H39" s="91" t="s">
        <v>44</v>
      </c>
      <c r="I39" s="92" t="s">
        <v>44</v>
      </c>
      <c r="J39" s="53"/>
      <c r="K39" s="54"/>
      <c r="L39" s="56">
        <f>K39+J39</f>
        <v>0</v>
      </c>
      <c r="M39" s="93" t="s">
        <v>44</v>
      </c>
      <c r="N39" s="94" t="s">
        <v>44</v>
      </c>
      <c r="O39" s="56" t="s">
        <v>44</v>
      </c>
      <c r="P39" s="57"/>
    </row>
    <row r="40" spans="1:16" ht="24" hidden="1" customHeight="1" x14ac:dyDescent="0.25">
      <c r="A40" s="107">
        <v>21399</v>
      </c>
      <c r="B40" s="108" t="s">
        <v>60</v>
      </c>
      <c r="C40" s="109">
        <f t="shared" si="1"/>
        <v>0</v>
      </c>
      <c r="D40" s="110" t="s">
        <v>44</v>
      </c>
      <c r="E40" s="111" t="s">
        <v>44</v>
      </c>
      <c r="F40" s="112" t="s">
        <v>44</v>
      </c>
      <c r="G40" s="110" t="s">
        <v>44</v>
      </c>
      <c r="H40" s="111" t="s">
        <v>44</v>
      </c>
      <c r="I40" s="112" t="s">
        <v>44</v>
      </c>
      <c r="J40" s="113"/>
      <c r="K40" s="114"/>
      <c r="L40" s="115">
        <f>K40+J40</f>
        <v>0</v>
      </c>
      <c r="M40" s="116" t="s">
        <v>44</v>
      </c>
      <c r="N40" s="117" t="s">
        <v>44</v>
      </c>
      <c r="O40" s="115" t="s">
        <v>44</v>
      </c>
      <c r="P40" s="118"/>
    </row>
    <row r="41" spans="1:16" s="28" customFormat="1" ht="26.25" hidden="1" customHeight="1" x14ac:dyDescent="0.25">
      <c r="A41" s="119">
        <v>21420</v>
      </c>
      <c r="B41" s="120" t="s">
        <v>61</v>
      </c>
      <c r="C41" s="121">
        <f>F41</f>
        <v>0</v>
      </c>
      <c r="D41" s="122">
        <f>SUM(D42)</f>
        <v>0</v>
      </c>
      <c r="E41" s="123">
        <f>SUM(E42)</f>
        <v>0</v>
      </c>
      <c r="F41" s="124">
        <f>SUM(F42)</f>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 t="shared" ref="D43:L43" si="2">D44</f>
        <v>0</v>
      </c>
      <c r="E43" s="78">
        <f t="shared" si="2"/>
        <v>0</v>
      </c>
      <c r="F43" s="79">
        <f t="shared" si="2"/>
        <v>0</v>
      </c>
      <c r="G43" s="77">
        <f t="shared" si="2"/>
        <v>0</v>
      </c>
      <c r="H43" s="78">
        <f t="shared" si="2"/>
        <v>0</v>
      </c>
      <c r="I43" s="79">
        <f t="shared" si="2"/>
        <v>0</v>
      </c>
      <c r="J43" s="77">
        <f t="shared" si="2"/>
        <v>0</v>
      </c>
      <c r="K43" s="78">
        <f t="shared" si="2"/>
        <v>0</v>
      </c>
      <c r="L43" s="79">
        <f t="shared" si="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SUM(N46:N47)</f>
        <v>0</v>
      </c>
      <c r="O45" s="115">
        <f>SUM(O46:O47)</f>
        <v>0</v>
      </c>
      <c r="P45" s="118"/>
    </row>
    <row r="46" spans="1:16" ht="24" hidden="1" customHeight="1" x14ac:dyDescent="0.25">
      <c r="A46" s="136">
        <v>23410</v>
      </c>
      <c r="B46" s="137" t="s">
        <v>66</v>
      </c>
      <c r="C46" s="121">
        <f>O46</f>
        <v>0</v>
      </c>
      <c r="D46" s="125" t="s">
        <v>44</v>
      </c>
      <c r="E46" s="126" t="s">
        <v>44</v>
      </c>
      <c r="F46" s="127" t="s">
        <v>44</v>
      </c>
      <c r="G46" s="125" t="s">
        <v>44</v>
      </c>
      <c r="H46" s="126" t="s">
        <v>44</v>
      </c>
      <c r="I46" s="127" t="s">
        <v>44</v>
      </c>
      <c r="J46" s="125" t="s">
        <v>44</v>
      </c>
      <c r="K46" s="126" t="s">
        <v>44</v>
      </c>
      <c r="L46" s="127" t="s">
        <v>44</v>
      </c>
      <c r="M46" s="138"/>
      <c r="N46" s="139"/>
      <c r="O46" s="140">
        <f>N46+M46</f>
        <v>0</v>
      </c>
      <c r="P46" s="128"/>
    </row>
    <row r="47" spans="1:16" ht="24" hidden="1" customHeight="1" x14ac:dyDescent="0.25">
      <c r="A47" s="136">
        <v>23510</v>
      </c>
      <c r="B47" s="137" t="s">
        <v>67</v>
      </c>
      <c r="C47" s="121">
        <f>O47</f>
        <v>0</v>
      </c>
      <c r="D47" s="125" t="s">
        <v>44</v>
      </c>
      <c r="E47" s="126" t="s">
        <v>44</v>
      </c>
      <c r="F47" s="127" t="s">
        <v>44</v>
      </c>
      <c r="G47" s="125" t="s">
        <v>44</v>
      </c>
      <c r="H47" s="126" t="s">
        <v>44</v>
      </c>
      <c r="I47" s="127" t="s">
        <v>44</v>
      </c>
      <c r="J47" s="125" t="s">
        <v>44</v>
      </c>
      <c r="K47" s="126" t="s">
        <v>44</v>
      </c>
      <c r="L47" s="127" t="s">
        <v>44</v>
      </c>
      <c r="M47" s="138"/>
      <c r="N47" s="139"/>
      <c r="O47" s="140">
        <f>N47+M47</f>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ref="C50:C113" si="3">F50+I50+L50+O50</f>
        <v>3340884</v>
      </c>
      <c r="D50" s="158">
        <f t="shared" ref="D50:O50" si="4">SUM(D51,D286)</f>
        <v>3360884</v>
      </c>
      <c r="E50" s="159">
        <f t="shared" si="4"/>
        <v>-20000</v>
      </c>
      <c r="F50" s="160">
        <f t="shared" si="4"/>
        <v>3340884</v>
      </c>
      <c r="G50" s="158">
        <f t="shared" si="4"/>
        <v>0</v>
      </c>
      <c r="H50" s="159">
        <f t="shared" si="4"/>
        <v>0</v>
      </c>
      <c r="I50" s="160">
        <f t="shared" si="4"/>
        <v>0</v>
      </c>
      <c r="J50" s="32">
        <f t="shared" si="4"/>
        <v>0</v>
      </c>
      <c r="K50" s="33">
        <f t="shared" si="4"/>
        <v>0</v>
      </c>
      <c r="L50" s="34">
        <f t="shared" si="4"/>
        <v>0</v>
      </c>
      <c r="M50" s="32">
        <f t="shared" si="4"/>
        <v>0</v>
      </c>
      <c r="N50" s="33">
        <f t="shared" si="4"/>
        <v>0</v>
      </c>
      <c r="O50" s="34">
        <f t="shared" si="4"/>
        <v>0</v>
      </c>
      <c r="P50" s="35"/>
    </row>
    <row r="51" spans="1:16" s="28" customFormat="1" ht="36.75" thickTop="1" x14ac:dyDescent="0.25">
      <c r="A51" s="161"/>
      <c r="B51" s="162" t="s">
        <v>70</v>
      </c>
      <c r="C51" s="163">
        <f t="shared" si="3"/>
        <v>3340884</v>
      </c>
      <c r="D51" s="164">
        <f t="shared" ref="D51:O51" si="5">SUM(D52,D194)</f>
        <v>3360884</v>
      </c>
      <c r="E51" s="165">
        <f t="shared" si="5"/>
        <v>-20000</v>
      </c>
      <c r="F51" s="166">
        <f t="shared" si="5"/>
        <v>3340884</v>
      </c>
      <c r="G51" s="164">
        <f t="shared" si="5"/>
        <v>0</v>
      </c>
      <c r="H51" s="165">
        <f t="shared" si="5"/>
        <v>0</v>
      </c>
      <c r="I51" s="166">
        <f t="shared" si="5"/>
        <v>0</v>
      </c>
      <c r="J51" s="167">
        <f t="shared" si="5"/>
        <v>0</v>
      </c>
      <c r="K51" s="168">
        <f t="shared" si="5"/>
        <v>0</v>
      </c>
      <c r="L51" s="169">
        <f t="shared" si="5"/>
        <v>0</v>
      </c>
      <c r="M51" s="167">
        <f t="shared" si="5"/>
        <v>0</v>
      </c>
      <c r="N51" s="168">
        <f t="shared" si="5"/>
        <v>0</v>
      </c>
      <c r="O51" s="169">
        <f t="shared" si="5"/>
        <v>0</v>
      </c>
      <c r="P51" s="170"/>
    </row>
    <row r="52" spans="1:16" s="28" customFormat="1" ht="24" x14ac:dyDescent="0.25">
      <c r="A52" s="24"/>
      <c r="B52" s="22" t="s">
        <v>71</v>
      </c>
      <c r="C52" s="171">
        <f t="shared" si="3"/>
        <v>3305134</v>
      </c>
      <c r="D52" s="172">
        <f t="shared" ref="D52:O52" si="6">SUM(D53,D75,D173,D187)</f>
        <v>3325134</v>
      </c>
      <c r="E52" s="173">
        <f t="shared" si="6"/>
        <v>-20000</v>
      </c>
      <c r="F52" s="174">
        <f t="shared" si="6"/>
        <v>3305134</v>
      </c>
      <c r="G52" s="172">
        <f t="shared" si="6"/>
        <v>0</v>
      </c>
      <c r="H52" s="173">
        <f t="shared" si="6"/>
        <v>0</v>
      </c>
      <c r="I52" s="174">
        <f t="shared" si="6"/>
        <v>0</v>
      </c>
      <c r="J52" s="172">
        <f t="shared" si="6"/>
        <v>0</v>
      </c>
      <c r="K52" s="173">
        <f t="shared" si="6"/>
        <v>0</v>
      </c>
      <c r="L52" s="174">
        <f t="shared" si="6"/>
        <v>0</v>
      </c>
      <c r="M52" s="172">
        <f t="shared" si="6"/>
        <v>0</v>
      </c>
      <c r="N52" s="173">
        <f t="shared" si="6"/>
        <v>0</v>
      </c>
      <c r="O52" s="174">
        <f t="shared" si="6"/>
        <v>0</v>
      </c>
      <c r="P52" s="175"/>
    </row>
    <row r="53" spans="1:16" s="28" customFormat="1" x14ac:dyDescent="0.25">
      <c r="A53" s="176">
        <v>1000</v>
      </c>
      <c r="B53" s="176" t="s">
        <v>72</v>
      </c>
      <c r="C53" s="177">
        <f t="shared" si="3"/>
        <v>3284327</v>
      </c>
      <c r="D53" s="178">
        <f t="shared" ref="D53:O53" si="7">SUM(D54,D67)</f>
        <v>3304327</v>
      </c>
      <c r="E53" s="179">
        <f t="shared" si="7"/>
        <v>-20000</v>
      </c>
      <c r="F53" s="180">
        <f t="shared" si="7"/>
        <v>3284327</v>
      </c>
      <c r="G53" s="178">
        <f t="shared" si="7"/>
        <v>0</v>
      </c>
      <c r="H53" s="179">
        <f t="shared" si="7"/>
        <v>0</v>
      </c>
      <c r="I53" s="180">
        <f t="shared" si="7"/>
        <v>0</v>
      </c>
      <c r="J53" s="178">
        <f t="shared" si="7"/>
        <v>0</v>
      </c>
      <c r="K53" s="179">
        <f t="shared" si="7"/>
        <v>0</v>
      </c>
      <c r="L53" s="180">
        <f t="shared" si="7"/>
        <v>0</v>
      </c>
      <c r="M53" s="178">
        <f t="shared" si="7"/>
        <v>0</v>
      </c>
      <c r="N53" s="179">
        <f t="shared" si="7"/>
        <v>0</v>
      </c>
      <c r="O53" s="180">
        <f t="shared" si="7"/>
        <v>0</v>
      </c>
      <c r="P53" s="181"/>
    </row>
    <row r="54" spans="1:16" x14ac:dyDescent="0.25">
      <c r="A54" s="68">
        <v>1100</v>
      </c>
      <c r="B54" s="182" t="s">
        <v>73</v>
      </c>
      <c r="C54" s="69">
        <f t="shared" si="3"/>
        <v>2523983</v>
      </c>
      <c r="D54" s="183">
        <f t="shared" ref="D54:O54" si="8">SUM(D55,D58,D66)</f>
        <v>2535983</v>
      </c>
      <c r="E54" s="184">
        <f t="shared" si="8"/>
        <v>-12000</v>
      </c>
      <c r="F54" s="72">
        <f t="shared" si="8"/>
        <v>2523983</v>
      </c>
      <c r="G54" s="183">
        <f t="shared" si="8"/>
        <v>0</v>
      </c>
      <c r="H54" s="184">
        <f t="shared" si="8"/>
        <v>0</v>
      </c>
      <c r="I54" s="72">
        <f t="shared" si="8"/>
        <v>0</v>
      </c>
      <c r="J54" s="183">
        <f t="shared" si="8"/>
        <v>0</v>
      </c>
      <c r="K54" s="184">
        <f t="shared" si="8"/>
        <v>0</v>
      </c>
      <c r="L54" s="72">
        <f t="shared" si="8"/>
        <v>0</v>
      </c>
      <c r="M54" s="183">
        <f t="shared" si="8"/>
        <v>0</v>
      </c>
      <c r="N54" s="184">
        <f t="shared" si="8"/>
        <v>0</v>
      </c>
      <c r="O54" s="72">
        <f t="shared" si="8"/>
        <v>0</v>
      </c>
      <c r="P54" s="76"/>
    </row>
    <row r="55" spans="1:16" x14ac:dyDescent="0.25">
      <c r="A55" s="185">
        <v>1110</v>
      </c>
      <c r="B55" s="137" t="s">
        <v>74</v>
      </c>
      <c r="C55" s="142">
        <f t="shared" si="3"/>
        <v>2193999</v>
      </c>
      <c r="D55" s="186">
        <f t="shared" ref="D55:O55" si="9">SUM(D56:D57)</f>
        <v>2205999</v>
      </c>
      <c r="E55" s="187">
        <f t="shared" si="9"/>
        <v>-12000</v>
      </c>
      <c r="F55" s="140">
        <f t="shared" si="9"/>
        <v>2193999</v>
      </c>
      <c r="G55" s="186">
        <f t="shared" si="9"/>
        <v>0</v>
      </c>
      <c r="H55" s="187">
        <f t="shared" si="9"/>
        <v>0</v>
      </c>
      <c r="I55" s="140">
        <f t="shared" si="9"/>
        <v>0</v>
      </c>
      <c r="J55" s="186">
        <f t="shared" si="9"/>
        <v>0</v>
      </c>
      <c r="K55" s="187">
        <f t="shared" si="9"/>
        <v>0</v>
      </c>
      <c r="L55" s="140">
        <f t="shared" si="9"/>
        <v>0</v>
      </c>
      <c r="M55" s="186">
        <f t="shared" si="9"/>
        <v>0</v>
      </c>
      <c r="N55" s="187">
        <f t="shared" si="9"/>
        <v>0</v>
      </c>
      <c r="O55" s="140">
        <f t="shared" si="9"/>
        <v>0</v>
      </c>
      <c r="P55" s="128"/>
    </row>
    <row r="56" spans="1:16" ht="12" hidden="1" customHeight="1" x14ac:dyDescent="0.25">
      <c r="A56" s="44">
        <v>1111</v>
      </c>
      <c r="B56" s="81" t="s">
        <v>75</v>
      </c>
      <c r="C56" s="82">
        <f t="shared" si="3"/>
        <v>0</v>
      </c>
      <c r="D56" s="46">
        <v>0</v>
      </c>
      <c r="E56" s="47"/>
      <c r="F56" s="133">
        <f>D56+E56</f>
        <v>0</v>
      </c>
      <c r="G56" s="46"/>
      <c r="H56" s="47"/>
      <c r="I56" s="133">
        <f>G56+H56</f>
        <v>0</v>
      </c>
      <c r="J56" s="46"/>
      <c r="K56" s="47"/>
      <c r="L56" s="133">
        <f>K56+J56</f>
        <v>0</v>
      </c>
      <c r="M56" s="46"/>
      <c r="N56" s="47"/>
      <c r="O56" s="133">
        <f>N56+M56</f>
        <v>0</v>
      </c>
      <c r="P56" s="49"/>
    </row>
    <row r="57" spans="1:16" ht="24" customHeight="1" x14ac:dyDescent="0.25">
      <c r="A57" s="51">
        <v>1119</v>
      </c>
      <c r="B57" s="88" t="s">
        <v>76</v>
      </c>
      <c r="C57" s="89">
        <f t="shared" si="3"/>
        <v>2193999</v>
      </c>
      <c r="D57" s="53">
        <v>2205999</v>
      </c>
      <c r="E57" s="201">
        <v>-12000</v>
      </c>
      <c r="F57" s="55">
        <f>D57+E57</f>
        <v>2193999</v>
      </c>
      <c r="G57" s="53"/>
      <c r="H57" s="54"/>
      <c r="I57" s="55">
        <f>G57+H57</f>
        <v>0</v>
      </c>
      <c r="J57" s="53"/>
      <c r="K57" s="54"/>
      <c r="L57" s="55">
        <f>K57+J57</f>
        <v>0</v>
      </c>
      <c r="M57" s="53"/>
      <c r="N57" s="54"/>
      <c r="O57" s="55">
        <f>N57+M57</f>
        <v>0</v>
      </c>
      <c r="P57" s="57"/>
    </row>
    <row r="58" spans="1:16" x14ac:dyDescent="0.25">
      <c r="A58" s="188">
        <v>1140</v>
      </c>
      <c r="B58" s="88" t="s">
        <v>77</v>
      </c>
      <c r="C58" s="89">
        <f t="shared" si="3"/>
        <v>269541</v>
      </c>
      <c r="D58" s="189">
        <f t="shared" ref="D58:O58" si="10">SUM(D59:D65)</f>
        <v>269541</v>
      </c>
      <c r="E58" s="190">
        <f t="shared" si="10"/>
        <v>0</v>
      </c>
      <c r="F58" s="55">
        <f t="shared" si="10"/>
        <v>269541</v>
      </c>
      <c r="G58" s="189">
        <f t="shared" si="10"/>
        <v>0</v>
      </c>
      <c r="H58" s="190">
        <f t="shared" si="10"/>
        <v>0</v>
      </c>
      <c r="I58" s="55">
        <f t="shared" si="10"/>
        <v>0</v>
      </c>
      <c r="J58" s="189">
        <f t="shared" si="10"/>
        <v>0</v>
      </c>
      <c r="K58" s="190">
        <f t="shared" si="10"/>
        <v>0</v>
      </c>
      <c r="L58" s="55">
        <f t="shared" si="10"/>
        <v>0</v>
      </c>
      <c r="M58" s="189">
        <f t="shared" si="10"/>
        <v>0</v>
      </c>
      <c r="N58" s="190">
        <f t="shared" si="10"/>
        <v>0</v>
      </c>
      <c r="O58" s="55">
        <f t="shared" si="10"/>
        <v>0</v>
      </c>
      <c r="P58" s="57"/>
    </row>
    <row r="59" spans="1:16" ht="12" hidden="1" customHeight="1" x14ac:dyDescent="0.25">
      <c r="A59" s="51">
        <v>1141</v>
      </c>
      <c r="B59" s="88" t="s">
        <v>78</v>
      </c>
      <c r="C59" s="89">
        <f t="shared" si="3"/>
        <v>0</v>
      </c>
      <c r="D59" s="53">
        <v>0</v>
      </c>
      <c r="E59" s="54"/>
      <c r="F59" s="55">
        <f t="shared" ref="F59:F66" si="11">D59+E59</f>
        <v>0</v>
      </c>
      <c r="G59" s="53"/>
      <c r="H59" s="54"/>
      <c r="I59" s="55">
        <f t="shared" ref="I59:I66" si="12">G59+H59</f>
        <v>0</v>
      </c>
      <c r="J59" s="53"/>
      <c r="K59" s="54"/>
      <c r="L59" s="55">
        <f t="shared" ref="L59:L66" si="13">K59+J59</f>
        <v>0</v>
      </c>
      <c r="M59" s="53"/>
      <c r="N59" s="54"/>
      <c r="O59" s="55">
        <f t="shared" ref="O59:O66" si="14">N59+M59</f>
        <v>0</v>
      </c>
      <c r="P59" s="57"/>
    </row>
    <row r="60" spans="1:16" ht="24.75" customHeight="1" x14ac:dyDescent="0.25">
      <c r="A60" s="51">
        <v>1142</v>
      </c>
      <c r="B60" s="88" t="s">
        <v>79</v>
      </c>
      <c r="C60" s="89">
        <f t="shared" si="3"/>
        <v>15000</v>
      </c>
      <c r="D60" s="53">
        <v>15000</v>
      </c>
      <c r="E60" s="54"/>
      <c r="F60" s="55">
        <f t="shared" si="11"/>
        <v>15000</v>
      </c>
      <c r="G60" s="53"/>
      <c r="H60" s="54"/>
      <c r="I60" s="55">
        <f t="shared" si="12"/>
        <v>0</v>
      </c>
      <c r="J60" s="53"/>
      <c r="K60" s="54"/>
      <c r="L60" s="55">
        <f t="shared" si="13"/>
        <v>0</v>
      </c>
      <c r="M60" s="53"/>
      <c r="N60" s="54"/>
      <c r="O60" s="55">
        <f t="shared" si="14"/>
        <v>0</v>
      </c>
      <c r="P60" s="57"/>
    </row>
    <row r="61" spans="1:16" ht="24" hidden="1" customHeight="1" x14ac:dyDescent="0.25">
      <c r="A61" s="51">
        <v>1145</v>
      </c>
      <c r="B61" s="88" t="s">
        <v>80</v>
      </c>
      <c r="C61" s="89">
        <f t="shared" si="3"/>
        <v>0</v>
      </c>
      <c r="D61" s="53">
        <v>0</v>
      </c>
      <c r="E61" s="54"/>
      <c r="F61" s="55">
        <f t="shared" si="11"/>
        <v>0</v>
      </c>
      <c r="G61" s="53"/>
      <c r="H61" s="54"/>
      <c r="I61" s="55">
        <f t="shared" si="12"/>
        <v>0</v>
      </c>
      <c r="J61" s="53"/>
      <c r="K61" s="54"/>
      <c r="L61" s="55">
        <f t="shared" si="13"/>
        <v>0</v>
      </c>
      <c r="M61" s="53"/>
      <c r="N61" s="54"/>
      <c r="O61" s="55">
        <f t="shared" si="14"/>
        <v>0</v>
      </c>
      <c r="P61" s="57"/>
    </row>
    <row r="62" spans="1:16" ht="27.75" customHeight="1" x14ac:dyDescent="0.25">
      <c r="A62" s="51">
        <v>1146</v>
      </c>
      <c r="B62" s="88" t="s">
        <v>81</v>
      </c>
      <c r="C62" s="89">
        <f t="shared" si="3"/>
        <v>45000</v>
      </c>
      <c r="D62" s="53">
        <v>45000</v>
      </c>
      <c r="E62" s="54"/>
      <c r="F62" s="55">
        <f t="shared" si="11"/>
        <v>45000</v>
      </c>
      <c r="G62" s="53"/>
      <c r="H62" s="54"/>
      <c r="I62" s="55">
        <f t="shared" si="12"/>
        <v>0</v>
      </c>
      <c r="J62" s="53"/>
      <c r="K62" s="54"/>
      <c r="L62" s="55">
        <f t="shared" si="13"/>
        <v>0</v>
      </c>
      <c r="M62" s="53"/>
      <c r="N62" s="54"/>
      <c r="O62" s="55">
        <f t="shared" si="14"/>
        <v>0</v>
      </c>
      <c r="P62" s="57"/>
    </row>
    <row r="63" spans="1:16" ht="12" customHeight="1" x14ac:dyDescent="0.25">
      <c r="A63" s="51">
        <v>1147</v>
      </c>
      <c r="B63" s="88" t="s">
        <v>82</v>
      </c>
      <c r="C63" s="89">
        <f t="shared" si="3"/>
        <v>54415</v>
      </c>
      <c r="D63" s="53">
        <v>54415</v>
      </c>
      <c r="E63" s="54"/>
      <c r="F63" s="55">
        <f t="shared" si="11"/>
        <v>54415</v>
      </c>
      <c r="G63" s="53"/>
      <c r="H63" s="54"/>
      <c r="I63" s="55">
        <f t="shared" si="12"/>
        <v>0</v>
      </c>
      <c r="J63" s="53"/>
      <c r="K63" s="54"/>
      <c r="L63" s="55">
        <f t="shared" si="13"/>
        <v>0</v>
      </c>
      <c r="M63" s="53"/>
      <c r="N63" s="54"/>
      <c r="O63" s="55">
        <f t="shared" si="14"/>
        <v>0</v>
      </c>
      <c r="P63" s="57"/>
    </row>
    <row r="64" spans="1:16" ht="12" customHeight="1" x14ac:dyDescent="0.25">
      <c r="A64" s="51">
        <v>1148</v>
      </c>
      <c r="B64" s="88" t="s">
        <v>83</v>
      </c>
      <c r="C64" s="89">
        <f t="shared" si="3"/>
        <v>155126</v>
      </c>
      <c r="D64" s="53">
        <v>155126</v>
      </c>
      <c r="E64" s="54"/>
      <c r="F64" s="55">
        <f t="shared" si="11"/>
        <v>155126</v>
      </c>
      <c r="G64" s="53"/>
      <c r="H64" s="54"/>
      <c r="I64" s="55">
        <f t="shared" si="12"/>
        <v>0</v>
      </c>
      <c r="J64" s="53"/>
      <c r="K64" s="54"/>
      <c r="L64" s="55">
        <f t="shared" si="13"/>
        <v>0</v>
      </c>
      <c r="M64" s="53"/>
      <c r="N64" s="54"/>
      <c r="O64" s="55">
        <f t="shared" si="14"/>
        <v>0</v>
      </c>
      <c r="P64" s="57"/>
    </row>
    <row r="65" spans="1:16" ht="24" hidden="1" customHeight="1" x14ac:dyDescent="0.25">
      <c r="A65" s="51">
        <v>1149</v>
      </c>
      <c r="B65" s="88" t="s">
        <v>84</v>
      </c>
      <c r="C65" s="89">
        <f t="shared" si="3"/>
        <v>0</v>
      </c>
      <c r="D65" s="53">
        <v>0</v>
      </c>
      <c r="E65" s="54"/>
      <c r="F65" s="55">
        <f t="shared" si="11"/>
        <v>0</v>
      </c>
      <c r="G65" s="53"/>
      <c r="H65" s="54"/>
      <c r="I65" s="55">
        <f t="shared" si="12"/>
        <v>0</v>
      </c>
      <c r="J65" s="53"/>
      <c r="K65" s="54"/>
      <c r="L65" s="55">
        <f t="shared" si="13"/>
        <v>0</v>
      </c>
      <c r="M65" s="53"/>
      <c r="N65" s="54"/>
      <c r="O65" s="55">
        <f t="shared" si="14"/>
        <v>0</v>
      </c>
      <c r="P65" s="57"/>
    </row>
    <row r="66" spans="1:16" ht="36" customHeight="1" x14ac:dyDescent="0.25">
      <c r="A66" s="185">
        <v>1150</v>
      </c>
      <c r="B66" s="137" t="s">
        <v>85</v>
      </c>
      <c r="C66" s="142">
        <f t="shared" si="3"/>
        <v>60443</v>
      </c>
      <c r="D66" s="143">
        <v>60443</v>
      </c>
      <c r="E66" s="144"/>
      <c r="F66" s="140">
        <f t="shared" si="11"/>
        <v>60443</v>
      </c>
      <c r="G66" s="143"/>
      <c r="H66" s="144"/>
      <c r="I66" s="140">
        <f t="shared" si="12"/>
        <v>0</v>
      </c>
      <c r="J66" s="143"/>
      <c r="K66" s="144"/>
      <c r="L66" s="140">
        <f t="shared" si="13"/>
        <v>0</v>
      </c>
      <c r="M66" s="143"/>
      <c r="N66" s="144"/>
      <c r="O66" s="140">
        <f t="shared" si="14"/>
        <v>0</v>
      </c>
      <c r="P66" s="128"/>
    </row>
    <row r="67" spans="1:16" ht="24" x14ac:dyDescent="0.25">
      <c r="A67" s="68">
        <v>1200</v>
      </c>
      <c r="B67" s="182" t="s">
        <v>86</v>
      </c>
      <c r="C67" s="69">
        <f t="shared" si="3"/>
        <v>760344</v>
      </c>
      <c r="D67" s="183">
        <f t="shared" ref="D67:O67" si="15">SUM(D68:D69)</f>
        <v>768344</v>
      </c>
      <c r="E67" s="184">
        <f t="shared" si="15"/>
        <v>-8000</v>
      </c>
      <c r="F67" s="72">
        <f t="shared" si="15"/>
        <v>760344</v>
      </c>
      <c r="G67" s="183">
        <f t="shared" si="15"/>
        <v>0</v>
      </c>
      <c r="H67" s="184">
        <f t="shared" si="15"/>
        <v>0</v>
      </c>
      <c r="I67" s="72">
        <f t="shared" si="15"/>
        <v>0</v>
      </c>
      <c r="J67" s="183">
        <f t="shared" si="15"/>
        <v>0</v>
      </c>
      <c r="K67" s="184">
        <f t="shared" si="15"/>
        <v>0</v>
      </c>
      <c r="L67" s="72">
        <f t="shared" si="15"/>
        <v>0</v>
      </c>
      <c r="M67" s="183">
        <f t="shared" si="15"/>
        <v>0</v>
      </c>
      <c r="N67" s="184">
        <f t="shared" si="15"/>
        <v>0</v>
      </c>
      <c r="O67" s="72">
        <f t="shared" si="15"/>
        <v>0</v>
      </c>
      <c r="P67" s="76"/>
    </row>
    <row r="68" spans="1:16" ht="24" customHeight="1" x14ac:dyDescent="0.25">
      <c r="A68" s="1095">
        <v>1210</v>
      </c>
      <c r="B68" s="81" t="s">
        <v>87</v>
      </c>
      <c r="C68" s="82">
        <f t="shared" si="3"/>
        <v>611935</v>
      </c>
      <c r="D68" s="46">
        <v>619935</v>
      </c>
      <c r="E68" s="743">
        <v>-8000</v>
      </c>
      <c r="F68" s="133">
        <f>D68+E68</f>
        <v>611935</v>
      </c>
      <c r="G68" s="46"/>
      <c r="H68" s="47"/>
      <c r="I68" s="133">
        <f>G68+H68</f>
        <v>0</v>
      </c>
      <c r="J68" s="46"/>
      <c r="K68" s="47"/>
      <c r="L68" s="133">
        <f>K68+J68</f>
        <v>0</v>
      </c>
      <c r="M68" s="46"/>
      <c r="N68" s="47"/>
      <c r="O68" s="133">
        <f>N68+M68</f>
        <v>0</v>
      </c>
      <c r="P68" s="49"/>
    </row>
    <row r="69" spans="1:16" ht="24" x14ac:dyDescent="0.25">
      <c r="A69" s="188">
        <v>1220</v>
      </c>
      <c r="B69" s="88" t="s">
        <v>88</v>
      </c>
      <c r="C69" s="89">
        <f t="shared" si="3"/>
        <v>148409</v>
      </c>
      <c r="D69" s="189">
        <f t="shared" ref="D69:O69" si="16">SUM(D70:D74)</f>
        <v>148409</v>
      </c>
      <c r="E69" s="190">
        <f t="shared" si="16"/>
        <v>0</v>
      </c>
      <c r="F69" s="55">
        <f t="shared" si="16"/>
        <v>148409</v>
      </c>
      <c r="G69" s="189">
        <f t="shared" si="16"/>
        <v>0</v>
      </c>
      <c r="H69" s="190">
        <f t="shared" si="16"/>
        <v>0</v>
      </c>
      <c r="I69" s="55">
        <f t="shared" si="16"/>
        <v>0</v>
      </c>
      <c r="J69" s="189">
        <f t="shared" si="16"/>
        <v>0</v>
      </c>
      <c r="K69" s="190">
        <f t="shared" si="16"/>
        <v>0</v>
      </c>
      <c r="L69" s="55">
        <f t="shared" si="16"/>
        <v>0</v>
      </c>
      <c r="M69" s="189">
        <f t="shared" si="16"/>
        <v>0</v>
      </c>
      <c r="N69" s="190">
        <f t="shared" si="16"/>
        <v>0</v>
      </c>
      <c r="O69" s="55">
        <f t="shared" si="16"/>
        <v>0</v>
      </c>
      <c r="P69" s="57"/>
    </row>
    <row r="70" spans="1:16" ht="48" customHeight="1" x14ac:dyDescent="0.25">
      <c r="A70" s="51">
        <v>1221</v>
      </c>
      <c r="B70" s="88" t="s">
        <v>89</v>
      </c>
      <c r="C70" s="89">
        <f t="shared" si="3"/>
        <v>119055</v>
      </c>
      <c r="D70" s="53">
        <v>119055</v>
      </c>
      <c r="E70" s="54"/>
      <c r="F70" s="55">
        <f>D70+E70</f>
        <v>119055</v>
      </c>
      <c r="G70" s="53"/>
      <c r="H70" s="54"/>
      <c r="I70" s="55">
        <f>G70+H70</f>
        <v>0</v>
      </c>
      <c r="J70" s="53"/>
      <c r="K70" s="54"/>
      <c r="L70" s="55">
        <f>K70+J70</f>
        <v>0</v>
      </c>
      <c r="M70" s="53"/>
      <c r="N70" s="54"/>
      <c r="O70" s="55">
        <f>N70+M70</f>
        <v>0</v>
      </c>
      <c r="P70" s="57"/>
    </row>
    <row r="71" spans="1:16" ht="12" customHeight="1" x14ac:dyDescent="0.25">
      <c r="A71" s="51">
        <v>1223</v>
      </c>
      <c r="B71" s="88" t="s">
        <v>90</v>
      </c>
      <c r="C71" s="89">
        <f t="shared" si="3"/>
        <v>1394</v>
      </c>
      <c r="D71" s="53">
        <v>1394</v>
      </c>
      <c r="E71" s="54"/>
      <c r="F71" s="55">
        <f>D71+E71</f>
        <v>1394</v>
      </c>
      <c r="G71" s="53"/>
      <c r="H71" s="54"/>
      <c r="I71" s="55">
        <f>G71+H71</f>
        <v>0</v>
      </c>
      <c r="J71" s="53"/>
      <c r="K71" s="54"/>
      <c r="L71" s="55">
        <f>K71+J71</f>
        <v>0</v>
      </c>
      <c r="M71" s="53"/>
      <c r="N71" s="54"/>
      <c r="O71" s="55">
        <f>N71+M71</f>
        <v>0</v>
      </c>
      <c r="P71" s="57"/>
    </row>
    <row r="72" spans="1:16" ht="24" hidden="1" customHeight="1" x14ac:dyDescent="0.25">
      <c r="A72" s="51">
        <v>1225</v>
      </c>
      <c r="B72" s="88" t="s">
        <v>91</v>
      </c>
      <c r="C72" s="89">
        <f t="shared" si="3"/>
        <v>0</v>
      </c>
      <c r="D72" s="53">
        <v>0</v>
      </c>
      <c r="E72" s="54"/>
      <c r="F72" s="55">
        <f>D72+E72</f>
        <v>0</v>
      </c>
      <c r="G72" s="53"/>
      <c r="H72" s="54"/>
      <c r="I72" s="55">
        <f>G72+H72</f>
        <v>0</v>
      </c>
      <c r="J72" s="53"/>
      <c r="K72" s="54"/>
      <c r="L72" s="55">
        <f>K72+J72</f>
        <v>0</v>
      </c>
      <c r="M72" s="53"/>
      <c r="N72" s="54"/>
      <c r="O72" s="55">
        <f>N72+M72</f>
        <v>0</v>
      </c>
      <c r="P72" s="57"/>
    </row>
    <row r="73" spans="1:16" ht="36" customHeight="1" x14ac:dyDescent="0.25">
      <c r="A73" s="51">
        <v>1227</v>
      </c>
      <c r="B73" s="88" t="s">
        <v>92</v>
      </c>
      <c r="C73" s="89">
        <f t="shared" si="3"/>
        <v>27960</v>
      </c>
      <c r="D73" s="53">
        <v>27960</v>
      </c>
      <c r="E73" s="54"/>
      <c r="F73" s="55">
        <f>D73+E73</f>
        <v>27960</v>
      </c>
      <c r="G73" s="53"/>
      <c r="H73" s="54"/>
      <c r="I73" s="55">
        <f>G73+H73</f>
        <v>0</v>
      </c>
      <c r="J73" s="53"/>
      <c r="K73" s="54"/>
      <c r="L73" s="55">
        <f>K73+J73</f>
        <v>0</v>
      </c>
      <c r="M73" s="53"/>
      <c r="N73" s="54"/>
      <c r="O73" s="55">
        <f>N73+M73</f>
        <v>0</v>
      </c>
      <c r="P73" s="57"/>
    </row>
    <row r="74" spans="1:16" ht="48" hidden="1" customHeight="1" x14ac:dyDescent="0.25">
      <c r="A74" s="51">
        <v>1228</v>
      </c>
      <c r="B74" s="88" t="s">
        <v>93</v>
      </c>
      <c r="C74" s="89">
        <f t="shared" si="3"/>
        <v>0</v>
      </c>
      <c r="D74" s="53">
        <v>0</v>
      </c>
      <c r="E74" s="54"/>
      <c r="F74" s="55">
        <f>D74+E74</f>
        <v>0</v>
      </c>
      <c r="G74" s="53"/>
      <c r="H74" s="54"/>
      <c r="I74" s="55">
        <f>G74+H74</f>
        <v>0</v>
      </c>
      <c r="J74" s="53"/>
      <c r="K74" s="54"/>
      <c r="L74" s="55">
        <f>K74+J74</f>
        <v>0</v>
      </c>
      <c r="M74" s="53"/>
      <c r="N74" s="54"/>
      <c r="O74" s="55">
        <f>N74+M74</f>
        <v>0</v>
      </c>
      <c r="P74" s="57"/>
    </row>
    <row r="75" spans="1:16" x14ac:dyDescent="0.25">
      <c r="A75" s="176">
        <v>2000</v>
      </c>
      <c r="B75" s="176" t="s">
        <v>94</v>
      </c>
      <c r="C75" s="177">
        <f t="shared" si="3"/>
        <v>20807</v>
      </c>
      <c r="D75" s="178">
        <f t="shared" ref="D75:O75" si="17">SUM(D76,D83,D130,D164,D165,D172)</f>
        <v>20807</v>
      </c>
      <c r="E75" s="179">
        <f t="shared" si="17"/>
        <v>0</v>
      </c>
      <c r="F75" s="180">
        <f t="shared" si="17"/>
        <v>20807</v>
      </c>
      <c r="G75" s="178">
        <f t="shared" si="17"/>
        <v>0</v>
      </c>
      <c r="H75" s="179">
        <f t="shared" si="17"/>
        <v>0</v>
      </c>
      <c r="I75" s="180">
        <f t="shared" si="17"/>
        <v>0</v>
      </c>
      <c r="J75" s="178">
        <f t="shared" si="17"/>
        <v>0</v>
      </c>
      <c r="K75" s="179">
        <f t="shared" si="17"/>
        <v>0</v>
      </c>
      <c r="L75" s="180">
        <f t="shared" si="17"/>
        <v>0</v>
      </c>
      <c r="M75" s="178">
        <f t="shared" si="17"/>
        <v>0</v>
      </c>
      <c r="N75" s="179">
        <f t="shared" si="17"/>
        <v>0</v>
      </c>
      <c r="O75" s="180">
        <f t="shared" si="17"/>
        <v>0</v>
      </c>
      <c r="P75" s="181"/>
    </row>
    <row r="76" spans="1:16" ht="24" hidden="1" x14ac:dyDescent="0.25">
      <c r="A76" s="68">
        <v>2100</v>
      </c>
      <c r="B76" s="182" t="s">
        <v>95</v>
      </c>
      <c r="C76" s="69">
        <f t="shared" si="3"/>
        <v>0</v>
      </c>
      <c r="D76" s="183">
        <f t="shared" ref="D76:O76" si="18">SUM(D77,D80)</f>
        <v>0</v>
      </c>
      <c r="E76" s="184">
        <f t="shared" si="18"/>
        <v>0</v>
      </c>
      <c r="F76" s="72">
        <f t="shared" si="18"/>
        <v>0</v>
      </c>
      <c r="G76" s="183">
        <f t="shared" si="18"/>
        <v>0</v>
      </c>
      <c r="H76" s="184">
        <f t="shared" si="18"/>
        <v>0</v>
      </c>
      <c r="I76" s="72">
        <f t="shared" si="18"/>
        <v>0</v>
      </c>
      <c r="J76" s="183">
        <f t="shared" si="18"/>
        <v>0</v>
      </c>
      <c r="K76" s="184">
        <f t="shared" si="18"/>
        <v>0</v>
      </c>
      <c r="L76" s="72">
        <f t="shared" si="18"/>
        <v>0</v>
      </c>
      <c r="M76" s="183">
        <f t="shared" si="18"/>
        <v>0</v>
      </c>
      <c r="N76" s="184">
        <f t="shared" si="18"/>
        <v>0</v>
      </c>
      <c r="O76" s="72">
        <f t="shared" si="18"/>
        <v>0</v>
      </c>
      <c r="P76" s="76"/>
    </row>
    <row r="77" spans="1:16" ht="24" hidden="1" x14ac:dyDescent="0.25">
      <c r="A77" s="1095">
        <v>2110</v>
      </c>
      <c r="B77" s="81" t="s">
        <v>96</v>
      </c>
      <c r="C77" s="82">
        <f t="shared" si="3"/>
        <v>0</v>
      </c>
      <c r="D77" s="192">
        <f t="shared" ref="D77:O77" si="19">SUM(D78:D79)</f>
        <v>0</v>
      </c>
      <c r="E77" s="193">
        <f t="shared" si="19"/>
        <v>0</v>
      </c>
      <c r="F77" s="133">
        <f t="shared" si="19"/>
        <v>0</v>
      </c>
      <c r="G77" s="192">
        <f t="shared" si="19"/>
        <v>0</v>
      </c>
      <c r="H77" s="193">
        <f t="shared" si="19"/>
        <v>0</v>
      </c>
      <c r="I77" s="133">
        <f t="shared" si="19"/>
        <v>0</v>
      </c>
      <c r="J77" s="192">
        <f t="shared" si="19"/>
        <v>0</v>
      </c>
      <c r="K77" s="193">
        <f t="shared" si="19"/>
        <v>0</v>
      </c>
      <c r="L77" s="133">
        <f t="shared" si="19"/>
        <v>0</v>
      </c>
      <c r="M77" s="192">
        <f t="shared" si="19"/>
        <v>0</v>
      </c>
      <c r="N77" s="193">
        <f t="shared" si="19"/>
        <v>0</v>
      </c>
      <c r="O77" s="133">
        <f t="shared" si="19"/>
        <v>0</v>
      </c>
      <c r="P77" s="49"/>
    </row>
    <row r="78" spans="1:16" ht="12" hidden="1" customHeight="1" x14ac:dyDescent="0.25">
      <c r="A78" s="51">
        <v>2111</v>
      </c>
      <c r="B78" s="88" t="s">
        <v>97</v>
      </c>
      <c r="C78" s="89">
        <f t="shared" si="3"/>
        <v>0</v>
      </c>
      <c r="D78" s="194">
        <v>0</v>
      </c>
      <c r="E78" s="195"/>
      <c r="F78" s="55">
        <f>D78+E78</f>
        <v>0</v>
      </c>
      <c r="G78" s="53"/>
      <c r="H78" s="54"/>
      <c r="I78" s="55">
        <f>G78+H78</f>
        <v>0</v>
      </c>
      <c r="J78" s="53"/>
      <c r="K78" s="54"/>
      <c r="L78" s="55">
        <f>K78+J78</f>
        <v>0</v>
      </c>
      <c r="M78" s="53"/>
      <c r="N78" s="54"/>
      <c r="O78" s="55">
        <f>N78+M78</f>
        <v>0</v>
      </c>
      <c r="P78" s="57"/>
    </row>
    <row r="79" spans="1:16" ht="24" hidden="1" customHeight="1" x14ac:dyDescent="0.25">
      <c r="A79" s="51">
        <v>2112</v>
      </c>
      <c r="B79" s="88" t="s">
        <v>98</v>
      </c>
      <c r="C79" s="89">
        <f t="shared" si="3"/>
        <v>0</v>
      </c>
      <c r="D79" s="194">
        <v>0</v>
      </c>
      <c r="E79" s="195"/>
      <c r="F79" s="55">
        <f>D79+E79</f>
        <v>0</v>
      </c>
      <c r="G79" s="53"/>
      <c r="H79" s="54"/>
      <c r="I79" s="55">
        <f>G79+H79</f>
        <v>0</v>
      </c>
      <c r="J79" s="53"/>
      <c r="K79" s="54"/>
      <c r="L79" s="55">
        <f>K79+J79</f>
        <v>0</v>
      </c>
      <c r="M79" s="53"/>
      <c r="N79" s="54"/>
      <c r="O79" s="55">
        <f>N79+M79</f>
        <v>0</v>
      </c>
      <c r="P79" s="57"/>
    </row>
    <row r="80" spans="1:16" ht="24" hidden="1" x14ac:dyDescent="0.25">
      <c r="A80" s="188">
        <v>2120</v>
      </c>
      <c r="B80" s="88" t="s">
        <v>99</v>
      </c>
      <c r="C80" s="89">
        <f t="shared" si="3"/>
        <v>0</v>
      </c>
      <c r="D80" s="189">
        <f t="shared" ref="D80:O80" si="20">SUM(D81:D82)</f>
        <v>0</v>
      </c>
      <c r="E80" s="190">
        <f t="shared" si="20"/>
        <v>0</v>
      </c>
      <c r="F80" s="55">
        <f t="shared" si="20"/>
        <v>0</v>
      </c>
      <c r="G80" s="189">
        <f t="shared" si="20"/>
        <v>0</v>
      </c>
      <c r="H80" s="190">
        <f t="shared" si="20"/>
        <v>0</v>
      </c>
      <c r="I80" s="55">
        <f t="shared" si="20"/>
        <v>0</v>
      </c>
      <c r="J80" s="189">
        <f t="shared" si="20"/>
        <v>0</v>
      </c>
      <c r="K80" s="190">
        <f t="shared" si="20"/>
        <v>0</v>
      </c>
      <c r="L80" s="55">
        <f t="shared" si="20"/>
        <v>0</v>
      </c>
      <c r="M80" s="189">
        <f t="shared" si="20"/>
        <v>0</v>
      </c>
      <c r="N80" s="190">
        <f t="shared" si="20"/>
        <v>0</v>
      </c>
      <c r="O80" s="55">
        <f t="shared" si="20"/>
        <v>0</v>
      </c>
      <c r="P80" s="57"/>
    </row>
    <row r="81" spans="1:16" ht="12" hidden="1" customHeight="1" x14ac:dyDescent="0.25">
      <c r="A81" s="51">
        <v>2121</v>
      </c>
      <c r="B81" s="88" t="s">
        <v>97</v>
      </c>
      <c r="C81" s="89">
        <f t="shared" si="3"/>
        <v>0</v>
      </c>
      <c r="D81" s="194">
        <v>0</v>
      </c>
      <c r="E81" s="195"/>
      <c r="F81" s="55">
        <f>D81+E81</f>
        <v>0</v>
      </c>
      <c r="G81" s="53"/>
      <c r="H81" s="54"/>
      <c r="I81" s="55">
        <f>G81+H81</f>
        <v>0</v>
      </c>
      <c r="J81" s="53"/>
      <c r="K81" s="54"/>
      <c r="L81" s="55">
        <f>K81+J81</f>
        <v>0</v>
      </c>
      <c r="M81" s="53"/>
      <c r="N81" s="54"/>
      <c r="O81" s="55">
        <f>N81+M81</f>
        <v>0</v>
      </c>
      <c r="P81" s="57"/>
    </row>
    <row r="82" spans="1:16" ht="24" hidden="1" customHeight="1" x14ac:dyDescent="0.25">
      <c r="A82" s="51">
        <v>2122</v>
      </c>
      <c r="B82" s="88" t="s">
        <v>98</v>
      </c>
      <c r="C82" s="89">
        <f t="shared" si="3"/>
        <v>0</v>
      </c>
      <c r="D82" s="194">
        <v>0</v>
      </c>
      <c r="E82" s="195"/>
      <c r="F82" s="55">
        <f>D82+E82</f>
        <v>0</v>
      </c>
      <c r="G82" s="53"/>
      <c r="H82" s="54"/>
      <c r="I82" s="55">
        <f>G82+H82</f>
        <v>0</v>
      </c>
      <c r="J82" s="53"/>
      <c r="K82" s="54"/>
      <c r="L82" s="55">
        <f>K82+J82</f>
        <v>0</v>
      </c>
      <c r="M82" s="53"/>
      <c r="N82" s="54"/>
      <c r="O82" s="55">
        <f>N82+M82</f>
        <v>0</v>
      </c>
      <c r="P82" s="57"/>
    </row>
    <row r="83" spans="1:16" x14ac:dyDescent="0.25">
      <c r="A83" s="68">
        <v>2200</v>
      </c>
      <c r="B83" s="182" t="s">
        <v>100</v>
      </c>
      <c r="C83" s="69">
        <f t="shared" si="3"/>
        <v>2907</v>
      </c>
      <c r="D83" s="183">
        <f t="shared" ref="D83:O83" si="21">SUM(D84,D89,D95,D103,D112,D116,D122,D128)</f>
        <v>2907</v>
      </c>
      <c r="E83" s="184">
        <f t="shared" si="21"/>
        <v>0</v>
      </c>
      <c r="F83" s="72">
        <f t="shared" si="21"/>
        <v>2907</v>
      </c>
      <c r="G83" s="183">
        <f t="shared" si="21"/>
        <v>0</v>
      </c>
      <c r="H83" s="184">
        <f t="shared" si="21"/>
        <v>0</v>
      </c>
      <c r="I83" s="72">
        <f t="shared" si="21"/>
        <v>0</v>
      </c>
      <c r="J83" s="183">
        <f t="shared" si="21"/>
        <v>0</v>
      </c>
      <c r="K83" s="184">
        <f t="shared" si="21"/>
        <v>0</v>
      </c>
      <c r="L83" s="72">
        <f t="shared" si="21"/>
        <v>0</v>
      </c>
      <c r="M83" s="183">
        <f t="shared" si="21"/>
        <v>0</v>
      </c>
      <c r="N83" s="184">
        <f t="shared" si="21"/>
        <v>0</v>
      </c>
      <c r="O83" s="72">
        <f t="shared" si="21"/>
        <v>0</v>
      </c>
      <c r="P83" s="76"/>
    </row>
    <row r="84" spans="1:16" x14ac:dyDescent="0.25">
      <c r="A84" s="185">
        <v>2210</v>
      </c>
      <c r="B84" s="137" t="s">
        <v>101</v>
      </c>
      <c r="C84" s="142">
        <f t="shared" si="3"/>
        <v>1782</v>
      </c>
      <c r="D84" s="186">
        <f t="shared" ref="D84:O84" si="22">SUM(D85:D88)</f>
        <v>1782</v>
      </c>
      <c r="E84" s="187">
        <f t="shared" si="22"/>
        <v>0</v>
      </c>
      <c r="F84" s="140">
        <f t="shared" si="22"/>
        <v>1782</v>
      </c>
      <c r="G84" s="186">
        <f t="shared" si="22"/>
        <v>0</v>
      </c>
      <c r="H84" s="187">
        <f t="shared" si="22"/>
        <v>0</v>
      </c>
      <c r="I84" s="140">
        <f t="shared" si="22"/>
        <v>0</v>
      </c>
      <c r="J84" s="186">
        <f t="shared" si="22"/>
        <v>0</v>
      </c>
      <c r="K84" s="187">
        <f t="shared" si="22"/>
        <v>0</v>
      </c>
      <c r="L84" s="140">
        <f t="shared" si="22"/>
        <v>0</v>
      </c>
      <c r="M84" s="186">
        <f t="shared" si="22"/>
        <v>0</v>
      </c>
      <c r="N84" s="187">
        <f t="shared" si="22"/>
        <v>0</v>
      </c>
      <c r="O84" s="140">
        <f t="shared" si="22"/>
        <v>0</v>
      </c>
      <c r="P84" s="128"/>
    </row>
    <row r="85" spans="1:16" ht="24" hidden="1" customHeight="1" x14ac:dyDescent="0.25">
      <c r="A85" s="44">
        <v>2211</v>
      </c>
      <c r="B85" s="81" t="s">
        <v>102</v>
      </c>
      <c r="C85" s="82">
        <f t="shared" si="3"/>
        <v>0</v>
      </c>
      <c r="D85" s="196">
        <v>0</v>
      </c>
      <c r="E85" s="197"/>
      <c r="F85" s="133">
        <f>D85+E85</f>
        <v>0</v>
      </c>
      <c r="G85" s="46"/>
      <c r="H85" s="47"/>
      <c r="I85" s="133">
        <f>G85+H85</f>
        <v>0</v>
      </c>
      <c r="J85" s="46"/>
      <c r="K85" s="47"/>
      <c r="L85" s="133">
        <f>K85+J85</f>
        <v>0</v>
      </c>
      <c r="M85" s="46"/>
      <c r="N85" s="47"/>
      <c r="O85" s="133">
        <f>N85+M85</f>
        <v>0</v>
      </c>
      <c r="P85" s="49"/>
    </row>
    <row r="86" spans="1:16" ht="36" hidden="1" customHeight="1" x14ac:dyDescent="0.25">
      <c r="A86" s="51">
        <v>2212</v>
      </c>
      <c r="B86" s="88" t="s">
        <v>103</v>
      </c>
      <c r="C86" s="89">
        <f t="shared" si="3"/>
        <v>0</v>
      </c>
      <c r="D86" s="194">
        <v>0</v>
      </c>
      <c r="E86" s="195"/>
      <c r="F86" s="55">
        <f>D86+E86</f>
        <v>0</v>
      </c>
      <c r="G86" s="53"/>
      <c r="H86" s="54"/>
      <c r="I86" s="55">
        <f>G86+H86</f>
        <v>0</v>
      </c>
      <c r="J86" s="53"/>
      <c r="K86" s="54"/>
      <c r="L86" s="55">
        <f>K86+J86</f>
        <v>0</v>
      </c>
      <c r="M86" s="53"/>
      <c r="N86" s="54"/>
      <c r="O86" s="55">
        <f>N86+M86</f>
        <v>0</v>
      </c>
      <c r="P86" s="57"/>
    </row>
    <row r="87" spans="1:16" ht="24" hidden="1" customHeight="1" x14ac:dyDescent="0.25">
      <c r="A87" s="51">
        <v>2214</v>
      </c>
      <c r="B87" s="88" t="s">
        <v>104</v>
      </c>
      <c r="C87" s="89">
        <f t="shared" si="3"/>
        <v>0</v>
      </c>
      <c r="D87" s="194">
        <v>0</v>
      </c>
      <c r="E87" s="195"/>
      <c r="F87" s="55">
        <f>D87+E87</f>
        <v>0</v>
      </c>
      <c r="G87" s="53"/>
      <c r="H87" s="54"/>
      <c r="I87" s="55">
        <f>G87+H87</f>
        <v>0</v>
      </c>
      <c r="J87" s="53"/>
      <c r="K87" s="54"/>
      <c r="L87" s="55">
        <f>K87+J87</f>
        <v>0</v>
      </c>
      <c r="M87" s="53"/>
      <c r="N87" s="54"/>
      <c r="O87" s="55">
        <f>N87+M87</f>
        <v>0</v>
      </c>
      <c r="P87" s="57"/>
    </row>
    <row r="88" spans="1:16" ht="12" customHeight="1" x14ac:dyDescent="0.25">
      <c r="A88" s="51">
        <v>2219</v>
      </c>
      <c r="B88" s="88" t="s">
        <v>105</v>
      </c>
      <c r="C88" s="89">
        <f t="shared" si="3"/>
        <v>1782</v>
      </c>
      <c r="D88" s="194">
        <v>1782</v>
      </c>
      <c r="E88" s="195"/>
      <c r="F88" s="55">
        <f>D88+E88</f>
        <v>1782</v>
      </c>
      <c r="G88" s="53"/>
      <c r="H88" s="54"/>
      <c r="I88" s="55">
        <f>G88+H88</f>
        <v>0</v>
      </c>
      <c r="J88" s="53"/>
      <c r="K88" s="54"/>
      <c r="L88" s="55">
        <f>K88+J88</f>
        <v>0</v>
      </c>
      <c r="M88" s="53"/>
      <c r="N88" s="54"/>
      <c r="O88" s="55">
        <f>N88+M88</f>
        <v>0</v>
      </c>
      <c r="P88" s="57"/>
    </row>
    <row r="89" spans="1:16" ht="24" hidden="1" x14ac:dyDescent="0.25">
      <c r="A89" s="188">
        <v>2220</v>
      </c>
      <c r="B89" s="88" t="s">
        <v>106</v>
      </c>
      <c r="C89" s="89">
        <f t="shared" si="3"/>
        <v>0</v>
      </c>
      <c r="D89" s="189">
        <f t="shared" ref="D89:O89" si="23">SUM(D90:D94)</f>
        <v>0</v>
      </c>
      <c r="E89" s="190">
        <f t="shared" si="23"/>
        <v>0</v>
      </c>
      <c r="F89" s="55">
        <f t="shared" si="23"/>
        <v>0</v>
      </c>
      <c r="G89" s="189">
        <f t="shared" si="23"/>
        <v>0</v>
      </c>
      <c r="H89" s="190">
        <f t="shared" si="23"/>
        <v>0</v>
      </c>
      <c r="I89" s="55">
        <f t="shared" si="23"/>
        <v>0</v>
      </c>
      <c r="J89" s="189">
        <f t="shared" si="23"/>
        <v>0</v>
      </c>
      <c r="K89" s="190">
        <f t="shared" si="23"/>
        <v>0</v>
      </c>
      <c r="L89" s="55">
        <f t="shared" si="23"/>
        <v>0</v>
      </c>
      <c r="M89" s="189">
        <f t="shared" si="23"/>
        <v>0</v>
      </c>
      <c r="N89" s="190">
        <f t="shared" si="23"/>
        <v>0</v>
      </c>
      <c r="O89" s="55">
        <f t="shared" si="23"/>
        <v>0</v>
      </c>
      <c r="P89" s="57"/>
    </row>
    <row r="90" spans="1:16" ht="24" hidden="1" customHeight="1" x14ac:dyDescent="0.25">
      <c r="A90" s="51">
        <v>2221</v>
      </c>
      <c r="B90" s="88" t="s">
        <v>107</v>
      </c>
      <c r="C90" s="89">
        <f t="shared" si="3"/>
        <v>0</v>
      </c>
      <c r="D90" s="194">
        <v>0</v>
      </c>
      <c r="E90" s="195"/>
      <c r="F90" s="55">
        <f>D90+E90</f>
        <v>0</v>
      </c>
      <c r="G90" s="53"/>
      <c r="H90" s="54"/>
      <c r="I90" s="55">
        <f>G90+H90</f>
        <v>0</v>
      </c>
      <c r="J90" s="53"/>
      <c r="K90" s="54"/>
      <c r="L90" s="55">
        <f>K90+J90</f>
        <v>0</v>
      </c>
      <c r="M90" s="53"/>
      <c r="N90" s="54"/>
      <c r="O90" s="55">
        <f>N90+M90</f>
        <v>0</v>
      </c>
      <c r="P90" s="57"/>
    </row>
    <row r="91" spans="1:16" ht="12" hidden="1" customHeight="1" x14ac:dyDescent="0.25">
      <c r="A91" s="51">
        <v>2222</v>
      </c>
      <c r="B91" s="88" t="s">
        <v>108</v>
      </c>
      <c r="C91" s="89">
        <f t="shared" si="3"/>
        <v>0</v>
      </c>
      <c r="D91" s="194">
        <v>0</v>
      </c>
      <c r="E91" s="195"/>
      <c r="F91" s="55">
        <f>D91+E91</f>
        <v>0</v>
      </c>
      <c r="G91" s="53"/>
      <c r="H91" s="54"/>
      <c r="I91" s="55">
        <f>G91+H91</f>
        <v>0</v>
      </c>
      <c r="J91" s="53"/>
      <c r="K91" s="54"/>
      <c r="L91" s="55">
        <f>K91+J91</f>
        <v>0</v>
      </c>
      <c r="M91" s="53"/>
      <c r="N91" s="54"/>
      <c r="O91" s="55">
        <f>N91+M91</f>
        <v>0</v>
      </c>
      <c r="P91" s="57"/>
    </row>
    <row r="92" spans="1:16" ht="12" hidden="1" customHeight="1" x14ac:dyDescent="0.25">
      <c r="A92" s="51">
        <v>2223</v>
      </c>
      <c r="B92" s="88" t="s">
        <v>109</v>
      </c>
      <c r="C92" s="89">
        <f t="shared" si="3"/>
        <v>0</v>
      </c>
      <c r="D92" s="194">
        <v>0</v>
      </c>
      <c r="E92" s="195"/>
      <c r="F92" s="55">
        <f>D92+E92</f>
        <v>0</v>
      </c>
      <c r="G92" s="53"/>
      <c r="H92" s="54"/>
      <c r="I92" s="55">
        <f>G92+H92</f>
        <v>0</v>
      </c>
      <c r="J92" s="53"/>
      <c r="K92" s="54"/>
      <c r="L92" s="55">
        <f>K92+J92</f>
        <v>0</v>
      </c>
      <c r="M92" s="53"/>
      <c r="N92" s="54"/>
      <c r="O92" s="55">
        <f>N92+M92</f>
        <v>0</v>
      </c>
      <c r="P92" s="57"/>
    </row>
    <row r="93" spans="1:16" ht="48" hidden="1" customHeight="1" x14ac:dyDescent="0.25">
      <c r="A93" s="51">
        <v>2224</v>
      </c>
      <c r="B93" s="88" t="s">
        <v>110</v>
      </c>
      <c r="C93" s="89">
        <f t="shared" si="3"/>
        <v>0</v>
      </c>
      <c r="D93" s="194">
        <v>0</v>
      </c>
      <c r="E93" s="195"/>
      <c r="F93" s="55">
        <f>D93+E93</f>
        <v>0</v>
      </c>
      <c r="G93" s="53"/>
      <c r="H93" s="54"/>
      <c r="I93" s="55">
        <f>G93+H93</f>
        <v>0</v>
      </c>
      <c r="J93" s="53"/>
      <c r="K93" s="54"/>
      <c r="L93" s="55">
        <f>K93+J93</f>
        <v>0</v>
      </c>
      <c r="M93" s="53"/>
      <c r="N93" s="54"/>
      <c r="O93" s="55">
        <f>N93+M93</f>
        <v>0</v>
      </c>
      <c r="P93" s="57"/>
    </row>
    <row r="94" spans="1:16" ht="24" hidden="1" customHeight="1" x14ac:dyDescent="0.25">
      <c r="A94" s="51">
        <v>2229</v>
      </c>
      <c r="B94" s="88" t="s">
        <v>111</v>
      </c>
      <c r="C94" s="89">
        <f t="shared" si="3"/>
        <v>0</v>
      </c>
      <c r="D94" s="194">
        <v>0</v>
      </c>
      <c r="E94" s="195"/>
      <c r="F94" s="55">
        <f>D94+E94</f>
        <v>0</v>
      </c>
      <c r="G94" s="53"/>
      <c r="H94" s="54"/>
      <c r="I94" s="55">
        <f>G94+H94</f>
        <v>0</v>
      </c>
      <c r="J94" s="53"/>
      <c r="K94" s="54"/>
      <c r="L94" s="55">
        <f>K94+J94</f>
        <v>0</v>
      </c>
      <c r="M94" s="53"/>
      <c r="N94" s="54"/>
      <c r="O94" s="55">
        <f>N94+M94</f>
        <v>0</v>
      </c>
      <c r="P94" s="57"/>
    </row>
    <row r="95" spans="1:16" ht="36" hidden="1" x14ac:dyDescent="0.25">
      <c r="A95" s="188">
        <v>2230</v>
      </c>
      <c r="B95" s="88" t="s">
        <v>112</v>
      </c>
      <c r="C95" s="89">
        <f t="shared" si="3"/>
        <v>0</v>
      </c>
      <c r="D95" s="189">
        <f t="shared" ref="D95:O95" si="24">SUM(D96:D102)</f>
        <v>0</v>
      </c>
      <c r="E95" s="190">
        <f t="shared" si="24"/>
        <v>0</v>
      </c>
      <c r="F95" s="55">
        <f t="shared" si="24"/>
        <v>0</v>
      </c>
      <c r="G95" s="189">
        <f t="shared" si="24"/>
        <v>0</v>
      </c>
      <c r="H95" s="190">
        <f t="shared" si="24"/>
        <v>0</v>
      </c>
      <c r="I95" s="55">
        <f t="shared" si="24"/>
        <v>0</v>
      </c>
      <c r="J95" s="189">
        <f t="shared" si="24"/>
        <v>0</v>
      </c>
      <c r="K95" s="190">
        <f t="shared" si="24"/>
        <v>0</v>
      </c>
      <c r="L95" s="55">
        <f t="shared" si="24"/>
        <v>0</v>
      </c>
      <c r="M95" s="189">
        <f t="shared" si="24"/>
        <v>0</v>
      </c>
      <c r="N95" s="190">
        <f t="shared" si="24"/>
        <v>0</v>
      </c>
      <c r="O95" s="55">
        <f t="shared" si="24"/>
        <v>0</v>
      </c>
      <c r="P95" s="57"/>
    </row>
    <row r="96" spans="1:16" ht="24" hidden="1" customHeight="1" x14ac:dyDescent="0.25">
      <c r="A96" s="51">
        <v>2231</v>
      </c>
      <c r="B96" s="88" t="s">
        <v>113</v>
      </c>
      <c r="C96" s="89">
        <f t="shared" si="3"/>
        <v>0</v>
      </c>
      <c r="D96" s="194"/>
      <c r="E96" s="195"/>
      <c r="F96" s="55">
        <f t="shared" ref="F96:F102" si="25">D96+E96</f>
        <v>0</v>
      </c>
      <c r="G96" s="53"/>
      <c r="H96" s="54"/>
      <c r="I96" s="55">
        <f t="shared" ref="I96:I102" si="26">G96+H96</f>
        <v>0</v>
      </c>
      <c r="J96" s="53"/>
      <c r="K96" s="54"/>
      <c r="L96" s="55">
        <f t="shared" ref="L96:L102" si="27">K96+J96</f>
        <v>0</v>
      </c>
      <c r="M96" s="53"/>
      <c r="N96" s="54"/>
      <c r="O96" s="55">
        <f t="shared" ref="O96:O102" si="28">N96+M96</f>
        <v>0</v>
      </c>
      <c r="P96" s="57"/>
    </row>
    <row r="97" spans="1:16" ht="24.75" hidden="1" customHeight="1" x14ac:dyDescent="0.25">
      <c r="A97" s="51">
        <v>2232</v>
      </c>
      <c r="B97" s="88" t="s">
        <v>114</v>
      </c>
      <c r="C97" s="89">
        <f t="shared" si="3"/>
        <v>0</v>
      </c>
      <c r="D97" s="194"/>
      <c r="E97" s="195"/>
      <c r="F97" s="55">
        <f t="shared" si="25"/>
        <v>0</v>
      </c>
      <c r="G97" s="53"/>
      <c r="H97" s="54"/>
      <c r="I97" s="55">
        <f t="shared" si="26"/>
        <v>0</v>
      </c>
      <c r="J97" s="53"/>
      <c r="K97" s="54"/>
      <c r="L97" s="55">
        <f t="shared" si="27"/>
        <v>0</v>
      </c>
      <c r="M97" s="53"/>
      <c r="N97" s="54"/>
      <c r="O97" s="55">
        <f t="shared" si="28"/>
        <v>0</v>
      </c>
      <c r="P97" s="57"/>
    </row>
    <row r="98" spans="1:16" ht="24" hidden="1" customHeight="1" x14ac:dyDescent="0.25">
      <c r="A98" s="44">
        <v>2233</v>
      </c>
      <c r="B98" s="81" t="s">
        <v>115</v>
      </c>
      <c r="C98" s="82">
        <f t="shared" si="3"/>
        <v>0</v>
      </c>
      <c r="D98" s="196">
        <v>0</v>
      </c>
      <c r="E98" s="197"/>
      <c r="F98" s="133">
        <f t="shared" si="25"/>
        <v>0</v>
      </c>
      <c r="G98" s="46"/>
      <c r="H98" s="47"/>
      <c r="I98" s="133">
        <f t="shared" si="26"/>
        <v>0</v>
      </c>
      <c r="J98" s="46"/>
      <c r="K98" s="47"/>
      <c r="L98" s="133">
        <f t="shared" si="27"/>
        <v>0</v>
      </c>
      <c r="M98" s="46"/>
      <c r="N98" s="47"/>
      <c r="O98" s="133">
        <f t="shared" si="28"/>
        <v>0</v>
      </c>
      <c r="P98" s="49"/>
    </row>
    <row r="99" spans="1:16" ht="36" hidden="1" customHeight="1" x14ac:dyDescent="0.25">
      <c r="A99" s="51">
        <v>2234</v>
      </c>
      <c r="B99" s="88" t="s">
        <v>116</v>
      </c>
      <c r="C99" s="89">
        <f t="shared" si="3"/>
        <v>0</v>
      </c>
      <c r="D99" s="194">
        <v>0</v>
      </c>
      <c r="E99" s="195"/>
      <c r="F99" s="55">
        <f t="shared" si="25"/>
        <v>0</v>
      </c>
      <c r="G99" s="53"/>
      <c r="H99" s="54"/>
      <c r="I99" s="55">
        <f t="shared" si="26"/>
        <v>0</v>
      </c>
      <c r="J99" s="53"/>
      <c r="K99" s="54"/>
      <c r="L99" s="55">
        <f t="shared" si="27"/>
        <v>0</v>
      </c>
      <c r="M99" s="53"/>
      <c r="N99" s="54"/>
      <c r="O99" s="55">
        <f t="shared" si="28"/>
        <v>0</v>
      </c>
      <c r="P99" s="57"/>
    </row>
    <row r="100" spans="1:16" ht="24" hidden="1" customHeight="1" x14ac:dyDescent="0.25">
      <c r="A100" s="51">
        <v>2235</v>
      </c>
      <c r="B100" s="88" t="s">
        <v>117</v>
      </c>
      <c r="C100" s="89">
        <f t="shared" si="3"/>
        <v>0</v>
      </c>
      <c r="D100" s="194">
        <v>0</v>
      </c>
      <c r="E100" s="195"/>
      <c r="F100" s="55">
        <f t="shared" si="25"/>
        <v>0</v>
      </c>
      <c r="G100" s="53"/>
      <c r="H100" s="54"/>
      <c r="I100" s="55">
        <f t="shared" si="26"/>
        <v>0</v>
      </c>
      <c r="J100" s="53"/>
      <c r="K100" s="54"/>
      <c r="L100" s="55">
        <f t="shared" si="27"/>
        <v>0</v>
      </c>
      <c r="M100" s="53"/>
      <c r="N100" s="54"/>
      <c r="O100" s="55">
        <f t="shared" si="28"/>
        <v>0</v>
      </c>
      <c r="P100" s="57"/>
    </row>
    <row r="101" spans="1:16" ht="12" hidden="1" customHeight="1" x14ac:dyDescent="0.25">
      <c r="A101" s="51">
        <v>2236</v>
      </c>
      <c r="B101" s="88" t="s">
        <v>118</v>
      </c>
      <c r="C101" s="89">
        <f t="shared" si="3"/>
        <v>0</v>
      </c>
      <c r="D101" s="194">
        <v>0</v>
      </c>
      <c r="E101" s="195"/>
      <c r="F101" s="55">
        <f t="shared" si="25"/>
        <v>0</v>
      </c>
      <c r="G101" s="53"/>
      <c r="H101" s="54"/>
      <c r="I101" s="55">
        <f t="shared" si="26"/>
        <v>0</v>
      </c>
      <c r="J101" s="53"/>
      <c r="K101" s="54"/>
      <c r="L101" s="55">
        <f t="shared" si="27"/>
        <v>0</v>
      </c>
      <c r="M101" s="53"/>
      <c r="N101" s="54"/>
      <c r="O101" s="55">
        <f t="shared" si="28"/>
        <v>0</v>
      </c>
      <c r="P101" s="57"/>
    </row>
    <row r="102" spans="1:16" ht="24" hidden="1" customHeight="1" x14ac:dyDescent="0.25">
      <c r="A102" s="51">
        <v>2239</v>
      </c>
      <c r="B102" s="88" t="s">
        <v>119</v>
      </c>
      <c r="C102" s="89">
        <f t="shared" si="3"/>
        <v>0</v>
      </c>
      <c r="D102" s="194"/>
      <c r="E102" s="195"/>
      <c r="F102" s="55">
        <f t="shared" si="25"/>
        <v>0</v>
      </c>
      <c r="G102" s="53"/>
      <c r="H102" s="54"/>
      <c r="I102" s="55">
        <f t="shared" si="26"/>
        <v>0</v>
      </c>
      <c r="J102" s="53"/>
      <c r="K102" s="54"/>
      <c r="L102" s="55">
        <f t="shared" si="27"/>
        <v>0</v>
      </c>
      <c r="M102" s="53"/>
      <c r="N102" s="54"/>
      <c r="O102" s="55">
        <f t="shared" si="28"/>
        <v>0</v>
      </c>
      <c r="P102" s="57"/>
    </row>
    <row r="103" spans="1:16" ht="36" hidden="1" x14ac:dyDescent="0.25">
      <c r="A103" s="188">
        <v>2240</v>
      </c>
      <c r="B103" s="88" t="s">
        <v>120</v>
      </c>
      <c r="C103" s="89">
        <f t="shared" si="3"/>
        <v>0</v>
      </c>
      <c r="D103" s="189">
        <f t="shared" ref="D103:O103" si="29">SUM(D104:D111)</f>
        <v>0</v>
      </c>
      <c r="E103" s="190">
        <f t="shared" si="29"/>
        <v>0</v>
      </c>
      <c r="F103" s="55">
        <f t="shared" si="29"/>
        <v>0</v>
      </c>
      <c r="G103" s="189">
        <f t="shared" si="29"/>
        <v>0</v>
      </c>
      <c r="H103" s="190">
        <f t="shared" si="29"/>
        <v>0</v>
      </c>
      <c r="I103" s="55">
        <f t="shared" si="29"/>
        <v>0</v>
      </c>
      <c r="J103" s="189">
        <f t="shared" si="29"/>
        <v>0</v>
      </c>
      <c r="K103" s="190">
        <f t="shared" si="29"/>
        <v>0</v>
      </c>
      <c r="L103" s="55">
        <f t="shared" si="29"/>
        <v>0</v>
      </c>
      <c r="M103" s="189">
        <f t="shared" si="29"/>
        <v>0</v>
      </c>
      <c r="N103" s="190">
        <f t="shared" si="29"/>
        <v>0</v>
      </c>
      <c r="O103" s="55">
        <f t="shared" si="29"/>
        <v>0</v>
      </c>
      <c r="P103" s="57"/>
    </row>
    <row r="104" spans="1:16" ht="12" hidden="1" customHeight="1" x14ac:dyDescent="0.25">
      <c r="A104" s="51">
        <v>2241</v>
      </c>
      <c r="B104" s="88" t="s">
        <v>121</v>
      </c>
      <c r="C104" s="89">
        <f t="shared" si="3"/>
        <v>0</v>
      </c>
      <c r="D104" s="194">
        <v>0</v>
      </c>
      <c r="E104" s="195"/>
      <c r="F104" s="55">
        <f t="shared" ref="F104:F111" si="30">D104+E104</f>
        <v>0</v>
      </c>
      <c r="G104" s="53"/>
      <c r="H104" s="54"/>
      <c r="I104" s="55">
        <f t="shared" ref="I104:I111" si="31">G104+H104</f>
        <v>0</v>
      </c>
      <c r="J104" s="53"/>
      <c r="K104" s="54"/>
      <c r="L104" s="55">
        <f t="shared" ref="L104:L111" si="32">K104+J104</f>
        <v>0</v>
      </c>
      <c r="M104" s="53"/>
      <c r="N104" s="54"/>
      <c r="O104" s="55">
        <f t="shared" ref="O104:O111" si="33">N104+M104</f>
        <v>0</v>
      </c>
      <c r="P104" s="57"/>
    </row>
    <row r="105" spans="1:16" ht="24" hidden="1" customHeight="1" x14ac:dyDescent="0.25">
      <c r="A105" s="51">
        <v>2242</v>
      </c>
      <c r="B105" s="88" t="s">
        <v>122</v>
      </c>
      <c r="C105" s="89">
        <f t="shared" si="3"/>
        <v>0</v>
      </c>
      <c r="D105" s="194">
        <v>0</v>
      </c>
      <c r="E105" s="195"/>
      <c r="F105" s="55">
        <f t="shared" si="30"/>
        <v>0</v>
      </c>
      <c r="G105" s="53"/>
      <c r="H105" s="54"/>
      <c r="I105" s="55">
        <f t="shared" si="31"/>
        <v>0</v>
      </c>
      <c r="J105" s="53"/>
      <c r="K105" s="54"/>
      <c r="L105" s="55">
        <f t="shared" si="32"/>
        <v>0</v>
      </c>
      <c r="M105" s="53"/>
      <c r="N105" s="54"/>
      <c r="O105" s="55">
        <f t="shared" si="33"/>
        <v>0</v>
      </c>
      <c r="P105" s="57"/>
    </row>
    <row r="106" spans="1:16" ht="24" hidden="1" customHeight="1" x14ac:dyDescent="0.25">
      <c r="A106" s="51">
        <v>2243</v>
      </c>
      <c r="B106" s="88" t="s">
        <v>123</v>
      </c>
      <c r="C106" s="89">
        <f t="shared" si="3"/>
        <v>0</v>
      </c>
      <c r="D106" s="194">
        <v>0</v>
      </c>
      <c r="E106" s="195"/>
      <c r="F106" s="55">
        <f t="shared" si="30"/>
        <v>0</v>
      </c>
      <c r="G106" s="53"/>
      <c r="H106" s="54"/>
      <c r="I106" s="55">
        <f t="shared" si="31"/>
        <v>0</v>
      </c>
      <c r="J106" s="53"/>
      <c r="K106" s="54"/>
      <c r="L106" s="55">
        <f t="shared" si="32"/>
        <v>0</v>
      </c>
      <c r="M106" s="53"/>
      <c r="N106" s="54"/>
      <c r="O106" s="55">
        <f t="shared" si="33"/>
        <v>0</v>
      </c>
      <c r="P106" s="57"/>
    </row>
    <row r="107" spans="1:16" ht="12" hidden="1" customHeight="1" x14ac:dyDescent="0.25">
      <c r="A107" s="51">
        <v>2244</v>
      </c>
      <c r="B107" s="88" t="s">
        <v>124</v>
      </c>
      <c r="C107" s="89">
        <f t="shared" si="3"/>
        <v>0</v>
      </c>
      <c r="D107" s="194">
        <v>0</v>
      </c>
      <c r="E107" s="195"/>
      <c r="F107" s="55">
        <f t="shared" si="30"/>
        <v>0</v>
      </c>
      <c r="G107" s="53"/>
      <c r="H107" s="54"/>
      <c r="I107" s="55">
        <f t="shared" si="31"/>
        <v>0</v>
      </c>
      <c r="J107" s="53"/>
      <c r="K107" s="54"/>
      <c r="L107" s="55">
        <f t="shared" si="32"/>
        <v>0</v>
      </c>
      <c r="M107" s="53"/>
      <c r="N107" s="54"/>
      <c r="O107" s="55">
        <f t="shared" si="33"/>
        <v>0</v>
      </c>
      <c r="P107" s="57"/>
    </row>
    <row r="108" spans="1:16" ht="24" hidden="1" customHeight="1" x14ac:dyDescent="0.25">
      <c r="A108" s="51">
        <v>2246</v>
      </c>
      <c r="B108" s="88" t="s">
        <v>125</v>
      </c>
      <c r="C108" s="89">
        <f t="shared" si="3"/>
        <v>0</v>
      </c>
      <c r="D108" s="194">
        <v>0</v>
      </c>
      <c r="E108" s="195"/>
      <c r="F108" s="55">
        <f t="shared" si="30"/>
        <v>0</v>
      </c>
      <c r="G108" s="53"/>
      <c r="H108" s="54"/>
      <c r="I108" s="55">
        <f t="shared" si="31"/>
        <v>0</v>
      </c>
      <c r="J108" s="53"/>
      <c r="K108" s="54"/>
      <c r="L108" s="55">
        <f t="shared" si="32"/>
        <v>0</v>
      </c>
      <c r="M108" s="53"/>
      <c r="N108" s="54"/>
      <c r="O108" s="55">
        <f t="shared" si="33"/>
        <v>0</v>
      </c>
      <c r="P108" s="57"/>
    </row>
    <row r="109" spans="1:16" ht="12" hidden="1" customHeight="1" x14ac:dyDescent="0.25">
      <c r="A109" s="51">
        <v>2247</v>
      </c>
      <c r="B109" s="88" t="s">
        <v>126</v>
      </c>
      <c r="C109" s="89">
        <f t="shared" si="3"/>
        <v>0</v>
      </c>
      <c r="D109" s="194">
        <v>0</v>
      </c>
      <c r="E109" s="195"/>
      <c r="F109" s="55">
        <f t="shared" si="30"/>
        <v>0</v>
      </c>
      <c r="G109" s="53"/>
      <c r="H109" s="54"/>
      <c r="I109" s="55">
        <f t="shared" si="31"/>
        <v>0</v>
      </c>
      <c r="J109" s="53"/>
      <c r="K109" s="54"/>
      <c r="L109" s="55">
        <f t="shared" si="32"/>
        <v>0</v>
      </c>
      <c r="M109" s="53"/>
      <c r="N109" s="54"/>
      <c r="O109" s="55">
        <f t="shared" si="33"/>
        <v>0</v>
      </c>
      <c r="P109" s="57"/>
    </row>
    <row r="110" spans="1:16" ht="24" hidden="1" customHeight="1" x14ac:dyDescent="0.25">
      <c r="A110" s="51">
        <v>2248</v>
      </c>
      <c r="B110" s="88" t="s">
        <v>127</v>
      </c>
      <c r="C110" s="89">
        <f t="shared" si="3"/>
        <v>0</v>
      </c>
      <c r="D110" s="194">
        <v>0</v>
      </c>
      <c r="E110" s="195"/>
      <c r="F110" s="55">
        <f t="shared" si="30"/>
        <v>0</v>
      </c>
      <c r="G110" s="53"/>
      <c r="H110" s="54"/>
      <c r="I110" s="55">
        <f t="shared" si="31"/>
        <v>0</v>
      </c>
      <c r="J110" s="53"/>
      <c r="K110" s="54"/>
      <c r="L110" s="55">
        <f t="shared" si="32"/>
        <v>0</v>
      </c>
      <c r="M110" s="53"/>
      <c r="N110" s="54"/>
      <c r="O110" s="55">
        <f t="shared" si="33"/>
        <v>0</v>
      </c>
      <c r="P110" s="57"/>
    </row>
    <row r="111" spans="1:16" ht="24" hidden="1" customHeight="1" x14ac:dyDescent="0.25">
      <c r="A111" s="51">
        <v>2249</v>
      </c>
      <c r="B111" s="88" t="s">
        <v>128</v>
      </c>
      <c r="C111" s="89">
        <f t="shared" si="3"/>
        <v>0</v>
      </c>
      <c r="D111" s="194">
        <v>0</v>
      </c>
      <c r="E111" s="195"/>
      <c r="F111" s="55">
        <f t="shared" si="30"/>
        <v>0</v>
      </c>
      <c r="G111" s="53"/>
      <c r="H111" s="54"/>
      <c r="I111" s="55">
        <f t="shared" si="31"/>
        <v>0</v>
      </c>
      <c r="J111" s="53"/>
      <c r="K111" s="54"/>
      <c r="L111" s="55">
        <f t="shared" si="32"/>
        <v>0</v>
      </c>
      <c r="M111" s="53"/>
      <c r="N111" s="54"/>
      <c r="O111" s="55">
        <f t="shared" si="33"/>
        <v>0</v>
      </c>
      <c r="P111" s="57"/>
    </row>
    <row r="112" spans="1:16" x14ac:dyDescent="0.25">
      <c r="A112" s="188">
        <v>2250</v>
      </c>
      <c r="B112" s="88" t="s">
        <v>129</v>
      </c>
      <c r="C112" s="89">
        <f t="shared" si="3"/>
        <v>1125</v>
      </c>
      <c r="D112" s="189">
        <f t="shared" ref="D112:O112" si="34">SUM(D113:D115)</f>
        <v>1125</v>
      </c>
      <c r="E112" s="190">
        <f t="shared" si="34"/>
        <v>0</v>
      </c>
      <c r="F112" s="55">
        <f t="shared" si="34"/>
        <v>1125</v>
      </c>
      <c r="G112" s="189">
        <f t="shared" si="34"/>
        <v>0</v>
      </c>
      <c r="H112" s="190">
        <f t="shared" si="34"/>
        <v>0</v>
      </c>
      <c r="I112" s="55">
        <f t="shared" si="34"/>
        <v>0</v>
      </c>
      <c r="J112" s="189">
        <f t="shared" si="34"/>
        <v>0</v>
      </c>
      <c r="K112" s="190">
        <f t="shared" si="34"/>
        <v>0</v>
      </c>
      <c r="L112" s="55">
        <f t="shared" si="34"/>
        <v>0</v>
      </c>
      <c r="M112" s="189">
        <f t="shared" si="34"/>
        <v>0</v>
      </c>
      <c r="N112" s="190">
        <f t="shared" si="34"/>
        <v>0</v>
      </c>
      <c r="O112" s="55">
        <f t="shared" si="34"/>
        <v>0</v>
      </c>
      <c r="P112" s="57"/>
    </row>
    <row r="113" spans="1:16" ht="12" customHeight="1" x14ac:dyDescent="0.25">
      <c r="A113" s="51">
        <v>2251</v>
      </c>
      <c r="B113" s="88" t="s">
        <v>130</v>
      </c>
      <c r="C113" s="89">
        <f t="shared" si="3"/>
        <v>125</v>
      </c>
      <c r="D113" s="194">
        <v>125</v>
      </c>
      <c r="E113" s="195"/>
      <c r="F113" s="55">
        <f>D113+E113</f>
        <v>125</v>
      </c>
      <c r="G113" s="53"/>
      <c r="H113" s="54"/>
      <c r="I113" s="55">
        <f>G113+H113</f>
        <v>0</v>
      </c>
      <c r="J113" s="53"/>
      <c r="K113" s="54"/>
      <c r="L113" s="55">
        <f>K113+J113</f>
        <v>0</v>
      </c>
      <c r="M113" s="53"/>
      <c r="N113" s="54"/>
      <c r="O113" s="55">
        <f>N113+M113</f>
        <v>0</v>
      </c>
      <c r="P113" s="57"/>
    </row>
    <row r="114" spans="1:16" ht="24" hidden="1" customHeight="1" x14ac:dyDescent="0.25">
      <c r="A114" s="51">
        <v>2252</v>
      </c>
      <c r="B114" s="88" t="s">
        <v>131</v>
      </c>
      <c r="C114" s="89">
        <f t="shared" ref="C114:C177" si="35">F114+I114+L114+O114</f>
        <v>0</v>
      </c>
      <c r="D114" s="194">
        <v>0</v>
      </c>
      <c r="E114" s="195"/>
      <c r="F114" s="55">
        <f>D114+E114</f>
        <v>0</v>
      </c>
      <c r="G114" s="53"/>
      <c r="H114" s="54"/>
      <c r="I114" s="55">
        <f>G114+H114</f>
        <v>0</v>
      </c>
      <c r="J114" s="53"/>
      <c r="K114" s="54"/>
      <c r="L114" s="55">
        <f>K114+J114</f>
        <v>0</v>
      </c>
      <c r="M114" s="53"/>
      <c r="N114" s="54"/>
      <c r="O114" s="55">
        <f>N114+M114</f>
        <v>0</v>
      </c>
      <c r="P114" s="57"/>
    </row>
    <row r="115" spans="1:16" ht="24" customHeight="1" x14ac:dyDescent="0.25">
      <c r="A115" s="51">
        <v>2259</v>
      </c>
      <c r="B115" s="88" t="s">
        <v>132</v>
      </c>
      <c r="C115" s="89">
        <f t="shared" si="35"/>
        <v>1000</v>
      </c>
      <c r="D115" s="194">
        <v>1000</v>
      </c>
      <c r="E115" s="195"/>
      <c r="F115" s="55">
        <f>D115+E115</f>
        <v>1000</v>
      </c>
      <c r="G115" s="53"/>
      <c r="H115" s="54"/>
      <c r="I115" s="55">
        <f>G115+H115</f>
        <v>0</v>
      </c>
      <c r="J115" s="53"/>
      <c r="K115" s="54"/>
      <c r="L115" s="55">
        <f>K115+J115</f>
        <v>0</v>
      </c>
      <c r="M115" s="53"/>
      <c r="N115" s="54"/>
      <c r="O115" s="55">
        <f>N115+M115</f>
        <v>0</v>
      </c>
      <c r="P115" s="57"/>
    </row>
    <row r="116" spans="1:16" hidden="1" x14ac:dyDescent="0.25">
      <c r="A116" s="188">
        <v>2260</v>
      </c>
      <c r="B116" s="88" t="s">
        <v>133</v>
      </c>
      <c r="C116" s="89">
        <f t="shared" si="35"/>
        <v>0</v>
      </c>
      <c r="D116" s="189">
        <f t="shared" ref="D116:O116" si="36">SUM(D117:D121)</f>
        <v>0</v>
      </c>
      <c r="E116" s="190">
        <f t="shared" si="36"/>
        <v>0</v>
      </c>
      <c r="F116" s="55">
        <f t="shared" si="36"/>
        <v>0</v>
      </c>
      <c r="G116" s="189">
        <f t="shared" si="36"/>
        <v>0</v>
      </c>
      <c r="H116" s="190">
        <f t="shared" si="36"/>
        <v>0</v>
      </c>
      <c r="I116" s="55">
        <f t="shared" si="36"/>
        <v>0</v>
      </c>
      <c r="J116" s="189">
        <f t="shared" si="36"/>
        <v>0</v>
      </c>
      <c r="K116" s="190">
        <f t="shared" si="36"/>
        <v>0</v>
      </c>
      <c r="L116" s="55">
        <f t="shared" si="36"/>
        <v>0</v>
      </c>
      <c r="M116" s="189">
        <f t="shared" si="36"/>
        <v>0</v>
      </c>
      <c r="N116" s="190">
        <f t="shared" si="36"/>
        <v>0</v>
      </c>
      <c r="O116" s="55">
        <f t="shared" si="36"/>
        <v>0</v>
      </c>
      <c r="P116" s="57"/>
    </row>
    <row r="117" spans="1:16" ht="12" hidden="1" customHeight="1" x14ac:dyDescent="0.25">
      <c r="A117" s="51">
        <v>2261</v>
      </c>
      <c r="B117" s="88" t="s">
        <v>134</v>
      </c>
      <c r="C117" s="89">
        <f t="shared" si="35"/>
        <v>0</v>
      </c>
      <c r="D117" s="194"/>
      <c r="E117" s="195"/>
      <c r="F117" s="55">
        <f>D117+E117</f>
        <v>0</v>
      </c>
      <c r="G117" s="53"/>
      <c r="H117" s="54"/>
      <c r="I117" s="55">
        <f>G117+H117</f>
        <v>0</v>
      </c>
      <c r="J117" s="53"/>
      <c r="K117" s="54"/>
      <c r="L117" s="55">
        <f>K117+J117</f>
        <v>0</v>
      </c>
      <c r="M117" s="53"/>
      <c r="N117" s="54"/>
      <c r="O117" s="55">
        <f>N117+M117</f>
        <v>0</v>
      </c>
      <c r="P117" s="57"/>
    </row>
    <row r="118" spans="1:16" ht="12" hidden="1" customHeight="1" x14ac:dyDescent="0.25">
      <c r="A118" s="51">
        <v>2262</v>
      </c>
      <c r="B118" s="88" t="s">
        <v>135</v>
      </c>
      <c r="C118" s="89">
        <f t="shared" si="35"/>
        <v>0</v>
      </c>
      <c r="D118" s="194"/>
      <c r="E118" s="195"/>
      <c r="F118" s="55">
        <f>D118+E118</f>
        <v>0</v>
      </c>
      <c r="G118" s="53"/>
      <c r="H118" s="54"/>
      <c r="I118" s="55">
        <f>G118+H118</f>
        <v>0</v>
      </c>
      <c r="J118" s="53"/>
      <c r="K118" s="54"/>
      <c r="L118" s="55">
        <f>K118+J118</f>
        <v>0</v>
      </c>
      <c r="M118" s="53"/>
      <c r="N118" s="54"/>
      <c r="O118" s="55">
        <f>N118+M118</f>
        <v>0</v>
      </c>
      <c r="P118" s="57"/>
    </row>
    <row r="119" spans="1:16" ht="12" hidden="1" customHeight="1" x14ac:dyDescent="0.25">
      <c r="A119" s="51">
        <v>2263</v>
      </c>
      <c r="B119" s="88" t="s">
        <v>136</v>
      </c>
      <c r="C119" s="89">
        <f t="shared" si="35"/>
        <v>0</v>
      </c>
      <c r="D119" s="194">
        <v>0</v>
      </c>
      <c r="E119" s="195"/>
      <c r="F119" s="55">
        <f>D119+E119</f>
        <v>0</v>
      </c>
      <c r="G119" s="53"/>
      <c r="H119" s="54"/>
      <c r="I119" s="55">
        <f>G119+H119</f>
        <v>0</v>
      </c>
      <c r="J119" s="53"/>
      <c r="K119" s="54"/>
      <c r="L119" s="55">
        <f>K119+J119</f>
        <v>0</v>
      </c>
      <c r="M119" s="53"/>
      <c r="N119" s="54"/>
      <c r="O119" s="55">
        <f>N119+M119</f>
        <v>0</v>
      </c>
      <c r="P119" s="57"/>
    </row>
    <row r="120" spans="1:16" ht="24" hidden="1" customHeight="1" x14ac:dyDescent="0.25">
      <c r="A120" s="51">
        <v>2264</v>
      </c>
      <c r="B120" s="88" t="s">
        <v>137</v>
      </c>
      <c r="C120" s="89">
        <f t="shared" si="35"/>
        <v>0</v>
      </c>
      <c r="D120" s="194">
        <v>0</v>
      </c>
      <c r="E120" s="195"/>
      <c r="F120" s="55">
        <f>D120+E120</f>
        <v>0</v>
      </c>
      <c r="G120" s="53"/>
      <c r="H120" s="54"/>
      <c r="I120" s="55">
        <f>G120+H120</f>
        <v>0</v>
      </c>
      <c r="J120" s="53"/>
      <c r="K120" s="54"/>
      <c r="L120" s="55">
        <f>K120+J120</f>
        <v>0</v>
      </c>
      <c r="M120" s="53"/>
      <c r="N120" s="54"/>
      <c r="O120" s="55">
        <f>N120+M120</f>
        <v>0</v>
      </c>
      <c r="P120" s="57"/>
    </row>
    <row r="121" spans="1:16" ht="12" hidden="1" customHeight="1" x14ac:dyDescent="0.25">
      <c r="A121" s="51">
        <v>2269</v>
      </c>
      <c r="B121" s="88" t="s">
        <v>138</v>
      </c>
      <c r="C121" s="89">
        <f t="shared" si="35"/>
        <v>0</v>
      </c>
      <c r="D121" s="194">
        <v>0</v>
      </c>
      <c r="E121" s="195"/>
      <c r="F121" s="55">
        <f>D121+E121</f>
        <v>0</v>
      </c>
      <c r="G121" s="53"/>
      <c r="H121" s="54"/>
      <c r="I121" s="55">
        <f>G121+H121</f>
        <v>0</v>
      </c>
      <c r="J121" s="53"/>
      <c r="K121" s="54"/>
      <c r="L121" s="55">
        <f>K121+J121</f>
        <v>0</v>
      </c>
      <c r="M121" s="53"/>
      <c r="N121" s="54"/>
      <c r="O121" s="55">
        <f>N121+M121</f>
        <v>0</v>
      </c>
      <c r="P121" s="57"/>
    </row>
    <row r="122" spans="1:16" hidden="1" x14ac:dyDescent="0.25">
      <c r="A122" s="188">
        <v>2270</v>
      </c>
      <c r="B122" s="88" t="s">
        <v>139</v>
      </c>
      <c r="C122" s="89">
        <f t="shared" si="35"/>
        <v>0</v>
      </c>
      <c r="D122" s="189">
        <f t="shared" ref="D122:O122" si="37">SUM(D123:D127)</f>
        <v>0</v>
      </c>
      <c r="E122" s="190">
        <f t="shared" si="37"/>
        <v>0</v>
      </c>
      <c r="F122" s="55">
        <f t="shared" si="37"/>
        <v>0</v>
      </c>
      <c r="G122" s="189">
        <f t="shared" si="37"/>
        <v>0</v>
      </c>
      <c r="H122" s="190">
        <f t="shared" si="37"/>
        <v>0</v>
      </c>
      <c r="I122" s="55">
        <f t="shared" si="37"/>
        <v>0</v>
      </c>
      <c r="J122" s="189">
        <f t="shared" si="37"/>
        <v>0</v>
      </c>
      <c r="K122" s="190">
        <f t="shared" si="37"/>
        <v>0</v>
      </c>
      <c r="L122" s="55">
        <f t="shared" si="37"/>
        <v>0</v>
      </c>
      <c r="M122" s="189">
        <f t="shared" si="37"/>
        <v>0</v>
      </c>
      <c r="N122" s="190">
        <f t="shared" si="37"/>
        <v>0</v>
      </c>
      <c r="O122" s="55">
        <f t="shared" si="37"/>
        <v>0</v>
      </c>
      <c r="P122" s="57"/>
    </row>
    <row r="123" spans="1:16" ht="12" hidden="1" customHeight="1" x14ac:dyDescent="0.25">
      <c r="A123" s="51">
        <v>2272</v>
      </c>
      <c r="B123" s="199" t="s">
        <v>140</v>
      </c>
      <c r="C123" s="89">
        <f t="shared" si="35"/>
        <v>0</v>
      </c>
      <c r="D123" s="194">
        <v>0</v>
      </c>
      <c r="E123" s="195"/>
      <c r="F123" s="55">
        <f>D123+E123</f>
        <v>0</v>
      </c>
      <c r="G123" s="53"/>
      <c r="H123" s="54"/>
      <c r="I123" s="55">
        <f>G123+H123</f>
        <v>0</v>
      </c>
      <c r="J123" s="53"/>
      <c r="K123" s="54"/>
      <c r="L123" s="55">
        <f>K123+J123</f>
        <v>0</v>
      </c>
      <c r="M123" s="53"/>
      <c r="N123" s="54"/>
      <c r="O123" s="55">
        <f>N123+M123</f>
        <v>0</v>
      </c>
      <c r="P123" s="57"/>
    </row>
    <row r="124" spans="1:16" ht="24" hidden="1" customHeight="1" x14ac:dyDescent="0.25">
      <c r="A124" s="51">
        <v>2274</v>
      </c>
      <c r="B124" s="200" t="s">
        <v>141</v>
      </c>
      <c r="C124" s="89">
        <f t="shared" si="35"/>
        <v>0</v>
      </c>
      <c r="D124" s="194">
        <v>0</v>
      </c>
      <c r="E124" s="195"/>
      <c r="F124" s="55">
        <f>D124+E124</f>
        <v>0</v>
      </c>
      <c r="G124" s="53"/>
      <c r="H124" s="54"/>
      <c r="I124" s="55">
        <f>G124+H124</f>
        <v>0</v>
      </c>
      <c r="J124" s="53"/>
      <c r="K124" s="54"/>
      <c r="L124" s="55">
        <f>K124+J124</f>
        <v>0</v>
      </c>
      <c r="M124" s="53"/>
      <c r="N124" s="54"/>
      <c r="O124" s="55">
        <f>N124+M124</f>
        <v>0</v>
      </c>
      <c r="P124" s="57"/>
    </row>
    <row r="125" spans="1:16" ht="24" hidden="1" customHeight="1" x14ac:dyDescent="0.25">
      <c r="A125" s="51">
        <v>2275</v>
      </c>
      <c r="B125" s="88" t="s">
        <v>142</v>
      </c>
      <c r="C125" s="89">
        <f t="shared" si="35"/>
        <v>0</v>
      </c>
      <c r="D125" s="194">
        <v>0</v>
      </c>
      <c r="E125" s="195"/>
      <c r="F125" s="55">
        <f>D125+E125</f>
        <v>0</v>
      </c>
      <c r="G125" s="53"/>
      <c r="H125" s="54"/>
      <c r="I125" s="55">
        <f>G125+H125</f>
        <v>0</v>
      </c>
      <c r="J125" s="53"/>
      <c r="K125" s="54"/>
      <c r="L125" s="55">
        <f>K125+J125</f>
        <v>0</v>
      </c>
      <c r="M125" s="53"/>
      <c r="N125" s="54"/>
      <c r="O125" s="55">
        <f>N125+M125</f>
        <v>0</v>
      </c>
      <c r="P125" s="57"/>
    </row>
    <row r="126" spans="1:16" ht="36" hidden="1" customHeight="1" x14ac:dyDescent="0.25">
      <c r="A126" s="51">
        <v>2276</v>
      </c>
      <c r="B126" s="88" t="s">
        <v>143</v>
      </c>
      <c r="C126" s="89">
        <f t="shared" si="35"/>
        <v>0</v>
      </c>
      <c r="D126" s="194">
        <v>0</v>
      </c>
      <c r="E126" s="195"/>
      <c r="F126" s="55">
        <f>D126+E126</f>
        <v>0</v>
      </c>
      <c r="G126" s="53"/>
      <c r="H126" s="54"/>
      <c r="I126" s="55">
        <f>G126+H126</f>
        <v>0</v>
      </c>
      <c r="J126" s="53"/>
      <c r="K126" s="54"/>
      <c r="L126" s="55">
        <f>K126+J126</f>
        <v>0</v>
      </c>
      <c r="M126" s="53"/>
      <c r="N126" s="54"/>
      <c r="O126" s="55">
        <f>N126+M126</f>
        <v>0</v>
      </c>
      <c r="P126" s="57"/>
    </row>
    <row r="127" spans="1:16" ht="24" hidden="1" customHeight="1" x14ac:dyDescent="0.25">
      <c r="A127" s="51">
        <v>2279</v>
      </c>
      <c r="B127" s="88" t="s">
        <v>144</v>
      </c>
      <c r="C127" s="89">
        <f t="shared" si="35"/>
        <v>0</v>
      </c>
      <c r="D127" s="194"/>
      <c r="E127" s="195"/>
      <c r="F127" s="55">
        <f>D127+E127</f>
        <v>0</v>
      </c>
      <c r="G127" s="53"/>
      <c r="H127" s="54"/>
      <c r="I127" s="55">
        <f>G127+H127</f>
        <v>0</v>
      </c>
      <c r="J127" s="53"/>
      <c r="K127" s="54"/>
      <c r="L127" s="55">
        <f>K127+J127</f>
        <v>0</v>
      </c>
      <c r="M127" s="53"/>
      <c r="N127" s="54"/>
      <c r="O127" s="55">
        <f>N127+M127</f>
        <v>0</v>
      </c>
      <c r="P127" s="57"/>
    </row>
    <row r="128" spans="1:16" ht="48" hidden="1" x14ac:dyDescent="0.25">
      <c r="A128" s="1095">
        <v>2280</v>
      </c>
      <c r="B128" s="81" t="s">
        <v>145</v>
      </c>
      <c r="C128" s="82">
        <f t="shared" si="35"/>
        <v>0</v>
      </c>
      <c r="D128" s="192">
        <f t="shared" ref="D128:O128" si="38">SUM(D129)</f>
        <v>0</v>
      </c>
      <c r="E128" s="193">
        <f t="shared" si="38"/>
        <v>0</v>
      </c>
      <c r="F128" s="133">
        <f t="shared" si="38"/>
        <v>0</v>
      </c>
      <c r="G128" s="192">
        <f t="shared" si="38"/>
        <v>0</v>
      </c>
      <c r="H128" s="193">
        <f t="shared" si="38"/>
        <v>0</v>
      </c>
      <c r="I128" s="133">
        <f t="shared" si="38"/>
        <v>0</v>
      </c>
      <c r="J128" s="192">
        <f t="shared" si="38"/>
        <v>0</v>
      </c>
      <c r="K128" s="193">
        <f t="shared" si="38"/>
        <v>0</v>
      </c>
      <c r="L128" s="133">
        <f t="shared" si="38"/>
        <v>0</v>
      </c>
      <c r="M128" s="192">
        <f t="shared" si="38"/>
        <v>0</v>
      </c>
      <c r="N128" s="193">
        <f t="shared" si="38"/>
        <v>0</v>
      </c>
      <c r="O128" s="133">
        <f t="shared" si="38"/>
        <v>0</v>
      </c>
      <c r="P128" s="49"/>
    </row>
    <row r="129" spans="1:16" ht="24" hidden="1" customHeight="1" x14ac:dyDescent="0.25">
      <c r="A129" s="51">
        <v>2283</v>
      </c>
      <c r="B129" s="88" t="s">
        <v>146</v>
      </c>
      <c r="C129" s="89">
        <f t="shared" si="35"/>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35"/>
        <v>17900</v>
      </c>
      <c r="D130" s="183">
        <f t="shared" ref="D130:O130" si="39">SUM(D131,D136,D140,D141,D144,D151,D159,D160,D163)</f>
        <v>17900</v>
      </c>
      <c r="E130" s="184">
        <f t="shared" si="39"/>
        <v>0</v>
      </c>
      <c r="F130" s="72">
        <f t="shared" si="39"/>
        <v>17900</v>
      </c>
      <c r="G130" s="183">
        <f t="shared" si="39"/>
        <v>0</v>
      </c>
      <c r="H130" s="184">
        <f t="shared" si="39"/>
        <v>0</v>
      </c>
      <c r="I130" s="72">
        <f t="shared" si="39"/>
        <v>0</v>
      </c>
      <c r="J130" s="183">
        <f t="shared" si="39"/>
        <v>0</v>
      </c>
      <c r="K130" s="184">
        <f t="shared" si="39"/>
        <v>0</v>
      </c>
      <c r="L130" s="72">
        <f t="shared" si="39"/>
        <v>0</v>
      </c>
      <c r="M130" s="183">
        <f t="shared" si="39"/>
        <v>0</v>
      </c>
      <c r="N130" s="184">
        <f t="shared" si="39"/>
        <v>0</v>
      </c>
      <c r="O130" s="72">
        <f t="shared" si="39"/>
        <v>0</v>
      </c>
      <c r="P130" s="76"/>
    </row>
    <row r="131" spans="1:16" ht="24" x14ac:dyDescent="0.25">
      <c r="A131" s="1095">
        <v>2310</v>
      </c>
      <c r="B131" s="81" t="s">
        <v>148</v>
      </c>
      <c r="C131" s="82">
        <f t="shared" si="35"/>
        <v>14700</v>
      </c>
      <c r="D131" s="192">
        <f t="shared" ref="D131:O131" si="40">SUM(D132:D135)</f>
        <v>14700</v>
      </c>
      <c r="E131" s="193">
        <f t="shared" si="40"/>
        <v>0</v>
      </c>
      <c r="F131" s="133">
        <f t="shared" si="40"/>
        <v>14700</v>
      </c>
      <c r="G131" s="192">
        <f t="shared" si="40"/>
        <v>0</v>
      </c>
      <c r="H131" s="193">
        <f t="shared" si="40"/>
        <v>0</v>
      </c>
      <c r="I131" s="133">
        <f t="shared" si="40"/>
        <v>0</v>
      </c>
      <c r="J131" s="192">
        <f t="shared" si="40"/>
        <v>0</v>
      </c>
      <c r="K131" s="193">
        <f t="shared" si="40"/>
        <v>0</v>
      </c>
      <c r="L131" s="133">
        <f t="shared" si="40"/>
        <v>0</v>
      </c>
      <c r="M131" s="192">
        <f t="shared" si="40"/>
        <v>0</v>
      </c>
      <c r="N131" s="193">
        <f t="shared" si="40"/>
        <v>0</v>
      </c>
      <c r="O131" s="133">
        <f t="shared" si="40"/>
        <v>0</v>
      </c>
      <c r="P131" s="49"/>
    </row>
    <row r="132" spans="1:16" ht="12" customHeight="1" x14ac:dyDescent="0.25">
      <c r="A132" s="51">
        <v>2311</v>
      </c>
      <c r="B132" s="88" t="s">
        <v>149</v>
      </c>
      <c r="C132" s="89">
        <f t="shared" si="35"/>
        <v>14000</v>
      </c>
      <c r="D132" s="194">
        <v>14000</v>
      </c>
      <c r="E132" s="195"/>
      <c r="F132" s="55">
        <f>D132+E132</f>
        <v>14000</v>
      </c>
      <c r="G132" s="53"/>
      <c r="H132" s="54"/>
      <c r="I132" s="55">
        <f>G132+H132</f>
        <v>0</v>
      </c>
      <c r="J132" s="53"/>
      <c r="K132" s="54"/>
      <c r="L132" s="55">
        <f>K132+J132</f>
        <v>0</v>
      </c>
      <c r="M132" s="53"/>
      <c r="N132" s="54"/>
      <c r="O132" s="55">
        <f>N132+M132</f>
        <v>0</v>
      </c>
      <c r="P132" s="57"/>
    </row>
    <row r="133" spans="1:16" ht="12" customHeight="1" x14ac:dyDescent="0.25">
      <c r="A133" s="51">
        <v>2312</v>
      </c>
      <c r="B133" s="88" t="s">
        <v>150</v>
      </c>
      <c r="C133" s="89">
        <f t="shared" si="35"/>
        <v>700</v>
      </c>
      <c r="D133" s="194">
        <f>1500-800</f>
        <v>700</v>
      </c>
      <c r="E133" s="195"/>
      <c r="F133" s="55">
        <f>D133+E133</f>
        <v>700</v>
      </c>
      <c r="G133" s="53"/>
      <c r="H133" s="54"/>
      <c r="I133" s="55">
        <f>G133+H133</f>
        <v>0</v>
      </c>
      <c r="J133" s="53"/>
      <c r="K133" s="54"/>
      <c r="L133" s="55">
        <f>K133+J133</f>
        <v>0</v>
      </c>
      <c r="M133" s="53"/>
      <c r="N133" s="54"/>
      <c r="O133" s="55">
        <f>N133+M133</f>
        <v>0</v>
      </c>
      <c r="P133" s="57"/>
    </row>
    <row r="134" spans="1:16" ht="12" hidden="1" customHeight="1" x14ac:dyDescent="0.25">
      <c r="A134" s="51">
        <v>2313</v>
      </c>
      <c r="B134" s="88" t="s">
        <v>151</v>
      </c>
      <c r="C134" s="89">
        <f t="shared" si="35"/>
        <v>0</v>
      </c>
      <c r="D134" s="194">
        <v>0</v>
      </c>
      <c r="E134" s="195"/>
      <c r="F134" s="55">
        <f>D134+E134</f>
        <v>0</v>
      </c>
      <c r="G134" s="53"/>
      <c r="H134" s="54"/>
      <c r="I134" s="55">
        <f>G134+H134</f>
        <v>0</v>
      </c>
      <c r="J134" s="53"/>
      <c r="K134" s="54"/>
      <c r="L134" s="55">
        <f>K134+J134</f>
        <v>0</v>
      </c>
      <c r="M134" s="53"/>
      <c r="N134" s="54"/>
      <c r="O134" s="55">
        <f>N134+M134</f>
        <v>0</v>
      </c>
      <c r="P134" s="57"/>
    </row>
    <row r="135" spans="1:16" ht="36" hidden="1" customHeight="1" x14ac:dyDescent="0.25">
      <c r="A135" s="51">
        <v>2314</v>
      </c>
      <c r="B135" s="88" t="s">
        <v>152</v>
      </c>
      <c r="C135" s="89">
        <f t="shared" si="35"/>
        <v>0</v>
      </c>
      <c r="D135" s="194">
        <v>0</v>
      </c>
      <c r="E135" s="195"/>
      <c r="F135" s="55">
        <f>D135+E135</f>
        <v>0</v>
      </c>
      <c r="G135" s="53"/>
      <c r="H135" s="54"/>
      <c r="I135" s="55">
        <f>G135+H135</f>
        <v>0</v>
      </c>
      <c r="J135" s="53"/>
      <c r="K135" s="54"/>
      <c r="L135" s="55">
        <f>K135+J135</f>
        <v>0</v>
      </c>
      <c r="M135" s="53"/>
      <c r="N135" s="54"/>
      <c r="O135" s="55">
        <f>N135+M135</f>
        <v>0</v>
      </c>
      <c r="P135" s="57"/>
    </row>
    <row r="136" spans="1:16" hidden="1" x14ac:dyDescent="0.25">
      <c r="A136" s="188">
        <v>2320</v>
      </c>
      <c r="B136" s="88" t="s">
        <v>153</v>
      </c>
      <c r="C136" s="89">
        <f t="shared" si="35"/>
        <v>0</v>
      </c>
      <c r="D136" s="189">
        <f t="shared" ref="D136:O136" si="41">SUM(D137:D139)</f>
        <v>0</v>
      </c>
      <c r="E136" s="190">
        <f t="shared" si="41"/>
        <v>0</v>
      </c>
      <c r="F136" s="55">
        <f t="shared" si="41"/>
        <v>0</v>
      </c>
      <c r="G136" s="189">
        <f t="shared" si="41"/>
        <v>0</v>
      </c>
      <c r="H136" s="190">
        <f t="shared" si="41"/>
        <v>0</v>
      </c>
      <c r="I136" s="55">
        <f t="shared" si="41"/>
        <v>0</v>
      </c>
      <c r="J136" s="189">
        <f t="shared" si="41"/>
        <v>0</v>
      </c>
      <c r="K136" s="190">
        <f t="shared" si="41"/>
        <v>0</v>
      </c>
      <c r="L136" s="55">
        <f t="shared" si="41"/>
        <v>0</v>
      </c>
      <c r="M136" s="189">
        <f t="shared" si="41"/>
        <v>0</v>
      </c>
      <c r="N136" s="190">
        <f t="shared" si="41"/>
        <v>0</v>
      </c>
      <c r="O136" s="55">
        <f t="shared" si="41"/>
        <v>0</v>
      </c>
      <c r="P136" s="57"/>
    </row>
    <row r="137" spans="1:16" ht="12" hidden="1" customHeight="1" x14ac:dyDescent="0.25">
      <c r="A137" s="51">
        <v>2321</v>
      </c>
      <c r="B137" s="88" t="s">
        <v>154</v>
      </c>
      <c r="C137" s="89">
        <f t="shared" si="35"/>
        <v>0</v>
      </c>
      <c r="D137" s="194">
        <v>0</v>
      </c>
      <c r="E137" s="195"/>
      <c r="F137" s="55">
        <f>D137+E137</f>
        <v>0</v>
      </c>
      <c r="G137" s="53"/>
      <c r="H137" s="54"/>
      <c r="I137" s="55">
        <f>G137+H137</f>
        <v>0</v>
      </c>
      <c r="J137" s="53"/>
      <c r="K137" s="54"/>
      <c r="L137" s="55">
        <f>K137+J137</f>
        <v>0</v>
      </c>
      <c r="M137" s="53"/>
      <c r="N137" s="54"/>
      <c r="O137" s="55">
        <f>N137+M137</f>
        <v>0</v>
      </c>
      <c r="P137" s="57"/>
    </row>
    <row r="138" spans="1:16" ht="12" hidden="1" customHeight="1" x14ac:dyDescent="0.25">
      <c r="A138" s="51">
        <v>2322</v>
      </c>
      <c r="B138" s="88" t="s">
        <v>155</v>
      </c>
      <c r="C138" s="89">
        <f t="shared" si="35"/>
        <v>0</v>
      </c>
      <c r="D138" s="194">
        <v>0</v>
      </c>
      <c r="E138" s="195"/>
      <c r="F138" s="55">
        <f>D138+E138</f>
        <v>0</v>
      </c>
      <c r="G138" s="53"/>
      <c r="H138" s="54"/>
      <c r="I138" s="55">
        <f>G138+H138</f>
        <v>0</v>
      </c>
      <c r="J138" s="53"/>
      <c r="K138" s="54"/>
      <c r="L138" s="55">
        <f>K138+J138</f>
        <v>0</v>
      </c>
      <c r="M138" s="53"/>
      <c r="N138" s="54"/>
      <c r="O138" s="55">
        <f>N138+M138</f>
        <v>0</v>
      </c>
      <c r="P138" s="57"/>
    </row>
    <row r="139" spans="1:16" ht="10.5" hidden="1" customHeight="1" x14ac:dyDescent="0.25">
      <c r="A139" s="51">
        <v>2329</v>
      </c>
      <c r="B139" s="88" t="s">
        <v>156</v>
      </c>
      <c r="C139" s="89">
        <f t="shared" si="35"/>
        <v>0</v>
      </c>
      <c r="D139" s="194">
        <v>0</v>
      </c>
      <c r="E139" s="195"/>
      <c r="F139" s="55">
        <f>D139+E139</f>
        <v>0</v>
      </c>
      <c r="G139" s="53"/>
      <c r="H139" s="54"/>
      <c r="I139" s="55">
        <f>G139+H139</f>
        <v>0</v>
      </c>
      <c r="J139" s="53"/>
      <c r="K139" s="54"/>
      <c r="L139" s="55">
        <f>K139+J139</f>
        <v>0</v>
      </c>
      <c r="M139" s="53"/>
      <c r="N139" s="54"/>
      <c r="O139" s="55">
        <f>N139+M139</f>
        <v>0</v>
      </c>
      <c r="P139" s="57"/>
    </row>
    <row r="140" spans="1:16" ht="12" hidden="1" customHeight="1" x14ac:dyDescent="0.25">
      <c r="A140" s="188">
        <v>2330</v>
      </c>
      <c r="B140" s="88" t="s">
        <v>157</v>
      </c>
      <c r="C140" s="89">
        <f t="shared" si="35"/>
        <v>0</v>
      </c>
      <c r="D140" s="194">
        <v>0</v>
      </c>
      <c r="E140" s="195"/>
      <c r="F140" s="55">
        <f>D140+E140</f>
        <v>0</v>
      </c>
      <c r="G140" s="53"/>
      <c r="H140" s="54"/>
      <c r="I140" s="55">
        <f>G140+H140</f>
        <v>0</v>
      </c>
      <c r="J140" s="53"/>
      <c r="K140" s="54"/>
      <c r="L140" s="55">
        <f>K140+J140</f>
        <v>0</v>
      </c>
      <c r="M140" s="53"/>
      <c r="N140" s="54"/>
      <c r="O140" s="55">
        <f>N140+M140</f>
        <v>0</v>
      </c>
      <c r="P140" s="57"/>
    </row>
    <row r="141" spans="1:16" ht="48" hidden="1" x14ac:dyDescent="0.25">
      <c r="A141" s="188">
        <v>2340</v>
      </c>
      <c r="B141" s="88" t="s">
        <v>158</v>
      </c>
      <c r="C141" s="89">
        <f t="shared" si="35"/>
        <v>0</v>
      </c>
      <c r="D141" s="189">
        <f t="shared" ref="D141:O141" si="42">SUM(D142:D143)</f>
        <v>0</v>
      </c>
      <c r="E141" s="190">
        <f t="shared" si="42"/>
        <v>0</v>
      </c>
      <c r="F141" s="55">
        <f t="shared" si="42"/>
        <v>0</v>
      </c>
      <c r="G141" s="189">
        <f t="shared" si="42"/>
        <v>0</v>
      </c>
      <c r="H141" s="190">
        <f t="shared" si="42"/>
        <v>0</v>
      </c>
      <c r="I141" s="55">
        <f t="shared" si="42"/>
        <v>0</v>
      </c>
      <c r="J141" s="189">
        <f t="shared" si="42"/>
        <v>0</v>
      </c>
      <c r="K141" s="190">
        <f t="shared" si="42"/>
        <v>0</v>
      </c>
      <c r="L141" s="55">
        <f t="shared" si="42"/>
        <v>0</v>
      </c>
      <c r="M141" s="189">
        <f t="shared" si="42"/>
        <v>0</v>
      </c>
      <c r="N141" s="190">
        <f t="shared" si="42"/>
        <v>0</v>
      </c>
      <c r="O141" s="55">
        <f t="shared" si="42"/>
        <v>0</v>
      </c>
      <c r="P141" s="57"/>
    </row>
    <row r="142" spans="1:16" ht="12" hidden="1" customHeight="1" x14ac:dyDescent="0.25">
      <c r="A142" s="51">
        <v>2341</v>
      </c>
      <c r="B142" s="88" t="s">
        <v>159</v>
      </c>
      <c r="C142" s="89">
        <f t="shared" si="35"/>
        <v>0</v>
      </c>
      <c r="D142" s="194">
        <v>0</v>
      </c>
      <c r="E142" s="195"/>
      <c r="F142" s="55">
        <f>D142+E142</f>
        <v>0</v>
      </c>
      <c r="G142" s="53"/>
      <c r="H142" s="54"/>
      <c r="I142" s="55">
        <f>G142+H142</f>
        <v>0</v>
      </c>
      <c r="J142" s="53"/>
      <c r="K142" s="54"/>
      <c r="L142" s="55">
        <f>K142+J142</f>
        <v>0</v>
      </c>
      <c r="M142" s="53"/>
      <c r="N142" s="54"/>
      <c r="O142" s="55">
        <f>N142+M142</f>
        <v>0</v>
      </c>
      <c r="P142" s="57"/>
    </row>
    <row r="143" spans="1:16" ht="24" hidden="1" customHeight="1" x14ac:dyDescent="0.25">
      <c r="A143" s="51">
        <v>2344</v>
      </c>
      <c r="B143" s="88" t="s">
        <v>160</v>
      </c>
      <c r="C143" s="89">
        <f t="shared" si="35"/>
        <v>0</v>
      </c>
      <c r="D143" s="194">
        <v>0</v>
      </c>
      <c r="E143" s="195"/>
      <c r="F143" s="55">
        <f>D143+E143</f>
        <v>0</v>
      </c>
      <c r="G143" s="53"/>
      <c r="H143" s="54"/>
      <c r="I143" s="55">
        <f>G143+H143</f>
        <v>0</v>
      </c>
      <c r="J143" s="53"/>
      <c r="K143" s="54"/>
      <c r="L143" s="55">
        <f>K143+J143</f>
        <v>0</v>
      </c>
      <c r="M143" s="53"/>
      <c r="N143" s="54"/>
      <c r="O143" s="55">
        <f>N143+M143</f>
        <v>0</v>
      </c>
      <c r="P143" s="57"/>
    </row>
    <row r="144" spans="1:16" ht="24" x14ac:dyDescent="0.25">
      <c r="A144" s="185">
        <v>2350</v>
      </c>
      <c r="B144" s="137" t="s">
        <v>161</v>
      </c>
      <c r="C144" s="142">
        <f t="shared" si="35"/>
        <v>3200</v>
      </c>
      <c r="D144" s="186">
        <f t="shared" ref="D144:O144" si="43">SUM(D145:D150)</f>
        <v>3200</v>
      </c>
      <c r="E144" s="187">
        <f t="shared" si="43"/>
        <v>0</v>
      </c>
      <c r="F144" s="140">
        <f t="shared" si="43"/>
        <v>3200</v>
      </c>
      <c r="G144" s="186">
        <f t="shared" si="43"/>
        <v>0</v>
      </c>
      <c r="H144" s="187">
        <f t="shared" si="43"/>
        <v>0</v>
      </c>
      <c r="I144" s="140">
        <f t="shared" si="43"/>
        <v>0</v>
      </c>
      <c r="J144" s="186">
        <f t="shared" si="43"/>
        <v>0</v>
      </c>
      <c r="K144" s="187">
        <f t="shared" si="43"/>
        <v>0</v>
      </c>
      <c r="L144" s="140">
        <f t="shared" si="43"/>
        <v>0</v>
      </c>
      <c r="M144" s="186">
        <f t="shared" si="43"/>
        <v>0</v>
      </c>
      <c r="N144" s="187">
        <f t="shared" si="43"/>
        <v>0</v>
      </c>
      <c r="O144" s="140">
        <f t="shared" si="43"/>
        <v>0</v>
      </c>
      <c r="P144" s="128"/>
    </row>
    <row r="145" spans="1:16" ht="12" hidden="1" customHeight="1" x14ac:dyDescent="0.25">
      <c r="A145" s="44">
        <v>2351</v>
      </c>
      <c r="B145" s="81" t="s">
        <v>162</v>
      </c>
      <c r="C145" s="82">
        <f t="shared" si="35"/>
        <v>0</v>
      </c>
      <c r="D145" s="196">
        <v>0</v>
      </c>
      <c r="E145" s="197"/>
      <c r="F145" s="133">
        <f t="shared" ref="F145:F150" si="44">D145+E145</f>
        <v>0</v>
      </c>
      <c r="G145" s="46"/>
      <c r="H145" s="47"/>
      <c r="I145" s="133">
        <f t="shared" ref="I145:I150" si="45">G145+H145</f>
        <v>0</v>
      </c>
      <c r="J145" s="46"/>
      <c r="K145" s="47"/>
      <c r="L145" s="133">
        <f t="shared" ref="L145:L150" si="46">K145+J145</f>
        <v>0</v>
      </c>
      <c r="M145" s="46"/>
      <c r="N145" s="47"/>
      <c r="O145" s="133">
        <f t="shared" ref="O145:O150" si="47">N145+M145</f>
        <v>0</v>
      </c>
      <c r="P145" s="49"/>
    </row>
    <row r="146" spans="1:16" ht="12" hidden="1" customHeight="1" x14ac:dyDescent="0.25">
      <c r="A146" s="51">
        <v>2352</v>
      </c>
      <c r="B146" s="88" t="s">
        <v>163</v>
      </c>
      <c r="C146" s="89">
        <f t="shared" si="35"/>
        <v>0</v>
      </c>
      <c r="D146" s="194">
        <v>0</v>
      </c>
      <c r="E146" s="195"/>
      <c r="F146" s="55">
        <f t="shared" si="44"/>
        <v>0</v>
      </c>
      <c r="G146" s="53"/>
      <c r="H146" s="54"/>
      <c r="I146" s="55">
        <f t="shared" si="45"/>
        <v>0</v>
      </c>
      <c r="J146" s="53"/>
      <c r="K146" s="54"/>
      <c r="L146" s="55">
        <f t="shared" si="46"/>
        <v>0</v>
      </c>
      <c r="M146" s="53"/>
      <c r="N146" s="54"/>
      <c r="O146" s="55">
        <f t="shared" si="47"/>
        <v>0</v>
      </c>
      <c r="P146" s="57"/>
    </row>
    <row r="147" spans="1:16" ht="24" hidden="1" customHeight="1" x14ac:dyDescent="0.25">
      <c r="A147" s="51">
        <v>2353</v>
      </c>
      <c r="B147" s="88" t="s">
        <v>164</v>
      </c>
      <c r="C147" s="89">
        <f t="shared" si="35"/>
        <v>0</v>
      </c>
      <c r="D147" s="194">
        <v>0</v>
      </c>
      <c r="E147" s="195"/>
      <c r="F147" s="55">
        <f t="shared" si="44"/>
        <v>0</v>
      </c>
      <c r="G147" s="53"/>
      <c r="H147" s="54"/>
      <c r="I147" s="55">
        <f t="shared" si="45"/>
        <v>0</v>
      </c>
      <c r="J147" s="53"/>
      <c r="K147" s="54"/>
      <c r="L147" s="55">
        <f t="shared" si="46"/>
        <v>0</v>
      </c>
      <c r="M147" s="53"/>
      <c r="N147" s="54"/>
      <c r="O147" s="55">
        <f t="shared" si="47"/>
        <v>0</v>
      </c>
      <c r="P147" s="57"/>
    </row>
    <row r="148" spans="1:16" ht="24" hidden="1" customHeight="1" x14ac:dyDescent="0.25">
      <c r="A148" s="51">
        <v>2354</v>
      </c>
      <c r="B148" s="88" t="s">
        <v>165</v>
      </c>
      <c r="C148" s="89">
        <f t="shared" si="35"/>
        <v>0</v>
      </c>
      <c r="D148" s="194">
        <v>0</v>
      </c>
      <c r="E148" s="195"/>
      <c r="F148" s="55">
        <f t="shared" si="44"/>
        <v>0</v>
      </c>
      <c r="G148" s="53"/>
      <c r="H148" s="54"/>
      <c r="I148" s="55">
        <f t="shared" si="45"/>
        <v>0</v>
      </c>
      <c r="J148" s="53"/>
      <c r="K148" s="54"/>
      <c r="L148" s="55">
        <f t="shared" si="46"/>
        <v>0</v>
      </c>
      <c r="M148" s="53"/>
      <c r="N148" s="54"/>
      <c r="O148" s="55">
        <f t="shared" si="47"/>
        <v>0</v>
      </c>
      <c r="P148" s="57"/>
    </row>
    <row r="149" spans="1:16" ht="24" customHeight="1" x14ac:dyDescent="0.25">
      <c r="A149" s="51">
        <v>2355</v>
      </c>
      <c r="B149" s="88" t="s">
        <v>166</v>
      </c>
      <c r="C149" s="89">
        <f t="shared" si="35"/>
        <v>3200</v>
      </c>
      <c r="D149" s="194">
        <f>2400+800</f>
        <v>3200</v>
      </c>
      <c r="E149" s="195"/>
      <c r="F149" s="55">
        <f t="shared" si="44"/>
        <v>3200</v>
      </c>
      <c r="G149" s="53"/>
      <c r="H149" s="54"/>
      <c r="I149" s="55">
        <f t="shared" si="45"/>
        <v>0</v>
      </c>
      <c r="J149" s="53"/>
      <c r="K149" s="54"/>
      <c r="L149" s="55">
        <f t="shared" si="46"/>
        <v>0</v>
      </c>
      <c r="M149" s="53"/>
      <c r="N149" s="54"/>
      <c r="O149" s="55">
        <f t="shared" si="47"/>
        <v>0</v>
      </c>
      <c r="P149" s="57"/>
    </row>
    <row r="150" spans="1:16" ht="24" hidden="1" customHeight="1" x14ac:dyDescent="0.25">
      <c r="A150" s="51">
        <v>2359</v>
      </c>
      <c r="B150" s="88" t="s">
        <v>167</v>
      </c>
      <c r="C150" s="89">
        <f t="shared" si="35"/>
        <v>0</v>
      </c>
      <c r="D150" s="194">
        <v>0</v>
      </c>
      <c r="E150" s="195"/>
      <c r="F150" s="55">
        <f t="shared" si="44"/>
        <v>0</v>
      </c>
      <c r="G150" s="53"/>
      <c r="H150" s="54"/>
      <c r="I150" s="55">
        <f t="shared" si="45"/>
        <v>0</v>
      </c>
      <c r="J150" s="53"/>
      <c r="K150" s="54"/>
      <c r="L150" s="55">
        <f t="shared" si="46"/>
        <v>0</v>
      </c>
      <c r="M150" s="53"/>
      <c r="N150" s="54"/>
      <c r="O150" s="55">
        <f t="shared" si="47"/>
        <v>0</v>
      </c>
      <c r="P150" s="57"/>
    </row>
    <row r="151" spans="1:16" ht="24.75" hidden="1" customHeight="1" x14ac:dyDescent="0.25">
      <c r="A151" s="188">
        <v>2360</v>
      </c>
      <c r="B151" s="88" t="s">
        <v>168</v>
      </c>
      <c r="C151" s="89">
        <f t="shared" si="35"/>
        <v>0</v>
      </c>
      <c r="D151" s="189">
        <f t="shared" ref="D151:O151" si="48">SUM(D152:D158)</f>
        <v>0</v>
      </c>
      <c r="E151" s="190">
        <f t="shared" si="48"/>
        <v>0</v>
      </c>
      <c r="F151" s="55">
        <f t="shared" si="48"/>
        <v>0</v>
      </c>
      <c r="G151" s="189">
        <f t="shared" si="48"/>
        <v>0</v>
      </c>
      <c r="H151" s="190">
        <f t="shared" si="48"/>
        <v>0</v>
      </c>
      <c r="I151" s="55">
        <f t="shared" si="48"/>
        <v>0</v>
      </c>
      <c r="J151" s="189">
        <f t="shared" si="48"/>
        <v>0</v>
      </c>
      <c r="K151" s="190">
        <f t="shared" si="48"/>
        <v>0</v>
      </c>
      <c r="L151" s="55">
        <f t="shared" si="48"/>
        <v>0</v>
      </c>
      <c r="M151" s="189">
        <f t="shared" si="48"/>
        <v>0</v>
      </c>
      <c r="N151" s="190">
        <f t="shared" si="48"/>
        <v>0</v>
      </c>
      <c r="O151" s="55">
        <f t="shared" si="48"/>
        <v>0</v>
      </c>
      <c r="P151" s="57"/>
    </row>
    <row r="152" spans="1:16" ht="12" hidden="1" customHeight="1" x14ac:dyDescent="0.25">
      <c r="A152" s="50">
        <v>2361</v>
      </c>
      <c r="B152" s="88" t="s">
        <v>169</v>
      </c>
      <c r="C152" s="89">
        <f t="shared" si="35"/>
        <v>0</v>
      </c>
      <c r="D152" s="194">
        <v>0</v>
      </c>
      <c r="E152" s="195"/>
      <c r="F152" s="55">
        <f t="shared" ref="F152:F159" si="49">D152+E152</f>
        <v>0</v>
      </c>
      <c r="G152" s="53"/>
      <c r="H152" s="54"/>
      <c r="I152" s="55">
        <f t="shared" ref="I152:I159" si="50">G152+H152</f>
        <v>0</v>
      </c>
      <c r="J152" s="53"/>
      <c r="K152" s="54"/>
      <c r="L152" s="55">
        <f t="shared" ref="L152:L159" si="51">K152+J152</f>
        <v>0</v>
      </c>
      <c r="M152" s="53"/>
      <c r="N152" s="54"/>
      <c r="O152" s="55">
        <f t="shared" ref="O152:O159" si="52">N152+M152</f>
        <v>0</v>
      </c>
      <c r="P152" s="57"/>
    </row>
    <row r="153" spans="1:16" ht="24" hidden="1" customHeight="1" x14ac:dyDescent="0.25">
      <c r="A153" s="50">
        <v>2362</v>
      </c>
      <c r="B153" s="88" t="s">
        <v>170</v>
      </c>
      <c r="C153" s="89">
        <f t="shared" si="35"/>
        <v>0</v>
      </c>
      <c r="D153" s="194">
        <v>0</v>
      </c>
      <c r="E153" s="195"/>
      <c r="F153" s="55">
        <f t="shared" si="49"/>
        <v>0</v>
      </c>
      <c r="G153" s="53"/>
      <c r="H153" s="54"/>
      <c r="I153" s="55">
        <f t="shared" si="50"/>
        <v>0</v>
      </c>
      <c r="J153" s="53"/>
      <c r="K153" s="54"/>
      <c r="L153" s="55">
        <f t="shared" si="51"/>
        <v>0</v>
      </c>
      <c r="M153" s="53"/>
      <c r="N153" s="54"/>
      <c r="O153" s="55">
        <f t="shared" si="52"/>
        <v>0</v>
      </c>
      <c r="P153" s="57"/>
    </row>
    <row r="154" spans="1:16" ht="12" hidden="1" customHeight="1" x14ac:dyDescent="0.25">
      <c r="A154" s="50">
        <v>2363</v>
      </c>
      <c r="B154" s="88" t="s">
        <v>171</v>
      </c>
      <c r="C154" s="89">
        <f t="shared" si="35"/>
        <v>0</v>
      </c>
      <c r="D154" s="194">
        <v>0</v>
      </c>
      <c r="E154" s="195"/>
      <c r="F154" s="55">
        <f t="shared" si="49"/>
        <v>0</v>
      </c>
      <c r="G154" s="53"/>
      <c r="H154" s="54"/>
      <c r="I154" s="55">
        <f t="shared" si="50"/>
        <v>0</v>
      </c>
      <c r="J154" s="53"/>
      <c r="K154" s="54"/>
      <c r="L154" s="55">
        <f t="shared" si="51"/>
        <v>0</v>
      </c>
      <c r="M154" s="53"/>
      <c r="N154" s="54"/>
      <c r="O154" s="55">
        <f t="shared" si="52"/>
        <v>0</v>
      </c>
      <c r="P154" s="57"/>
    </row>
    <row r="155" spans="1:16" ht="12" hidden="1" customHeight="1" x14ac:dyDescent="0.25">
      <c r="A155" s="50">
        <v>2364</v>
      </c>
      <c r="B155" s="88" t="s">
        <v>172</v>
      </c>
      <c r="C155" s="89">
        <f t="shared" si="35"/>
        <v>0</v>
      </c>
      <c r="D155" s="194">
        <v>0</v>
      </c>
      <c r="E155" s="195"/>
      <c r="F155" s="55">
        <f t="shared" si="49"/>
        <v>0</v>
      </c>
      <c r="G155" s="53"/>
      <c r="H155" s="54"/>
      <c r="I155" s="55">
        <f t="shared" si="50"/>
        <v>0</v>
      </c>
      <c r="J155" s="53"/>
      <c r="K155" s="54"/>
      <c r="L155" s="55">
        <f t="shared" si="51"/>
        <v>0</v>
      </c>
      <c r="M155" s="53"/>
      <c r="N155" s="54"/>
      <c r="O155" s="55">
        <f t="shared" si="52"/>
        <v>0</v>
      </c>
      <c r="P155" s="57"/>
    </row>
    <row r="156" spans="1:16" ht="12.75" hidden="1" customHeight="1" x14ac:dyDescent="0.25">
      <c r="A156" s="50">
        <v>2365</v>
      </c>
      <c r="B156" s="88" t="s">
        <v>173</v>
      </c>
      <c r="C156" s="89">
        <f t="shared" si="35"/>
        <v>0</v>
      </c>
      <c r="D156" s="194">
        <v>0</v>
      </c>
      <c r="E156" s="195"/>
      <c r="F156" s="55">
        <f t="shared" si="49"/>
        <v>0</v>
      </c>
      <c r="G156" s="53"/>
      <c r="H156" s="54"/>
      <c r="I156" s="55">
        <f t="shared" si="50"/>
        <v>0</v>
      </c>
      <c r="J156" s="53"/>
      <c r="K156" s="54"/>
      <c r="L156" s="55">
        <f t="shared" si="51"/>
        <v>0</v>
      </c>
      <c r="M156" s="53"/>
      <c r="N156" s="54"/>
      <c r="O156" s="55">
        <f t="shared" si="52"/>
        <v>0</v>
      </c>
      <c r="P156" s="57"/>
    </row>
    <row r="157" spans="1:16" ht="36" hidden="1" customHeight="1" x14ac:dyDescent="0.25">
      <c r="A157" s="50">
        <v>2366</v>
      </c>
      <c r="B157" s="88" t="s">
        <v>174</v>
      </c>
      <c r="C157" s="89">
        <f t="shared" si="35"/>
        <v>0</v>
      </c>
      <c r="D157" s="194">
        <v>0</v>
      </c>
      <c r="E157" s="195"/>
      <c r="F157" s="55">
        <f t="shared" si="49"/>
        <v>0</v>
      </c>
      <c r="G157" s="53"/>
      <c r="H157" s="54"/>
      <c r="I157" s="55">
        <f t="shared" si="50"/>
        <v>0</v>
      </c>
      <c r="J157" s="53"/>
      <c r="K157" s="54"/>
      <c r="L157" s="55">
        <f t="shared" si="51"/>
        <v>0</v>
      </c>
      <c r="M157" s="53"/>
      <c r="N157" s="54"/>
      <c r="O157" s="55">
        <f t="shared" si="52"/>
        <v>0</v>
      </c>
      <c r="P157" s="57"/>
    </row>
    <row r="158" spans="1:16" ht="48" hidden="1" customHeight="1" x14ac:dyDescent="0.25">
      <c r="A158" s="50">
        <v>2369</v>
      </c>
      <c r="B158" s="88" t="s">
        <v>175</v>
      </c>
      <c r="C158" s="89">
        <f t="shared" si="35"/>
        <v>0</v>
      </c>
      <c r="D158" s="194">
        <v>0</v>
      </c>
      <c r="E158" s="195"/>
      <c r="F158" s="55">
        <f t="shared" si="49"/>
        <v>0</v>
      </c>
      <c r="G158" s="53"/>
      <c r="H158" s="54"/>
      <c r="I158" s="55">
        <f t="shared" si="50"/>
        <v>0</v>
      </c>
      <c r="J158" s="53"/>
      <c r="K158" s="54"/>
      <c r="L158" s="55">
        <f t="shared" si="51"/>
        <v>0</v>
      </c>
      <c r="M158" s="53"/>
      <c r="N158" s="54"/>
      <c r="O158" s="55">
        <f t="shared" si="52"/>
        <v>0</v>
      </c>
      <c r="P158" s="57"/>
    </row>
    <row r="159" spans="1:16" ht="12" hidden="1" customHeight="1" x14ac:dyDescent="0.25">
      <c r="A159" s="185">
        <v>2370</v>
      </c>
      <c r="B159" s="137" t="s">
        <v>176</v>
      </c>
      <c r="C159" s="142">
        <f t="shared" si="35"/>
        <v>0</v>
      </c>
      <c r="D159" s="202">
        <v>0</v>
      </c>
      <c r="E159" s="203"/>
      <c r="F159" s="140">
        <f t="shared" si="49"/>
        <v>0</v>
      </c>
      <c r="G159" s="143"/>
      <c r="H159" s="144"/>
      <c r="I159" s="140">
        <f t="shared" si="50"/>
        <v>0</v>
      </c>
      <c r="J159" s="143"/>
      <c r="K159" s="144"/>
      <c r="L159" s="140">
        <f t="shared" si="51"/>
        <v>0</v>
      </c>
      <c r="M159" s="143"/>
      <c r="N159" s="144"/>
      <c r="O159" s="140">
        <f t="shared" si="52"/>
        <v>0</v>
      </c>
      <c r="P159" s="128"/>
    </row>
    <row r="160" spans="1:16" hidden="1" x14ac:dyDescent="0.25">
      <c r="A160" s="185">
        <v>2380</v>
      </c>
      <c r="B160" s="137" t="s">
        <v>177</v>
      </c>
      <c r="C160" s="142">
        <f t="shared" si="35"/>
        <v>0</v>
      </c>
      <c r="D160" s="186">
        <f t="shared" ref="D160:O160" si="53">SUM(D161:D162)</f>
        <v>0</v>
      </c>
      <c r="E160" s="187">
        <f t="shared" si="53"/>
        <v>0</v>
      </c>
      <c r="F160" s="140">
        <f t="shared" si="53"/>
        <v>0</v>
      </c>
      <c r="G160" s="186">
        <f t="shared" si="53"/>
        <v>0</v>
      </c>
      <c r="H160" s="187">
        <f t="shared" si="53"/>
        <v>0</v>
      </c>
      <c r="I160" s="140">
        <f t="shared" si="53"/>
        <v>0</v>
      </c>
      <c r="J160" s="186">
        <f t="shared" si="53"/>
        <v>0</v>
      </c>
      <c r="K160" s="187">
        <f t="shared" si="53"/>
        <v>0</v>
      </c>
      <c r="L160" s="140">
        <f t="shared" si="53"/>
        <v>0</v>
      </c>
      <c r="M160" s="186">
        <f t="shared" si="53"/>
        <v>0</v>
      </c>
      <c r="N160" s="187">
        <f t="shared" si="53"/>
        <v>0</v>
      </c>
      <c r="O160" s="140">
        <f t="shared" si="53"/>
        <v>0</v>
      </c>
      <c r="P160" s="128"/>
    </row>
    <row r="161" spans="1:16" ht="12" hidden="1" customHeight="1" x14ac:dyDescent="0.25">
      <c r="A161" s="43">
        <v>2381</v>
      </c>
      <c r="B161" s="81" t="s">
        <v>178</v>
      </c>
      <c r="C161" s="82">
        <f t="shared" si="35"/>
        <v>0</v>
      </c>
      <c r="D161" s="196">
        <v>0</v>
      </c>
      <c r="E161" s="197"/>
      <c r="F161" s="133">
        <f>D161+E161</f>
        <v>0</v>
      </c>
      <c r="G161" s="46"/>
      <c r="H161" s="47"/>
      <c r="I161" s="133">
        <f>G161+H161</f>
        <v>0</v>
      </c>
      <c r="J161" s="46"/>
      <c r="K161" s="47"/>
      <c r="L161" s="133">
        <f>K161+J161</f>
        <v>0</v>
      </c>
      <c r="M161" s="46"/>
      <c r="N161" s="47"/>
      <c r="O161" s="133">
        <f>N161+M161</f>
        <v>0</v>
      </c>
      <c r="P161" s="49"/>
    </row>
    <row r="162" spans="1:16" ht="24" hidden="1" customHeight="1" x14ac:dyDescent="0.25">
      <c r="A162" s="50">
        <v>2389</v>
      </c>
      <c r="B162" s="88" t="s">
        <v>179</v>
      </c>
      <c r="C162" s="89">
        <f t="shared" si="35"/>
        <v>0</v>
      </c>
      <c r="D162" s="194">
        <v>0</v>
      </c>
      <c r="E162" s="195"/>
      <c r="F162" s="55">
        <f>D162+E162</f>
        <v>0</v>
      </c>
      <c r="G162" s="53"/>
      <c r="H162" s="54"/>
      <c r="I162" s="55">
        <f>G162+H162</f>
        <v>0</v>
      </c>
      <c r="J162" s="53"/>
      <c r="K162" s="54"/>
      <c r="L162" s="55">
        <f>K162+J162</f>
        <v>0</v>
      </c>
      <c r="M162" s="53"/>
      <c r="N162" s="54"/>
      <c r="O162" s="55">
        <f>N162+M162</f>
        <v>0</v>
      </c>
      <c r="P162" s="57"/>
    </row>
    <row r="163" spans="1:16" ht="12" hidden="1" customHeight="1" x14ac:dyDescent="0.25">
      <c r="A163" s="185">
        <v>2390</v>
      </c>
      <c r="B163" s="137" t="s">
        <v>180</v>
      </c>
      <c r="C163" s="142">
        <f t="shared" si="35"/>
        <v>0</v>
      </c>
      <c r="D163" s="202">
        <v>0</v>
      </c>
      <c r="E163" s="203"/>
      <c r="F163" s="140">
        <f>D163+E163</f>
        <v>0</v>
      </c>
      <c r="G163" s="143"/>
      <c r="H163" s="144"/>
      <c r="I163" s="140">
        <f>G163+H163</f>
        <v>0</v>
      </c>
      <c r="J163" s="143"/>
      <c r="K163" s="144"/>
      <c r="L163" s="140">
        <f>K163+J163</f>
        <v>0</v>
      </c>
      <c r="M163" s="143"/>
      <c r="N163" s="144"/>
      <c r="O163" s="140">
        <f>N163+M163</f>
        <v>0</v>
      </c>
      <c r="P163" s="128"/>
    </row>
    <row r="164" spans="1:16" ht="12" hidden="1" customHeight="1" x14ac:dyDescent="0.25">
      <c r="A164" s="68">
        <v>2400</v>
      </c>
      <c r="B164" s="182" t="s">
        <v>181</v>
      </c>
      <c r="C164" s="69">
        <f t="shared" si="35"/>
        <v>0</v>
      </c>
      <c r="D164" s="204">
        <v>0</v>
      </c>
      <c r="E164" s="205"/>
      <c r="F164" s="72">
        <f>D164+E164</f>
        <v>0</v>
      </c>
      <c r="G164" s="70"/>
      <c r="H164" s="71"/>
      <c r="I164" s="72">
        <f>G164+H164</f>
        <v>0</v>
      </c>
      <c r="J164" s="70"/>
      <c r="K164" s="71"/>
      <c r="L164" s="72">
        <f>K164+J164</f>
        <v>0</v>
      </c>
      <c r="M164" s="70"/>
      <c r="N164" s="71"/>
      <c r="O164" s="72">
        <f>N164+M164</f>
        <v>0</v>
      </c>
      <c r="P164" s="76"/>
    </row>
    <row r="165" spans="1:16" ht="24" hidden="1" x14ac:dyDescent="0.25">
      <c r="A165" s="68">
        <v>2500</v>
      </c>
      <c r="B165" s="182" t="s">
        <v>182</v>
      </c>
      <c r="C165" s="69">
        <f t="shared" si="35"/>
        <v>0</v>
      </c>
      <c r="D165" s="183">
        <f t="shared" ref="D165:O165" si="54">SUM(D166,D171)</f>
        <v>0</v>
      </c>
      <c r="E165" s="184">
        <f t="shared" si="54"/>
        <v>0</v>
      </c>
      <c r="F165" s="72">
        <f t="shared" si="54"/>
        <v>0</v>
      </c>
      <c r="G165" s="183">
        <f t="shared" si="54"/>
        <v>0</v>
      </c>
      <c r="H165" s="184">
        <f t="shared" si="54"/>
        <v>0</v>
      </c>
      <c r="I165" s="72">
        <f t="shared" si="54"/>
        <v>0</v>
      </c>
      <c r="J165" s="183">
        <f t="shared" si="54"/>
        <v>0</v>
      </c>
      <c r="K165" s="184">
        <f t="shared" si="54"/>
        <v>0</v>
      </c>
      <c r="L165" s="72">
        <f t="shared" si="54"/>
        <v>0</v>
      </c>
      <c r="M165" s="183">
        <f t="shared" si="54"/>
        <v>0</v>
      </c>
      <c r="N165" s="184">
        <f t="shared" si="54"/>
        <v>0</v>
      </c>
      <c r="O165" s="72">
        <f t="shared" si="54"/>
        <v>0</v>
      </c>
      <c r="P165" s="76"/>
    </row>
    <row r="166" spans="1:16" ht="16.5" hidden="1" customHeight="1" x14ac:dyDescent="0.25">
      <c r="A166" s="1095">
        <v>2510</v>
      </c>
      <c r="B166" s="81" t="s">
        <v>183</v>
      </c>
      <c r="C166" s="82">
        <f t="shared" si="35"/>
        <v>0</v>
      </c>
      <c r="D166" s="192">
        <f t="shared" ref="D166:O166" si="55">SUM(D167:D170)</f>
        <v>0</v>
      </c>
      <c r="E166" s="193">
        <f t="shared" si="55"/>
        <v>0</v>
      </c>
      <c r="F166" s="133">
        <f t="shared" si="55"/>
        <v>0</v>
      </c>
      <c r="G166" s="192">
        <f t="shared" si="55"/>
        <v>0</v>
      </c>
      <c r="H166" s="193">
        <f t="shared" si="55"/>
        <v>0</v>
      </c>
      <c r="I166" s="133">
        <f t="shared" si="55"/>
        <v>0</v>
      </c>
      <c r="J166" s="192">
        <f t="shared" si="55"/>
        <v>0</v>
      </c>
      <c r="K166" s="193">
        <f t="shared" si="55"/>
        <v>0</v>
      </c>
      <c r="L166" s="133">
        <f t="shared" si="55"/>
        <v>0</v>
      </c>
      <c r="M166" s="192">
        <f t="shared" si="55"/>
        <v>0</v>
      </c>
      <c r="N166" s="193">
        <f t="shared" si="55"/>
        <v>0</v>
      </c>
      <c r="O166" s="133">
        <f t="shared" si="55"/>
        <v>0</v>
      </c>
      <c r="P166" s="49"/>
    </row>
    <row r="167" spans="1:16" ht="24" hidden="1" customHeight="1" x14ac:dyDescent="0.25">
      <c r="A167" s="51">
        <v>2512</v>
      </c>
      <c r="B167" s="88" t="s">
        <v>184</v>
      </c>
      <c r="C167" s="89">
        <f t="shared" si="35"/>
        <v>0</v>
      </c>
      <c r="D167" s="194">
        <v>0</v>
      </c>
      <c r="E167" s="195"/>
      <c r="F167" s="55">
        <f t="shared" ref="F167:F172" si="56">D167+E167</f>
        <v>0</v>
      </c>
      <c r="G167" s="53"/>
      <c r="H167" s="54"/>
      <c r="I167" s="55">
        <f t="shared" ref="I167:I172" si="57">G167+H167</f>
        <v>0</v>
      </c>
      <c r="J167" s="53"/>
      <c r="K167" s="54"/>
      <c r="L167" s="55">
        <f t="shared" ref="L167:L172" si="58">K167+J167</f>
        <v>0</v>
      </c>
      <c r="M167" s="53"/>
      <c r="N167" s="54"/>
      <c r="O167" s="55">
        <f t="shared" ref="O167:O172" si="59">N167+M167</f>
        <v>0</v>
      </c>
      <c r="P167" s="57"/>
    </row>
    <row r="168" spans="1:16" ht="36" hidden="1" customHeight="1" x14ac:dyDescent="0.25">
      <c r="A168" s="51">
        <v>2513</v>
      </c>
      <c r="B168" s="88" t="s">
        <v>185</v>
      </c>
      <c r="C168" s="89">
        <f t="shared" si="35"/>
        <v>0</v>
      </c>
      <c r="D168" s="194">
        <v>0</v>
      </c>
      <c r="E168" s="195"/>
      <c r="F168" s="55">
        <f t="shared" si="56"/>
        <v>0</v>
      </c>
      <c r="G168" s="53"/>
      <c r="H168" s="54"/>
      <c r="I168" s="55">
        <f t="shared" si="57"/>
        <v>0</v>
      </c>
      <c r="J168" s="53"/>
      <c r="K168" s="54"/>
      <c r="L168" s="55">
        <f t="shared" si="58"/>
        <v>0</v>
      </c>
      <c r="M168" s="53"/>
      <c r="N168" s="54"/>
      <c r="O168" s="55">
        <f t="shared" si="59"/>
        <v>0</v>
      </c>
      <c r="P168" s="57"/>
    </row>
    <row r="169" spans="1:16" ht="24" hidden="1" customHeight="1" x14ac:dyDescent="0.25">
      <c r="A169" s="51">
        <v>2515</v>
      </c>
      <c r="B169" s="88" t="s">
        <v>186</v>
      </c>
      <c r="C169" s="89">
        <f t="shared" si="35"/>
        <v>0</v>
      </c>
      <c r="D169" s="194">
        <v>0</v>
      </c>
      <c r="E169" s="195"/>
      <c r="F169" s="55">
        <f t="shared" si="56"/>
        <v>0</v>
      </c>
      <c r="G169" s="53"/>
      <c r="H169" s="54"/>
      <c r="I169" s="55">
        <f t="shared" si="57"/>
        <v>0</v>
      </c>
      <c r="J169" s="53"/>
      <c r="K169" s="54"/>
      <c r="L169" s="55">
        <f t="shared" si="58"/>
        <v>0</v>
      </c>
      <c r="M169" s="53"/>
      <c r="N169" s="54"/>
      <c r="O169" s="55">
        <f t="shared" si="59"/>
        <v>0</v>
      </c>
      <c r="P169" s="57"/>
    </row>
    <row r="170" spans="1:16" ht="24" hidden="1" customHeight="1" x14ac:dyDescent="0.25">
      <c r="A170" s="51">
        <v>2519</v>
      </c>
      <c r="B170" s="88" t="s">
        <v>187</v>
      </c>
      <c r="C170" s="89">
        <f t="shared" si="35"/>
        <v>0</v>
      </c>
      <c r="D170" s="194">
        <v>0</v>
      </c>
      <c r="E170" s="195"/>
      <c r="F170" s="55">
        <f t="shared" si="56"/>
        <v>0</v>
      </c>
      <c r="G170" s="53"/>
      <c r="H170" s="54"/>
      <c r="I170" s="55">
        <f t="shared" si="57"/>
        <v>0</v>
      </c>
      <c r="J170" s="53"/>
      <c r="K170" s="54"/>
      <c r="L170" s="55">
        <f t="shared" si="58"/>
        <v>0</v>
      </c>
      <c r="M170" s="53"/>
      <c r="N170" s="54"/>
      <c r="O170" s="55">
        <f t="shared" si="59"/>
        <v>0</v>
      </c>
      <c r="P170" s="57"/>
    </row>
    <row r="171" spans="1:16" ht="24" hidden="1" customHeight="1" x14ac:dyDescent="0.25">
      <c r="A171" s="188">
        <v>2520</v>
      </c>
      <c r="B171" s="88" t="s">
        <v>188</v>
      </c>
      <c r="C171" s="89">
        <f t="shared" si="35"/>
        <v>0</v>
      </c>
      <c r="D171" s="194">
        <v>0</v>
      </c>
      <c r="E171" s="195"/>
      <c r="F171" s="55">
        <f t="shared" si="56"/>
        <v>0</v>
      </c>
      <c r="G171" s="53"/>
      <c r="H171" s="54"/>
      <c r="I171" s="55">
        <f t="shared" si="57"/>
        <v>0</v>
      </c>
      <c r="J171" s="53"/>
      <c r="K171" s="54"/>
      <c r="L171" s="55">
        <f t="shared" si="58"/>
        <v>0</v>
      </c>
      <c r="M171" s="53"/>
      <c r="N171" s="54"/>
      <c r="O171" s="55">
        <f t="shared" si="59"/>
        <v>0</v>
      </c>
      <c r="P171" s="57"/>
    </row>
    <row r="172" spans="1:16" s="206" customFormat="1" ht="36" hidden="1" customHeight="1" x14ac:dyDescent="0.25">
      <c r="A172" s="23">
        <v>2800</v>
      </c>
      <c r="B172" s="81" t="s">
        <v>189</v>
      </c>
      <c r="C172" s="82">
        <f t="shared" si="35"/>
        <v>0</v>
      </c>
      <c r="D172" s="46">
        <v>0</v>
      </c>
      <c r="E172" s="47"/>
      <c r="F172" s="133">
        <f t="shared" si="56"/>
        <v>0</v>
      </c>
      <c r="G172" s="46"/>
      <c r="H172" s="47"/>
      <c r="I172" s="133">
        <f t="shared" si="57"/>
        <v>0</v>
      </c>
      <c r="J172" s="46"/>
      <c r="K172" s="47"/>
      <c r="L172" s="133">
        <f t="shared" si="58"/>
        <v>0</v>
      </c>
      <c r="M172" s="46"/>
      <c r="N172" s="47"/>
      <c r="O172" s="133">
        <f t="shared" si="59"/>
        <v>0</v>
      </c>
      <c r="P172" s="49"/>
    </row>
    <row r="173" spans="1:16" hidden="1" x14ac:dyDescent="0.25">
      <c r="A173" s="176">
        <v>3000</v>
      </c>
      <c r="B173" s="176" t="s">
        <v>190</v>
      </c>
      <c r="C173" s="177">
        <f t="shared" si="35"/>
        <v>0</v>
      </c>
      <c r="D173" s="178">
        <f t="shared" ref="D173:O173" si="60">SUM(D174,D184)</f>
        <v>0</v>
      </c>
      <c r="E173" s="179">
        <f t="shared" si="60"/>
        <v>0</v>
      </c>
      <c r="F173" s="180">
        <f t="shared" si="60"/>
        <v>0</v>
      </c>
      <c r="G173" s="178">
        <f t="shared" si="60"/>
        <v>0</v>
      </c>
      <c r="H173" s="179">
        <f t="shared" si="60"/>
        <v>0</v>
      </c>
      <c r="I173" s="180">
        <f t="shared" si="60"/>
        <v>0</v>
      </c>
      <c r="J173" s="178">
        <f t="shared" si="60"/>
        <v>0</v>
      </c>
      <c r="K173" s="179">
        <f t="shared" si="60"/>
        <v>0</v>
      </c>
      <c r="L173" s="180">
        <f t="shared" si="60"/>
        <v>0</v>
      </c>
      <c r="M173" s="178">
        <f t="shared" si="60"/>
        <v>0</v>
      </c>
      <c r="N173" s="179">
        <f t="shared" si="60"/>
        <v>0</v>
      </c>
      <c r="O173" s="180">
        <f t="shared" si="60"/>
        <v>0</v>
      </c>
      <c r="P173" s="181"/>
    </row>
    <row r="174" spans="1:16" ht="24" hidden="1" x14ac:dyDescent="0.25">
      <c r="A174" s="68">
        <v>3200</v>
      </c>
      <c r="B174" s="207" t="s">
        <v>191</v>
      </c>
      <c r="C174" s="69">
        <f t="shared" si="35"/>
        <v>0</v>
      </c>
      <c r="D174" s="183">
        <f t="shared" ref="D174:O174" si="61">SUM(D175,D179)</f>
        <v>0</v>
      </c>
      <c r="E174" s="184">
        <f t="shared" si="61"/>
        <v>0</v>
      </c>
      <c r="F174" s="72">
        <f t="shared" si="61"/>
        <v>0</v>
      </c>
      <c r="G174" s="183">
        <f t="shared" si="61"/>
        <v>0</v>
      </c>
      <c r="H174" s="184">
        <f t="shared" si="61"/>
        <v>0</v>
      </c>
      <c r="I174" s="72">
        <f t="shared" si="61"/>
        <v>0</v>
      </c>
      <c r="J174" s="183">
        <f t="shared" si="61"/>
        <v>0</v>
      </c>
      <c r="K174" s="184">
        <f t="shared" si="61"/>
        <v>0</v>
      </c>
      <c r="L174" s="72">
        <f t="shared" si="61"/>
        <v>0</v>
      </c>
      <c r="M174" s="183">
        <f t="shared" si="61"/>
        <v>0</v>
      </c>
      <c r="N174" s="184">
        <f t="shared" si="61"/>
        <v>0</v>
      </c>
      <c r="O174" s="72">
        <f t="shared" si="61"/>
        <v>0</v>
      </c>
      <c r="P174" s="76"/>
    </row>
    <row r="175" spans="1:16" ht="36" hidden="1" x14ac:dyDescent="0.25">
      <c r="A175" s="1095">
        <v>3260</v>
      </c>
      <c r="B175" s="81" t="s">
        <v>192</v>
      </c>
      <c r="C175" s="82">
        <f t="shared" si="35"/>
        <v>0</v>
      </c>
      <c r="D175" s="192">
        <f t="shared" ref="D175:O175" si="62">SUM(D176:D178)</f>
        <v>0</v>
      </c>
      <c r="E175" s="193">
        <f t="shared" si="62"/>
        <v>0</v>
      </c>
      <c r="F175" s="133">
        <f t="shared" si="62"/>
        <v>0</v>
      </c>
      <c r="G175" s="192">
        <f t="shared" si="62"/>
        <v>0</v>
      </c>
      <c r="H175" s="193">
        <f t="shared" si="62"/>
        <v>0</v>
      </c>
      <c r="I175" s="133">
        <f t="shared" si="62"/>
        <v>0</v>
      </c>
      <c r="J175" s="192">
        <f t="shared" si="62"/>
        <v>0</v>
      </c>
      <c r="K175" s="193">
        <f t="shared" si="62"/>
        <v>0</v>
      </c>
      <c r="L175" s="133">
        <f t="shared" si="62"/>
        <v>0</v>
      </c>
      <c r="M175" s="192">
        <f t="shared" si="62"/>
        <v>0</v>
      </c>
      <c r="N175" s="193">
        <f t="shared" si="62"/>
        <v>0</v>
      </c>
      <c r="O175" s="133">
        <f t="shared" si="62"/>
        <v>0</v>
      </c>
      <c r="P175" s="49"/>
    </row>
    <row r="176" spans="1:16" ht="24" hidden="1" customHeight="1" x14ac:dyDescent="0.25">
      <c r="A176" s="51">
        <v>3261</v>
      </c>
      <c r="B176" s="88" t="s">
        <v>193</v>
      </c>
      <c r="C176" s="89">
        <f t="shared" si="35"/>
        <v>0</v>
      </c>
      <c r="D176" s="194">
        <v>0</v>
      </c>
      <c r="E176" s="195"/>
      <c r="F176" s="55">
        <f>D176+E176</f>
        <v>0</v>
      </c>
      <c r="G176" s="53"/>
      <c r="H176" s="54"/>
      <c r="I176" s="55">
        <f>G176+H176</f>
        <v>0</v>
      </c>
      <c r="J176" s="53"/>
      <c r="K176" s="54"/>
      <c r="L176" s="55">
        <f>K176+J176</f>
        <v>0</v>
      </c>
      <c r="M176" s="53"/>
      <c r="N176" s="54"/>
      <c r="O176" s="55">
        <f>N176+M176</f>
        <v>0</v>
      </c>
      <c r="P176" s="57"/>
    </row>
    <row r="177" spans="1:16" ht="36" hidden="1" customHeight="1" x14ac:dyDescent="0.25">
      <c r="A177" s="51">
        <v>3262</v>
      </c>
      <c r="B177" s="88" t="s">
        <v>194</v>
      </c>
      <c r="C177" s="89">
        <f t="shared" si="35"/>
        <v>0</v>
      </c>
      <c r="D177" s="194">
        <v>0</v>
      </c>
      <c r="E177" s="195"/>
      <c r="F177" s="55">
        <f>D177+E177</f>
        <v>0</v>
      </c>
      <c r="G177" s="53"/>
      <c r="H177" s="54"/>
      <c r="I177" s="55">
        <f>G177+H177</f>
        <v>0</v>
      </c>
      <c r="J177" s="53"/>
      <c r="K177" s="54"/>
      <c r="L177" s="55">
        <f>K177+J177</f>
        <v>0</v>
      </c>
      <c r="M177" s="53"/>
      <c r="N177" s="54"/>
      <c r="O177" s="55">
        <f>N177+M177</f>
        <v>0</v>
      </c>
      <c r="P177" s="57"/>
    </row>
    <row r="178" spans="1:16" ht="24" hidden="1" customHeight="1" x14ac:dyDescent="0.25">
      <c r="A178" s="51">
        <v>3263</v>
      </c>
      <c r="B178" s="88" t="s">
        <v>195</v>
      </c>
      <c r="C178" s="89">
        <f t="shared" ref="C178:C241" si="63">F178+I178+L178+O178</f>
        <v>0</v>
      </c>
      <c r="D178" s="194">
        <v>0</v>
      </c>
      <c r="E178" s="195"/>
      <c r="F178" s="55">
        <f>D178+E178</f>
        <v>0</v>
      </c>
      <c r="G178" s="53"/>
      <c r="H178" s="54"/>
      <c r="I178" s="55">
        <f>G178+H178</f>
        <v>0</v>
      </c>
      <c r="J178" s="53"/>
      <c r="K178" s="54"/>
      <c r="L178" s="55">
        <f>K178+J178</f>
        <v>0</v>
      </c>
      <c r="M178" s="53"/>
      <c r="N178" s="54"/>
      <c r="O178" s="55">
        <f>N178+M178</f>
        <v>0</v>
      </c>
      <c r="P178" s="57"/>
    </row>
    <row r="179" spans="1:16" ht="84" hidden="1" x14ac:dyDescent="0.25">
      <c r="A179" s="1095">
        <v>3290</v>
      </c>
      <c r="B179" s="81" t="s">
        <v>196</v>
      </c>
      <c r="C179" s="208">
        <f t="shared" si="63"/>
        <v>0</v>
      </c>
      <c r="D179" s="192">
        <f t="shared" ref="D179:O179" si="64">SUM(D180:D183)</f>
        <v>0</v>
      </c>
      <c r="E179" s="193">
        <f t="shared" si="64"/>
        <v>0</v>
      </c>
      <c r="F179" s="133">
        <f t="shared" si="64"/>
        <v>0</v>
      </c>
      <c r="G179" s="192">
        <f t="shared" si="64"/>
        <v>0</v>
      </c>
      <c r="H179" s="193">
        <f t="shared" si="64"/>
        <v>0</v>
      </c>
      <c r="I179" s="133">
        <f t="shared" si="64"/>
        <v>0</v>
      </c>
      <c r="J179" s="192">
        <f t="shared" si="64"/>
        <v>0</v>
      </c>
      <c r="K179" s="193">
        <f t="shared" si="64"/>
        <v>0</v>
      </c>
      <c r="L179" s="133">
        <f t="shared" si="64"/>
        <v>0</v>
      </c>
      <c r="M179" s="192">
        <f t="shared" si="64"/>
        <v>0</v>
      </c>
      <c r="N179" s="193">
        <f t="shared" si="64"/>
        <v>0</v>
      </c>
      <c r="O179" s="133">
        <f t="shared" si="64"/>
        <v>0</v>
      </c>
      <c r="P179" s="49"/>
    </row>
    <row r="180" spans="1:16" ht="72" hidden="1" customHeight="1" x14ac:dyDescent="0.25">
      <c r="A180" s="51">
        <v>3291</v>
      </c>
      <c r="B180" s="88" t="s">
        <v>197</v>
      </c>
      <c r="C180" s="89">
        <f t="shared" si="63"/>
        <v>0</v>
      </c>
      <c r="D180" s="194">
        <v>0</v>
      </c>
      <c r="E180" s="195"/>
      <c r="F180" s="55">
        <f>D180+E180</f>
        <v>0</v>
      </c>
      <c r="G180" s="53"/>
      <c r="H180" s="54"/>
      <c r="I180" s="55">
        <f>G180+H180</f>
        <v>0</v>
      </c>
      <c r="J180" s="53"/>
      <c r="K180" s="54"/>
      <c r="L180" s="55">
        <f>K180+J180</f>
        <v>0</v>
      </c>
      <c r="M180" s="53"/>
      <c r="N180" s="54"/>
      <c r="O180" s="55">
        <f>N180+M180</f>
        <v>0</v>
      </c>
      <c r="P180" s="57"/>
    </row>
    <row r="181" spans="1:16" ht="72" hidden="1" customHeight="1" x14ac:dyDescent="0.25">
      <c r="A181" s="51">
        <v>3292</v>
      </c>
      <c r="B181" s="88" t="s">
        <v>198</v>
      </c>
      <c r="C181" s="89">
        <f t="shared" si="63"/>
        <v>0</v>
      </c>
      <c r="D181" s="194">
        <v>0</v>
      </c>
      <c r="E181" s="195"/>
      <c r="F181" s="55">
        <f>D181+E181</f>
        <v>0</v>
      </c>
      <c r="G181" s="53"/>
      <c r="H181" s="54"/>
      <c r="I181" s="55">
        <f>G181+H181</f>
        <v>0</v>
      </c>
      <c r="J181" s="53"/>
      <c r="K181" s="54"/>
      <c r="L181" s="55">
        <f>K181+J181</f>
        <v>0</v>
      </c>
      <c r="M181" s="53"/>
      <c r="N181" s="54"/>
      <c r="O181" s="55">
        <f>N181+M181</f>
        <v>0</v>
      </c>
      <c r="P181" s="57"/>
    </row>
    <row r="182" spans="1:16" ht="72" hidden="1" customHeight="1" x14ac:dyDescent="0.25">
      <c r="A182" s="51">
        <v>3293</v>
      </c>
      <c r="B182" s="88" t="s">
        <v>199</v>
      </c>
      <c r="C182" s="89">
        <f t="shared" si="63"/>
        <v>0</v>
      </c>
      <c r="D182" s="194">
        <v>0</v>
      </c>
      <c r="E182" s="195"/>
      <c r="F182" s="55">
        <f>D182+E182</f>
        <v>0</v>
      </c>
      <c r="G182" s="53"/>
      <c r="H182" s="54"/>
      <c r="I182" s="55">
        <f>G182+H182</f>
        <v>0</v>
      </c>
      <c r="J182" s="53"/>
      <c r="K182" s="54"/>
      <c r="L182" s="55">
        <f>K182+J182</f>
        <v>0</v>
      </c>
      <c r="M182" s="53"/>
      <c r="N182" s="54"/>
      <c r="O182" s="55">
        <f>N182+M182</f>
        <v>0</v>
      </c>
      <c r="P182" s="57"/>
    </row>
    <row r="183" spans="1:16" ht="60" hidden="1" customHeight="1" x14ac:dyDescent="0.25">
      <c r="A183" s="209">
        <v>3294</v>
      </c>
      <c r="B183" s="88" t="s">
        <v>200</v>
      </c>
      <c r="C183" s="208">
        <f t="shared" si="63"/>
        <v>0</v>
      </c>
      <c r="D183" s="210">
        <v>0</v>
      </c>
      <c r="E183" s="211"/>
      <c r="F183" s="212">
        <f>D183+E183</f>
        <v>0</v>
      </c>
      <c r="G183" s="213"/>
      <c r="H183" s="214"/>
      <c r="I183" s="212">
        <f>G183+H183</f>
        <v>0</v>
      </c>
      <c r="J183" s="213"/>
      <c r="K183" s="214"/>
      <c r="L183" s="212">
        <f>K183+J183</f>
        <v>0</v>
      </c>
      <c r="M183" s="213"/>
      <c r="N183" s="214"/>
      <c r="O183" s="212">
        <f>N183+M183</f>
        <v>0</v>
      </c>
      <c r="P183" s="215"/>
    </row>
    <row r="184" spans="1:16" ht="48" hidden="1" x14ac:dyDescent="0.25">
      <c r="A184" s="216">
        <v>3300</v>
      </c>
      <c r="B184" s="207" t="s">
        <v>201</v>
      </c>
      <c r="C184" s="217">
        <f t="shared" si="63"/>
        <v>0</v>
      </c>
      <c r="D184" s="218">
        <f t="shared" ref="D184:O184" si="65">SUM(D185:D186)</f>
        <v>0</v>
      </c>
      <c r="E184" s="219">
        <f t="shared" si="65"/>
        <v>0</v>
      </c>
      <c r="F184" s="220">
        <f t="shared" si="65"/>
        <v>0</v>
      </c>
      <c r="G184" s="218">
        <f t="shared" si="65"/>
        <v>0</v>
      </c>
      <c r="H184" s="219">
        <f t="shared" si="65"/>
        <v>0</v>
      </c>
      <c r="I184" s="220">
        <f t="shared" si="65"/>
        <v>0</v>
      </c>
      <c r="J184" s="218">
        <f t="shared" si="65"/>
        <v>0</v>
      </c>
      <c r="K184" s="219">
        <f t="shared" si="65"/>
        <v>0</v>
      </c>
      <c r="L184" s="220">
        <f t="shared" si="65"/>
        <v>0</v>
      </c>
      <c r="M184" s="218">
        <f t="shared" si="65"/>
        <v>0</v>
      </c>
      <c r="N184" s="219">
        <f t="shared" si="65"/>
        <v>0</v>
      </c>
      <c r="O184" s="220">
        <f t="shared" si="65"/>
        <v>0</v>
      </c>
      <c r="P184" s="221"/>
    </row>
    <row r="185" spans="1:16" ht="48" hidden="1" customHeight="1" x14ac:dyDescent="0.25">
      <c r="A185" s="136">
        <v>3310</v>
      </c>
      <c r="B185" s="137" t="s">
        <v>202</v>
      </c>
      <c r="C185" s="142">
        <f t="shared" si="63"/>
        <v>0</v>
      </c>
      <c r="D185" s="202">
        <v>0</v>
      </c>
      <c r="E185" s="203"/>
      <c r="F185" s="140">
        <f>D185+E185</f>
        <v>0</v>
      </c>
      <c r="G185" s="143"/>
      <c r="H185" s="144"/>
      <c r="I185" s="140">
        <f>G185+H185</f>
        <v>0</v>
      </c>
      <c r="J185" s="143"/>
      <c r="K185" s="144"/>
      <c r="L185" s="140">
        <f>K185+J185</f>
        <v>0</v>
      </c>
      <c r="M185" s="143"/>
      <c r="N185" s="144"/>
      <c r="O185" s="140">
        <f>N185+M185</f>
        <v>0</v>
      </c>
      <c r="P185" s="128"/>
    </row>
    <row r="186" spans="1:16" ht="48.75" hidden="1" customHeight="1" x14ac:dyDescent="0.25">
      <c r="A186" s="44">
        <v>3320</v>
      </c>
      <c r="B186" s="81" t="s">
        <v>203</v>
      </c>
      <c r="C186" s="82">
        <f t="shared" si="63"/>
        <v>0</v>
      </c>
      <c r="D186" s="196">
        <v>0</v>
      </c>
      <c r="E186" s="197"/>
      <c r="F186" s="133">
        <f>D186+E186</f>
        <v>0</v>
      </c>
      <c r="G186" s="46"/>
      <c r="H186" s="47"/>
      <c r="I186" s="133">
        <f>G186+H186</f>
        <v>0</v>
      </c>
      <c r="J186" s="46"/>
      <c r="K186" s="47"/>
      <c r="L186" s="133">
        <f>K186+J186</f>
        <v>0</v>
      </c>
      <c r="M186" s="46"/>
      <c r="N186" s="47"/>
      <c r="O186" s="133">
        <f>N186+M186</f>
        <v>0</v>
      </c>
      <c r="P186" s="49"/>
    </row>
    <row r="187" spans="1:16" hidden="1" x14ac:dyDescent="0.25">
      <c r="A187" s="222">
        <v>4000</v>
      </c>
      <c r="B187" s="176" t="s">
        <v>204</v>
      </c>
      <c r="C187" s="177">
        <f t="shared" si="63"/>
        <v>0</v>
      </c>
      <c r="D187" s="178">
        <f t="shared" ref="D187:O187" si="66">SUM(D188,D191)</f>
        <v>0</v>
      </c>
      <c r="E187" s="179">
        <f t="shared" si="66"/>
        <v>0</v>
      </c>
      <c r="F187" s="180">
        <f t="shared" si="66"/>
        <v>0</v>
      </c>
      <c r="G187" s="178">
        <f t="shared" si="66"/>
        <v>0</v>
      </c>
      <c r="H187" s="179">
        <f t="shared" si="66"/>
        <v>0</v>
      </c>
      <c r="I187" s="180">
        <f t="shared" si="66"/>
        <v>0</v>
      </c>
      <c r="J187" s="178">
        <f t="shared" si="66"/>
        <v>0</v>
      </c>
      <c r="K187" s="179">
        <f t="shared" si="66"/>
        <v>0</v>
      </c>
      <c r="L187" s="180">
        <f t="shared" si="66"/>
        <v>0</v>
      </c>
      <c r="M187" s="178">
        <f t="shared" si="66"/>
        <v>0</v>
      </c>
      <c r="N187" s="179">
        <f t="shared" si="66"/>
        <v>0</v>
      </c>
      <c r="O187" s="180">
        <f t="shared" si="66"/>
        <v>0</v>
      </c>
      <c r="P187" s="181"/>
    </row>
    <row r="188" spans="1:16" ht="24" hidden="1" x14ac:dyDescent="0.25">
      <c r="A188" s="223">
        <v>4200</v>
      </c>
      <c r="B188" s="182" t="s">
        <v>205</v>
      </c>
      <c r="C188" s="69">
        <f t="shared" si="63"/>
        <v>0</v>
      </c>
      <c r="D188" s="183">
        <f t="shared" ref="D188:O188" si="67">SUM(D189,D190)</f>
        <v>0</v>
      </c>
      <c r="E188" s="184">
        <f t="shared" si="67"/>
        <v>0</v>
      </c>
      <c r="F188" s="72">
        <f t="shared" si="67"/>
        <v>0</v>
      </c>
      <c r="G188" s="183">
        <f t="shared" si="67"/>
        <v>0</v>
      </c>
      <c r="H188" s="184">
        <f t="shared" si="67"/>
        <v>0</v>
      </c>
      <c r="I188" s="72">
        <f t="shared" si="67"/>
        <v>0</v>
      </c>
      <c r="J188" s="183">
        <f t="shared" si="67"/>
        <v>0</v>
      </c>
      <c r="K188" s="184">
        <f t="shared" si="67"/>
        <v>0</v>
      </c>
      <c r="L188" s="72">
        <f t="shared" si="67"/>
        <v>0</v>
      </c>
      <c r="M188" s="183">
        <f t="shared" si="67"/>
        <v>0</v>
      </c>
      <c r="N188" s="184">
        <f t="shared" si="67"/>
        <v>0</v>
      </c>
      <c r="O188" s="72">
        <f t="shared" si="67"/>
        <v>0</v>
      </c>
      <c r="P188" s="76"/>
    </row>
    <row r="189" spans="1:16" ht="36" hidden="1" customHeight="1" x14ac:dyDescent="0.25">
      <c r="A189" s="1095">
        <v>4240</v>
      </c>
      <c r="B189" s="81" t="s">
        <v>206</v>
      </c>
      <c r="C189" s="82">
        <f t="shared" si="63"/>
        <v>0</v>
      </c>
      <c r="D189" s="196">
        <v>0</v>
      </c>
      <c r="E189" s="197"/>
      <c r="F189" s="133">
        <f>D189+E189</f>
        <v>0</v>
      </c>
      <c r="G189" s="46"/>
      <c r="H189" s="47"/>
      <c r="I189" s="133">
        <f>G189+H189</f>
        <v>0</v>
      </c>
      <c r="J189" s="46"/>
      <c r="K189" s="47"/>
      <c r="L189" s="133">
        <f>K189+J189</f>
        <v>0</v>
      </c>
      <c r="M189" s="46"/>
      <c r="N189" s="47"/>
      <c r="O189" s="133">
        <f>N189+M189</f>
        <v>0</v>
      </c>
      <c r="P189" s="49"/>
    </row>
    <row r="190" spans="1:16" ht="24" hidden="1" customHeight="1" x14ac:dyDescent="0.25">
      <c r="A190" s="188">
        <v>4250</v>
      </c>
      <c r="B190" s="88" t="s">
        <v>207</v>
      </c>
      <c r="C190" s="89">
        <f t="shared" si="63"/>
        <v>0</v>
      </c>
      <c r="D190" s="194">
        <v>0</v>
      </c>
      <c r="E190" s="195"/>
      <c r="F190" s="55">
        <f>D190+E190</f>
        <v>0</v>
      </c>
      <c r="G190" s="53"/>
      <c r="H190" s="54"/>
      <c r="I190" s="55">
        <f>G190+H190</f>
        <v>0</v>
      </c>
      <c r="J190" s="53"/>
      <c r="K190" s="54"/>
      <c r="L190" s="55">
        <f>K190+J190</f>
        <v>0</v>
      </c>
      <c r="M190" s="53"/>
      <c r="N190" s="54"/>
      <c r="O190" s="55">
        <f>N190+M190</f>
        <v>0</v>
      </c>
      <c r="P190" s="57"/>
    </row>
    <row r="191" spans="1:16" hidden="1" x14ac:dyDescent="0.25">
      <c r="A191" s="68">
        <v>4300</v>
      </c>
      <c r="B191" s="182" t="s">
        <v>208</v>
      </c>
      <c r="C191" s="69">
        <f t="shared" si="63"/>
        <v>0</v>
      </c>
      <c r="D191" s="183">
        <f t="shared" ref="D191:O191" si="68">SUM(D192)</f>
        <v>0</v>
      </c>
      <c r="E191" s="184">
        <f t="shared" si="68"/>
        <v>0</v>
      </c>
      <c r="F191" s="72">
        <f t="shared" si="68"/>
        <v>0</v>
      </c>
      <c r="G191" s="183">
        <f t="shared" si="68"/>
        <v>0</v>
      </c>
      <c r="H191" s="184">
        <f t="shared" si="68"/>
        <v>0</v>
      </c>
      <c r="I191" s="72">
        <f t="shared" si="68"/>
        <v>0</v>
      </c>
      <c r="J191" s="183">
        <f t="shared" si="68"/>
        <v>0</v>
      </c>
      <c r="K191" s="184">
        <f t="shared" si="68"/>
        <v>0</v>
      </c>
      <c r="L191" s="72">
        <f t="shared" si="68"/>
        <v>0</v>
      </c>
      <c r="M191" s="183">
        <f t="shared" si="68"/>
        <v>0</v>
      </c>
      <c r="N191" s="184">
        <f t="shared" si="68"/>
        <v>0</v>
      </c>
      <c r="O191" s="72">
        <f t="shared" si="68"/>
        <v>0</v>
      </c>
      <c r="P191" s="76"/>
    </row>
    <row r="192" spans="1:16" ht="24" hidden="1" x14ac:dyDescent="0.25">
      <c r="A192" s="1095">
        <v>4310</v>
      </c>
      <c r="B192" s="81" t="s">
        <v>209</v>
      </c>
      <c r="C192" s="82">
        <f t="shared" si="63"/>
        <v>0</v>
      </c>
      <c r="D192" s="192">
        <f t="shared" ref="D192:O192" si="69">SUM(D193:D193)</f>
        <v>0</v>
      </c>
      <c r="E192" s="193">
        <f t="shared" si="69"/>
        <v>0</v>
      </c>
      <c r="F192" s="133">
        <f t="shared" si="69"/>
        <v>0</v>
      </c>
      <c r="G192" s="192">
        <f t="shared" si="69"/>
        <v>0</v>
      </c>
      <c r="H192" s="193">
        <f t="shared" si="69"/>
        <v>0</v>
      </c>
      <c r="I192" s="133">
        <f t="shared" si="69"/>
        <v>0</v>
      </c>
      <c r="J192" s="192">
        <f t="shared" si="69"/>
        <v>0</v>
      </c>
      <c r="K192" s="193">
        <f t="shared" si="69"/>
        <v>0</v>
      </c>
      <c r="L192" s="133">
        <f t="shared" si="69"/>
        <v>0</v>
      </c>
      <c r="M192" s="192">
        <f t="shared" si="69"/>
        <v>0</v>
      </c>
      <c r="N192" s="193">
        <f t="shared" si="69"/>
        <v>0</v>
      </c>
      <c r="O192" s="133">
        <f t="shared" si="69"/>
        <v>0</v>
      </c>
      <c r="P192" s="49"/>
    </row>
    <row r="193" spans="1:16" ht="36" hidden="1" customHeight="1" x14ac:dyDescent="0.25">
      <c r="A193" s="51">
        <v>4311</v>
      </c>
      <c r="B193" s="88" t="s">
        <v>210</v>
      </c>
      <c r="C193" s="89">
        <f t="shared" si="6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63"/>
        <v>35750</v>
      </c>
      <c r="D194" s="172">
        <f t="shared" ref="D194:O194" si="70">SUM(D195,D230,D269,D283)</f>
        <v>35750</v>
      </c>
      <c r="E194" s="173">
        <f t="shared" si="70"/>
        <v>0</v>
      </c>
      <c r="F194" s="174">
        <f t="shared" si="70"/>
        <v>35750</v>
      </c>
      <c r="G194" s="172">
        <f t="shared" si="70"/>
        <v>0</v>
      </c>
      <c r="H194" s="173">
        <f t="shared" si="70"/>
        <v>0</v>
      </c>
      <c r="I194" s="174">
        <f t="shared" si="70"/>
        <v>0</v>
      </c>
      <c r="J194" s="172">
        <f t="shared" si="70"/>
        <v>0</v>
      </c>
      <c r="K194" s="173">
        <f t="shared" si="70"/>
        <v>0</v>
      </c>
      <c r="L194" s="174">
        <f t="shared" si="70"/>
        <v>0</v>
      </c>
      <c r="M194" s="172">
        <f t="shared" si="70"/>
        <v>0</v>
      </c>
      <c r="N194" s="173">
        <f t="shared" si="70"/>
        <v>0</v>
      </c>
      <c r="O194" s="174">
        <f t="shared" si="70"/>
        <v>0</v>
      </c>
      <c r="P194" s="175"/>
    </row>
    <row r="195" spans="1:16" x14ac:dyDescent="0.25">
      <c r="A195" s="176">
        <v>5000</v>
      </c>
      <c r="B195" s="176" t="s">
        <v>212</v>
      </c>
      <c r="C195" s="177">
        <f t="shared" si="63"/>
        <v>35750</v>
      </c>
      <c r="D195" s="178">
        <f t="shared" ref="D195:O195" si="71">D196+D204</f>
        <v>35750</v>
      </c>
      <c r="E195" s="179">
        <f t="shared" si="71"/>
        <v>0</v>
      </c>
      <c r="F195" s="180">
        <f t="shared" si="71"/>
        <v>35750</v>
      </c>
      <c r="G195" s="178">
        <f t="shared" si="71"/>
        <v>0</v>
      </c>
      <c r="H195" s="179">
        <f t="shared" si="71"/>
        <v>0</v>
      </c>
      <c r="I195" s="180">
        <f t="shared" si="71"/>
        <v>0</v>
      </c>
      <c r="J195" s="178">
        <f t="shared" si="71"/>
        <v>0</v>
      </c>
      <c r="K195" s="179">
        <f t="shared" si="71"/>
        <v>0</v>
      </c>
      <c r="L195" s="180">
        <f t="shared" si="71"/>
        <v>0</v>
      </c>
      <c r="M195" s="178">
        <f t="shared" si="71"/>
        <v>0</v>
      </c>
      <c r="N195" s="179">
        <f t="shared" si="71"/>
        <v>0</v>
      </c>
      <c r="O195" s="180">
        <f t="shared" si="71"/>
        <v>0</v>
      </c>
      <c r="P195" s="181"/>
    </row>
    <row r="196" spans="1:16" hidden="1" x14ac:dyDescent="0.25">
      <c r="A196" s="68">
        <v>5100</v>
      </c>
      <c r="B196" s="182" t="s">
        <v>213</v>
      </c>
      <c r="C196" s="69">
        <f t="shared" si="63"/>
        <v>0</v>
      </c>
      <c r="D196" s="183">
        <f t="shared" ref="D196:O196" si="72">D197+D198+D201+D202+D203</f>
        <v>0</v>
      </c>
      <c r="E196" s="184">
        <f t="shared" si="72"/>
        <v>0</v>
      </c>
      <c r="F196" s="72">
        <f t="shared" si="72"/>
        <v>0</v>
      </c>
      <c r="G196" s="183">
        <f t="shared" si="72"/>
        <v>0</v>
      </c>
      <c r="H196" s="184">
        <f t="shared" si="72"/>
        <v>0</v>
      </c>
      <c r="I196" s="72">
        <f t="shared" si="72"/>
        <v>0</v>
      </c>
      <c r="J196" s="183">
        <f t="shared" si="72"/>
        <v>0</v>
      </c>
      <c r="K196" s="184">
        <f t="shared" si="72"/>
        <v>0</v>
      </c>
      <c r="L196" s="72">
        <f t="shared" si="72"/>
        <v>0</v>
      </c>
      <c r="M196" s="183">
        <f t="shared" si="72"/>
        <v>0</v>
      </c>
      <c r="N196" s="184">
        <f t="shared" si="72"/>
        <v>0</v>
      </c>
      <c r="O196" s="72">
        <f t="shared" si="72"/>
        <v>0</v>
      </c>
      <c r="P196" s="76"/>
    </row>
    <row r="197" spans="1:16" ht="12" hidden="1" customHeight="1" x14ac:dyDescent="0.25">
      <c r="A197" s="1095">
        <v>5110</v>
      </c>
      <c r="B197" s="81" t="s">
        <v>214</v>
      </c>
      <c r="C197" s="82">
        <f t="shared" si="6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63"/>
        <v>0</v>
      </c>
      <c r="D198" s="189">
        <f t="shared" ref="D198:O198" si="73">D199+D200</f>
        <v>0</v>
      </c>
      <c r="E198" s="190">
        <f t="shared" si="73"/>
        <v>0</v>
      </c>
      <c r="F198" s="55">
        <f t="shared" si="73"/>
        <v>0</v>
      </c>
      <c r="G198" s="189">
        <f t="shared" si="73"/>
        <v>0</v>
      </c>
      <c r="H198" s="190">
        <f t="shared" si="73"/>
        <v>0</v>
      </c>
      <c r="I198" s="55">
        <f t="shared" si="73"/>
        <v>0</v>
      </c>
      <c r="J198" s="189">
        <f t="shared" si="73"/>
        <v>0</v>
      </c>
      <c r="K198" s="190">
        <f t="shared" si="73"/>
        <v>0</v>
      </c>
      <c r="L198" s="55">
        <f t="shared" si="73"/>
        <v>0</v>
      </c>
      <c r="M198" s="189">
        <f t="shared" si="73"/>
        <v>0</v>
      </c>
      <c r="N198" s="190">
        <f t="shared" si="73"/>
        <v>0</v>
      </c>
      <c r="O198" s="55">
        <f t="shared" si="73"/>
        <v>0</v>
      </c>
      <c r="P198" s="57"/>
    </row>
    <row r="199" spans="1:16" ht="12" hidden="1" customHeight="1" x14ac:dyDescent="0.25">
      <c r="A199" s="51">
        <v>5121</v>
      </c>
      <c r="B199" s="88" t="s">
        <v>216</v>
      </c>
      <c r="C199" s="89">
        <f t="shared" si="63"/>
        <v>0</v>
      </c>
      <c r="D199" s="194">
        <v>0</v>
      </c>
      <c r="E199" s="195"/>
      <c r="F199" s="55">
        <f>D199+E199</f>
        <v>0</v>
      </c>
      <c r="G199" s="53"/>
      <c r="H199" s="54"/>
      <c r="I199" s="55">
        <f>G199+H199</f>
        <v>0</v>
      </c>
      <c r="J199" s="53"/>
      <c r="K199" s="54"/>
      <c r="L199" s="55">
        <f>K199+J199</f>
        <v>0</v>
      </c>
      <c r="M199" s="53"/>
      <c r="N199" s="54"/>
      <c r="O199" s="55">
        <f>N199+M199</f>
        <v>0</v>
      </c>
      <c r="P199" s="57"/>
    </row>
    <row r="200" spans="1:16" ht="24" hidden="1" customHeight="1" x14ac:dyDescent="0.25">
      <c r="A200" s="51">
        <v>5129</v>
      </c>
      <c r="B200" s="88" t="s">
        <v>217</v>
      </c>
      <c r="C200" s="89">
        <f t="shared" si="63"/>
        <v>0</v>
      </c>
      <c r="D200" s="194">
        <v>0</v>
      </c>
      <c r="E200" s="195"/>
      <c r="F200" s="55">
        <f>D200+E200</f>
        <v>0</v>
      </c>
      <c r="G200" s="53"/>
      <c r="H200" s="54"/>
      <c r="I200" s="55">
        <f>G200+H200</f>
        <v>0</v>
      </c>
      <c r="J200" s="53"/>
      <c r="K200" s="54"/>
      <c r="L200" s="55">
        <f>K200+J200</f>
        <v>0</v>
      </c>
      <c r="M200" s="53"/>
      <c r="N200" s="54"/>
      <c r="O200" s="55">
        <f>N200+M200</f>
        <v>0</v>
      </c>
      <c r="P200" s="57"/>
    </row>
    <row r="201" spans="1:16" ht="12" hidden="1" customHeight="1" x14ac:dyDescent="0.25">
      <c r="A201" s="188">
        <v>5130</v>
      </c>
      <c r="B201" s="88" t="s">
        <v>218</v>
      </c>
      <c r="C201" s="89">
        <f t="shared" si="63"/>
        <v>0</v>
      </c>
      <c r="D201" s="194">
        <v>0</v>
      </c>
      <c r="E201" s="195"/>
      <c r="F201" s="55">
        <f>D201+E201</f>
        <v>0</v>
      </c>
      <c r="G201" s="53"/>
      <c r="H201" s="54"/>
      <c r="I201" s="55">
        <f>G201+H201</f>
        <v>0</v>
      </c>
      <c r="J201" s="53"/>
      <c r="K201" s="54"/>
      <c r="L201" s="55">
        <f>K201+J201</f>
        <v>0</v>
      </c>
      <c r="M201" s="53"/>
      <c r="N201" s="54"/>
      <c r="O201" s="55">
        <f>N201+M201</f>
        <v>0</v>
      </c>
      <c r="P201" s="57"/>
    </row>
    <row r="202" spans="1:16" ht="12" hidden="1" customHeight="1" x14ac:dyDescent="0.25">
      <c r="A202" s="188">
        <v>5140</v>
      </c>
      <c r="B202" s="88" t="s">
        <v>219</v>
      </c>
      <c r="C202" s="89">
        <f t="shared" si="63"/>
        <v>0</v>
      </c>
      <c r="D202" s="194">
        <v>0</v>
      </c>
      <c r="E202" s="195"/>
      <c r="F202" s="55">
        <f>D202+E202</f>
        <v>0</v>
      </c>
      <c r="G202" s="53"/>
      <c r="H202" s="54"/>
      <c r="I202" s="55">
        <f>G202+H202</f>
        <v>0</v>
      </c>
      <c r="J202" s="53"/>
      <c r="K202" s="54"/>
      <c r="L202" s="55">
        <f>K202+J202</f>
        <v>0</v>
      </c>
      <c r="M202" s="53"/>
      <c r="N202" s="54"/>
      <c r="O202" s="55">
        <f>N202+M202</f>
        <v>0</v>
      </c>
      <c r="P202" s="57"/>
    </row>
    <row r="203" spans="1:16" ht="24" hidden="1" customHeight="1" x14ac:dyDescent="0.25">
      <c r="A203" s="188">
        <v>5170</v>
      </c>
      <c r="B203" s="88" t="s">
        <v>220</v>
      </c>
      <c r="C203" s="89">
        <f t="shared" si="63"/>
        <v>0</v>
      </c>
      <c r="D203" s="194">
        <v>0</v>
      </c>
      <c r="E203" s="195"/>
      <c r="F203" s="55">
        <f>D203+E203</f>
        <v>0</v>
      </c>
      <c r="G203" s="53"/>
      <c r="H203" s="54"/>
      <c r="I203" s="55">
        <f>G203+H203</f>
        <v>0</v>
      </c>
      <c r="J203" s="53"/>
      <c r="K203" s="54"/>
      <c r="L203" s="55">
        <f>K203+J203</f>
        <v>0</v>
      </c>
      <c r="M203" s="53"/>
      <c r="N203" s="54"/>
      <c r="O203" s="55">
        <f>N203+M203</f>
        <v>0</v>
      </c>
      <c r="P203" s="57"/>
    </row>
    <row r="204" spans="1:16" x14ac:dyDescent="0.25">
      <c r="A204" s="68">
        <v>5200</v>
      </c>
      <c r="B204" s="182" t="s">
        <v>221</v>
      </c>
      <c r="C204" s="69">
        <f t="shared" si="63"/>
        <v>35750</v>
      </c>
      <c r="D204" s="183">
        <f t="shared" ref="D204:O204" si="74">D205+D215+D216+D225+D226+D227+D229</f>
        <v>35750</v>
      </c>
      <c r="E204" s="184">
        <f t="shared" si="74"/>
        <v>0</v>
      </c>
      <c r="F204" s="72">
        <f t="shared" si="74"/>
        <v>35750</v>
      </c>
      <c r="G204" s="183">
        <f t="shared" si="74"/>
        <v>0</v>
      </c>
      <c r="H204" s="184">
        <f t="shared" si="74"/>
        <v>0</v>
      </c>
      <c r="I204" s="72">
        <f t="shared" si="74"/>
        <v>0</v>
      </c>
      <c r="J204" s="183">
        <f t="shared" si="74"/>
        <v>0</v>
      </c>
      <c r="K204" s="184">
        <f t="shared" si="74"/>
        <v>0</v>
      </c>
      <c r="L204" s="72">
        <f t="shared" si="74"/>
        <v>0</v>
      </c>
      <c r="M204" s="183">
        <f t="shared" si="74"/>
        <v>0</v>
      </c>
      <c r="N204" s="184">
        <f t="shared" si="74"/>
        <v>0</v>
      </c>
      <c r="O204" s="72">
        <f t="shared" si="74"/>
        <v>0</v>
      </c>
      <c r="P204" s="76"/>
    </row>
    <row r="205" spans="1:16" hidden="1" x14ac:dyDescent="0.25">
      <c r="A205" s="185">
        <v>5210</v>
      </c>
      <c r="B205" s="137" t="s">
        <v>222</v>
      </c>
      <c r="C205" s="142">
        <f t="shared" si="63"/>
        <v>0</v>
      </c>
      <c r="D205" s="186">
        <f t="shared" ref="D205:O205" si="75">SUM(D206:D214)</f>
        <v>0</v>
      </c>
      <c r="E205" s="187">
        <f t="shared" si="75"/>
        <v>0</v>
      </c>
      <c r="F205" s="140">
        <f t="shared" si="75"/>
        <v>0</v>
      </c>
      <c r="G205" s="186">
        <f t="shared" si="75"/>
        <v>0</v>
      </c>
      <c r="H205" s="187">
        <f t="shared" si="75"/>
        <v>0</v>
      </c>
      <c r="I205" s="140">
        <f t="shared" si="75"/>
        <v>0</v>
      </c>
      <c r="J205" s="186">
        <f t="shared" si="75"/>
        <v>0</v>
      </c>
      <c r="K205" s="187">
        <f t="shared" si="75"/>
        <v>0</v>
      </c>
      <c r="L205" s="140">
        <f t="shared" si="75"/>
        <v>0</v>
      </c>
      <c r="M205" s="186">
        <f t="shared" si="75"/>
        <v>0</v>
      </c>
      <c r="N205" s="187">
        <f t="shared" si="75"/>
        <v>0</v>
      </c>
      <c r="O205" s="140">
        <f t="shared" si="75"/>
        <v>0</v>
      </c>
      <c r="P205" s="128"/>
    </row>
    <row r="206" spans="1:16" ht="12" hidden="1" customHeight="1" x14ac:dyDescent="0.25">
      <c r="A206" s="44">
        <v>5211</v>
      </c>
      <c r="B206" s="81" t="s">
        <v>223</v>
      </c>
      <c r="C206" s="82">
        <f t="shared" si="63"/>
        <v>0</v>
      </c>
      <c r="D206" s="196">
        <v>0</v>
      </c>
      <c r="E206" s="197"/>
      <c r="F206" s="133">
        <f t="shared" ref="F206:F215" si="76">D206+E206</f>
        <v>0</v>
      </c>
      <c r="G206" s="46"/>
      <c r="H206" s="47"/>
      <c r="I206" s="133">
        <f t="shared" ref="I206:I215" si="77">G206+H206</f>
        <v>0</v>
      </c>
      <c r="J206" s="46"/>
      <c r="K206" s="47"/>
      <c r="L206" s="133">
        <f t="shared" ref="L206:L215" si="78">K206+J206</f>
        <v>0</v>
      </c>
      <c r="M206" s="46"/>
      <c r="N206" s="47"/>
      <c r="O206" s="133">
        <f t="shared" ref="O206:O215" si="79">N206+M206</f>
        <v>0</v>
      </c>
      <c r="P206" s="49"/>
    </row>
    <row r="207" spans="1:16" ht="12" hidden="1" customHeight="1" x14ac:dyDescent="0.25">
      <c r="A207" s="51">
        <v>5212</v>
      </c>
      <c r="B207" s="88" t="s">
        <v>224</v>
      </c>
      <c r="C207" s="89">
        <f t="shared" si="63"/>
        <v>0</v>
      </c>
      <c r="D207" s="194">
        <v>0</v>
      </c>
      <c r="E207" s="195"/>
      <c r="F207" s="55">
        <f t="shared" si="76"/>
        <v>0</v>
      </c>
      <c r="G207" s="53"/>
      <c r="H207" s="54"/>
      <c r="I207" s="55">
        <f t="shared" si="77"/>
        <v>0</v>
      </c>
      <c r="J207" s="53"/>
      <c r="K207" s="54"/>
      <c r="L207" s="55">
        <f t="shared" si="78"/>
        <v>0</v>
      </c>
      <c r="M207" s="53"/>
      <c r="N207" s="54"/>
      <c r="O207" s="55">
        <f t="shared" si="79"/>
        <v>0</v>
      </c>
      <c r="P207" s="57"/>
    </row>
    <row r="208" spans="1:16" ht="12" hidden="1" customHeight="1" x14ac:dyDescent="0.25">
      <c r="A208" s="51">
        <v>5213</v>
      </c>
      <c r="B208" s="88" t="s">
        <v>225</v>
      </c>
      <c r="C208" s="89">
        <f t="shared" si="63"/>
        <v>0</v>
      </c>
      <c r="D208" s="194">
        <v>0</v>
      </c>
      <c r="E208" s="195"/>
      <c r="F208" s="55">
        <f t="shared" si="76"/>
        <v>0</v>
      </c>
      <c r="G208" s="53"/>
      <c r="H208" s="54"/>
      <c r="I208" s="55">
        <f t="shared" si="77"/>
        <v>0</v>
      </c>
      <c r="J208" s="53"/>
      <c r="K208" s="54"/>
      <c r="L208" s="55">
        <f t="shared" si="78"/>
        <v>0</v>
      </c>
      <c r="M208" s="53"/>
      <c r="N208" s="54"/>
      <c r="O208" s="55">
        <f t="shared" si="79"/>
        <v>0</v>
      </c>
      <c r="P208" s="57"/>
    </row>
    <row r="209" spans="1:16" ht="12" hidden="1" customHeight="1" x14ac:dyDescent="0.25">
      <c r="A209" s="51">
        <v>5214</v>
      </c>
      <c r="B209" s="88" t="s">
        <v>226</v>
      </c>
      <c r="C209" s="89">
        <f t="shared" si="63"/>
        <v>0</v>
      </c>
      <c r="D209" s="194">
        <v>0</v>
      </c>
      <c r="E209" s="195"/>
      <c r="F209" s="55">
        <f t="shared" si="76"/>
        <v>0</v>
      </c>
      <c r="G209" s="53"/>
      <c r="H209" s="54"/>
      <c r="I209" s="55">
        <f t="shared" si="77"/>
        <v>0</v>
      </c>
      <c r="J209" s="53"/>
      <c r="K209" s="54"/>
      <c r="L209" s="55">
        <f t="shared" si="78"/>
        <v>0</v>
      </c>
      <c r="M209" s="53"/>
      <c r="N209" s="54"/>
      <c r="O209" s="55">
        <f t="shared" si="79"/>
        <v>0</v>
      </c>
      <c r="P209" s="57"/>
    </row>
    <row r="210" spans="1:16" ht="12" hidden="1" customHeight="1" x14ac:dyDescent="0.25">
      <c r="A210" s="51">
        <v>5215</v>
      </c>
      <c r="B210" s="88" t="s">
        <v>227</v>
      </c>
      <c r="C210" s="89">
        <f t="shared" si="63"/>
        <v>0</v>
      </c>
      <c r="D210" s="194">
        <v>0</v>
      </c>
      <c r="E210" s="195"/>
      <c r="F210" s="55">
        <f t="shared" si="76"/>
        <v>0</v>
      </c>
      <c r="G210" s="53"/>
      <c r="H210" s="54"/>
      <c r="I210" s="55">
        <f t="shared" si="77"/>
        <v>0</v>
      </c>
      <c r="J210" s="53"/>
      <c r="K210" s="54"/>
      <c r="L210" s="55">
        <f t="shared" si="78"/>
        <v>0</v>
      </c>
      <c r="M210" s="53"/>
      <c r="N210" s="54"/>
      <c r="O210" s="55">
        <f t="shared" si="79"/>
        <v>0</v>
      </c>
      <c r="P210" s="57"/>
    </row>
    <row r="211" spans="1:16" ht="14.25" hidden="1" customHeight="1" x14ac:dyDescent="0.25">
      <c r="A211" s="51">
        <v>5216</v>
      </c>
      <c r="B211" s="88" t="s">
        <v>228</v>
      </c>
      <c r="C211" s="89">
        <f t="shared" si="63"/>
        <v>0</v>
      </c>
      <c r="D211" s="194">
        <v>0</v>
      </c>
      <c r="E211" s="195"/>
      <c r="F211" s="55">
        <f t="shared" si="76"/>
        <v>0</v>
      </c>
      <c r="G211" s="53"/>
      <c r="H211" s="54"/>
      <c r="I211" s="55">
        <f t="shared" si="77"/>
        <v>0</v>
      </c>
      <c r="J211" s="53"/>
      <c r="K211" s="54"/>
      <c r="L211" s="55">
        <f t="shared" si="78"/>
        <v>0</v>
      </c>
      <c r="M211" s="53"/>
      <c r="N211" s="54"/>
      <c r="O211" s="55">
        <f t="shared" si="79"/>
        <v>0</v>
      </c>
      <c r="P211" s="57"/>
    </row>
    <row r="212" spans="1:16" ht="12" hidden="1" customHeight="1" x14ac:dyDescent="0.25">
      <c r="A212" s="51">
        <v>5217</v>
      </c>
      <c r="B212" s="88" t="s">
        <v>229</v>
      </c>
      <c r="C212" s="89">
        <f t="shared" si="63"/>
        <v>0</v>
      </c>
      <c r="D212" s="194">
        <v>0</v>
      </c>
      <c r="E212" s="195"/>
      <c r="F212" s="55">
        <f t="shared" si="76"/>
        <v>0</v>
      </c>
      <c r="G212" s="53"/>
      <c r="H212" s="54"/>
      <c r="I212" s="55">
        <f t="shared" si="77"/>
        <v>0</v>
      </c>
      <c r="J212" s="53"/>
      <c r="K212" s="54"/>
      <c r="L212" s="55">
        <f t="shared" si="78"/>
        <v>0</v>
      </c>
      <c r="M212" s="53"/>
      <c r="N212" s="54"/>
      <c r="O212" s="55">
        <f t="shared" si="79"/>
        <v>0</v>
      </c>
      <c r="P212" s="57"/>
    </row>
    <row r="213" spans="1:16" ht="12" hidden="1" customHeight="1" x14ac:dyDescent="0.25">
      <c r="A213" s="51">
        <v>5218</v>
      </c>
      <c r="B213" s="88" t="s">
        <v>230</v>
      </c>
      <c r="C213" s="89">
        <f t="shared" si="63"/>
        <v>0</v>
      </c>
      <c r="D213" s="194">
        <v>0</v>
      </c>
      <c r="E213" s="195"/>
      <c r="F213" s="55">
        <f t="shared" si="76"/>
        <v>0</v>
      </c>
      <c r="G213" s="53"/>
      <c r="H213" s="54"/>
      <c r="I213" s="55">
        <f t="shared" si="77"/>
        <v>0</v>
      </c>
      <c r="J213" s="53"/>
      <c r="K213" s="54"/>
      <c r="L213" s="55">
        <f t="shared" si="78"/>
        <v>0</v>
      </c>
      <c r="M213" s="53"/>
      <c r="N213" s="54"/>
      <c r="O213" s="55">
        <f t="shared" si="79"/>
        <v>0</v>
      </c>
      <c r="P213" s="57"/>
    </row>
    <row r="214" spans="1:16" ht="12" hidden="1" customHeight="1" x14ac:dyDescent="0.25">
      <c r="A214" s="51">
        <v>5219</v>
      </c>
      <c r="B214" s="88" t="s">
        <v>231</v>
      </c>
      <c r="C214" s="89">
        <f t="shared" si="63"/>
        <v>0</v>
      </c>
      <c r="D214" s="194">
        <v>0</v>
      </c>
      <c r="E214" s="195"/>
      <c r="F214" s="55">
        <f t="shared" si="76"/>
        <v>0</v>
      </c>
      <c r="G214" s="53"/>
      <c r="H214" s="54"/>
      <c r="I214" s="55">
        <f t="shared" si="77"/>
        <v>0</v>
      </c>
      <c r="J214" s="53"/>
      <c r="K214" s="54"/>
      <c r="L214" s="55">
        <f t="shared" si="78"/>
        <v>0</v>
      </c>
      <c r="M214" s="53"/>
      <c r="N214" s="54"/>
      <c r="O214" s="55">
        <f t="shared" si="79"/>
        <v>0</v>
      </c>
      <c r="P214" s="57"/>
    </row>
    <row r="215" spans="1:16" ht="13.5" hidden="1" customHeight="1" x14ac:dyDescent="0.25">
      <c r="A215" s="188">
        <v>5220</v>
      </c>
      <c r="B215" s="88" t="s">
        <v>232</v>
      </c>
      <c r="C215" s="89">
        <f t="shared" si="63"/>
        <v>0</v>
      </c>
      <c r="D215" s="194">
        <v>0</v>
      </c>
      <c r="E215" s="195"/>
      <c r="F215" s="55">
        <f t="shared" si="76"/>
        <v>0</v>
      </c>
      <c r="G215" s="53"/>
      <c r="H215" s="54"/>
      <c r="I215" s="55">
        <f t="shared" si="77"/>
        <v>0</v>
      </c>
      <c r="J215" s="53"/>
      <c r="K215" s="54"/>
      <c r="L215" s="55">
        <f t="shared" si="78"/>
        <v>0</v>
      </c>
      <c r="M215" s="53"/>
      <c r="N215" s="54"/>
      <c r="O215" s="55">
        <f t="shared" si="79"/>
        <v>0</v>
      </c>
      <c r="P215" s="57"/>
    </row>
    <row r="216" spans="1:16" x14ac:dyDescent="0.25">
      <c r="A216" s="188">
        <v>5230</v>
      </c>
      <c r="B216" s="88" t="s">
        <v>233</v>
      </c>
      <c r="C216" s="89">
        <f t="shared" si="63"/>
        <v>35750</v>
      </c>
      <c r="D216" s="189">
        <f t="shared" ref="D216:O216" si="80">SUM(D217:D224)</f>
        <v>35750</v>
      </c>
      <c r="E216" s="190">
        <f t="shared" si="80"/>
        <v>0</v>
      </c>
      <c r="F216" s="55">
        <f t="shared" si="80"/>
        <v>35750</v>
      </c>
      <c r="G216" s="189">
        <f t="shared" si="80"/>
        <v>0</v>
      </c>
      <c r="H216" s="190">
        <f t="shared" si="80"/>
        <v>0</v>
      </c>
      <c r="I216" s="55">
        <f t="shared" si="80"/>
        <v>0</v>
      </c>
      <c r="J216" s="189">
        <f t="shared" si="80"/>
        <v>0</v>
      </c>
      <c r="K216" s="190">
        <f t="shared" si="80"/>
        <v>0</v>
      </c>
      <c r="L216" s="55">
        <f t="shared" si="80"/>
        <v>0</v>
      </c>
      <c r="M216" s="189">
        <f t="shared" si="80"/>
        <v>0</v>
      </c>
      <c r="N216" s="190">
        <f t="shared" si="80"/>
        <v>0</v>
      </c>
      <c r="O216" s="55">
        <f t="shared" si="80"/>
        <v>0</v>
      </c>
      <c r="P216" s="57"/>
    </row>
    <row r="217" spans="1:16" ht="12" hidden="1" customHeight="1" x14ac:dyDescent="0.25">
      <c r="A217" s="51">
        <v>5231</v>
      </c>
      <c r="B217" s="88" t="s">
        <v>234</v>
      </c>
      <c r="C217" s="89">
        <f t="shared" si="63"/>
        <v>0</v>
      </c>
      <c r="D217" s="194">
        <v>0</v>
      </c>
      <c r="E217" s="195"/>
      <c r="F217" s="55">
        <f t="shared" ref="F217:F226" si="81">D217+E217</f>
        <v>0</v>
      </c>
      <c r="G217" s="53"/>
      <c r="H217" s="54"/>
      <c r="I217" s="55">
        <f t="shared" ref="I217:I226" si="82">G217+H217</f>
        <v>0</v>
      </c>
      <c r="J217" s="53"/>
      <c r="K217" s="54"/>
      <c r="L217" s="55">
        <f t="shared" ref="L217:L226" si="83">K217+J217</f>
        <v>0</v>
      </c>
      <c r="M217" s="53"/>
      <c r="N217" s="54"/>
      <c r="O217" s="55">
        <f t="shared" ref="O217:O226" si="84">N217+M217</f>
        <v>0</v>
      </c>
      <c r="P217" s="57"/>
    </row>
    <row r="218" spans="1:16" ht="12" hidden="1" customHeight="1" x14ac:dyDescent="0.25">
      <c r="A218" s="51">
        <v>5232</v>
      </c>
      <c r="B218" s="88" t="s">
        <v>235</v>
      </c>
      <c r="C218" s="89">
        <f t="shared" si="63"/>
        <v>0</v>
      </c>
      <c r="D218" s="194">
        <v>0</v>
      </c>
      <c r="E218" s="195"/>
      <c r="F218" s="55">
        <f t="shared" si="81"/>
        <v>0</v>
      </c>
      <c r="G218" s="53"/>
      <c r="H218" s="54"/>
      <c r="I218" s="55">
        <f t="shared" si="82"/>
        <v>0</v>
      </c>
      <c r="J218" s="53"/>
      <c r="K218" s="54"/>
      <c r="L218" s="55">
        <f t="shared" si="83"/>
        <v>0</v>
      </c>
      <c r="M218" s="53"/>
      <c r="N218" s="54"/>
      <c r="O218" s="55">
        <f t="shared" si="84"/>
        <v>0</v>
      </c>
      <c r="P218" s="57"/>
    </row>
    <row r="219" spans="1:16" ht="12" hidden="1" customHeight="1" x14ac:dyDescent="0.25">
      <c r="A219" s="51">
        <v>5233</v>
      </c>
      <c r="B219" s="88" t="s">
        <v>236</v>
      </c>
      <c r="C219" s="89">
        <f t="shared" si="63"/>
        <v>0</v>
      </c>
      <c r="D219" s="194">
        <v>0</v>
      </c>
      <c r="E219" s="195"/>
      <c r="F219" s="55">
        <f t="shared" si="81"/>
        <v>0</v>
      </c>
      <c r="G219" s="53"/>
      <c r="H219" s="54"/>
      <c r="I219" s="55">
        <f t="shared" si="82"/>
        <v>0</v>
      </c>
      <c r="J219" s="53"/>
      <c r="K219" s="54"/>
      <c r="L219" s="55">
        <f t="shared" si="83"/>
        <v>0</v>
      </c>
      <c r="M219" s="53"/>
      <c r="N219" s="54"/>
      <c r="O219" s="55">
        <f t="shared" si="84"/>
        <v>0</v>
      </c>
      <c r="P219" s="57"/>
    </row>
    <row r="220" spans="1:16" ht="24" hidden="1" customHeight="1" x14ac:dyDescent="0.25">
      <c r="A220" s="51">
        <v>5234</v>
      </c>
      <c r="B220" s="88" t="s">
        <v>237</v>
      </c>
      <c r="C220" s="89">
        <f t="shared" si="63"/>
        <v>0</v>
      </c>
      <c r="D220" s="194">
        <v>0</v>
      </c>
      <c r="E220" s="195"/>
      <c r="F220" s="55">
        <f t="shared" si="81"/>
        <v>0</v>
      </c>
      <c r="G220" s="53"/>
      <c r="H220" s="54"/>
      <c r="I220" s="55">
        <f t="shared" si="82"/>
        <v>0</v>
      </c>
      <c r="J220" s="53"/>
      <c r="K220" s="54"/>
      <c r="L220" s="55">
        <f t="shared" si="83"/>
        <v>0</v>
      </c>
      <c r="M220" s="53"/>
      <c r="N220" s="54"/>
      <c r="O220" s="55">
        <f t="shared" si="84"/>
        <v>0</v>
      </c>
      <c r="P220" s="57"/>
    </row>
    <row r="221" spans="1:16" ht="14.25" hidden="1" customHeight="1" x14ac:dyDescent="0.25">
      <c r="A221" s="51">
        <v>5236</v>
      </c>
      <c r="B221" s="88" t="s">
        <v>238</v>
      </c>
      <c r="C221" s="89">
        <f t="shared" si="63"/>
        <v>0</v>
      </c>
      <c r="D221" s="194">
        <v>0</v>
      </c>
      <c r="E221" s="195"/>
      <c r="F221" s="55">
        <f t="shared" si="81"/>
        <v>0</v>
      </c>
      <c r="G221" s="53"/>
      <c r="H221" s="54"/>
      <c r="I221" s="55">
        <f t="shared" si="82"/>
        <v>0</v>
      </c>
      <c r="J221" s="53"/>
      <c r="K221" s="54"/>
      <c r="L221" s="55">
        <f t="shared" si="83"/>
        <v>0</v>
      </c>
      <c r="M221" s="53"/>
      <c r="N221" s="54"/>
      <c r="O221" s="55">
        <f t="shared" si="84"/>
        <v>0</v>
      </c>
      <c r="P221" s="57"/>
    </row>
    <row r="222" spans="1:16" ht="14.25" hidden="1" customHeight="1" x14ac:dyDescent="0.25">
      <c r="A222" s="51">
        <v>5237</v>
      </c>
      <c r="B222" s="88" t="s">
        <v>239</v>
      </c>
      <c r="C222" s="89">
        <f t="shared" si="63"/>
        <v>0</v>
      </c>
      <c r="D222" s="194">
        <v>0</v>
      </c>
      <c r="E222" s="195"/>
      <c r="F222" s="55">
        <f t="shared" si="81"/>
        <v>0</v>
      </c>
      <c r="G222" s="53"/>
      <c r="H222" s="54"/>
      <c r="I222" s="55">
        <f t="shared" si="82"/>
        <v>0</v>
      </c>
      <c r="J222" s="53"/>
      <c r="K222" s="54"/>
      <c r="L222" s="55">
        <f t="shared" si="83"/>
        <v>0</v>
      </c>
      <c r="M222" s="53"/>
      <c r="N222" s="54"/>
      <c r="O222" s="55">
        <f t="shared" si="84"/>
        <v>0</v>
      </c>
      <c r="P222" s="57"/>
    </row>
    <row r="223" spans="1:16" ht="24" customHeight="1" x14ac:dyDescent="0.25">
      <c r="A223" s="51">
        <v>5238</v>
      </c>
      <c r="B223" s="88" t="s">
        <v>240</v>
      </c>
      <c r="C223" s="89">
        <f t="shared" si="63"/>
        <v>25750</v>
      </c>
      <c r="D223" s="194">
        <f>18750+7000</f>
        <v>25750</v>
      </c>
      <c r="E223" s="195"/>
      <c r="F223" s="55">
        <f t="shared" si="81"/>
        <v>25750</v>
      </c>
      <c r="G223" s="53"/>
      <c r="H223" s="54"/>
      <c r="I223" s="55">
        <f t="shared" si="82"/>
        <v>0</v>
      </c>
      <c r="J223" s="53"/>
      <c r="K223" s="54"/>
      <c r="L223" s="55">
        <f t="shared" si="83"/>
        <v>0</v>
      </c>
      <c r="M223" s="53"/>
      <c r="N223" s="54"/>
      <c r="O223" s="55">
        <f t="shared" si="84"/>
        <v>0</v>
      </c>
      <c r="P223" s="57"/>
    </row>
    <row r="224" spans="1:16" ht="24" customHeight="1" x14ac:dyDescent="0.25">
      <c r="A224" s="51">
        <v>5239</v>
      </c>
      <c r="B224" s="88" t="s">
        <v>241</v>
      </c>
      <c r="C224" s="89">
        <f t="shared" si="63"/>
        <v>10000</v>
      </c>
      <c r="D224" s="194">
        <v>10000</v>
      </c>
      <c r="E224" s="195"/>
      <c r="F224" s="55">
        <f t="shared" si="81"/>
        <v>10000</v>
      </c>
      <c r="G224" s="53"/>
      <c r="H224" s="54"/>
      <c r="I224" s="55">
        <f t="shared" si="82"/>
        <v>0</v>
      </c>
      <c r="J224" s="53"/>
      <c r="K224" s="54"/>
      <c r="L224" s="55">
        <f t="shared" si="83"/>
        <v>0</v>
      </c>
      <c r="M224" s="53"/>
      <c r="N224" s="54"/>
      <c r="O224" s="55">
        <f t="shared" si="84"/>
        <v>0</v>
      </c>
      <c r="P224" s="57"/>
    </row>
    <row r="225" spans="1:16" ht="24" hidden="1" customHeight="1" x14ac:dyDescent="0.25">
      <c r="A225" s="188">
        <v>5240</v>
      </c>
      <c r="B225" s="88" t="s">
        <v>242</v>
      </c>
      <c r="C225" s="89">
        <f t="shared" si="63"/>
        <v>0</v>
      </c>
      <c r="D225" s="194">
        <v>0</v>
      </c>
      <c r="E225" s="195"/>
      <c r="F225" s="55">
        <f t="shared" si="81"/>
        <v>0</v>
      </c>
      <c r="G225" s="53"/>
      <c r="H225" s="54"/>
      <c r="I225" s="55">
        <f t="shared" si="82"/>
        <v>0</v>
      </c>
      <c r="J225" s="53"/>
      <c r="K225" s="54"/>
      <c r="L225" s="55">
        <f t="shared" si="83"/>
        <v>0</v>
      </c>
      <c r="M225" s="53"/>
      <c r="N225" s="54"/>
      <c r="O225" s="55">
        <f t="shared" si="84"/>
        <v>0</v>
      </c>
      <c r="P225" s="57"/>
    </row>
    <row r="226" spans="1:16" ht="12" hidden="1" customHeight="1" x14ac:dyDescent="0.25">
      <c r="A226" s="188">
        <v>5250</v>
      </c>
      <c r="B226" s="88" t="s">
        <v>243</v>
      </c>
      <c r="C226" s="89">
        <f t="shared" si="63"/>
        <v>0</v>
      </c>
      <c r="D226" s="194">
        <v>0</v>
      </c>
      <c r="E226" s="195"/>
      <c r="F226" s="55">
        <f t="shared" si="81"/>
        <v>0</v>
      </c>
      <c r="G226" s="53"/>
      <c r="H226" s="54"/>
      <c r="I226" s="55">
        <f t="shared" si="82"/>
        <v>0</v>
      </c>
      <c r="J226" s="53"/>
      <c r="K226" s="54"/>
      <c r="L226" s="55">
        <f t="shared" si="83"/>
        <v>0</v>
      </c>
      <c r="M226" s="53"/>
      <c r="N226" s="54"/>
      <c r="O226" s="55">
        <f t="shared" si="84"/>
        <v>0</v>
      </c>
      <c r="P226" s="57"/>
    </row>
    <row r="227" spans="1:16" hidden="1" x14ac:dyDescent="0.25">
      <c r="A227" s="188">
        <v>5260</v>
      </c>
      <c r="B227" s="88" t="s">
        <v>244</v>
      </c>
      <c r="C227" s="89">
        <f t="shared" si="63"/>
        <v>0</v>
      </c>
      <c r="D227" s="189">
        <f t="shared" ref="D227:O227" si="85">SUM(D228)</f>
        <v>0</v>
      </c>
      <c r="E227" s="190">
        <f t="shared" si="85"/>
        <v>0</v>
      </c>
      <c r="F227" s="55">
        <f t="shared" si="85"/>
        <v>0</v>
      </c>
      <c r="G227" s="189">
        <f t="shared" si="85"/>
        <v>0</v>
      </c>
      <c r="H227" s="190">
        <f t="shared" si="85"/>
        <v>0</v>
      </c>
      <c r="I227" s="55">
        <f t="shared" si="85"/>
        <v>0</v>
      </c>
      <c r="J227" s="189">
        <f t="shared" si="85"/>
        <v>0</v>
      </c>
      <c r="K227" s="190">
        <f t="shared" si="85"/>
        <v>0</v>
      </c>
      <c r="L227" s="55">
        <f t="shared" si="85"/>
        <v>0</v>
      </c>
      <c r="M227" s="189">
        <f t="shared" si="85"/>
        <v>0</v>
      </c>
      <c r="N227" s="190">
        <f t="shared" si="85"/>
        <v>0</v>
      </c>
      <c r="O227" s="55">
        <f t="shared" si="85"/>
        <v>0</v>
      </c>
      <c r="P227" s="57"/>
    </row>
    <row r="228" spans="1:16" ht="24" hidden="1" customHeight="1" x14ac:dyDescent="0.25">
      <c r="A228" s="51">
        <v>5269</v>
      </c>
      <c r="B228" s="88" t="s">
        <v>245</v>
      </c>
      <c r="C228" s="89">
        <f t="shared" si="63"/>
        <v>0</v>
      </c>
      <c r="D228" s="194">
        <v>0</v>
      </c>
      <c r="E228" s="195"/>
      <c r="F228" s="55">
        <f>D228+E228</f>
        <v>0</v>
      </c>
      <c r="G228" s="53"/>
      <c r="H228" s="54"/>
      <c r="I228" s="55">
        <f>G228+H228</f>
        <v>0</v>
      </c>
      <c r="J228" s="53"/>
      <c r="K228" s="54"/>
      <c r="L228" s="55">
        <f>K228+J228</f>
        <v>0</v>
      </c>
      <c r="M228" s="53"/>
      <c r="N228" s="54"/>
      <c r="O228" s="55">
        <f>N228+M228</f>
        <v>0</v>
      </c>
      <c r="P228" s="57"/>
    </row>
    <row r="229" spans="1:16" ht="24" hidden="1" customHeight="1" x14ac:dyDescent="0.25">
      <c r="A229" s="185">
        <v>5270</v>
      </c>
      <c r="B229" s="137" t="s">
        <v>246</v>
      </c>
      <c r="C229" s="142">
        <f t="shared" si="63"/>
        <v>0</v>
      </c>
      <c r="D229" s="202">
        <v>0</v>
      </c>
      <c r="E229" s="203"/>
      <c r="F229" s="140">
        <f>D229+E229</f>
        <v>0</v>
      </c>
      <c r="G229" s="143"/>
      <c r="H229" s="144"/>
      <c r="I229" s="140">
        <f>G229+H229</f>
        <v>0</v>
      </c>
      <c r="J229" s="143"/>
      <c r="K229" s="144"/>
      <c r="L229" s="140">
        <f>K229+J229</f>
        <v>0</v>
      </c>
      <c r="M229" s="143"/>
      <c r="N229" s="144"/>
      <c r="O229" s="140">
        <f>N229+M229</f>
        <v>0</v>
      </c>
      <c r="P229" s="128"/>
    </row>
    <row r="230" spans="1:16" hidden="1" x14ac:dyDescent="0.25">
      <c r="A230" s="176">
        <v>6000</v>
      </c>
      <c r="B230" s="176" t="s">
        <v>247</v>
      </c>
      <c r="C230" s="177">
        <f t="shared" si="63"/>
        <v>0</v>
      </c>
      <c r="D230" s="178">
        <f t="shared" ref="D230:O230" si="86">D231+D251+D259</f>
        <v>0</v>
      </c>
      <c r="E230" s="179">
        <f t="shared" si="86"/>
        <v>0</v>
      </c>
      <c r="F230" s="180">
        <f t="shared" si="86"/>
        <v>0</v>
      </c>
      <c r="G230" s="178">
        <f t="shared" si="86"/>
        <v>0</v>
      </c>
      <c r="H230" s="179">
        <f t="shared" si="86"/>
        <v>0</v>
      </c>
      <c r="I230" s="180">
        <f t="shared" si="86"/>
        <v>0</v>
      </c>
      <c r="J230" s="178">
        <f t="shared" si="86"/>
        <v>0</v>
      </c>
      <c r="K230" s="179">
        <f t="shared" si="86"/>
        <v>0</v>
      </c>
      <c r="L230" s="180">
        <f t="shared" si="86"/>
        <v>0</v>
      </c>
      <c r="M230" s="178">
        <f t="shared" si="86"/>
        <v>0</v>
      </c>
      <c r="N230" s="179">
        <f t="shared" si="86"/>
        <v>0</v>
      </c>
      <c r="O230" s="180">
        <f t="shared" si="86"/>
        <v>0</v>
      </c>
      <c r="P230" s="181"/>
    </row>
    <row r="231" spans="1:16" ht="14.25" hidden="1" customHeight="1" x14ac:dyDescent="0.25">
      <c r="A231" s="216">
        <v>6200</v>
      </c>
      <c r="B231" s="207" t="s">
        <v>248</v>
      </c>
      <c r="C231" s="217">
        <f t="shared" si="63"/>
        <v>0</v>
      </c>
      <c r="D231" s="218">
        <f t="shared" ref="D231:O231" si="87">SUM(D232,D233,D235,D238,D244,D245,D246)</f>
        <v>0</v>
      </c>
      <c r="E231" s="219">
        <f t="shared" si="87"/>
        <v>0</v>
      </c>
      <c r="F231" s="220">
        <f t="shared" si="87"/>
        <v>0</v>
      </c>
      <c r="G231" s="218">
        <f t="shared" si="87"/>
        <v>0</v>
      </c>
      <c r="H231" s="219">
        <f t="shared" si="87"/>
        <v>0</v>
      </c>
      <c r="I231" s="220">
        <f t="shared" si="87"/>
        <v>0</v>
      </c>
      <c r="J231" s="218">
        <f t="shared" si="87"/>
        <v>0</v>
      </c>
      <c r="K231" s="219">
        <f t="shared" si="87"/>
        <v>0</v>
      </c>
      <c r="L231" s="220">
        <f t="shared" si="87"/>
        <v>0</v>
      </c>
      <c r="M231" s="218">
        <f t="shared" si="87"/>
        <v>0</v>
      </c>
      <c r="N231" s="219">
        <f t="shared" si="87"/>
        <v>0</v>
      </c>
      <c r="O231" s="220">
        <f t="shared" si="87"/>
        <v>0</v>
      </c>
      <c r="P231" s="221"/>
    </row>
    <row r="232" spans="1:16" ht="24" hidden="1" customHeight="1" x14ac:dyDescent="0.25">
      <c r="A232" s="1095">
        <v>6220</v>
      </c>
      <c r="B232" s="81" t="s">
        <v>249</v>
      </c>
      <c r="C232" s="82">
        <f t="shared" si="63"/>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63"/>
        <v>0</v>
      </c>
      <c r="D233" s="189">
        <f t="shared" ref="D233:O233" si="88">SUM(D234)</f>
        <v>0</v>
      </c>
      <c r="E233" s="190">
        <f t="shared" si="88"/>
        <v>0</v>
      </c>
      <c r="F233" s="55">
        <f t="shared" si="88"/>
        <v>0</v>
      </c>
      <c r="G233" s="189">
        <f t="shared" si="88"/>
        <v>0</v>
      </c>
      <c r="H233" s="190">
        <f t="shared" si="88"/>
        <v>0</v>
      </c>
      <c r="I233" s="55">
        <f t="shared" si="88"/>
        <v>0</v>
      </c>
      <c r="J233" s="189">
        <f t="shared" si="88"/>
        <v>0</v>
      </c>
      <c r="K233" s="190">
        <f t="shared" si="88"/>
        <v>0</v>
      </c>
      <c r="L233" s="55">
        <f t="shared" si="88"/>
        <v>0</v>
      </c>
      <c r="M233" s="189">
        <f t="shared" si="88"/>
        <v>0</v>
      </c>
      <c r="N233" s="190">
        <f t="shared" si="88"/>
        <v>0</v>
      </c>
      <c r="O233" s="55">
        <f t="shared" si="88"/>
        <v>0</v>
      </c>
      <c r="P233" s="57"/>
    </row>
    <row r="234" spans="1:16" ht="24" hidden="1" customHeight="1" x14ac:dyDescent="0.25">
      <c r="A234" s="51">
        <v>6239</v>
      </c>
      <c r="B234" s="81" t="s">
        <v>251</v>
      </c>
      <c r="C234" s="89">
        <f t="shared" si="63"/>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63"/>
        <v>0</v>
      </c>
      <c r="D235" s="189">
        <f t="shared" ref="D235:O235" si="89">SUM(D236:D237)</f>
        <v>0</v>
      </c>
      <c r="E235" s="190">
        <f t="shared" si="89"/>
        <v>0</v>
      </c>
      <c r="F235" s="55">
        <f t="shared" si="89"/>
        <v>0</v>
      </c>
      <c r="G235" s="189">
        <f t="shared" si="89"/>
        <v>0</v>
      </c>
      <c r="H235" s="190">
        <f t="shared" si="89"/>
        <v>0</v>
      </c>
      <c r="I235" s="55">
        <f t="shared" si="89"/>
        <v>0</v>
      </c>
      <c r="J235" s="189">
        <f t="shared" si="89"/>
        <v>0</v>
      </c>
      <c r="K235" s="190">
        <f t="shared" si="89"/>
        <v>0</v>
      </c>
      <c r="L235" s="55">
        <f t="shared" si="89"/>
        <v>0</v>
      </c>
      <c r="M235" s="189">
        <f t="shared" si="89"/>
        <v>0</v>
      </c>
      <c r="N235" s="190">
        <f t="shared" si="89"/>
        <v>0</v>
      </c>
      <c r="O235" s="55">
        <f t="shared" si="89"/>
        <v>0</v>
      </c>
      <c r="P235" s="57"/>
    </row>
    <row r="236" spans="1:16" ht="12" hidden="1" customHeight="1" x14ac:dyDescent="0.25">
      <c r="A236" s="51">
        <v>6241</v>
      </c>
      <c r="B236" s="88" t="s">
        <v>253</v>
      </c>
      <c r="C236" s="89">
        <f t="shared" si="63"/>
        <v>0</v>
      </c>
      <c r="D236" s="194">
        <v>0</v>
      </c>
      <c r="E236" s="195"/>
      <c r="F236" s="55">
        <f>D236+E236</f>
        <v>0</v>
      </c>
      <c r="G236" s="53"/>
      <c r="H236" s="54"/>
      <c r="I236" s="55">
        <f>G236+H236</f>
        <v>0</v>
      </c>
      <c r="J236" s="53"/>
      <c r="K236" s="54"/>
      <c r="L236" s="55">
        <f>K236+J236</f>
        <v>0</v>
      </c>
      <c r="M236" s="53"/>
      <c r="N236" s="54"/>
      <c r="O236" s="55">
        <f>N236+M236</f>
        <v>0</v>
      </c>
      <c r="P236" s="57"/>
    </row>
    <row r="237" spans="1:16" ht="12" hidden="1" customHeight="1" x14ac:dyDescent="0.25">
      <c r="A237" s="51">
        <v>6242</v>
      </c>
      <c r="B237" s="88" t="s">
        <v>254</v>
      </c>
      <c r="C237" s="89">
        <f t="shared" si="63"/>
        <v>0</v>
      </c>
      <c r="D237" s="194">
        <v>0</v>
      </c>
      <c r="E237" s="195"/>
      <c r="F237" s="55">
        <f>D237+E237</f>
        <v>0</v>
      </c>
      <c r="G237" s="53"/>
      <c r="H237" s="54"/>
      <c r="I237" s="55">
        <f>G237+H237</f>
        <v>0</v>
      </c>
      <c r="J237" s="53"/>
      <c r="K237" s="54"/>
      <c r="L237" s="55">
        <f>K237+J237</f>
        <v>0</v>
      </c>
      <c r="M237" s="53"/>
      <c r="N237" s="54"/>
      <c r="O237" s="55">
        <f>N237+M237</f>
        <v>0</v>
      </c>
      <c r="P237" s="57"/>
    </row>
    <row r="238" spans="1:16" ht="25.5" hidden="1" customHeight="1" x14ac:dyDescent="0.25">
      <c r="A238" s="188">
        <v>6250</v>
      </c>
      <c r="B238" s="88" t="s">
        <v>255</v>
      </c>
      <c r="C238" s="89">
        <f t="shared" si="63"/>
        <v>0</v>
      </c>
      <c r="D238" s="189">
        <f t="shared" ref="D238:O238" si="90">SUM(D239:D243)</f>
        <v>0</v>
      </c>
      <c r="E238" s="190">
        <f t="shared" si="90"/>
        <v>0</v>
      </c>
      <c r="F238" s="55">
        <f t="shared" si="90"/>
        <v>0</v>
      </c>
      <c r="G238" s="189">
        <f t="shared" si="90"/>
        <v>0</v>
      </c>
      <c r="H238" s="190">
        <f t="shared" si="90"/>
        <v>0</v>
      </c>
      <c r="I238" s="55">
        <f t="shared" si="90"/>
        <v>0</v>
      </c>
      <c r="J238" s="189">
        <f t="shared" si="90"/>
        <v>0</v>
      </c>
      <c r="K238" s="190">
        <f t="shared" si="90"/>
        <v>0</v>
      </c>
      <c r="L238" s="55">
        <f t="shared" si="90"/>
        <v>0</v>
      </c>
      <c r="M238" s="189">
        <f t="shared" si="90"/>
        <v>0</v>
      </c>
      <c r="N238" s="190">
        <f t="shared" si="90"/>
        <v>0</v>
      </c>
      <c r="O238" s="55">
        <f t="shared" si="90"/>
        <v>0</v>
      </c>
      <c r="P238" s="57"/>
    </row>
    <row r="239" spans="1:16" ht="14.25" hidden="1" customHeight="1" x14ac:dyDescent="0.25">
      <c r="A239" s="51">
        <v>6252</v>
      </c>
      <c r="B239" s="88" t="s">
        <v>256</v>
      </c>
      <c r="C239" s="89">
        <f t="shared" si="63"/>
        <v>0</v>
      </c>
      <c r="D239" s="194">
        <v>0</v>
      </c>
      <c r="E239" s="195"/>
      <c r="F239" s="55">
        <f t="shared" ref="F239:F245" si="91">D239+E239</f>
        <v>0</v>
      </c>
      <c r="G239" s="53"/>
      <c r="H239" s="54"/>
      <c r="I239" s="55">
        <f t="shared" ref="I239:I245" si="92">G239+H239</f>
        <v>0</v>
      </c>
      <c r="J239" s="53"/>
      <c r="K239" s="54"/>
      <c r="L239" s="55">
        <f t="shared" ref="L239:L245" si="93">K239+J239</f>
        <v>0</v>
      </c>
      <c r="M239" s="53"/>
      <c r="N239" s="54"/>
      <c r="O239" s="55">
        <f t="shared" ref="O239:O245" si="94">N239+M239</f>
        <v>0</v>
      </c>
      <c r="P239" s="57"/>
    </row>
    <row r="240" spans="1:16" ht="14.25" hidden="1" customHeight="1" x14ac:dyDescent="0.25">
      <c r="A240" s="51">
        <v>6253</v>
      </c>
      <c r="B240" s="88" t="s">
        <v>257</v>
      </c>
      <c r="C240" s="89">
        <f t="shared" si="63"/>
        <v>0</v>
      </c>
      <c r="D240" s="194">
        <v>0</v>
      </c>
      <c r="E240" s="195"/>
      <c r="F240" s="55">
        <f t="shared" si="91"/>
        <v>0</v>
      </c>
      <c r="G240" s="53"/>
      <c r="H240" s="54"/>
      <c r="I240" s="55">
        <f t="shared" si="92"/>
        <v>0</v>
      </c>
      <c r="J240" s="53"/>
      <c r="K240" s="54"/>
      <c r="L240" s="55">
        <f t="shared" si="93"/>
        <v>0</v>
      </c>
      <c r="M240" s="53"/>
      <c r="N240" s="54"/>
      <c r="O240" s="55">
        <f t="shared" si="94"/>
        <v>0</v>
      </c>
      <c r="P240" s="57"/>
    </row>
    <row r="241" spans="1:16" ht="24" hidden="1" customHeight="1" x14ac:dyDescent="0.25">
      <c r="A241" s="51">
        <v>6254</v>
      </c>
      <c r="B241" s="88" t="s">
        <v>258</v>
      </c>
      <c r="C241" s="89">
        <f t="shared" si="63"/>
        <v>0</v>
      </c>
      <c r="D241" s="194">
        <v>0</v>
      </c>
      <c r="E241" s="195"/>
      <c r="F241" s="55">
        <f t="shared" si="91"/>
        <v>0</v>
      </c>
      <c r="G241" s="53"/>
      <c r="H241" s="54"/>
      <c r="I241" s="55">
        <f t="shared" si="92"/>
        <v>0</v>
      </c>
      <c r="J241" s="53"/>
      <c r="K241" s="54"/>
      <c r="L241" s="55">
        <f t="shared" si="93"/>
        <v>0</v>
      </c>
      <c r="M241" s="53"/>
      <c r="N241" s="54"/>
      <c r="O241" s="55">
        <f t="shared" si="94"/>
        <v>0</v>
      </c>
      <c r="P241" s="57"/>
    </row>
    <row r="242" spans="1:16" ht="24" hidden="1" customHeight="1" x14ac:dyDescent="0.25">
      <c r="A242" s="51">
        <v>6255</v>
      </c>
      <c r="B242" s="88" t="s">
        <v>259</v>
      </c>
      <c r="C242" s="89">
        <f t="shared" ref="C242:C301" si="95">F242+I242+L242+O242</f>
        <v>0</v>
      </c>
      <c r="D242" s="194">
        <v>0</v>
      </c>
      <c r="E242" s="195"/>
      <c r="F242" s="55">
        <f t="shared" si="91"/>
        <v>0</v>
      </c>
      <c r="G242" s="53"/>
      <c r="H242" s="54"/>
      <c r="I242" s="55">
        <f t="shared" si="92"/>
        <v>0</v>
      </c>
      <c r="J242" s="53"/>
      <c r="K242" s="54"/>
      <c r="L242" s="55">
        <f t="shared" si="93"/>
        <v>0</v>
      </c>
      <c r="M242" s="53"/>
      <c r="N242" s="54"/>
      <c r="O242" s="55">
        <f t="shared" si="94"/>
        <v>0</v>
      </c>
      <c r="P242" s="57"/>
    </row>
    <row r="243" spans="1:16" ht="12" hidden="1" customHeight="1" x14ac:dyDescent="0.25">
      <c r="A243" s="51">
        <v>6259</v>
      </c>
      <c r="B243" s="88" t="s">
        <v>260</v>
      </c>
      <c r="C243" s="89">
        <f t="shared" si="95"/>
        <v>0</v>
      </c>
      <c r="D243" s="194">
        <v>0</v>
      </c>
      <c r="E243" s="195"/>
      <c r="F243" s="55">
        <f t="shared" si="91"/>
        <v>0</v>
      </c>
      <c r="G243" s="53"/>
      <c r="H243" s="54"/>
      <c r="I243" s="55">
        <f t="shared" si="92"/>
        <v>0</v>
      </c>
      <c r="J243" s="53"/>
      <c r="K243" s="54"/>
      <c r="L243" s="55">
        <f t="shared" si="93"/>
        <v>0</v>
      </c>
      <c r="M243" s="53"/>
      <c r="N243" s="54"/>
      <c r="O243" s="55">
        <f t="shared" si="94"/>
        <v>0</v>
      </c>
      <c r="P243" s="57"/>
    </row>
    <row r="244" spans="1:16" ht="24" hidden="1" customHeight="1" x14ac:dyDescent="0.25">
      <c r="A244" s="188">
        <v>6260</v>
      </c>
      <c r="B244" s="88" t="s">
        <v>261</v>
      </c>
      <c r="C244" s="89">
        <f t="shared" si="95"/>
        <v>0</v>
      </c>
      <c r="D244" s="194">
        <v>0</v>
      </c>
      <c r="E244" s="195"/>
      <c r="F244" s="55">
        <f t="shared" si="91"/>
        <v>0</v>
      </c>
      <c r="G244" s="53"/>
      <c r="H244" s="54"/>
      <c r="I244" s="55">
        <f t="shared" si="92"/>
        <v>0</v>
      </c>
      <c r="J244" s="53"/>
      <c r="K244" s="54"/>
      <c r="L244" s="55">
        <f t="shared" si="93"/>
        <v>0</v>
      </c>
      <c r="M244" s="53"/>
      <c r="N244" s="54"/>
      <c r="O244" s="55">
        <f t="shared" si="94"/>
        <v>0</v>
      </c>
      <c r="P244" s="57"/>
    </row>
    <row r="245" spans="1:16" ht="12" hidden="1" customHeight="1" x14ac:dyDescent="0.25">
      <c r="A245" s="188">
        <v>6270</v>
      </c>
      <c r="B245" s="88" t="s">
        <v>262</v>
      </c>
      <c r="C245" s="89">
        <f t="shared" si="95"/>
        <v>0</v>
      </c>
      <c r="D245" s="194">
        <v>0</v>
      </c>
      <c r="E245" s="195"/>
      <c r="F245" s="55">
        <f t="shared" si="91"/>
        <v>0</v>
      </c>
      <c r="G245" s="53"/>
      <c r="H245" s="54"/>
      <c r="I245" s="55">
        <f t="shared" si="92"/>
        <v>0</v>
      </c>
      <c r="J245" s="53"/>
      <c r="K245" s="54"/>
      <c r="L245" s="55">
        <f t="shared" si="93"/>
        <v>0</v>
      </c>
      <c r="M245" s="53"/>
      <c r="N245" s="54"/>
      <c r="O245" s="55">
        <f t="shared" si="94"/>
        <v>0</v>
      </c>
      <c r="P245" s="57"/>
    </row>
    <row r="246" spans="1:16" ht="24" hidden="1" x14ac:dyDescent="0.25">
      <c r="A246" s="1095">
        <v>6290</v>
      </c>
      <c r="B246" s="81" t="s">
        <v>263</v>
      </c>
      <c r="C246" s="208">
        <f t="shared" si="95"/>
        <v>0</v>
      </c>
      <c r="D246" s="192">
        <f t="shared" ref="D246:O246" si="96">SUM(D247:D250)</f>
        <v>0</v>
      </c>
      <c r="E246" s="193">
        <f t="shared" si="96"/>
        <v>0</v>
      </c>
      <c r="F246" s="133">
        <f t="shared" si="96"/>
        <v>0</v>
      </c>
      <c r="G246" s="192">
        <f t="shared" si="96"/>
        <v>0</v>
      </c>
      <c r="H246" s="193">
        <f t="shared" si="96"/>
        <v>0</v>
      </c>
      <c r="I246" s="133">
        <f t="shared" si="96"/>
        <v>0</v>
      </c>
      <c r="J246" s="192">
        <f t="shared" si="96"/>
        <v>0</v>
      </c>
      <c r="K246" s="193">
        <f t="shared" si="96"/>
        <v>0</v>
      </c>
      <c r="L246" s="133">
        <f t="shared" si="96"/>
        <v>0</v>
      </c>
      <c r="M246" s="192">
        <f t="shared" si="96"/>
        <v>0</v>
      </c>
      <c r="N246" s="193">
        <f t="shared" si="96"/>
        <v>0</v>
      </c>
      <c r="O246" s="133">
        <f t="shared" si="96"/>
        <v>0</v>
      </c>
      <c r="P246" s="49"/>
    </row>
    <row r="247" spans="1:16" ht="12" hidden="1" customHeight="1" x14ac:dyDescent="0.25">
      <c r="A247" s="51">
        <v>6291</v>
      </c>
      <c r="B247" s="88" t="s">
        <v>264</v>
      </c>
      <c r="C247" s="89">
        <f t="shared" si="95"/>
        <v>0</v>
      </c>
      <c r="D247" s="194">
        <v>0</v>
      </c>
      <c r="E247" s="195"/>
      <c r="F247" s="55">
        <f>D247+E247</f>
        <v>0</v>
      </c>
      <c r="G247" s="53"/>
      <c r="H247" s="54"/>
      <c r="I247" s="55">
        <f>G247+H247</f>
        <v>0</v>
      </c>
      <c r="J247" s="53"/>
      <c r="K247" s="54"/>
      <c r="L247" s="55">
        <f>K247+J247</f>
        <v>0</v>
      </c>
      <c r="M247" s="53"/>
      <c r="N247" s="54"/>
      <c r="O247" s="55">
        <f>N247+M247</f>
        <v>0</v>
      </c>
      <c r="P247" s="57"/>
    </row>
    <row r="248" spans="1:16" ht="12" hidden="1" customHeight="1" x14ac:dyDescent="0.25">
      <c r="A248" s="51">
        <v>6292</v>
      </c>
      <c r="B248" s="88" t="s">
        <v>265</v>
      </c>
      <c r="C248" s="89">
        <f t="shared" si="95"/>
        <v>0</v>
      </c>
      <c r="D248" s="194">
        <v>0</v>
      </c>
      <c r="E248" s="195"/>
      <c r="F248" s="55">
        <f>D248+E248</f>
        <v>0</v>
      </c>
      <c r="G248" s="53"/>
      <c r="H248" s="54"/>
      <c r="I248" s="55">
        <f>G248+H248</f>
        <v>0</v>
      </c>
      <c r="J248" s="53"/>
      <c r="K248" s="54"/>
      <c r="L248" s="55">
        <f>K248+J248</f>
        <v>0</v>
      </c>
      <c r="M248" s="53"/>
      <c r="N248" s="54"/>
      <c r="O248" s="55">
        <f>N248+M248</f>
        <v>0</v>
      </c>
      <c r="P248" s="57"/>
    </row>
    <row r="249" spans="1:16" ht="72" hidden="1" customHeight="1" x14ac:dyDescent="0.25">
      <c r="A249" s="51">
        <v>6296</v>
      </c>
      <c r="B249" s="88" t="s">
        <v>266</v>
      </c>
      <c r="C249" s="89">
        <f t="shared" si="95"/>
        <v>0</v>
      </c>
      <c r="D249" s="194">
        <v>0</v>
      </c>
      <c r="E249" s="195"/>
      <c r="F249" s="55">
        <f>D249+E249</f>
        <v>0</v>
      </c>
      <c r="G249" s="53"/>
      <c r="H249" s="54"/>
      <c r="I249" s="55">
        <f>G249+H249</f>
        <v>0</v>
      </c>
      <c r="J249" s="53"/>
      <c r="K249" s="54"/>
      <c r="L249" s="55">
        <f>K249+J249</f>
        <v>0</v>
      </c>
      <c r="M249" s="53"/>
      <c r="N249" s="54"/>
      <c r="O249" s="55">
        <f>N249+M249</f>
        <v>0</v>
      </c>
      <c r="P249" s="57"/>
    </row>
    <row r="250" spans="1:16" ht="39.75" hidden="1" customHeight="1" x14ac:dyDescent="0.25">
      <c r="A250" s="51">
        <v>6299</v>
      </c>
      <c r="B250" s="88" t="s">
        <v>267</v>
      </c>
      <c r="C250" s="89">
        <f t="shared" si="95"/>
        <v>0</v>
      </c>
      <c r="D250" s="194">
        <v>0</v>
      </c>
      <c r="E250" s="195"/>
      <c r="F250" s="55">
        <f>D250+E250</f>
        <v>0</v>
      </c>
      <c r="G250" s="53"/>
      <c r="H250" s="54"/>
      <c r="I250" s="55">
        <f>G250+H250</f>
        <v>0</v>
      </c>
      <c r="J250" s="53"/>
      <c r="K250" s="54"/>
      <c r="L250" s="55">
        <f>K250+J250</f>
        <v>0</v>
      </c>
      <c r="M250" s="53"/>
      <c r="N250" s="54"/>
      <c r="O250" s="55">
        <f>N250+M250</f>
        <v>0</v>
      </c>
      <c r="P250" s="57"/>
    </row>
    <row r="251" spans="1:16" hidden="1" x14ac:dyDescent="0.25">
      <c r="A251" s="68">
        <v>6300</v>
      </c>
      <c r="B251" s="182" t="s">
        <v>268</v>
      </c>
      <c r="C251" s="69">
        <f t="shared" si="95"/>
        <v>0</v>
      </c>
      <c r="D251" s="183">
        <f t="shared" ref="D251:O251" si="97">SUM(D252,D257,D258)</f>
        <v>0</v>
      </c>
      <c r="E251" s="184">
        <f t="shared" si="97"/>
        <v>0</v>
      </c>
      <c r="F251" s="72">
        <f t="shared" si="97"/>
        <v>0</v>
      </c>
      <c r="G251" s="183">
        <f t="shared" si="97"/>
        <v>0</v>
      </c>
      <c r="H251" s="184">
        <f t="shared" si="97"/>
        <v>0</v>
      </c>
      <c r="I251" s="72">
        <f t="shared" si="97"/>
        <v>0</v>
      </c>
      <c r="J251" s="183">
        <f t="shared" si="97"/>
        <v>0</v>
      </c>
      <c r="K251" s="184">
        <f t="shared" si="97"/>
        <v>0</v>
      </c>
      <c r="L251" s="72">
        <f t="shared" si="97"/>
        <v>0</v>
      </c>
      <c r="M251" s="183">
        <f t="shared" si="97"/>
        <v>0</v>
      </c>
      <c r="N251" s="184">
        <f t="shared" si="97"/>
        <v>0</v>
      </c>
      <c r="O251" s="72">
        <f t="shared" si="97"/>
        <v>0</v>
      </c>
      <c r="P251" s="76"/>
    </row>
    <row r="252" spans="1:16" ht="24" hidden="1" x14ac:dyDescent="0.25">
      <c r="A252" s="1095">
        <v>6320</v>
      </c>
      <c r="B252" s="81" t="s">
        <v>269</v>
      </c>
      <c r="C252" s="208">
        <f t="shared" si="95"/>
        <v>0</v>
      </c>
      <c r="D252" s="192">
        <f t="shared" ref="D252:O252" si="98">SUM(D253:D256)</f>
        <v>0</v>
      </c>
      <c r="E252" s="193">
        <f t="shared" si="98"/>
        <v>0</v>
      </c>
      <c r="F252" s="133">
        <f t="shared" si="98"/>
        <v>0</v>
      </c>
      <c r="G252" s="192">
        <f t="shared" si="98"/>
        <v>0</v>
      </c>
      <c r="H252" s="193">
        <f t="shared" si="98"/>
        <v>0</v>
      </c>
      <c r="I252" s="133">
        <f t="shared" si="98"/>
        <v>0</v>
      </c>
      <c r="J252" s="192">
        <f t="shared" si="98"/>
        <v>0</v>
      </c>
      <c r="K252" s="193">
        <f t="shared" si="98"/>
        <v>0</v>
      </c>
      <c r="L252" s="133">
        <f t="shared" si="98"/>
        <v>0</v>
      </c>
      <c r="M252" s="192">
        <f t="shared" si="98"/>
        <v>0</v>
      </c>
      <c r="N252" s="193">
        <f t="shared" si="98"/>
        <v>0</v>
      </c>
      <c r="O252" s="133">
        <f t="shared" si="98"/>
        <v>0</v>
      </c>
      <c r="P252" s="49"/>
    </row>
    <row r="253" spans="1:16" ht="12" hidden="1" customHeight="1" x14ac:dyDescent="0.25">
      <c r="A253" s="51">
        <v>6322</v>
      </c>
      <c r="B253" s="88" t="s">
        <v>270</v>
      </c>
      <c r="C253" s="89">
        <f t="shared" si="95"/>
        <v>0</v>
      </c>
      <c r="D253" s="194">
        <v>0</v>
      </c>
      <c r="E253" s="195"/>
      <c r="F253" s="55">
        <f t="shared" ref="F253:F258" si="99">D253+E253</f>
        <v>0</v>
      </c>
      <c r="G253" s="53"/>
      <c r="H253" s="54"/>
      <c r="I253" s="55">
        <f t="shared" ref="I253:I258" si="100">G253+H253</f>
        <v>0</v>
      </c>
      <c r="J253" s="53"/>
      <c r="K253" s="54"/>
      <c r="L253" s="55">
        <f t="shared" ref="L253:L258" si="101">K253+J253</f>
        <v>0</v>
      </c>
      <c r="M253" s="53"/>
      <c r="N253" s="54"/>
      <c r="O253" s="55">
        <f t="shared" ref="O253:O258" si="102">N253+M253</f>
        <v>0</v>
      </c>
      <c r="P253" s="57"/>
    </row>
    <row r="254" spans="1:16" ht="24" hidden="1" customHeight="1" x14ac:dyDescent="0.25">
      <c r="A254" s="51">
        <v>6323</v>
      </c>
      <c r="B254" s="88" t="s">
        <v>271</v>
      </c>
      <c r="C254" s="89">
        <f t="shared" si="95"/>
        <v>0</v>
      </c>
      <c r="D254" s="194">
        <v>0</v>
      </c>
      <c r="E254" s="195"/>
      <c r="F254" s="55">
        <f t="shared" si="99"/>
        <v>0</v>
      </c>
      <c r="G254" s="53"/>
      <c r="H254" s="54"/>
      <c r="I254" s="55">
        <f t="shared" si="100"/>
        <v>0</v>
      </c>
      <c r="J254" s="53"/>
      <c r="K254" s="54"/>
      <c r="L254" s="55">
        <f t="shared" si="101"/>
        <v>0</v>
      </c>
      <c r="M254" s="53"/>
      <c r="N254" s="54"/>
      <c r="O254" s="55">
        <f t="shared" si="102"/>
        <v>0</v>
      </c>
      <c r="P254" s="57"/>
    </row>
    <row r="255" spans="1:16" ht="24" hidden="1" customHeight="1" x14ac:dyDescent="0.25">
      <c r="A255" s="51">
        <v>6324</v>
      </c>
      <c r="B255" s="88" t="s">
        <v>272</v>
      </c>
      <c r="C255" s="89">
        <f t="shared" si="95"/>
        <v>0</v>
      </c>
      <c r="D255" s="194">
        <v>0</v>
      </c>
      <c r="E255" s="195"/>
      <c r="F255" s="55">
        <f t="shared" si="99"/>
        <v>0</v>
      </c>
      <c r="G255" s="53"/>
      <c r="H255" s="54"/>
      <c r="I255" s="55">
        <f t="shared" si="100"/>
        <v>0</v>
      </c>
      <c r="J255" s="53"/>
      <c r="K255" s="54"/>
      <c r="L255" s="55">
        <f t="shared" si="101"/>
        <v>0</v>
      </c>
      <c r="M255" s="53"/>
      <c r="N255" s="54"/>
      <c r="O255" s="55">
        <f t="shared" si="102"/>
        <v>0</v>
      </c>
      <c r="P255" s="57"/>
    </row>
    <row r="256" spans="1:16" ht="12" hidden="1" customHeight="1" x14ac:dyDescent="0.25">
      <c r="A256" s="44">
        <v>6329</v>
      </c>
      <c r="B256" s="81" t="s">
        <v>273</v>
      </c>
      <c r="C256" s="82">
        <f t="shared" si="95"/>
        <v>0</v>
      </c>
      <c r="D256" s="196">
        <v>0</v>
      </c>
      <c r="E256" s="197"/>
      <c r="F256" s="133">
        <f t="shared" si="99"/>
        <v>0</v>
      </c>
      <c r="G256" s="46"/>
      <c r="H256" s="47"/>
      <c r="I256" s="133">
        <f t="shared" si="100"/>
        <v>0</v>
      </c>
      <c r="J256" s="46"/>
      <c r="K256" s="47"/>
      <c r="L256" s="133">
        <f t="shared" si="101"/>
        <v>0</v>
      </c>
      <c r="M256" s="46"/>
      <c r="N256" s="47"/>
      <c r="O256" s="133">
        <f t="shared" si="102"/>
        <v>0</v>
      </c>
      <c r="P256" s="49"/>
    </row>
    <row r="257" spans="1:16" ht="24" hidden="1" customHeight="1" x14ac:dyDescent="0.25">
      <c r="A257" s="225">
        <v>6330</v>
      </c>
      <c r="B257" s="226" t="s">
        <v>274</v>
      </c>
      <c r="C257" s="208">
        <f t="shared" si="95"/>
        <v>0</v>
      </c>
      <c r="D257" s="210">
        <v>0</v>
      </c>
      <c r="E257" s="211"/>
      <c r="F257" s="212">
        <f t="shared" si="99"/>
        <v>0</v>
      </c>
      <c r="G257" s="213"/>
      <c r="H257" s="214"/>
      <c r="I257" s="212">
        <f t="shared" si="100"/>
        <v>0</v>
      </c>
      <c r="J257" s="213"/>
      <c r="K257" s="214"/>
      <c r="L257" s="212">
        <f t="shared" si="101"/>
        <v>0</v>
      </c>
      <c r="M257" s="213"/>
      <c r="N257" s="214"/>
      <c r="O257" s="212">
        <f t="shared" si="102"/>
        <v>0</v>
      </c>
      <c r="P257" s="215"/>
    </row>
    <row r="258" spans="1:16" ht="12" hidden="1" customHeight="1" x14ac:dyDescent="0.25">
      <c r="A258" s="188">
        <v>6360</v>
      </c>
      <c r="B258" s="88" t="s">
        <v>275</v>
      </c>
      <c r="C258" s="89">
        <f t="shared" si="95"/>
        <v>0</v>
      </c>
      <c r="D258" s="194">
        <v>0</v>
      </c>
      <c r="E258" s="195"/>
      <c r="F258" s="55">
        <f t="shared" si="99"/>
        <v>0</v>
      </c>
      <c r="G258" s="53"/>
      <c r="H258" s="54"/>
      <c r="I258" s="55">
        <f t="shared" si="100"/>
        <v>0</v>
      </c>
      <c r="J258" s="53"/>
      <c r="K258" s="54"/>
      <c r="L258" s="55">
        <f t="shared" si="101"/>
        <v>0</v>
      </c>
      <c r="M258" s="53"/>
      <c r="N258" s="54"/>
      <c r="O258" s="55">
        <f t="shared" si="102"/>
        <v>0</v>
      </c>
      <c r="P258" s="57"/>
    </row>
    <row r="259" spans="1:16" ht="36" hidden="1" x14ac:dyDescent="0.25">
      <c r="A259" s="68">
        <v>6400</v>
      </c>
      <c r="B259" s="182" t="s">
        <v>276</v>
      </c>
      <c r="C259" s="69">
        <f t="shared" si="95"/>
        <v>0</v>
      </c>
      <c r="D259" s="183">
        <f t="shared" ref="D259:O259" si="103">SUM(D260,D264)</f>
        <v>0</v>
      </c>
      <c r="E259" s="184">
        <f t="shared" si="103"/>
        <v>0</v>
      </c>
      <c r="F259" s="72">
        <f t="shared" si="103"/>
        <v>0</v>
      </c>
      <c r="G259" s="183">
        <f t="shared" si="103"/>
        <v>0</v>
      </c>
      <c r="H259" s="184">
        <f t="shared" si="103"/>
        <v>0</v>
      </c>
      <c r="I259" s="72">
        <f t="shared" si="103"/>
        <v>0</v>
      </c>
      <c r="J259" s="183">
        <f t="shared" si="103"/>
        <v>0</v>
      </c>
      <c r="K259" s="184">
        <f t="shared" si="103"/>
        <v>0</v>
      </c>
      <c r="L259" s="72">
        <f t="shared" si="103"/>
        <v>0</v>
      </c>
      <c r="M259" s="183">
        <f t="shared" si="103"/>
        <v>0</v>
      </c>
      <c r="N259" s="184">
        <f t="shared" si="103"/>
        <v>0</v>
      </c>
      <c r="O259" s="72">
        <f t="shared" si="103"/>
        <v>0</v>
      </c>
      <c r="P259" s="76"/>
    </row>
    <row r="260" spans="1:16" ht="24" hidden="1" x14ac:dyDescent="0.25">
      <c r="A260" s="1095">
        <v>6410</v>
      </c>
      <c r="B260" s="81" t="s">
        <v>277</v>
      </c>
      <c r="C260" s="82">
        <f t="shared" si="95"/>
        <v>0</v>
      </c>
      <c r="D260" s="192">
        <f t="shared" ref="D260:O260" si="104">SUM(D261:D263)</f>
        <v>0</v>
      </c>
      <c r="E260" s="193">
        <f t="shared" si="104"/>
        <v>0</v>
      </c>
      <c r="F260" s="133">
        <f t="shared" si="104"/>
        <v>0</v>
      </c>
      <c r="G260" s="192">
        <f t="shared" si="104"/>
        <v>0</v>
      </c>
      <c r="H260" s="193">
        <f t="shared" si="104"/>
        <v>0</v>
      </c>
      <c r="I260" s="133">
        <f t="shared" si="104"/>
        <v>0</v>
      </c>
      <c r="J260" s="192">
        <f t="shared" si="104"/>
        <v>0</v>
      </c>
      <c r="K260" s="193">
        <f t="shared" si="104"/>
        <v>0</v>
      </c>
      <c r="L260" s="133">
        <f t="shared" si="104"/>
        <v>0</v>
      </c>
      <c r="M260" s="192">
        <f t="shared" si="104"/>
        <v>0</v>
      </c>
      <c r="N260" s="193">
        <f t="shared" si="104"/>
        <v>0</v>
      </c>
      <c r="O260" s="133">
        <f t="shared" si="104"/>
        <v>0</v>
      </c>
      <c r="P260" s="49"/>
    </row>
    <row r="261" spans="1:16" ht="12" hidden="1" customHeight="1" x14ac:dyDescent="0.25">
      <c r="A261" s="51">
        <v>6411</v>
      </c>
      <c r="B261" s="199" t="s">
        <v>278</v>
      </c>
      <c r="C261" s="89">
        <f t="shared" si="95"/>
        <v>0</v>
      </c>
      <c r="D261" s="194">
        <v>0</v>
      </c>
      <c r="E261" s="195"/>
      <c r="F261" s="55">
        <f>D261+E261</f>
        <v>0</v>
      </c>
      <c r="G261" s="53"/>
      <c r="H261" s="54"/>
      <c r="I261" s="55">
        <f>G261+H261</f>
        <v>0</v>
      </c>
      <c r="J261" s="53"/>
      <c r="K261" s="54"/>
      <c r="L261" s="55">
        <f>K261+J261</f>
        <v>0</v>
      </c>
      <c r="M261" s="53"/>
      <c r="N261" s="54"/>
      <c r="O261" s="55">
        <f>N261+M261</f>
        <v>0</v>
      </c>
      <c r="P261" s="57"/>
    </row>
    <row r="262" spans="1:16" ht="36" hidden="1" customHeight="1" x14ac:dyDescent="0.25">
      <c r="A262" s="51">
        <v>6412</v>
      </c>
      <c r="B262" s="88" t="s">
        <v>279</v>
      </c>
      <c r="C262" s="89">
        <f t="shared" si="95"/>
        <v>0</v>
      </c>
      <c r="D262" s="194">
        <v>0</v>
      </c>
      <c r="E262" s="195"/>
      <c r="F262" s="55">
        <f>D262+E262</f>
        <v>0</v>
      </c>
      <c r="G262" s="53"/>
      <c r="H262" s="54"/>
      <c r="I262" s="55">
        <f>G262+H262</f>
        <v>0</v>
      </c>
      <c r="J262" s="53"/>
      <c r="K262" s="54"/>
      <c r="L262" s="55">
        <f>K262+J262</f>
        <v>0</v>
      </c>
      <c r="M262" s="53"/>
      <c r="N262" s="54"/>
      <c r="O262" s="55">
        <f>N262+M262</f>
        <v>0</v>
      </c>
      <c r="P262" s="57"/>
    </row>
    <row r="263" spans="1:16" ht="36" hidden="1" customHeight="1" x14ac:dyDescent="0.25">
      <c r="A263" s="51">
        <v>6419</v>
      </c>
      <c r="B263" s="88" t="s">
        <v>280</v>
      </c>
      <c r="C263" s="89">
        <f t="shared" si="95"/>
        <v>0</v>
      </c>
      <c r="D263" s="194">
        <v>0</v>
      </c>
      <c r="E263" s="195"/>
      <c r="F263" s="55">
        <f>D263+E263</f>
        <v>0</v>
      </c>
      <c r="G263" s="53"/>
      <c r="H263" s="54"/>
      <c r="I263" s="55">
        <f>G263+H263</f>
        <v>0</v>
      </c>
      <c r="J263" s="53"/>
      <c r="K263" s="54"/>
      <c r="L263" s="55">
        <f>K263+J263</f>
        <v>0</v>
      </c>
      <c r="M263" s="53"/>
      <c r="N263" s="54"/>
      <c r="O263" s="55">
        <f>N263+M263</f>
        <v>0</v>
      </c>
      <c r="P263" s="57"/>
    </row>
    <row r="264" spans="1:16" ht="48" hidden="1" x14ac:dyDescent="0.25">
      <c r="A264" s="188">
        <v>6420</v>
      </c>
      <c r="B264" s="88" t="s">
        <v>281</v>
      </c>
      <c r="C264" s="89">
        <f t="shared" si="95"/>
        <v>0</v>
      </c>
      <c r="D264" s="189">
        <f t="shared" ref="D264:O264" si="105">SUM(D265:D268)</f>
        <v>0</v>
      </c>
      <c r="E264" s="190">
        <f t="shared" si="105"/>
        <v>0</v>
      </c>
      <c r="F264" s="55">
        <f t="shared" si="105"/>
        <v>0</v>
      </c>
      <c r="G264" s="189">
        <f t="shared" si="105"/>
        <v>0</v>
      </c>
      <c r="H264" s="190">
        <f t="shared" si="105"/>
        <v>0</v>
      </c>
      <c r="I264" s="55">
        <f t="shared" si="105"/>
        <v>0</v>
      </c>
      <c r="J264" s="189">
        <f t="shared" si="105"/>
        <v>0</v>
      </c>
      <c r="K264" s="190">
        <f t="shared" si="105"/>
        <v>0</v>
      </c>
      <c r="L264" s="55">
        <f t="shared" si="105"/>
        <v>0</v>
      </c>
      <c r="M264" s="189">
        <f t="shared" si="105"/>
        <v>0</v>
      </c>
      <c r="N264" s="190">
        <f t="shared" si="105"/>
        <v>0</v>
      </c>
      <c r="O264" s="55">
        <f t="shared" si="105"/>
        <v>0</v>
      </c>
      <c r="P264" s="57"/>
    </row>
    <row r="265" spans="1:16" ht="36" hidden="1" customHeight="1" x14ac:dyDescent="0.25">
      <c r="A265" s="51">
        <v>6421</v>
      </c>
      <c r="B265" s="88" t="s">
        <v>282</v>
      </c>
      <c r="C265" s="89">
        <f t="shared" si="95"/>
        <v>0</v>
      </c>
      <c r="D265" s="194">
        <v>0</v>
      </c>
      <c r="E265" s="195"/>
      <c r="F265" s="55">
        <f>D265+E265</f>
        <v>0</v>
      </c>
      <c r="G265" s="53"/>
      <c r="H265" s="54"/>
      <c r="I265" s="55">
        <f>G265+H265</f>
        <v>0</v>
      </c>
      <c r="J265" s="53"/>
      <c r="K265" s="54"/>
      <c r="L265" s="55">
        <f>K265+J265</f>
        <v>0</v>
      </c>
      <c r="M265" s="53"/>
      <c r="N265" s="54"/>
      <c r="O265" s="55">
        <f>N265+M265</f>
        <v>0</v>
      </c>
      <c r="P265" s="57"/>
    </row>
    <row r="266" spans="1:16" ht="12" hidden="1" customHeight="1" x14ac:dyDescent="0.25">
      <c r="A266" s="51">
        <v>6422</v>
      </c>
      <c r="B266" s="88" t="s">
        <v>283</v>
      </c>
      <c r="C266" s="89">
        <f t="shared" si="95"/>
        <v>0</v>
      </c>
      <c r="D266" s="194">
        <v>0</v>
      </c>
      <c r="E266" s="195"/>
      <c r="F266" s="55">
        <f>D266+E266</f>
        <v>0</v>
      </c>
      <c r="G266" s="53"/>
      <c r="H266" s="54"/>
      <c r="I266" s="55">
        <f>G266+H266</f>
        <v>0</v>
      </c>
      <c r="J266" s="53"/>
      <c r="K266" s="54"/>
      <c r="L266" s="55">
        <f>K266+J266</f>
        <v>0</v>
      </c>
      <c r="M266" s="53"/>
      <c r="N266" s="54"/>
      <c r="O266" s="55">
        <f>N266+M266</f>
        <v>0</v>
      </c>
      <c r="P266" s="57"/>
    </row>
    <row r="267" spans="1:16" ht="13.5" hidden="1" customHeight="1" x14ac:dyDescent="0.25">
      <c r="A267" s="51">
        <v>6423</v>
      </c>
      <c r="B267" s="88" t="s">
        <v>284</v>
      </c>
      <c r="C267" s="89">
        <f t="shared" si="95"/>
        <v>0</v>
      </c>
      <c r="D267" s="194">
        <v>0</v>
      </c>
      <c r="E267" s="195"/>
      <c r="F267" s="55">
        <f>D267+E267</f>
        <v>0</v>
      </c>
      <c r="G267" s="53"/>
      <c r="H267" s="54"/>
      <c r="I267" s="55">
        <f>G267+H267</f>
        <v>0</v>
      </c>
      <c r="J267" s="53"/>
      <c r="K267" s="54"/>
      <c r="L267" s="55">
        <f>K267+J267</f>
        <v>0</v>
      </c>
      <c r="M267" s="53"/>
      <c r="N267" s="54"/>
      <c r="O267" s="55">
        <f>N267+M267</f>
        <v>0</v>
      </c>
      <c r="P267" s="57"/>
    </row>
    <row r="268" spans="1:16" ht="36" hidden="1" customHeight="1" x14ac:dyDescent="0.25">
      <c r="A268" s="51">
        <v>6424</v>
      </c>
      <c r="B268" s="88" t="s">
        <v>285</v>
      </c>
      <c r="C268" s="89">
        <f t="shared" si="95"/>
        <v>0</v>
      </c>
      <c r="D268" s="194">
        <v>0</v>
      </c>
      <c r="E268" s="195"/>
      <c r="F268" s="55">
        <f>D268+E268</f>
        <v>0</v>
      </c>
      <c r="G268" s="53"/>
      <c r="H268" s="54"/>
      <c r="I268" s="55">
        <f>G268+H268</f>
        <v>0</v>
      </c>
      <c r="J268" s="53"/>
      <c r="K268" s="54"/>
      <c r="L268" s="55">
        <f>K268+J268</f>
        <v>0</v>
      </c>
      <c r="M268" s="53"/>
      <c r="N268" s="54"/>
      <c r="O268" s="55">
        <f>N268+M268</f>
        <v>0</v>
      </c>
      <c r="P268" s="57"/>
    </row>
    <row r="269" spans="1:16" ht="48" hidden="1" x14ac:dyDescent="0.25">
      <c r="A269" s="227">
        <v>7000</v>
      </c>
      <c r="B269" s="227" t="s">
        <v>286</v>
      </c>
      <c r="C269" s="228">
        <f t="shared" si="95"/>
        <v>0</v>
      </c>
      <c r="D269" s="229">
        <f t="shared" ref="D269:O269" si="106">SUM(D270,D281)</f>
        <v>0</v>
      </c>
      <c r="E269" s="230">
        <f t="shared" si="106"/>
        <v>0</v>
      </c>
      <c r="F269" s="231">
        <f t="shared" si="106"/>
        <v>0</v>
      </c>
      <c r="G269" s="229">
        <f t="shared" si="106"/>
        <v>0</v>
      </c>
      <c r="H269" s="230">
        <f t="shared" si="106"/>
        <v>0</v>
      </c>
      <c r="I269" s="231">
        <f t="shared" si="106"/>
        <v>0</v>
      </c>
      <c r="J269" s="229">
        <f t="shared" si="106"/>
        <v>0</v>
      </c>
      <c r="K269" s="230">
        <f t="shared" si="106"/>
        <v>0</v>
      </c>
      <c r="L269" s="231">
        <f t="shared" si="106"/>
        <v>0</v>
      </c>
      <c r="M269" s="229">
        <f t="shared" si="106"/>
        <v>0</v>
      </c>
      <c r="N269" s="230">
        <f t="shared" si="106"/>
        <v>0</v>
      </c>
      <c r="O269" s="231">
        <f t="shared" si="106"/>
        <v>0</v>
      </c>
      <c r="P269" s="232"/>
    </row>
    <row r="270" spans="1:16" ht="24" hidden="1" x14ac:dyDescent="0.25">
      <c r="A270" s="68">
        <v>7200</v>
      </c>
      <c r="B270" s="182" t="s">
        <v>287</v>
      </c>
      <c r="C270" s="69">
        <f t="shared" si="95"/>
        <v>0</v>
      </c>
      <c r="D270" s="183">
        <f t="shared" ref="D270:O270" si="107">SUM(D271,D272,D275,D276,D280)</f>
        <v>0</v>
      </c>
      <c r="E270" s="184">
        <f t="shared" si="107"/>
        <v>0</v>
      </c>
      <c r="F270" s="72">
        <f t="shared" si="107"/>
        <v>0</v>
      </c>
      <c r="G270" s="183">
        <f t="shared" si="107"/>
        <v>0</v>
      </c>
      <c r="H270" s="184">
        <f t="shared" si="107"/>
        <v>0</v>
      </c>
      <c r="I270" s="72">
        <f t="shared" si="107"/>
        <v>0</v>
      </c>
      <c r="J270" s="183">
        <f t="shared" si="107"/>
        <v>0</v>
      </c>
      <c r="K270" s="184">
        <f t="shared" si="107"/>
        <v>0</v>
      </c>
      <c r="L270" s="72">
        <f t="shared" si="107"/>
        <v>0</v>
      </c>
      <c r="M270" s="183">
        <f t="shared" si="107"/>
        <v>0</v>
      </c>
      <c r="N270" s="184">
        <f t="shared" si="107"/>
        <v>0</v>
      </c>
      <c r="O270" s="72">
        <f t="shared" si="107"/>
        <v>0</v>
      </c>
      <c r="P270" s="76"/>
    </row>
    <row r="271" spans="1:16" ht="24" hidden="1" customHeight="1" x14ac:dyDescent="0.25">
      <c r="A271" s="1095">
        <v>7210</v>
      </c>
      <c r="B271" s="81" t="s">
        <v>288</v>
      </c>
      <c r="C271" s="82">
        <f t="shared" si="95"/>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95"/>
        <v>0</v>
      </c>
      <c r="D272" s="189">
        <f t="shared" ref="D272:O272" si="108">SUM(D273:D274)</f>
        <v>0</v>
      </c>
      <c r="E272" s="190">
        <f t="shared" si="108"/>
        <v>0</v>
      </c>
      <c r="F272" s="55">
        <f t="shared" si="108"/>
        <v>0</v>
      </c>
      <c r="G272" s="189">
        <f t="shared" si="108"/>
        <v>0</v>
      </c>
      <c r="H272" s="190">
        <f t="shared" si="108"/>
        <v>0</v>
      </c>
      <c r="I272" s="55">
        <f t="shared" si="108"/>
        <v>0</v>
      </c>
      <c r="J272" s="189">
        <f t="shared" si="108"/>
        <v>0</v>
      </c>
      <c r="K272" s="190">
        <f t="shared" si="108"/>
        <v>0</v>
      </c>
      <c r="L272" s="55">
        <f t="shared" si="108"/>
        <v>0</v>
      </c>
      <c r="M272" s="189">
        <f t="shared" si="108"/>
        <v>0</v>
      </c>
      <c r="N272" s="190">
        <f t="shared" si="108"/>
        <v>0</v>
      </c>
      <c r="O272" s="55">
        <f t="shared" si="108"/>
        <v>0</v>
      </c>
      <c r="P272" s="57"/>
    </row>
    <row r="273" spans="1:16" s="233" customFormat="1" ht="36" hidden="1" customHeight="1" x14ac:dyDescent="0.25">
      <c r="A273" s="51">
        <v>7221</v>
      </c>
      <c r="B273" s="88" t="s">
        <v>290</v>
      </c>
      <c r="C273" s="89">
        <f t="shared" si="95"/>
        <v>0</v>
      </c>
      <c r="D273" s="194">
        <v>0</v>
      </c>
      <c r="E273" s="195"/>
      <c r="F273" s="55">
        <f>D273+E273</f>
        <v>0</v>
      </c>
      <c r="G273" s="53"/>
      <c r="H273" s="54"/>
      <c r="I273" s="55">
        <f>G273+H273</f>
        <v>0</v>
      </c>
      <c r="J273" s="53"/>
      <c r="K273" s="54"/>
      <c r="L273" s="55">
        <f>K273+J273</f>
        <v>0</v>
      </c>
      <c r="M273" s="53"/>
      <c r="N273" s="54"/>
      <c r="O273" s="55">
        <f>N273+M273</f>
        <v>0</v>
      </c>
      <c r="P273" s="57"/>
    </row>
    <row r="274" spans="1:16" s="233" customFormat="1" ht="36" hidden="1" customHeight="1" x14ac:dyDescent="0.25">
      <c r="A274" s="51">
        <v>7222</v>
      </c>
      <c r="B274" s="88" t="s">
        <v>291</v>
      </c>
      <c r="C274" s="89">
        <f t="shared" si="95"/>
        <v>0</v>
      </c>
      <c r="D274" s="194">
        <v>0</v>
      </c>
      <c r="E274" s="195"/>
      <c r="F274" s="55">
        <f>D274+E274</f>
        <v>0</v>
      </c>
      <c r="G274" s="53"/>
      <c r="H274" s="54"/>
      <c r="I274" s="55">
        <f>G274+H274</f>
        <v>0</v>
      </c>
      <c r="J274" s="53"/>
      <c r="K274" s="54"/>
      <c r="L274" s="55">
        <f>K274+J274</f>
        <v>0</v>
      </c>
      <c r="M274" s="53"/>
      <c r="N274" s="54"/>
      <c r="O274" s="55">
        <f>N274+M274</f>
        <v>0</v>
      </c>
      <c r="P274" s="57"/>
    </row>
    <row r="275" spans="1:16" ht="24" hidden="1" customHeight="1" x14ac:dyDescent="0.25">
      <c r="A275" s="188">
        <v>7230</v>
      </c>
      <c r="B275" s="88" t="s">
        <v>292</v>
      </c>
      <c r="C275" s="89">
        <f t="shared" si="95"/>
        <v>0</v>
      </c>
      <c r="D275" s="194">
        <v>0</v>
      </c>
      <c r="E275" s="195"/>
      <c r="F275" s="55">
        <f>D275+E275</f>
        <v>0</v>
      </c>
      <c r="G275" s="53"/>
      <c r="H275" s="54"/>
      <c r="I275" s="55">
        <f>G275+H275</f>
        <v>0</v>
      </c>
      <c r="J275" s="53"/>
      <c r="K275" s="54"/>
      <c r="L275" s="55">
        <f>K275+J275</f>
        <v>0</v>
      </c>
      <c r="M275" s="53"/>
      <c r="N275" s="54"/>
      <c r="O275" s="55">
        <f>N275+M275</f>
        <v>0</v>
      </c>
      <c r="P275" s="57"/>
    </row>
    <row r="276" spans="1:16" ht="24" hidden="1" x14ac:dyDescent="0.25">
      <c r="A276" s="188">
        <v>7240</v>
      </c>
      <c r="B276" s="88" t="s">
        <v>293</v>
      </c>
      <c r="C276" s="89">
        <f t="shared" si="95"/>
        <v>0</v>
      </c>
      <c r="D276" s="189">
        <f t="shared" ref="D276:O276" si="109">SUM(D277:D279)</f>
        <v>0</v>
      </c>
      <c r="E276" s="190">
        <f t="shared" si="109"/>
        <v>0</v>
      </c>
      <c r="F276" s="55">
        <f t="shared" si="109"/>
        <v>0</v>
      </c>
      <c r="G276" s="189">
        <f t="shared" si="109"/>
        <v>0</v>
      </c>
      <c r="H276" s="190">
        <f t="shared" si="109"/>
        <v>0</v>
      </c>
      <c r="I276" s="55">
        <f t="shared" si="109"/>
        <v>0</v>
      </c>
      <c r="J276" s="189">
        <f t="shared" si="109"/>
        <v>0</v>
      </c>
      <c r="K276" s="190">
        <f t="shared" si="109"/>
        <v>0</v>
      </c>
      <c r="L276" s="55">
        <f t="shared" si="109"/>
        <v>0</v>
      </c>
      <c r="M276" s="189">
        <f t="shared" si="109"/>
        <v>0</v>
      </c>
      <c r="N276" s="190">
        <f t="shared" si="109"/>
        <v>0</v>
      </c>
      <c r="O276" s="55">
        <f t="shared" si="109"/>
        <v>0</v>
      </c>
      <c r="P276" s="57"/>
    </row>
    <row r="277" spans="1:16" ht="48" hidden="1" customHeight="1" x14ac:dyDescent="0.25">
      <c r="A277" s="51">
        <v>7245</v>
      </c>
      <c r="B277" s="88" t="s">
        <v>294</v>
      </c>
      <c r="C277" s="89">
        <f t="shared" si="95"/>
        <v>0</v>
      </c>
      <c r="D277" s="194">
        <v>0</v>
      </c>
      <c r="E277" s="195"/>
      <c r="F277" s="55">
        <f>D277+E277</f>
        <v>0</v>
      </c>
      <c r="G277" s="53"/>
      <c r="H277" s="54"/>
      <c r="I277" s="55">
        <f>G277+H277</f>
        <v>0</v>
      </c>
      <c r="J277" s="53"/>
      <c r="K277" s="54"/>
      <c r="L277" s="55">
        <f>K277+J277</f>
        <v>0</v>
      </c>
      <c r="M277" s="53"/>
      <c r="N277" s="54"/>
      <c r="O277" s="55">
        <f>N277+M277</f>
        <v>0</v>
      </c>
      <c r="P277" s="57"/>
    </row>
    <row r="278" spans="1:16" ht="84.75" hidden="1" customHeight="1" x14ac:dyDescent="0.25">
      <c r="A278" s="51">
        <v>7246</v>
      </c>
      <c r="B278" s="88" t="s">
        <v>295</v>
      </c>
      <c r="C278" s="89">
        <f t="shared" si="95"/>
        <v>0</v>
      </c>
      <c r="D278" s="194">
        <v>0</v>
      </c>
      <c r="E278" s="195"/>
      <c r="F278" s="55">
        <f>D278+E278</f>
        <v>0</v>
      </c>
      <c r="G278" s="53"/>
      <c r="H278" s="54"/>
      <c r="I278" s="55">
        <f>G278+H278</f>
        <v>0</v>
      </c>
      <c r="J278" s="53"/>
      <c r="K278" s="54"/>
      <c r="L278" s="55">
        <f>K278+J278</f>
        <v>0</v>
      </c>
      <c r="M278" s="53"/>
      <c r="N278" s="54"/>
      <c r="O278" s="55">
        <f>N278+M278</f>
        <v>0</v>
      </c>
      <c r="P278" s="57"/>
    </row>
    <row r="279" spans="1:16" ht="36" hidden="1" customHeight="1" x14ac:dyDescent="0.25">
      <c r="A279" s="51">
        <v>7247</v>
      </c>
      <c r="B279" s="88" t="s">
        <v>296</v>
      </c>
      <c r="C279" s="89">
        <f t="shared" si="95"/>
        <v>0</v>
      </c>
      <c r="D279" s="194">
        <v>0</v>
      </c>
      <c r="E279" s="195"/>
      <c r="F279" s="55">
        <f>D279+E279</f>
        <v>0</v>
      </c>
      <c r="G279" s="53"/>
      <c r="H279" s="54"/>
      <c r="I279" s="55">
        <f>G279+H279</f>
        <v>0</v>
      </c>
      <c r="J279" s="53"/>
      <c r="K279" s="54"/>
      <c r="L279" s="55">
        <f>K279+J279</f>
        <v>0</v>
      </c>
      <c r="M279" s="53"/>
      <c r="N279" s="54"/>
      <c r="O279" s="55">
        <f>N279+M279</f>
        <v>0</v>
      </c>
      <c r="P279" s="57"/>
    </row>
    <row r="280" spans="1:16" ht="24" hidden="1" customHeight="1" x14ac:dyDescent="0.25">
      <c r="A280" s="1095">
        <v>7260</v>
      </c>
      <c r="B280" s="81" t="s">
        <v>297</v>
      </c>
      <c r="C280" s="82">
        <f t="shared" si="95"/>
        <v>0</v>
      </c>
      <c r="D280" s="196">
        <v>0</v>
      </c>
      <c r="E280" s="197"/>
      <c r="F280" s="133">
        <f>D280+E280</f>
        <v>0</v>
      </c>
      <c r="G280" s="46"/>
      <c r="H280" s="47"/>
      <c r="I280" s="133">
        <f>G280+H280</f>
        <v>0</v>
      </c>
      <c r="J280" s="46"/>
      <c r="K280" s="47"/>
      <c r="L280" s="133">
        <f>K280+J280</f>
        <v>0</v>
      </c>
      <c r="M280" s="46"/>
      <c r="N280" s="47"/>
      <c r="O280" s="133">
        <f>N280+M280</f>
        <v>0</v>
      </c>
      <c r="P280" s="49"/>
    </row>
    <row r="281" spans="1:16" hidden="1" x14ac:dyDescent="0.25">
      <c r="A281" s="135">
        <v>7700</v>
      </c>
      <c r="B281" s="108" t="s">
        <v>298</v>
      </c>
      <c r="C281" s="109">
        <f t="shared" si="95"/>
        <v>0</v>
      </c>
      <c r="D281" s="234">
        <f t="shared" ref="D281:O281" si="110">D282</f>
        <v>0</v>
      </c>
      <c r="E281" s="235">
        <f t="shared" si="110"/>
        <v>0</v>
      </c>
      <c r="F281" s="130">
        <f t="shared" si="110"/>
        <v>0</v>
      </c>
      <c r="G281" s="234">
        <f t="shared" si="110"/>
        <v>0</v>
      </c>
      <c r="H281" s="235">
        <f t="shared" si="110"/>
        <v>0</v>
      </c>
      <c r="I281" s="130">
        <f t="shared" si="110"/>
        <v>0</v>
      </c>
      <c r="J281" s="234">
        <f t="shared" si="110"/>
        <v>0</v>
      </c>
      <c r="K281" s="235">
        <f t="shared" si="110"/>
        <v>0</v>
      </c>
      <c r="L281" s="130">
        <f t="shared" si="110"/>
        <v>0</v>
      </c>
      <c r="M281" s="234">
        <f t="shared" si="110"/>
        <v>0</v>
      </c>
      <c r="N281" s="235">
        <f t="shared" si="110"/>
        <v>0</v>
      </c>
      <c r="O281" s="130">
        <f t="shared" si="110"/>
        <v>0</v>
      </c>
      <c r="P281" s="118"/>
    </row>
    <row r="282" spans="1:16" ht="12" hidden="1" customHeight="1" x14ac:dyDescent="0.25">
      <c r="A282" s="185">
        <v>7720</v>
      </c>
      <c r="B282" s="81" t="s">
        <v>299</v>
      </c>
      <c r="C282" s="97">
        <f t="shared" si="95"/>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95"/>
        <v>0</v>
      </c>
      <c r="D283" s="242">
        <f t="shared" ref="D283:O284" si="111">D284</f>
        <v>0</v>
      </c>
      <c r="E283" s="243">
        <f t="shared" si="111"/>
        <v>0</v>
      </c>
      <c r="F283" s="244">
        <f t="shared" si="111"/>
        <v>0</v>
      </c>
      <c r="G283" s="242">
        <f t="shared" si="111"/>
        <v>0</v>
      </c>
      <c r="H283" s="243">
        <f t="shared" si="111"/>
        <v>0</v>
      </c>
      <c r="I283" s="244">
        <f t="shared" si="111"/>
        <v>0</v>
      </c>
      <c r="J283" s="242">
        <f t="shared" si="111"/>
        <v>0</v>
      </c>
      <c r="K283" s="243">
        <f t="shared" si="111"/>
        <v>0</v>
      </c>
      <c r="L283" s="244">
        <f t="shared" si="111"/>
        <v>0</v>
      </c>
      <c r="M283" s="242">
        <f t="shared" si="111"/>
        <v>0</v>
      </c>
      <c r="N283" s="243">
        <f t="shared" si="111"/>
        <v>0</v>
      </c>
      <c r="O283" s="244">
        <f t="shared" si="111"/>
        <v>0</v>
      </c>
      <c r="P283" s="245"/>
    </row>
    <row r="284" spans="1:16" ht="24" hidden="1" x14ac:dyDescent="0.25">
      <c r="A284" s="246">
        <v>9200</v>
      </c>
      <c r="B284" s="88" t="s">
        <v>301</v>
      </c>
      <c r="C284" s="142">
        <f t="shared" si="95"/>
        <v>0</v>
      </c>
      <c r="D284" s="186">
        <f t="shared" si="111"/>
        <v>0</v>
      </c>
      <c r="E284" s="187">
        <f t="shared" si="111"/>
        <v>0</v>
      </c>
      <c r="F284" s="140">
        <f t="shared" si="111"/>
        <v>0</v>
      </c>
      <c r="G284" s="186">
        <f t="shared" si="111"/>
        <v>0</v>
      </c>
      <c r="H284" s="187">
        <f t="shared" si="111"/>
        <v>0</v>
      </c>
      <c r="I284" s="140">
        <f t="shared" si="111"/>
        <v>0</v>
      </c>
      <c r="J284" s="186">
        <f t="shared" si="111"/>
        <v>0</v>
      </c>
      <c r="K284" s="187">
        <f t="shared" si="111"/>
        <v>0</v>
      </c>
      <c r="L284" s="140">
        <f t="shared" si="111"/>
        <v>0</v>
      </c>
      <c r="M284" s="186">
        <f t="shared" si="111"/>
        <v>0</v>
      </c>
      <c r="N284" s="187">
        <f t="shared" si="111"/>
        <v>0</v>
      </c>
      <c r="O284" s="140">
        <f t="shared" si="111"/>
        <v>0</v>
      </c>
      <c r="P284" s="128"/>
    </row>
    <row r="285" spans="1:16" ht="24" hidden="1" customHeight="1" x14ac:dyDescent="0.25">
      <c r="A285" s="247">
        <v>9230</v>
      </c>
      <c r="B285" s="88" t="s">
        <v>302</v>
      </c>
      <c r="C285" s="142">
        <f t="shared" si="95"/>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95"/>
        <v>0</v>
      </c>
      <c r="D286" s="189">
        <f t="shared" ref="D286:O286" si="112">SUM(D287:D288)</f>
        <v>0</v>
      </c>
      <c r="E286" s="190">
        <f t="shared" si="112"/>
        <v>0</v>
      </c>
      <c r="F286" s="55">
        <f t="shared" si="112"/>
        <v>0</v>
      </c>
      <c r="G286" s="189">
        <f t="shared" si="112"/>
        <v>0</v>
      </c>
      <c r="H286" s="190">
        <f t="shared" si="112"/>
        <v>0</v>
      </c>
      <c r="I286" s="55">
        <f t="shared" si="112"/>
        <v>0</v>
      </c>
      <c r="J286" s="189">
        <f t="shared" si="112"/>
        <v>0</v>
      </c>
      <c r="K286" s="190">
        <f t="shared" si="112"/>
        <v>0</v>
      </c>
      <c r="L286" s="55">
        <f t="shared" si="112"/>
        <v>0</v>
      </c>
      <c r="M286" s="189">
        <f t="shared" si="112"/>
        <v>0</v>
      </c>
      <c r="N286" s="190">
        <f t="shared" si="112"/>
        <v>0</v>
      </c>
      <c r="O286" s="55">
        <f t="shared" si="112"/>
        <v>0</v>
      </c>
      <c r="P286" s="57"/>
    </row>
    <row r="287" spans="1:16" ht="12" hidden="1" customHeight="1" x14ac:dyDescent="0.25">
      <c r="A287" s="199" t="s">
        <v>304</v>
      </c>
      <c r="B287" s="51" t="s">
        <v>305</v>
      </c>
      <c r="C287" s="89">
        <f t="shared" si="95"/>
        <v>0</v>
      </c>
      <c r="D287" s="194">
        <v>0</v>
      </c>
      <c r="E287" s="195"/>
      <c r="F287" s="55">
        <f>D287+E287</f>
        <v>0</v>
      </c>
      <c r="G287" s="53"/>
      <c r="H287" s="54"/>
      <c r="I287" s="55">
        <f>G287+H287</f>
        <v>0</v>
      </c>
      <c r="J287" s="53"/>
      <c r="K287" s="54"/>
      <c r="L287" s="55">
        <f>K287+J287</f>
        <v>0</v>
      </c>
      <c r="M287" s="53"/>
      <c r="N287" s="54"/>
      <c r="O287" s="55">
        <f>N287+M287</f>
        <v>0</v>
      </c>
      <c r="P287" s="57"/>
    </row>
    <row r="288" spans="1:16" ht="24" hidden="1" customHeight="1" x14ac:dyDescent="0.25">
      <c r="A288" s="199" t="s">
        <v>306</v>
      </c>
      <c r="B288" s="248" t="s">
        <v>307</v>
      </c>
      <c r="C288" s="82">
        <f t="shared" si="95"/>
        <v>0</v>
      </c>
      <c r="D288" s="196">
        <v>0</v>
      </c>
      <c r="E288" s="197"/>
      <c r="F288" s="133">
        <f>D288+E288</f>
        <v>0</v>
      </c>
      <c r="G288" s="46"/>
      <c r="H288" s="47"/>
      <c r="I288" s="133">
        <f>G288+H288</f>
        <v>0</v>
      </c>
      <c r="J288" s="46"/>
      <c r="K288" s="47"/>
      <c r="L288" s="133">
        <f>K288+J288</f>
        <v>0</v>
      </c>
      <c r="M288" s="46"/>
      <c r="N288" s="47"/>
      <c r="O288" s="133">
        <f>N288+M288</f>
        <v>0</v>
      </c>
      <c r="P288" s="49"/>
    </row>
    <row r="289" spans="1:16" ht="12.75" thickBot="1" x14ac:dyDescent="0.3">
      <c r="A289" s="249"/>
      <c r="B289" s="249" t="s">
        <v>308</v>
      </c>
      <c r="C289" s="250">
        <f t="shared" si="95"/>
        <v>3340884</v>
      </c>
      <c r="D289" s="251">
        <f t="shared" ref="D289:O289" si="113">SUM(D286,D269,D230,D195,D187,D173,D75,D53,D283)</f>
        <v>3360884</v>
      </c>
      <c r="E289" s="252">
        <f t="shared" si="113"/>
        <v>-20000</v>
      </c>
      <c r="F289" s="253">
        <f t="shared" si="113"/>
        <v>3340884</v>
      </c>
      <c r="G289" s="251">
        <f t="shared" si="113"/>
        <v>0</v>
      </c>
      <c r="H289" s="252">
        <f t="shared" si="113"/>
        <v>0</v>
      </c>
      <c r="I289" s="253">
        <f t="shared" si="113"/>
        <v>0</v>
      </c>
      <c r="J289" s="251">
        <f t="shared" si="113"/>
        <v>0</v>
      </c>
      <c r="K289" s="252">
        <f t="shared" si="113"/>
        <v>0</v>
      </c>
      <c r="L289" s="253">
        <f t="shared" si="113"/>
        <v>0</v>
      </c>
      <c r="M289" s="251">
        <f t="shared" si="113"/>
        <v>0</v>
      </c>
      <c r="N289" s="252">
        <f t="shared" si="113"/>
        <v>0</v>
      </c>
      <c r="O289" s="253">
        <f t="shared" si="113"/>
        <v>0</v>
      </c>
      <c r="P289" s="254"/>
    </row>
    <row r="290" spans="1:16" s="28" customFormat="1" ht="13.5" hidden="1" thickTop="1" thickBot="1" x14ac:dyDescent="0.3">
      <c r="A290" s="1945" t="s">
        <v>309</v>
      </c>
      <c r="B290" s="1946"/>
      <c r="C290" s="255">
        <f t="shared" si="95"/>
        <v>0</v>
      </c>
      <c r="D290" s="256">
        <f t="shared" ref="D290:I290" si="114">SUM(D24,D25,D41)-D51</f>
        <v>0</v>
      </c>
      <c r="E290" s="257">
        <f t="shared" si="114"/>
        <v>0</v>
      </c>
      <c r="F290" s="258">
        <f t="shared" si="114"/>
        <v>0</v>
      </c>
      <c r="G290" s="256">
        <f t="shared" si="114"/>
        <v>0</v>
      </c>
      <c r="H290" s="257">
        <f t="shared" si="114"/>
        <v>0</v>
      </c>
      <c r="I290" s="258">
        <f t="shared" si="114"/>
        <v>0</v>
      </c>
      <c r="J290" s="256">
        <f>(J26+J43)-J51</f>
        <v>0</v>
      </c>
      <c r="K290" s="257">
        <f>(K26+K43)-K51</f>
        <v>0</v>
      </c>
      <c r="L290" s="258">
        <f>(L26+L43)-L51</f>
        <v>0</v>
      </c>
      <c r="M290" s="256">
        <f>M45-M51</f>
        <v>0</v>
      </c>
      <c r="N290" s="257">
        <f>N45-N51</f>
        <v>0</v>
      </c>
      <c r="O290" s="258">
        <f>O45-O51</f>
        <v>0</v>
      </c>
      <c r="P290" s="259"/>
    </row>
    <row r="291" spans="1:16" s="28" customFormat="1" ht="12.75" hidden="1" thickTop="1" x14ac:dyDescent="0.25">
      <c r="A291" s="1947" t="s">
        <v>310</v>
      </c>
      <c r="B291" s="1948"/>
      <c r="C291" s="260">
        <f t="shared" si="95"/>
        <v>0</v>
      </c>
      <c r="D291" s="261">
        <f t="shared" ref="D291:O291" si="115">SUM(D292,D293)-D300+D301</f>
        <v>0</v>
      </c>
      <c r="E291" s="262">
        <f t="shared" si="115"/>
        <v>0</v>
      </c>
      <c r="F291" s="263">
        <f t="shared" si="115"/>
        <v>0</v>
      </c>
      <c r="G291" s="261">
        <f t="shared" si="115"/>
        <v>0</v>
      </c>
      <c r="H291" s="262">
        <f t="shared" si="115"/>
        <v>0</v>
      </c>
      <c r="I291" s="263">
        <f t="shared" si="115"/>
        <v>0</v>
      </c>
      <c r="J291" s="261">
        <f t="shared" si="115"/>
        <v>0</v>
      </c>
      <c r="K291" s="262">
        <f t="shared" si="115"/>
        <v>0</v>
      </c>
      <c r="L291" s="263">
        <f t="shared" si="115"/>
        <v>0</v>
      </c>
      <c r="M291" s="261">
        <f t="shared" si="115"/>
        <v>0</v>
      </c>
      <c r="N291" s="262">
        <f t="shared" si="115"/>
        <v>0</v>
      </c>
      <c r="O291" s="263">
        <f t="shared" si="115"/>
        <v>0</v>
      </c>
      <c r="P291" s="264"/>
    </row>
    <row r="292" spans="1:16" s="28" customFormat="1" ht="13.5" hidden="1" thickTop="1" thickBot="1" x14ac:dyDescent="0.3">
      <c r="A292" s="156" t="s">
        <v>311</v>
      </c>
      <c r="B292" s="156" t="s">
        <v>312</v>
      </c>
      <c r="C292" s="157">
        <f t="shared" si="95"/>
        <v>0</v>
      </c>
      <c r="D292" s="158">
        <f t="shared" ref="D292:O292" si="116">D21-D286</f>
        <v>0</v>
      </c>
      <c r="E292" s="159">
        <f t="shared" si="116"/>
        <v>0</v>
      </c>
      <c r="F292" s="160">
        <f t="shared" si="116"/>
        <v>0</v>
      </c>
      <c r="G292" s="158">
        <f t="shared" si="116"/>
        <v>0</v>
      </c>
      <c r="H292" s="159">
        <f t="shared" si="116"/>
        <v>0</v>
      </c>
      <c r="I292" s="160">
        <f t="shared" si="116"/>
        <v>0</v>
      </c>
      <c r="J292" s="158">
        <f t="shared" si="116"/>
        <v>0</v>
      </c>
      <c r="K292" s="159">
        <f t="shared" si="116"/>
        <v>0</v>
      </c>
      <c r="L292" s="160">
        <f t="shared" si="116"/>
        <v>0</v>
      </c>
      <c r="M292" s="158">
        <f t="shared" si="116"/>
        <v>0</v>
      </c>
      <c r="N292" s="159">
        <f t="shared" si="116"/>
        <v>0</v>
      </c>
      <c r="O292" s="160">
        <f t="shared" si="116"/>
        <v>0</v>
      </c>
      <c r="P292" s="35"/>
    </row>
    <row r="293" spans="1:16" s="28" customFormat="1" ht="12.75" hidden="1" thickTop="1" x14ac:dyDescent="0.25">
      <c r="A293" s="265" t="s">
        <v>313</v>
      </c>
      <c r="B293" s="265" t="s">
        <v>314</v>
      </c>
      <c r="C293" s="260">
        <f t="shared" si="95"/>
        <v>0</v>
      </c>
      <c r="D293" s="261">
        <f t="shared" ref="D293:O293" si="117">SUM(D294,D296,D298)-SUM(D295,D297,D299)</f>
        <v>0</v>
      </c>
      <c r="E293" s="262">
        <f t="shared" si="117"/>
        <v>0</v>
      </c>
      <c r="F293" s="263">
        <f t="shared" si="117"/>
        <v>0</v>
      </c>
      <c r="G293" s="261">
        <f t="shared" si="117"/>
        <v>0</v>
      </c>
      <c r="H293" s="262">
        <f t="shared" si="117"/>
        <v>0</v>
      </c>
      <c r="I293" s="263">
        <f t="shared" si="117"/>
        <v>0</v>
      </c>
      <c r="J293" s="261">
        <f t="shared" si="117"/>
        <v>0</v>
      </c>
      <c r="K293" s="262">
        <f t="shared" si="117"/>
        <v>0</v>
      </c>
      <c r="L293" s="263">
        <f t="shared" si="117"/>
        <v>0</v>
      </c>
      <c r="M293" s="261">
        <f t="shared" si="117"/>
        <v>0</v>
      </c>
      <c r="N293" s="262">
        <f t="shared" si="117"/>
        <v>0</v>
      </c>
      <c r="O293" s="263">
        <f t="shared" si="117"/>
        <v>0</v>
      </c>
      <c r="P293" s="264"/>
    </row>
    <row r="294" spans="1:16" ht="12" hidden="1" customHeight="1" x14ac:dyDescent="0.25">
      <c r="A294" s="266" t="s">
        <v>315</v>
      </c>
      <c r="B294" s="141" t="s">
        <v>316</v>
      </c>
      <c r="C294" s="97">
        <f t="shared" si="95"/>
        <v>0</v>
      </c>
      <c r="D294" s="236"/>
      <c r="E294" s="237"/>
      <c r="F294" s="238">
        <f t="shared" ref="F294:F301" si="118">D294+E294</f>
        <v>0</v>
      </c>
      <c r="G294" s="101"/>
      <c r="H294" s="102"/>
      <c r="I294" s="238">
        <f t="shared" ref="I294:I301" si="119">G294+H294</f>
        <v>0</v>
      </c>
      <c r="J294" s="101"/>
      <c r="K294" s="102"/>
      <c r="L294" s="238">
        <f t="shared" ref="L294:L301" si="120">K294+J294</f>
        <v>0</v>
      </c>
      <c r="M294" s="101"/>
      <c r="N294" s="102"/>
      <c r="O294" s="238">
        <f t="shared" ref="O294:O301" si="121">N294+M294</f>
        <v>0</v>
      </c>
      <c r="P294" s="106"/>
    </row>
    <row r="295" spans="1:16" ht="24" hidden="1" customHeight="1" x14ac:dyDescent="0.25">
      <c r="A295" s="199" t="s">
        <v>317</v>
      </c>
      <c r="B295" s="50" t="s">
        <v>318</v>
      </c>
      <c r="C295" s="89">
        <f t="shared" si="95"/>
        <v>0</v>
      </c>
      <c r="D295" s="194"/>
      <c r="E295" s="195"/>
      <c r="F295" s="55">
        <f t="shared" si="118"/>
        <v>0</v>
      </c>
      <c r="G295" s="53"/>
      <c r="H295" s="54"/>
      <c r="I295" s="55">
        <f t="shared" si="119"/>
        <v>0</v>
      </c>
      <c r="J295" s="53"/>
      <c r="K295" s="54"/>
      <c r="L295" s="55">
        <f t="shared" si="120"/>
        <v>0</v>
      </c>
      <c r="M295" s="53"/>
      <c r="N295" s="54"/>
      <c r="O295" s="55">
        <f t="shared" si="121"/>
        <v>0</v>
      </c>
      <c r="P295" s="57"/>
    </row>
    <row r="296" spans="1:16" ht="12" hidden="1" customHeight="1" x14ac:dyDescent="0.25">
      <c r="A296" s="199" t="s">
        <v>319</v>
      </c>
      <c r="B296" s="50" t="s">
        <v>320</v>
      </c>
      <c r="C296" s="89">
        <f t="shared" si="95"/>
        <v>0</v>
      </c>
      <c r="D296" s="194"/>
      <c r="E296" s="195"/>
      <c r="F296" s="55">
        <f t="shared" si="118"/>
        <v>0</v>
      </c>
      <c r="G296" s="53"/>
      <c r="H296" s="54"/>
      <c r="I296" s="55">
        <f t="shared" si="119"/>
        <v>0</v>
      </c>
      <c r="J296" s="53"/>
      <c r="K296" s="54"/>
      <c r="L296" s="55">
        <f t="shared" si="120"/>
        <v>0</v>
      </c>
      <c r="M296" s="53"/>
      <c r="N296" s="54"/>
      <c r="O296" s="55">
        <f t="shared" si="121"/>
        <v>0</v>
      </c>
      <c r="P296" s="57"/>
    </row>
    <row r="297" spans="1:16" ht="24" hidden="1" customHeight="1" x14ac:dyDescent="0.25">
      <c r="A297" s="199" t="s">
        <v>321</v>
      </c>
      <c r="B297" s="50" t="s">
        <v>322</v>
      </c>
      <c r="C297" s="89">
        <f t="shared" si="95"/>
        <v>0</v>
      </c>
      <c r="D297" s="194"/>
      <c r="E297" s="195"/>
      <c r="F297" s="55">
        <f t="shared" si="118"/>
        <v>0</v>
      </c>
      <c r="G297" s="53"/>
      <c r="H297" s="54"/>
      <c r="I297" s="55">
        <f t="shared" si="119"/>
        <v>0</v>
      </c>
      <c r="J297" s="53"/>
      <c r="K297" s="54"/>
      <c r="L297" s="55">
        <f t="shared" si="120"/>
        <v>0</v>
      </c>
      <c r="M297" s="53"/>
      <c r="N297" s="54"/>
      <c r="O297" s="55">
        <f t="shared" si="121"/>
        <v>0</v>
      </c>
      <c r="P297" s="57"/>
    </row>
    <row r="298" spans="1:16" ht="12" hidden="1" customHeight="1" x14ac:dyDescent="0.25">
      <c r="A298" s="199" t="s">
        <v>323</v>
      </c>
      <c r="B298" s="50" t="s">
        <v>324</v>
      </c>
      <c r="C298" s="89">
        <f t="shared" si="95"/>
        <v>0</v>
      </c>
      <c r="D298" s="194"/>
      <c r="E298" s="195"/>
      <c r="F298" s="55">
        <f t="shared" si="118"/>
        <v>0</v>
      </c>
      <c r="G298" s="53"/>
      <c r="H298" s="54"/>
      <c r="I298" s="55">
        <f t="shared" si="119"/>
        <v>0</v>
      </c>
      <c r="J298" s="53"/>
      <c r="K298" s="54"/>
      <c r="L298" s="55">
        <f t="shared" si="120"/>
        <v>0</v>
      </c>
      <c r="M298" s="53"/>
      <c r="N298" s="54"/>
      <c r="O298" s="55">
        <f t="shared" si="121"/>
        <v>0</v>
      </c>
      <c r="P298" s="57"/>
    </row>
    <row r="299" spans="1:16" ht="24.75" hidden="1" customHeight="1" thickBot="1" x14ac:dyDescent="0.3">
      <c r="A299" s="267" t="s">
        <v>325</v>
      </c>
      <c r="B299" s="268" t="s">
        <v>326</v>
      </c>
      <c r="C299" s="208">
        <f t="shared" si="95"/>
        <v>0</v>
      </c>
      <c r="D299" s="210"/>
      <c r="E299" s="211"/>
      <c r="F299" s="212">
        <f t="shared" si="118"/>
        <v>0</v>
      </c>
      <c r="G299" s="213"/>
      <c r="H299" s="214"/>
      <c r="I299" s="212">
        <f t="shared" si="119"/>
        <v>0</v>
      </c>
      <c r="J299" s="213"/>
      <c r="K299" s="214"/>
      <c r="L299" s="212">
        <f t="shared" si="120"/>
        <v>0</v>
      </c>
      <c r="M299" s="213"/>
      <c r="N299" s="214"/>
      <c r="O299" s="212">
        <f t="shared" si="121"/>
        <v>0</v>
      </c>
      <c r="P299" s="215"/>
    </row>
    <row r="300" spans="1:16" s="28" customFormat="1" ht="13.5" hidden="1" customHeight="1" thickTop="1" thickBot="1" x14ac:dyDescent="0.3">
      <c r="A300" s="269" t="s">
        <v>327</v>
      </c>
      <c r="B300" s="269" t="s">
        <v>328</v>
      </c>
      <c r="C300" s="255">
        <f t="shared" si="95"/>
        <v>0</v>
      </c>
      <c r="D300" s="270"/>
      <c r="E300" s="271"/>
      <c r="F300" s="258">
        <f t="shared" si="118"/>
        <v>0</v>
      </c>
      <c r="G300" s="270"/>
      <c r="H300" s="271"/>
      <c r="I300" s="272">
        <f t="shared" si="119"/>
        <v>0</v>
      </c>
      <c r="J300" s="270"/>
      <c r="K300" s="271"/>
      <c r="L300" s="272">
        <f t="shared" si="120"/>
        <v>0</v>
      </c>
      <c r="M300" s="270"/>
      <c r="N300" s="271"/>
      <c r="O300" s="272">
        <f t="shared" si="121"/>
        <v>0</v>
      </c>
      <c r="P300" s="273"/>
    </row>
    <row r="301" spans="1:16" s="28" customFormat="1" ht="48.75" hidden="1" customHeight="1" thickTop="1" x14ac:dyDescent="0.25">
      <c r="A301" s="265" t="s">
        <v>329</v>
      </c>
      <c r="B301" s="274" t="s">
        <v>330</v>
      </c>
      <c r="C301" s="260">
        <f t="shared" si="95"/>
        <v>0</v>
      </c>
      <c r="D301" s="204"/>
      <c r="E301" s="205"/>
      <c r="F301" s="72">
        <f t="shared" si="118"/>
        <v>0</v>
      </c>
      <c r="G301" s="204"/>
      <c r="H301" s="205"/>
      <c r="I301" s="72">
        <f t="shared" si="119"/>
        <v>0</v>
      </c>
      <c r="J301" s="204"/>
      <c r="K301" s="205"/>
      <c r="L301" s="72">
        <f t="shared" si="120"/>
        <v>0</v>
      </c>
      <c r="M301" s="204"/>
      <c r="N301" s="205"/>
      <c r="O301" s="72">
        <f t="shared" si="121"/>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row r="318" spans="1:13" x14ac:dyDescent="0.25">
      <c r="A318" s="4"/>
      <c r="B318" s="4"/>
      <c r="C318" s="4"/>
      <c r="D318" s="4"/>
      <c r="E318" s="4"/>
      <c r="F318" s="4"/>
      <c r="G318" s="4"/>
      <c r="H318" s="4"/>
      <c r="I318" s="4"/>
      <c r="J318" s="4"/>
      <c r="K318" s="4"/>
      <c r="L318" s="4"/>
      <c r="M318" s="4"/>
    </row>
    <row r="319" spans="1:13" x14ac:dyDescent="0.25">
      <c r="A319" s="4"/>
      <c r="B319" s="4"/>
      <c r="C319" s="4"/>
      <c r="D319" s="4"/>
      <c r="E319" s="4"/>
      <c r="F319" s="4"/>
      <c r="G319" s="4"/>
      <c r="H319" s="4"/>
      <c r="I319" s="4"/>
      <c r="J319" s="4"/>
      <c r="K319" s="4"/>
      <c r="L319" s="4"/>
      <c r="M319" s="4"/>
    </row>
  </sheetData>
  <sheetProtection algorithmName="SHA-512" hashValue="8YBc/r3KDwRdcCxNHIKf3zenc5YXhFzvrrFkpBLfp5E7Yq4yXnlkiwX1aLOjVzuHnVQH2MPB0SAuF0VBSTLNRQ==" saltValue="YUlBmy3koWbZaRcdc8Peng==" spinCount="100000" sheet="1" objects="1" scenarios="1" formatCells="0" formatColumns="0" formatRows="0" deleteColumns="0"/>
  <autoFilter ref="A18:P301">
    <filterColumn colId="2">
      <filters>
        <filter val="1 000"/>
        <filter val="1 125"/>
        <filter val="1 394"/>
        <filter val="1 782"/>
        <filter val="10 000"/>
        <filter val="119 055"/>
        <filter val="125"/>
        <filter val="14 000"/>
        <filter val="14 700"/>
        <filter val="148 409"/>
        <filter val="15 000"/>
        <filter val="155 126"/>
        <filter val="17 900"/>
        <filter val="2 193 999"/>
        <filter val="2 523 983"/>
        <filter val="2 907"/>
        <filter val="20 807"/>
        <filter val="25 750"/>
        <filter val="269 541"/>
        <filter val="27 960"/>
        <filter val="3 200"/>
        <filter val="3 284 327"/>
        <filter val="3 305 134"/>
        <filter val="3 340 884"/>
        <filter val="35 750"/>
        <filter val="45 000"/>
        <filter val="54 415"/>
        <filter val="60 443"/>
        <filter val="611 935"/>
        <filter val="700"/>
        <filter val="760 344"/>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8.pielikums Jūrmalas pilsētas domes
2019.gada 29.augusta saistošajiem noteikumiem Nr.31
(protokols Nr.12, 20.punkts)</firstHeader>
    <firstFooter>&amp;L&amp;9&amp;D; &amp;T&amp;R&amp;9&amp;P (&amp;N)</first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7" sqref="U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492</v>
      </c>
      <c r="P1" s="1"/>
    </row>
    <row r="2" spans="1:17" ht="35.25" customHeight="1" x14ac:dyDescent="0.25">
      <c r="A2" s="1974" t="s">
        <v>1</v>
      </c>
      <c r="B2" s="1975"/>
      <c r="C2" s="1975"/>
      <c r="D2" s="1975"/>
      <c r="E2" s="1975"/>
      <c r="F2" s="1975"/>
      <c r="G2" s="1975"/>
      <c r="H2" s="1975"/>
      <c r="I2" s="1975"/>
      <c r="J2" s="1975"/>
      <c r="K2" s="1975"/>
      <c r="L2" s="1975"/>
      <c r="M2" s="1975"/>
      <c r="N2" s="1975"/>
      <c r="O2" s="1975"/>
      <c r="P2" s="1975"/>
      <c r="Q2" s="276"/>
    </row>
    <row r="3" spans="1:17" ht="12.75" customHeight="1" x14ac:dyDescent="0.25">
      <c r="A3" s="5" t="s">
        <v>2</v>
      </c>
      <c r="B3" s="6"/>
      <c r="C3" s="1977" t="s">
        <v>421</v>
      </c>
      <c r="D3" s="1977"/>
      <c r="E3" s="1977"/>
      <c r="F3" s="1977"/>
      <c r="G3" s="1977"/>
      <c r="H3" s="1977"/>
      <c r="I3" s="1977"/>
      <c r="J3" s="1977"/>
      <c r="K3" s="1977"/>
      <c r="L3" s="1977"/>
      <c r="M3" s="1977"/>
      <c r="N3" s="1977"/>
      <c r="O3" s="1977"/>
      <c r="P3" s="1977"/>
      <c r="Q3" s="276"/>
    </row>
    <row r="4" spans="1:17" ht="12.75" customHeight="1" x14ac:dyDescent="0.25">
      <c r="A4" s="5" t="s">
        <v>4</v>
      </c>
      <c r="B4" s="6"/>
      <c r="C4" s="1977" t="s">
        <v>422</v>
      </c>
      <c r="D4" s="1977"/>
      <c r="E4" s="1977"/>
      <c r="F4" s="1977"/>
      <c r="G4" s="1977"/>
      <c r="H4" s="1977"/>
      <c r="I4" s="1977"/>
      <c r="J4" s="1977"/>
      <c r="K4" s="1977"/>
      <c r="L4" s="1977"/>
      <c r="M4" s="1977"/>
      <c r="N4" s="1977"/>
      <c r="O4" s="1977"/>
      <c r="P4" s="1977"/>
      <c r="Q4" s="276"/>
    </row>
    <row r="5" spans="1:17" ht="12.75" customHeight="1" x14ac:dyDescent="0.25">
      <c r="A5" s="7" t="s">
        <v>6</v>
      </c>
      <c r="B5" s="8"/>
      <c r="C5" s="1972" t="s">
        <v>423</v>
      </c>
      <c r="D5" s="1972"/>
      <c r="E5" s="1972"/>
      <c r="F5" s="1972"/>
      <c r="G5" s="1972"/>
      <c r="H5" s="1972"/>
      <c r="I5" s="1972"/>
      <c r="J5" s="1972"/>
      <c r="K5" s="1972"/>
      <c r="L5" s="1972"/>
      <c r="M5" s="1972"/>
      <c r="N5" s="1972"/>
      <c r="O5" s="1972"/>
      <c r="P5" s="1972"/>
      <c r="Q5" s="276"/>
    </row>
    <row r="6" spans="1:17" ht="12.75" customHeight="1" x14ac:dyDescent="0.25">
      <c r="A6" s="7" t="s">
        <v>8</v>
      </c>
      <c r="B6" s="8"/>
      <c r="C6" s="1972" t="s">
        <v>433</v>
      </c>
      <c r="D6" s="1972"/>
      <c r="E6" s="1972"/>
      <c r="F6" s="1972"/>
      <c r="G6" s="1972"/>
      <c r="H6" s="1972"/>
      <c r="I6" s="1972"/>
      <c r="J6" s="1972"/>
      <c r="K6" s="1972"/>
      <c r="L6" s="1972"/>
      <c r="M6" s="1972"/>
      <c r="N6" s="1972"/>
      <c r="O6" s="1972"/>
      <c r="P6" s="1972"/>
      <c r="Q6" s="276"/>
    </row>
    <row r="7" spans="1:17" ht="25.5" customHeight="1" x14ac:dyDescent="0.25">
      <c r="A7" s="7" t="s">
        <v>10</v>
      </c>
      <c r="B7" s="8"/>
      <c r="C7" s="1977" t="s">
        <v>487</v>
      </c>
      <c r="D7" s="1977"/>
      <c r="E7" s="1977"/>
      <c r="F7" s="1977"/>
      <c r="G7" s="1977"/>
      <c r="H7" s="1977"/>
      <c r="I7" s="1977"/>
      <c r="J7" s="1977"/>
      <c r="K7" s="1977"/>
      <c r="L7" s="1977"/>
      <c r="M7" s="1977"/>
      <c r="N7" s="1977"/>
      <c r="O7" s="1977"/>
      <c r="P7" s="1977"/>
      <c r="Q7" s="276"/>
    </row>
    <row r="8" spans="1:17" ht="12.75" customHeight="1" x14ac:dyDescent="0.25">
      <c r="A8" s="9" t="s">
        <v>12</v>
      </c>
      <c r="B8" s="8"/>
      <c r="C8" s="294"/>
      <c r="D8" s="294"/>
      <c r="E8" s="294"/>
      <c r="F8" s="294"/>
      <c r="G8" s="294"/>
      <c r="H8" s="294"/>
      <c r="I8" s="294"/>
      <c r="J8" s="294"/>
      <c r="K8" s="294"/>
      <c r="L8" s="294"/>
      <c r="M8" s="294"/>
      <c r="N8" s="295"/>
      <c r="O8" s="295"/>
      <c r="P8" s="295"/>
      <c r="Q8" s="276"/>
    </row>
    <row r="9" spans="1:17" ht="12.75" customHeight="1" x14ac:dyDescent="0.25">
      <c r="A9" s="7"/>
      <c r="B9" s="8" t="s">
        <v>13</v>
      </c>
      <c r="C9" s="1979" t="s">
        <v>426</v>
      </c>
      <c r="D9" s="1979"/>
      <c r="E9" s="1979"/>
      <c r="F9" s="1979"/>
      <c r="G9" s="1979"/>
      <c r="H9" s="1979"/>
      <c r="I9" s="1979"/>
      <c r="J9" s="1979"/>
      <c r="K9" s="1979"/>
      <c r="L9" s="1979"/>
      <c r="M9" s="1979"/>
      <c r="N9" s="1979"/>
      <c r="O9" s="1979"/>
      <c r="P9" s="1979"/>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2"/>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79"/>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2"/>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2"/>
      <c r="Q13" s="276"/>
    </row>
    <row r="14" spans="1:17" ht="12.75" customHeight="1" x14ac:dyDescent="0.25">
      <c r="A14" s="10"/>
      <c r="B14" s="11"/>
      <c r="C14" s="1952"/>
      <c r="D14" s="1952"/>
      <c r="E14" s="1952"/>
      <c r="F14" s="1952"/>
      <c r="G14" s="1952"/>
      <c r="H14" s="1952"/>
      <c r="I14" s="1952"/>
      <c r="J14" s="1952"/>
      <c r="K14" s="1952"/>
      <c r="L14" s="1952"/>
      <c r="M14" s="1952"/>
      <c r="N14" s="1952"/>
      <c r="O14" s="1952"/>
      <c r="P14" s="1952"/>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0"/>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126256</v>
      </c>
      <c r="D20" s="32">
        <f>SUM(D21,D24,D25,D41,D43)</f>
        <v>122402</v>
      </c>
      <c r="E20" s="33">
        <f t="shared" ref="E20:F20" si="1">SUM(E21,E24,E25,E41,E43)</f>
        <v>3854</v>
      </c>
      <c r="F20" s="34">
        <f t="shared" si="1"/>
        <v>126256</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9.25" customHeight="1" thickTop="1" thickBot="1" x14ac:dyDescent="0.3">
      <c r="A24" s="58">
        <v>19300</v>
      </c>
      <c r="B24" s="58" t="s">
        <v>43</v>
      </c>
      <c r="C24" s="59">
        <f>F24+I24</f>
        <v>126256</v>
      </c>
      <c r="D24" s="60">
        <f>D50</f>
        <v>122402</v>
      </c>
      <c r="E24" s="60">
        <f>E50</f>
        <v>3854</v>
      </c>
      <c r="F24" s="62">
        <f t="shared" si="9"/>
        <v>126256</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6.5" customHeight="1" thickTop="1" thickBot="1" x14ac:dyDescent="0.3">
      <c r="A50" s="156"/>
      <c r="B50" s="29" t="s">
        <v>69</v>
      </c>
      <c r="C50" s="157">
        <f t="shared" si="0"/>
        <v>126256</v>
      </c>
      <c r="D50" s="158">
        <f>SUM(D51,D286)</f>
        <v>122402</v>
      </c>
      <c r="E50" s="159">
        <f t="shared" ref="E50:F50" si="26">SUM(E51,E286)</f>
        <v>3854</v>
      </c>
      <c r="F50" s="160">
        <f t="shared" si="26"/>
        <v>126256</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8.25" customHeight="1" thickTop="1" x14ac:dyDescent="0.25">
      <c r="A51" s="161"/>
      <c r="B51" s="162" t="s">
        <v>70</v>
      </c>
      <c r="C51" s="163">
        <f t="shared" si="0"/>
        <v>126256</v>
      </c>
      <c r="D51" s="164">
        <f>SUM(D52,D194)</f>
        <v>122402</v>
      </c>
      <c r="E51" s="165">
        <f t="shared" ref="E51:F51" si="30">SUM(E52,E194)</f>
        <v>3854</v>
      </c>
      <c r="F51" s="166">
        <f t="shared" si="30"/>
        <v>126256</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126256</v>
      </c>
      <c r="D52" s="172">
        <f>SUM(D53,D75,D173,D187)</f>
        <v>122402</v>
      </c>
      <c r="E52" s="173">
        <f t="shared" ref="E52:F52" si="34">SUM(E53,E75,E173,E187)</f>
        <v>3854</v>
      </c>
      <c r="F52" s="174">
        <f t="shared" si="34"/>
        <v>126256</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t="14.25" customHeight="1" x14ac:dyDescent="0.25">
      <c r="A53" s="176">
        <v>1000</v>
      </c>
      <c r="B53" s="176" t="s">
        <v>72</v>
      </c>
      <c r="C53" s="177">
        <f t="shared" si="0"/>
        <v>106051</v>
      </c>
      <c r="D53" s="178">
        <f>SUM(D54,D67)</f>
        <v>106051</v>
      </c>
      <c r="E53" s="179">
        <f t="shared" ref="E53:F53" si="38">SUM(E54,E67)</f>
        <v>0</v>
      </c>
      <c r="F53" s="180">
        <f t="shared" si="38"/>
        <v>106051</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t="15" customHeight="1" x14ac:dyDescent="0.25">
      <c r="A54" s="68">
        <v>1100</v>
      </c>
      <c r="B54" s="182" t="s">
        <v>73</v>
      </c>
      <c r="C54" s="69">
        <f t="shared" si="0"/>
        <v>79173</v>
      </c>
      <c r="D54" s="183">
        <f>SUM(D55,D58,D66)</f>
        <v>79173</v>
      </c>
      <c r="E54" s="184">
        <f t="shared" ref="E54:F54" si="42">SUM(E55,E58,E66)</f>
        <v>0</v>
      </c>
      <c r="F54" s="72">
        <f t="shared" si="42"/>
        <v>79173</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t="15" customHeight="1" x14ac:dyDescent="0.25">
      <c r="A55" s="185">
        <v>1110</v>
      </c>
      <c r="B55" s="137" t="s">
        <v>74</v>
      </c>
      <c r="C55" s="142">
        <f t="shared" si="0"/>
        <v>73229</v>
      </c>
      <c r="D55" s="186">
        <f>SUM(D56:D57)</f>
        <v>73229</v>
      </c>
      <c r="E55" s="187">
        <f t="shared" ref="E55:F55" si="46">SUM(E56:E57)</f>
        <v>0</v>
      </c>
      <c r="F55" s="140">
        <f t="shared" si="46"/>
        <v>73229</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73229</v>
      </c>
      <c r="D57" s="53">
        <v>73229</v>
      </c>
      <c r="E57" s="54"/>
      <c r="F57" s="55">
        <f t="shared" si="50"/>
        <v>73229</v>
      </c>
      <c r="G57" s="53"/>
      <c r="H57" s="54"/>
      <c r="I57" s="55">
        <f t="shared" si="51"/>
        <v>0</v>
      </c>
      <c r="J57" s="53"/>
      <c r="K57" s="54"/>
      <c r="L57" s="55">
        <f t="shared" si="52"/>
        <v>0</v>
      </c>
      <c r="M57" s="53"/>
      <c r="N57" s="54"/>
      <c r="O57" s="55">
        <f t="shared" si="53"/>
        <v>0</v>
      </c>
      <c r="P57" s="57"/>
    </row>
    <row r="58" spans="1:16" ht="15.75" customHeight="1" x14ac:dyDescent="0.25">
      <c r="A58" s="188">
        <v>1140</v>
      </c>
      <c r="B58" s="88" t="s">
        <v>77</v>
      </c>
      <c r="C58" s="89">
        <f t="shared" si="0"/>
        <v>5944</v>
      </c>
      <c r="D58" s="189">
        <f>SUM(D59:D65)</f>
        <v>5944</v>
      </c>
      <c r="E58" s="190">
        <f>SUM(E59:E65)</f>
        <v>0</v>
      </c>
      <c r="F58" s="55">
        <f t="shared" ref="F58" si="54">SUM(F59:F65)</f>
        <v>5944</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5.75" customHeight="1" x14ac:dyDescent="0.25">
      <c r="A63" s="51">
        <v>1147</v>
      </c>
      <c r="B63" s="88" t="s">
        <v>82</v>
      </c>
      <c r="C63" s="89">
        <f t="shared" si="0"/>
        <v>1868</v>
      </c>
      <c r="D63" s="53">
        <v>1868</v>
      </c>
      <c r="E63" s="54"/>
      <c r="F63" s="55">
        <f t="shared" si="58"/>
        <v>1868</v>
      </c>
      <c r="G63" s="53"/>
      <c r="H63" s="54"/>
      <c r="I63" s="55">
        <f t="shared" si="59"/>
        <v>0</v>
      </c>
      <c r="J63" s="53"/>
      <c r="K63" s="54"/>
      <c r="L63" s="55">
        <f t="shared" si="60"/>
        <v>0</v>
      </c>
      <c r="M63" s="53"/>
      <c r="N63" s="54"/>
      <c r="O63" s="55">
        <f t="shared" si="61"/>
        <v>0</v>
      </c>
      <c r="P63" s="57"/>
    </row>
    <row r="64" spans="1:16" ht="15" customHeight="1" x14ac:dyDescent="0.25">
      <c r="A64" s="51">
        <v>1148</v>
      </c>
      <c r="B64" s="88" t="s">
        <v>83</v>
      </c>
      <c r="C64" s="89">
        <f t="shared" si="0"/>
        <v>4076</v>
      </c>
      <c r="D64" s="53">
        <v>4076</v>
      </c>
      <c r="E64" s="54"/>
      <c r="F64" s="55">
        <f t="shared" si="58"/>
        <v>4076</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7.75" customHeight="1" x14ac:dyDescent="0.25">
      <c r="A67" s="68">
        <v>1200</v>
      </c>
      <c r="B67" s="182" t="s">
        <v>86</v>
      </c>
      <c r="C67" s="69">
        <f t="shared" si="0"/>
        <v>26878</v>
      </c>
      <c r="D67" s="183">
        <f>SUM(D68:D69)</f>
        <v>26878</v>
      </c>
      <c r="E67" s="184">
        <f t="shared" ref="E67:F67" si="62">SUM(E68:E69)</f>
        <v>0</v>
      </c>
      <c r="F67" s="72">
        <f t="shared" si="62"/>
        <v>26878</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8.5" customHeight="1" x14ac:dyDescent="0.25">
      <c r="A68" s="278">
        <v>1210</v>
      </c>
      <c r="B68" s="81" t="s">
        <v>87</v>
      </c>
      <c r="C68" s="82">
        <f t="shared" si="0"/>
        <v>20115</v>
      </c>
      <c r="D68" s="46">
        <v>20115</v>
      </c>
      <c r="E68" s="47"/>
      <c r="F68" s="133">
        <f>D68+E68</f>
        <v>20115</v>
      </c>
      <c r="G68" s="46"/>
      <c r="H68" s="47"/>
      <c r="I68" s="133">
        <f>G68+H68</f>
        <v>0</v>
      </c>
      <c r="J68" s="46"/>
      <c r="K68" s="47"/>
      <c r="L68" s="133">
        <f>K68+J68</f>
        <v>0</v>
      </c>
      <c r="M68" s="46"/>
      <c r="N68" s="47"/>
      <c r="O68" s="133">
        <f>N68+M68</f>
        <v>0</v>
      </c>
      <c r="P68" s="49"/>
    </row>
    <row r="69" spans="1:16" ht="26.25" customHeight="1" x14ac:dyDescent="0.25">
      <c r="A69" s="188">
        <v>1220</v>
      </c>
      <c r="B69" s="88" t="s">
        <v>88</v>
      </c>
      <c r="C69" s="89">
        <f t="shared" si="0"/>
        <v>6763</v>
      </c>
      <c r="D69" s="189">
        <f>SUM(D70:D74)</f>
        <v>6763</v>
      </c>
      <c r="E69" s="190">
        <f t="shared" ref="E69:F69" si="66">SUM(E70:E74)</f>
        <v>0</v>
      </c>
      <c r="F69" s="55">
        <f t="shared" si="66"/>
        <v>6763</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53.25" customHeight="1" x14ac:dyDescent="0.25">
      <c r="A70" s="51">
        <v>1221</v>
      </c>
      <c r="B70" s="88" t="s">
        <v>89</v>
      </c>
      <c r="C70" s="89">
        <f t="shared" si="0"/>
        <v>4328</v>
      </c>
      <c r="D70" s="53">
        <v>4328</v>
      </c>
      <c r="E70" s="54"/>
      <c r="F70" s="55">
        <f t="shared" ref="F70:F74" si="70">D70+E70</f>
        <v>4328</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7.5" customHeight="1" x14ac:dyDescent="0.25">
      <c r="A73" s="51">
        <v>1227</v>
      </c>
      <c r="B73" s="88" t="s">
        <v>92</v>
      </c>
      <c r="C73" s="89">
        <f t="shared" si="0"/>
        <v>2185</v>
      </c>
      <c r="D73" s="53">
        <v>2185</v>
      </c>
      <c r="E73" s="54"/>
      <c r="F73" s="55">
        <f t="shared" si="70"/>
        <v>2185</v>
      </c>
      <c r="G73" s="53"/>
      <c r="H73" s="54"/>
      <c r="I73" s="55">
        <f t="shared" si="71"/>
        <v>0</v>
      </c>
      <c r="J73" s="53"/>
      <c r="K73" s="54"/>
      <c r="L73" s="55">
        <f t="shared" si="72"/>
        <v>0</v>
      </c>
      <c r="M73" s="53"/>
      <c r="N73" s="54"/>
      <c r="O73" s="55">
        <f t="shared" si="73"/>
        <v>0</v>
      </c>
      <c r="P73" s="57"/>
    </row>
    <row r="74" spans="1:16" ht="52.5" customHeight="1" x14ac:dyDescent="0.25">
      <c r="A74" s="51">
        <v>1228</v>
      </c>
      <c r="B74" s="88" t="s">
        <v>93</v>
      </c>
      <c r="C74" s="89">
        <f t="shared" si="0"/>
        <v>250</v>
      </c>
      <c r="D74" s="53">
        <v>250</v>
      </c>
      <c r="E74" s="54"/>
      <c r="F74" s="55">
        <f t="shared" si="70"/>
        <v>250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20205</v>
      </c>
      <c r="D75" s="178">
        <f>SUM(D76,D83,D130,D164,D165,D172)</f>
        <v>16351</v>
      </c>
      <c r="E75" s="179">
        <f t="shared" ref="E75:F75" si="74">SUM(E76,E83,E130,E164,E165,E172)</f>
        <v>3854</v>
      </c>
      <c r="F75" s="180">
        <f t="shared" si="74"/>
        <v>20205</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278">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11379</v>
      </c>
      <c r="D83" s="183">
        <f>SUM(D84,D89,D95,D103,D112,D116,D122,D128)</f>
        <v>7525</v>
      </c>
      <c r="E83" s="184">
        <f t="shared" ref="E83:F83" si="98">SUM(E84,E89,E95,E103,E112,E116,E122,E128)</f>
        <v>3854</v>
      </c>
      <c r="F83" s="72">
        <f t="shared" si="98"/>
        <v>11379</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86</v>
      </c>
      <c r="D84" s="186">
        <f>SUM(D85:D88)</f>
        <v>86</v>
      </c>
      <c r="E84" s="187">
        <f t="shared" ref="E84:F84" si="103">SUM(E85:E88)</f>
        <v>0</v>
      </c>
      <c r="F84" s="140">
        <f t="shared" si="103"/>
        <v>86</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customHeight="1" x14ac:dyDescent="0.25">
      <c r="A87" s="51">
        <v>2214</v>
      </c>
      <c r="B87" s="88" t="s">
        <v>104</v>
      </c>
      <c r="C87" s="89">
        <f t="shared" si="102"/>
        <v>86</v>
      </c>
      <c r="D87" s="194">
        <v>86</v>
      </c>
      <c r="E87" s="195"/>
      <c r="F87" s="55">
        <f t="shared" si="107"/>
        <v>86</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3816</v>
      </c>
      <c r="D89" s="189">
        <f>SUM(D90:D94)</f>
        <v>2616</v>
      </c>
      <c r="E89" s="190">
        <f t="shared" ref="E89:F89" si="111">SUM(E90:E94)</f>
        <v>1200</v>
      </c>
      <c r="F89" s="55">
        <f t="shared" si="111"/>
        <v>3816</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customHeight="1" x14ac:dyDescent="0.25">
      <c r="A90" s="51">
        <v>2221</v>
      </c>
      <c r="B90" s="88" t="s">
        <v>107</v>
      </c>
      <c r="C90" s="89">
        <f t="shared" si="102"/>
        <v>2385</v>
      </c>
      <c r="D90" s="194">
        <v>1785</v>
      </c>
      <c r="E90" s="195">
        <v>600</v>
      </c>
      <c r="F90" s="55">
        <f t="shared" ref="F90:F94" si="115">D90+E90</f>
        <v>2385</v>
      </c>
      <c r="G90" s="53"/>
      <c r="H90" s="54"/>
      <c r="I90" s="55">
        <f t="shared" ref="I90:I94" si="116">G90+H90</f>
        <v>0</v>
      </c>
      <c r="J90" s="53"/>
      <c r="K90" s="54"/>
      <c r="L90" s="55">
        <f t="shared" ref="L90:L94" si="117">K90+J90</f>
        <v>0</v>
      </c>
      <c r="M90" s="53"/>
      <c r="N90" s="54"/>
      <c r="O90" s="55">
        <f t="shared" ref="O90:O94" si="118">N90+M90</f>
        <v>0</v>
      </c>
      <c r="P90" s="57" t="s">
        <v>488</v>
      </c>
    </row>
    <row r="91" spans="1:16" ht="15.75" customHeight="1" x14ac:dyDescent="0.25">
      <c r="A91" s="51">
        <v>2222</v>
      </c>
      <c r="B91" s="88" t="s">
        <v>108</v>
      </c>
      <c r="C91" s="89">
        <f t="shared" si="102"/>
        <v>741</v>
      </c>
      <c r="D91" s="194">
        <v>341</v>
      </c>
      <c r="E91" s="195">
        <v>400</v>
      </c>
      <c r="F91" s="55">
        <f t="shared" si="115"/>
        <v>741</v>
      </c>
      <c r="G91" s="53"/>
      <c r="H91" s="54"/>
      <c r="I91" s="55">
        <f t="shared" si="116"/>
        <v>0</v>
      </c>
      <c r="J91" s="53"/>
      <c r="K91" s="54"/>
      <c r="L91" s="55">
        <f t="shared" si="117"/>
        <v>0</v>
      </c>
      <c r="M91" s="53"/>
      <c r="N91" s="54"/>
      <c r="O91" s="55">
        <f t="shared" si="118"/>
        <v>0</v>
      </c>
      <c r="P91" s="57" t="s">
        <v>489</v>
      </c>
    </row>
    <row r="92" spans="1:16" ht="15" customHeight="1" x14ac:dyDescent="0.25">
      <c r="A92" s="51">
        <v>2223</v>
      </c>
      <c r="B92" s="88" t="s">
        <v>109</v>
      </c>
      <c r="C92" s="89">
        <f t="shared" si="102"/>
        <v>600</v>
      </c>
      <c r="D92" s="194">
        <v>400</v>
      </c>
      <c r="E92" s="195">
        <v>200</v>
      </c>
      <c r="F92" s="55">
        <f t="shared" si="115"/>
        <v>600</v>
      </c>
      <c r="G92" s="53"/>
      <c r="H92" s="54"/>
      <c r="I92" s="55">
        <f t="shared" si="116"/>
        <v>0</v>
      </c>
      <c r="J92" s="53"/>
      <c r="K92" s="54"/>
      <c r="L92" s="55">
        <f t="shared" si="117"/>
        <v>0</v>
      </c>
      <c r="M92" s="53"/>
      <c r="N92" s="54"/>
      <c r="O92" s="55">
        <f t="shared" si="118"/>
        <v>0</v>
      </c>
      <c r="P92" s="57" t="s">
        <v>490</v>
      </c>
    </row>
    <row r="93" spans="1:16" ht="48" customHeight="1" x14ac:dyDescent="0.25">
      <c r="A93" s="51">
        <v>2224</v>
      </c>
      <c r="B93" s="88" t="s">
        <v>110</v>
      </c>
      <c r="C93" s="89">
        <f t="shared" si="102"/>
        <v>90</v>
      </c>
      <c r="D93" s="194">
        <v>90</v>
      </c>
      <c r="E93" s="195"/>
      <c r="F93" s="55">
        <f t="shared" si="115"/>
        <v>90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284</v>
      </c>
      <c r="D95" s="189">
        <f>SUM(D96:D102)</f>
        <v>284</v>
      </c>
      <c r="E95" s="190">
        <f t="shared" ref="E95:F95" si="119">SUM(E96:E102)</f>
        <v>0</v>
      </c>
      <c r="F95" s="55">
        <f t="shared" si="119"/>
        <v>284</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36</v>
      </c>
      <c r="D100" s="194">
        <v>36</v>
      </c>
      <c r="E100" s="195"/>
      <c r="F100" s="55">
        <f t="shared" si="123"/>
        <v>36</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248</v>
      </c>
      <c r="D102" s="194">
        <v>248</v>
      </c>
      <c r="E102" s="195"/>
      <c r="F102" s="55">
        <f t="shared" si="123"/>
        <v>248</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6343</v>
      </c>
      <c r="D103" s="189">
        <f>SUM(D104:D111)</f>
        <v>3689</v>
      </c>
      <c r="E103" s="190">
        <f t="shared" ref="E103:F103" si="127">SUM(E104:E111)</f>
        <v>2654</v>
      </c>
      <c r="F103" s="55">
        <f t="shared" si="127"/>
        <v>6343</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4.25" customHeight="1" x14ac:dyDescent="0.25">
      <c r="A107" s="51">
        <v>2244</v>
      </c>
      <c r="B107" s="88" t="s">
        <v>124</v>
      </c>
      <c r="C107" s="89">
        <f t="shared" si="102"/>
        <v>6343</v>
      </c>
      <c r="D107" s="194">
        <v>3689</v>
      </c>
      <c r="E107" s="195">
        <v>2654</v>
      </c>
      <c r="F107" s="55">
        <f t="shared" si="131"/>
        <v>6343</v>
      </c>
      <c r="G107" s="53"/>
      <c r="H107" s="54"/>
      <c r="I107" s="55">
        <f t="shared" si="132"/>
        <v>0</v>
      </c>
      <c r="J107" s="53"/>
      <c r="K107" s="54"/>
      <c r="L107" s="55">
        <f t="shared" si="133"/>
        <v>0</v>
      </c>
      <c r="M107" s="53"/>
      <c r="N107" s="54"/>
      <c r="O107" s="55">
        <f t="shared" si="134"/>
        <v>0</v>
      </c>
      <c r="P107" s="57" t="s">
        <v>491</v>
      </c>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t="12" customHeight="1" x14ac:dyDescent="0.25">
      <c r="A122" s="188">
        <v>2270</v>
      </c>
      <c r="B122" s="88" t="s">
        <v>139</v>
      </c>
      <c r="C122" s="89">
        <f t="shared" si="102"/>
        <v>850</v>
      </c>
      <c r="D122" s="189">
        <f>SUM(D123:D127)</f>
        <v>850</v>
      </c>
      <c r="E122" s="190">
        <f t="shared" ref="E122:F122" si="151">SUM(E123:E127)</f>
        <v>0</v>
      </c>
      <c r="F122" s="55">
        <f t="shared" si="151"/>
        <v>850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75" customHeight="1" x14ac:dyDescent="0.25">
      <c r="A127" s="51">
        <v>2279</v>
      </c>
      <c r="B127" s="88" t="s">
        <v>144</v>
      </c>
      <c r="C127" s="89">
        <f t="shared" si="102"/>
        <v>850</v>
      </c>
      <c r="D127" s="194">
        <v>850</v>
      </c>
      <c r="E127" s="195"/>
      <c r="F127" s="55">
        <f t="shared" si="155"/>
        <v>850</v>
      </c>
      <c r="G127" s="53"/>
      <c r="H127" s="54"/>
      <c r="I127" s="55">
        <f t="shared" si="156"/>
        <v>0</v>
      </c>
      <c r="J127" s="53"/>
      <c r="K127" s="54"/>
      <c r="L127" s="55">
        <f t="shared" si="157"/>
        <v>0</v>
      </c>
      <c r="M127" s="53"/>
      <c r="N127" s="54"/>
      <c r="O127" s="55">
        <f t="shared" si="158"/>
        <v>0</v>
      </c>
      <c r="P127" s="57"/>
    </row>
    <row r="128" spans="1:16" ht="48" hidden="1" x14ac:dyDescent="0.25">
      <c r="A128" s="278">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8826</v>
      </c>
      <c r="D130" s="183">
        <f>SUM(D131,D136,D140,D141,D144,D151,D159,D160,D163)</f>
        <v>8826</v>
      </c>
      <c r="E130" s="184">
        <f t="shared" ref="E130:F130" si="160">SUM(E131,E136,E140,E141,E144,E151,E159,E160,E163)</f>
        <v>0</v>
      </c>
      <c r="F130" s="72">
        <f t="shared" si="160"/>
        <v>8826</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278">
        <v>2310</v>
      </c>
      <c r="B131" s="81" t="s">
        <v>148</v>
      </c>
      <c r="C131" s="82">
        <f t="shared" si="102"/>
        <v>885</v>
      </c>
      <c r="D131" s="192">
        <f t="shared" ref="D131:O131" si="164">SUM(D132:D135)</f>
        <v>885</v>
      </c>
      <c r="E131" s="193">
        <f t="shared" si="164"/>
        <v>0</v>
      </c>
      <c r="F131" s="133">
        <f t="shared" si="164"/>
        <v>885</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284</v>
      </c>
      <c r="D132" s="194">
        <v>284</v>
      </c>
      <c r="E132" s="195"/>
      <c r="F132" s="55">
        <f t="shared" ref="F132:F135" si="165">D132+E132</f>
        <v>284</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601</v>
      </c>
      <c r="D133" s="194">
        <v>601</v>
      </c>
      <c r="E133" s="195"/>
      <c r="F133" s="55">
        <f t="shared" si="165"/>
        <v>601</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305</v>
      </c>
      <c r="D144" s="186">
        <f>SUM(D145:D150)</f>
        <v>305</v>
      </c>
      <c r="E144" s="187">
        <f t="shared" ref="E144:F144" si="185">SUM(E145:E150)</f>
        <v>0</v>
      </c>
      <c r="F144" s="140">
        <f t="shared" si="185"/>
        <v>305</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305</v>
      </c>
      <c r="D146" s="194">
        <v>305</v>
      </c>
      <c r="E146" s="195"/>
      <c r="F146" s="55">
        <f t="shared" si="189"/>
        <v>305</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7136</v>
      </c>
      <c r="D151" s="189">
        <f>SUM(D152:D158)</f>
        <v>7136</v>
      </c>
      <c r="E151" s="190">
        <f t="shared" ref="E151:F151" si="194">SUM(E152:E158)</f>
        <v>0</v>
      </c>
      <c r="F151" s="55">
        <f t="shared" si="194"/>
        <v>7136</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8" t="s">
        <v>171</v>
      </c>
      <c r="C154" s="89">
        <f t="shared" si="193"/>
        <v>7136</v>
      </c>
      <c r="D154" s="194">
        <v>7136</v>
      </c>
      <c r="E154" s="195"/>
      <c r="F154" s="55">
        <f t="shared" si="198"/>
        <v>7136</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customHeight="1" x14ac:dyDescent="0.25">
      <c r="A159" s="185">
        <v>2370</v>
      </c>
      <c r="B159" s="137" t="s">
        <v>176</v>
      </c>
      <c r="C159" s="142">
        <f t="shared" si="193"/>
        <v>500</v>
      </c>
      <c r="D159" s="202">
        <v>500</v>
      </c>
      <c r="E159" s="203"/>
      <c r="F159" s="140">
        <f t="shared" si="198"/>
        <v>500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278">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278">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278">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278">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278">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278">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278">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278">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278">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278">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278">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278">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126256</v>
      </c>
      <c r="D289" s="251">
        <f t="shared" ref="D289:O289" si="389">SUM(D286,D269,D230,D195,D187,D173,D75,D53,D283)</f>
        <v>122402</v>
      </c>
      <c r="E289" s="252">
        <f t="shared" si="389"/>
        <v>3854</v>
      </c>
      <c r="F289" s="253">
        <f t="shared" si="389"/>
        <v>126256</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AJ95r5T+4yMaCKppkiByYCN3vkpAGlrF6M8d8C3h2a3phr5UciipZz+GlygL3HfpgiRQ9WssEHaH6MGlEzg5Yg==" saltValue="dF1EMVB1kn0asy0Ktz2KFQ==" spinCount="100000" sheet="1" objects="1" scenarios="1" formatCells="0" formatColumns="0" formatRows="0" deleteColumns="0"/>
  <autoFilter ref="A18:P301">
    <filterColumn colId="2">
      <filters>
        <filter val="1 868"/>
        <filter val="106 051"/>
        <filter val="11 379"/>
        <filter val="126 256"/>
        <filter val="2 185"/>
        <filter val="2 385"/>
        <filter val="20 115"/>
        <filter val="20 205"/>
        <filter val="248"/>
        <filter val="250"/>
        <filter val="26 878"/>
        <filter val="284"/>
        <filter val="3 816"/>
        <filter val="305"/>
        <filter val="36"/>
        <filter val="4 076"/>
        <filter val="4 328"/>
        <filter val="5 944"/>
        <filter val="500"/>
        <filter val="6 343"/>
        <filter val="6 763"/>
        <filter val="600"/>
        <filter val="601"/>
        <filter val="7 136"/>
        <filter val="73 229"/>
        <filter val="741"/>
        <filter val="79 173"/>
        <filter val="8 826"/>
        <filter val="850"/>
        <filter val="86"/>
        <filter val="885"/>
        <filter val="90"/>
      </filters>
    </filterColumn>
  </autoFilter>
  <mergeCells count="31">
    <mergeCell ref="A290:B290"/>
    <mergeCell ref="A291:B291"/>
    <mergeCell ref="J16:J17"/>
    <mergeCell ref="K16:K17"/>
    <mergeCell ref="L16:L17"/>
    <mergeCell ref="A15:A17"/>
    <mergeCell ref="B15:B17"/>
    <mergeCell ref="C15:P15"/>
    <mergeCell ref="C16:C17"/>
    <mergeCell ref="D16:D17"/>
    <mergeCell ref="E16:E17"/>
    <mergeCell ref="F16:F17"/>
    <mergeCell ref="G16:G17"/>
    <mergeCell ref="H16:H17"/>
    <mergeCell ref="I16:I17"/>
    <mergeCell ref="C9:P9"/>
    <mergeCell ref="C10:P10"/>
    <mergeCell ref="C11:P11"/>
    <mergeCell ref="C12:P12"/>
    <mergeCell ref="C13:P13"/>
    <mergeCell ref="C14:P14"/>
    <mergeCell ref="P16:P17"/>
    <mergeCell ref="M16:M17"/>
    <mergeCell ref="N16:N17"/>
    <mergeCell ref="O16:O17"/>
    <mergeCell ref="C7:P7"/>
    <mergeCell ref="A2:P2"/>
    <mergeCell ref="C3:P3"/>
    <mergeCell ref="C4:P4"/>
    <mergeCell ref="C5:P5"/>
    <mergeCell ref="C6:P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62.pielikums Jūrmalas pilsētas domes
2019.gada 29.augusta saistošajiem noteikumiem Nr.31
(protokols Nr.12, 20.punkts)
 </firstHeader>
    <firstFooter>&amp;L&amp;9&amp;D; &amp;T&amp;R&amp;9&amp;P (&amp;N)</first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U5" sqref="U4:U5"/>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2067</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421</v>
      </c>
      <c r="D3" s="1977"/>
      <c r="E3" s="1977"/>
      <c r="F3" s="1977"/>
      <c r="G3" s="1977"/>
      <c r="H3" s="1977"/>
      <c r="I3" s="1977"/>
      <c r="J3" s="1977"/>
      <c r="K3" s="1977"/>
      <c r="L3" s="1977"/>
      <c r="M3" s="1977"/>
      <c r="N3" s="1977"/>
      <c r="O3" s="1977"/>
      <c r="P3" s="1978"/>
      <c r="Q3" s="276"/>
    </row>
    <row r="4" spans="1:17" ht="12.75" customHeight="1" x14ac:dyDescent="0.25">
      <c r="A4" s="5" t="s">
        <v>4</v>
      </c>
      <c r="B4" s="6"/>
      <c r="C4" s="1977" t="s">
        <v>422</v>
      </c>
      <c r="D4" s="1977"/>
      <c r="E4" s="1977"/>
      <c r="F4" s="1977"/>
      <c r="G4" s="1977"/>
      <c r="H4" s="1977"/>
      <c r="I4" s="1977"/>
      <c r="J4" s="1977"/>
      <c r="K4" s="1977"/>
      <c r="L4" s="1977"/>
      <c r="M4" s="1977"/>
      <c r="N4" s="1977"/>
      <c r="O4" s="1977"/>
      <c r="P4" s="1978"/>
      <c r="Q4" s="276"/>
    </row>
    <row r="5" spans="1:17" ht="12.75" customHeight="1" x14ac:dyDescent="0.25">
      <c r="A5" s="7" t="s">
        <v>6</v>
      </c>
      <c r="B5" s="8"/>
      <c r="C5" s="1972" t="s">
        <v>423</v>
      </c>
      <c r="D5" s="1972"/>
      <c r="E5" s="1972"/>
      <c r="F5" s="1972"/>
      <c r="G5" s="1972"/>
      <c r="H5" s="1972"/>
      <c r="I5" s="1972"/>
      <c r="J5" s="1972"/>
      <c r="K5" s="1972"/>
      <c r="L5" s="1972"/>
      <c r="M5" s="1972"/>
      <c r="N5" s="1972"/>
      <c r="O5" s="1972"/>
      <c r="P5" s="1973"/>
      <c r="Q5" s="276"/>
    </row>
    <row r="6" spans="1:17" ht="12.75" customHeight="1" x14ac:dyDescent="0.25">
      <c r="A6" s="7" t="s">
        <v>8</v>
      </c>
      <c r="B6" s="8"/>
      <c r="C6" s="1972" t="s">
        <v>481</v>
      </c>
      <c r="D6" s="1972"/>
      <c r="E6" s="1972"/>
      <c r="F6" s="1972"/>
      <c r="G6" s="1972"/>
      <c r="H6" s="1972"/>
      <c r="I6" s="1972"/>
      <c r="J6" s="1972"/>
      <c r="K6" s="1972"/>
      <c r="L6" s="1972"/>
      <c r="M6" s="1972"/>
      <c r="N6" s="1972"/>
      <c r="O6" s="1972"/>
      <c r="P6" s="1973"/>
      <c r="Q6" s="276"/>
    </row>
    <row r="7" spans="1:17" ht="24" customHeight="1" x14ac:dyDescent="0.25">
      <c r="A7" s="7" t="s">
        <v>10</v>
      </c>
      <c r="B7" s="8"/>
      <c r="C7" s="1977" t="s">
        <v>2059</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t="s">
        <v>2060</v>
      </c>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c r="Q16" s="277"/>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1681">
        <f t="shared" ref="C20:C83" si="0">F20+I20+L20+O20</f>
        <v>143804</v>
      </c>
      <c r="D20" s="300">
        <f>SUM(D21,D24,D25,D41,D43)</f>
        <v>269671</v>
      </c>
      <c r="E20" s="624">
        <f t="shared" ref="E20:F20" si="1">SUM(E21,E24,E25,E41,E43)</f>
        <v>-125867</v>
      </c>
      <c r="F20" s="625">
        <f t="shared" si="1"/>
        <v>143804</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thickTop="1" x14ac:dyDescent="0.25">
      <c r="A21" s="36"/>
      <c r="B21" s="37" t="s">
        <v>40</v>
      </c>
      <c r="C21" s="1682">
        <f t="shared" si="0"/>
        <v>24366</v>
      </c>
      <c r="D21" s="301">
        <f>SUM(D22:D23)</f>
        <v>24366</v>
      </c>
      <c r="E21" s="626">
        <f t="shared" ref="E21:F21" si="5">SUM(E22:E23)</f>
        <v>0</v>
      </c>
      <c r="F21" s="627">
        <f t="shared" si="5"/>
        <v>24366</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1683">
        <f t="shared" si="0"/>
        <v>0</v>
      </c>
      <c r="D22" s="302"/>
      <c r="E22" s="628"/>
      <c r="F22" s="629">
        <f>D22+E22</f>
        <v>0</v>
      </c>
      <c r="G22" s="46"/>
      <c r="H22" s="47"/>
      <c r="I22" s="48">
        <f>G22+H22</f>
        <v>0</v>
      </c>
      <c r="J22" s="46"/>
      <c r="K22" s="47"/>
      <c r="L22" s="48">
        <f>K22+J22</f>
        <v>0</v>
      </c>
      <c r="M22" s="46"/>
      <c r="N22" s="47"/>
      <c r="O22" s="48">
        <f>N22+M22</f>
        <v>0</v>
      </c>
      <c r="P22" s="49"/>
    </row>
    <row r="23" spans="1:16" x14ac:dyDescent="0.25">
      <c r="A23" s="50"/>
      <c r="B23" s="51" t="s">
        <v>42</v>
      </c>
      <c r="C23" s="1414">
        <f t="shared" si="0"/>
        <v>24366</v>
      </c>
      <c r="D23" s="303">
        <v>24366</v>
      </c>
      <c r="E23" s="542"/>
      <c r="F23" s="543">
        <f t="shared" ref="F23:F25" si="9">D23+E23</f>
        <v>24366</v>
      </c>
      <c r="G23" s="53"/>
      <c r="H23" s="54"/>
      <c r="I23" s="55">
        <f t="shared" ref="I23:I24" si="10">G23+H23</f>
        <v>0</v>
      </c>
      <c r="J23" s="53"/>
      <c r="K23" s="54"/>
      <c r="L23" s="56">
        <f>K23+J23</f>
        <v>0</v>
      </c>
      <c r="M23" s="53"/>
      <c r="N23" s="54"/>
      <c r="O23" s="55">
        <f>N23+M23</f>
        <v>0</v>
      </c>
      <c r="P23" s="57"/>
    </row>
    <row r="24" spans="1:16" s="28" customFormat="1" ht="24.75" customHeight="1" thickBot="1" x14ac:dyDescent="0.3">
      <c r="A24" s="58">
        <v>19300</v>
      </c>
      <c r="B24" s="58" t="s">
        <v>43</v>
      </c>
      <c r="C24" s="1415">
        <f>F24+I24</f>
        <v>18969</v>
      </c>
      <c r="D24" s="632">
        <v>33305</v>
      </c>
      <c r="E24" s="633">
        <f>-32648+18312</f>
        <v>-14336</v>
      </c>
      <c r="F24" s="634">
        <f t="shared" si="9"/>
        <v>18969</v>
      </c>
      <c r="G24" s="60"/>
      <c r="H24" s="61"/>
      <c r="I24" s="62">
        <f t="shared" si="10"/>
        <v>0</v>
      </c>
      <c r="J24" s="63" t="s">
        <v>44</v>
      </c>
      <c r="K24" s="64" t="s">
        <v>44</v>
      </c>
      <c r="L24" s="65" t="s">
        <v>44</v>
      </c>
      <c r="M24" s="63" t="s">
        <v>44</v>
      </c>
      <c r="N24" s="64" t="s">
        <v>44</v>
      </c>
      <c r="O24" s="65" t="s">
        <v>44</v>
      </c>
      <c r="P24" s="66"/>
    </row>
    <row r="25" spans="1:16" s="28" customFormat="1" ht="24.75" customHeight="1" thickTop="1" x14ac:dyDescent="0.25">
      <c r="A25" s="67">
        <v>17200</v>
      </c>
      <c r="B25" s="68" t="s">
        <v>45</v>
      </c>
      <c r="C25" s="1420">
        <f>F25</f>
        <v>100469</v>
      </c>
      <c r="D25" s="320">
        <v>212000</v>
      </c>
      <c r="E25" s="637">
        <v>-111531</v>
      </c>
      <c r="F25" s="638">
        <f t="shared" si="9"/>
        <v>100469</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684">
        <f t="shared" si="0"/>
        <v>143804</v>
      </c>
      <c r="D50" s="328">
        <f>SUM(D51,D286)</f>
        <v>269671</v>
      </c>
      <c r="E50" s="671">
        <f t="shared" ref="E50:F50" si="26">SUM(E51,E286)</f>
        <v>-125867</v>
      </c>
      <c r="F50" s="672">
        <f t="shared" si="26"/>
        <v>143804</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41.25" customHeight="1" thickTop="1" x14ac:dyDescent="0.25">
      <c r="A51" s="161"/>
      <c r="B51" s="162" t="s">
        <v>70</v>
      </c>
      <c r="C51" s="1685">
        <f t="shared" si="0"/>
        <v>114770</v>
      </c>
      <c r="D51" s="673">
        <f>SUM(D52,D194)</f>
        <v>267228</v>
      </c>
      <c r="E51" s="674">
        <f t="shared" ref="E51:F51" si="30">SUM(E52,E194)</f>
        <v>-152458</v>
      </c>
      <c r="F51" s="675">
        <f t="shared" si="30"/>
        <v>114770</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686">
        <f t="shared" si="0"/>
        <v>92999</v>
      </c>
      <c r="D52" s="314">
        <f>SUM(D53,D75,D173,D187)</f>
        <v>163440</v>
      </c>
      <c r="E52" s="678">
        <f t="shared" ref="E52:F52" si="34">SUM(E53,E75,E173,E187)</f>
        <v>-70441</v>
      </c>
      <c r="F52" s="670">
        <f t="shared" si="34"/>
        <v>92999</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687">
        <f t="shared" si="0"/>
        <v>24345</v>
      </c>
      <c r="D53" s="1688">
        <f>SUM(D54,D67)</f>
        <v>61734</v>
      </c>
      <c r="E53" s="1689">
        <f t="shared" ref="E53:F53" si="38">SUM(E54,E67)</f>
        <v>-37389</v>
      </c>
      <c r="F53" s="1690">
        <f t="shared" si="38"/>
        <v>24345</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t="15.75" customHeight="1" x14ac:dyDescent="0.25">
      <c r="A54" s="68">
        <v>1100</v>
      </c>
      <c r="B54" s="182" t="s">
        <v>73</v>
      </c>
      <c r="C54" s="1420">
        <f t="shared" si="0"/>
        <v>18865</v>
      </c>
      <c r="D54" s="316">
        <f>SUM(D55,D58,D66)</f>
        <v>49525</v>
      </c>
      <c r="E54" s="685">
        <f t="shared" ref="E54:F54" si="42">SUM(E55,E58,E66)</f>
        <v>-30660</v>
      </c>
      <c r="F54" s="638">
        <f t="shared" si="42"/>
        <v>18865</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691">
        <f t="shared" si="0"/>
        <v>0</v>
      </c>
      <c r="D55" s="317">
        <f>SUM(D56:D57)</f>
        <v>0</v>
      </c>
      <c r="E55" s="686">
        <f t="shared" ref="E55:F55" si="46">SUM(E56:E57)</f>
        <v>0</v>
      </c>
      <c r="F55" s="667">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1692">
        <f t="shared" si="0"/>
        <v>0</v>
      </c>
      <c r="D56" s="302"/>
      <c r="E56" s="628"/>
      <c r="F56" s="664">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53">
        <f t="shared" si="0"/>
        <v>0</v>
      </c>
      <c r="D57" s="303"/>
      <c r="E57" s="542"/>
      <c r="F57" s="543">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53">
        <f t="shared" si="0"/>
        <v>0</v>
      </c>
      <c r="D58" s="318">
        <f>SUM(D59:D65)</f>
        <v>0</v>
      </c>
      <c r="E58" s="687">
        <f>SUM(E59:E65)</f>
        <v>0</v>
      </c>
      <c r="F58" s="543">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53">
        <f t="shared" si="0"/>
        <v>0</v>
      </c>
      <c r="D59" s="303"/>
      <c r="E59" s="542"/>
      <c r="F59" s="543">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53">
        <f t="shared" si="0"/>
        <v>0</v>
      </c>
      <c r="D60" s="303"/>
      <c r="E60" s="542"/>
      <c r="F60" s="543">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53">
        <f t="shared" si="0"/>
        <v>0</v>
      </c>
      <c r="D61" s="303"/>
      <c r="E61" s="542"/>
      <c r="F61" s="543">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53">
        <f t="shared" si="0"/>
        <v>0</v>
      </c>
      <c r="D62" s="303"/>
      <c r="E62" s="542"/>
      <c r="F62" s="543">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53">
        <f t="shared" si="0"/>
        <v>0</v>
      </c>
      <c r="D63" s="303"/>
      <c r="E63" s="542"/>
      <c r="F63" s="543">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53">
        <f t="shared" si="0"/>
        <v>0</v>
      </c>
      <c r="D64" s="303"/>
      <c r="E64" s="542"/>
      <c r="F64" s="543">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53">
        <f t="shared" si="0"/>
        <v>0</v>
      </c>
      <c r="D65" s="303"/>
      <c r="E65" s="542"/>
      <c r="F65" s="543">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691">
        <f t="shared" si="0"/>
        <v>18865</v>
      </c>
      <c r="D66" s="312">
        <v>49525</v>
      </c>
      <c r="E66" s="666">
        <v>-30660</v>
      </c>
      <c r="F66" s="667">
        <f t="shared" si="58"/>
        <v>18865</v>
      </c>
      <c r="G66" s="143"/>
      <c r="H66" s="144"/>
      <c r="I66" s="140">
        <f t="shared" si="59"/>
        <v>0</v>
      </c>
      <c r="J66" s="143"/>
      <c r="K66" s="144"/>
      <c r="L66" s="140">
        <f t="shared" si="60"/>
        <v>0</v>
      </c>
      <c r="M66" s="143"/>
      <c r="N66" s="144"/>
      <c r="O66" s="140">
        <f t="shared" si="61"/>
        <v>0</v>
      </c>
      <c r="P66" s="128" t="s">
        <v>2061</v>
      </c>
    </row>
    <row r="67" spans="1:16" ht="24" x14ac:dyDescent="0.25">
      <c r="A67" s="68">
        <v>1200</v>
      </c>
      <c r="B67" s="182" t="s">
        <v>86</v>
      </c>
      <c r="C67" s="1420">
        <f t="shared" si="0"/>
        <v>5480</v>
      </c>
      <c r="D67" s="316">
        <f>SUM(D68:D69)</f>
        <v>12209</v>
      </c>
      <c r="E67" s="685">
        <f t="shared" ref="E67:F67" si="62">SUM(E68:E69)</f>
        <v>-6729</v>
      </c>
      <c r="F67" s="638">
        <f t="shared" si="62"/>
        <v>5480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8.5" customHeight="1" x14ac:dyDescent="0.25">
      <c r="A68" s="1423">
        <v>1210</v>
      </c>
      <c r="B68" s="81" t="s">
        <v>87</v>
      </c>
      <c r="C68" s="1692">
        <f t="shared" si="0"/>
        <v>4728</v>
      </c>
      <c r="D68" s="302">
        <v>11986</v>
      </c>
      <c r="E68" s="628">
        <v>-7258</v>
      </c>
      <c r="F68" s="664">
        <f>D68+E68</f>
        <v>4728</v>
      </c>
      <c r="G68" s="46"/>
      <c r="H68" s="47"/>
      <c r="I68" s="133">
        <f>G68+H68</f>
        <v>0</v>
      </c>
      <c r="J68" s="46"/>
      <c r="K68" s="47"/>
      <c r="L68" s="133">
        <f>K68+J68</f>
        <v>0</v>
      </c>
      <c r="M68" s="46"/>
      <c r="N68" s="47"/>
      <c r="O68" s="133">
        <f>N68+M68</f>
        <v>0</v>
      </c>
      <c r="P68" s="49" t="s">
        <v>2062</v>
      </c>
    </row>
    <row r="69" spans="1:16" ht="27.75" customHeight="1" x14ac:dyDescent="0.25">
      <c r="A69" s="188">
        <v>1220</v>
      </c>
      <c r="B69" s="88" t="s">
        <v>88</v>
      </c>
      <c r="C69" s="853">
        <f t="shared" si="0"/>
        <v>752</v>
      </c>
      <c r="D69" s="318">
        <f>SUM(D70:D74)</f>
        <v>223</v>
      </c>
      <c r="E69" s="687">
        <f t="shared" ref="E69:F69" si="66">SUM(E70:E74)</f>
        <v>529</v>
      </c>
      <c r="F69" s="543">
        <f t="shared" si="66"/>
        <v>752</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54" customHeight="1" x14ac:dyDescent="0.25">
      <c r="A70" s="51">
        <v>1221</v>
      </c>
      <c r="B70" s="88" t="s">
        <v>89</v>
      </c>
      <c r="C70" s="853">
        <f t="shared" si="0"/>
        <v>752</v>
      </c>
      <c r="D70" s="303">
        <v>223</v>
      </c>
      <c r="E70" s="542">
        <v>529</v>
      </c>
      <c r="F70" s="543">
        <f t="shared" ref="F70:F74" si="70">D70+E70</f>
        <v>752</v>
      </c>
      <c r="G70" s="53"/>
      <c r="H70" s="54"/>
      <c r="I70" s="55">
        <f t="shared" ref="I70:I74" si="71">G70+H70</f>
        <v>0</v>
      </c>
      <c r="J70" s="53"/>
      <c r="K70" s="54"/>
      <c r="L70" s="55">
        <f t="shared" ref="L70:L74" si="72">K70+J70</f>
        <v>0</v>
      </c>
      <c r="M70" s="53"/>
      <c r="N70" s="54"/>
      <c r="O70" s="55">
        <f t="shared" ref="O70:O74" si="73">N70+M70</f>
        <v>0</v>
      </c>
      <c r="P70" s="57" t="s">
        <v>2063</v>
      </c>
    </row>
    <row r="71" spans="1:16" ht="12" hidden="1" customHeight="1" x14ac:dyDescent="0.25">
      <c r="A71" s="51">
        <v>1223</v>
      </c>
      <c r="B71" s="88" t="s">
        <v>90</v>
      </c>
      <c r="C71" s="853">
        <f t="shared" si="0"/>
        <v>0</v>
      </c>
      <c r="D71" s="303"/>
      <c r="E71" s="542"/>
      <c r="F71" s="543">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53">
        <f t="shared" si="0"/>
        <v>0</v>
      </c>
      <c r="D72" s="303"/>
      <c r="E72" s="542"/>
      <c r="F72" s="543">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53">
        <f t="shared" si="0"/>
        <v>0</v>
      </c>
      <c r="D73" s="303"/>
      <c r="E73" s="542"/>
      <c r="F73" s="543">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53">
        <f t="shared" si="0"/>
        <v>0</v>
      </c>
      <c r="D74" s="303"/>
      <c r="E74" s="542"/>
      <c r="F74" s="543">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687">
        <f t="shared" si="0"/>
        <v>68654</v>
      </c>
      <c r="D75" s="1688">
        <f>SUM(D76,D83,D130,D164,D165,D172)</f>
        <v>101706</v>
      </c>
      <c r="E75" s="1689">
        <f t="shared" ref="E75:F75" si="74">SUM(E76,E83,E130,E164,E165,E172)</f>
        <v>-33052</v>
      </c>
      <c r="F75" s="1690">
        <f t="shared" si="74"/>
        <v>68654</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1420">
        <f t="shared" si="0"/>
        <v>0</v>
      </c>
      <c r="D76" s="316">
        <f>SUM(D77,D80)</f>
        <v>250</v>
      </c>
      <c r="E76" s="685">
        <f t="shared" ref="E76:F76" si="78">SUM(E77,E80)</f>
        <v>-250</v>
      </c>
      <c r="F76" s="638">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423">
        <v>2110</v>
      </c>
      <c r="B77" s="81" t="s">
        <v>96</v>
      </c>
      <c r="C77" s="1692">
        <f t="shared" si="0"/>
        <v>0</v>
      </c>
      <c r="D77" s="319">
        <f>SUM(D78:D79)</f>
        <v>250</v>
      </c>
      <c r="E77" s="688">
        <f t="shared" ref="E77:F77" si="82">SUM(E78:E79)</f>
        <v>-250</v>
      </c>
      <c r="F77" s="664">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22.5" hidden="1" customHeight="1" x14ac:dyDescent="0.25">
      <c r="A78" s="51">
        <v>2111</v>
      </c>
      <c r="B78" s="88" t="s">
        <v>97</v>
      </c>
      <c r="C78" s="853">
        <f t="shared" si="0"/>
        <v>0</v>
      </c>
      <c r="D78" s="544">
        <v>125</v>
      </c>
      <c r="E78" s="545">
        <v>-125</v>
      </c>
      <c r="F78" s="543">
        <f t="shared" ref="F78:F79" si="86">D78+E78</f>
        <v>0</v>
      </c>
      <c r="G78" s="53"/>
      <c r="H78" s="54"/>
      <c r="I78" s="55">
        <f t="shared" ref="I78:I79" si="87">G78+H78</f>
        <v>0</v>
      </c>
      <c r="J78" s="53"/>
      <c r="K78" s="54"/>
      <c r="L78" s="55">
        <f t="shared" ref="L78:L79" si="88">K78+J78</f>
        <v>0</v>
      </c>
      <c r="M78" s="53"/>
      <c r="N78" s="54"/>
      <c r="O78" s="55">
        <f t="shared" ref="O78:O79" si="89">N78+M78</f>
        <v>0</v>
      </c>
      <c r="P78" s="128" t="s">
        <v>2061</v>
      </c>
    </row>
    <row r="79" spans="1:16" ht="24" hidden="1" customHeight="1" x14ac:dyDescent="0.25">
      <c r="A79" s="51">
        <v>2112</v>
      </c>
      <c r="B79" s="88" t="s">
        <v>98</v>
      </c>
      <c r="C79" s="853">
        <f t="shared" si="0"/>
        <v>0</v>
      </c>
      <c r="D79" s="544">
        <v>125</v>
      </c>
      <c r="E79" s="545">
        <v>-125</v>
      </c>
      <c r="F79" s="543">
        <f t="shared" si="86"/>
        <v>0</v>
      </c>
      <c r="G79" s="53"/>
      <c r="H79" s="54"/>
      <c r="I79" s="55">
        <f t="shared" si="87"/>
        <v>0</v>
      </c>
      <c r="J79" s="53"/>
      <c r="K79" s="54"/>
      <c r="L79" s="55">
        <f t="shared" si="88"/>
        <v>0</v>
      </c>
      <c r="M79" s="53"/>
      <c r="N79" s="54"/>
      <c r="O79" s="55">
        <f t="shared" si="89"/>
        <v>0</v>
      </c>
      <c r="P79" s="128" t="s">
        <v>2061</v>
      </c>
    </row>
    <row r="80" spans="1:16" ht="24" hidden="1" x14ac:dyDescent="0.25">
      <c r="A80" s="188">
        <v>2120</v>
      </c>
      <c r="B80" s="88" t="s">
        <v>99</v>
      </c>
      <c r="C80" s="853">
        <f t="shared" si="0"/>
        <v>0</v>
      </c>
      <c r="D80" s="318">
        <f>SUM(D81:D82)</f>
        <v>0</v>
      </c>
      <c r="E80" s="687">
        <f t="shared" ref="E80:F80" si="90">SUM(E81:E82)</f>
        <v>0</v>
      </c>
      <c r="F80" s="543">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53">
        <f t="shared" si="0"/>
        <v>0</v>
      </c>
      <c r="D81" s="544"/>
      <c r="E81" s="545"/>
      <c r="F81" s="543">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53">
        <f t="shared" si="0"/>
        <v>0</v>
      </c>
      <c r="D82" s="544"/>
      <c r="E82" s="545"/>
      <c r="F82" s="543">
        <f t="shared" si="94"/>
        <v>0</v>
      </c>
      <c r="G82" s="53"/>
      <c r="H82" s="54"/>
      <c r="I82" s="55">
        <f t="shared" si="95"/>
        <v>0</v>
      </c>
      <c r="J82" s="53"/>
      <c r="K82" s="54"/>
      <c r="L82" s="55">
        <f t="shared" si="96"/>
        <v>0</v>
      </c>
      <c r="M82" s="53"/>
      <c r="N82" s="54"/>
      <c r="O82" s="55">
        <f t="shared" si="97"/>
        <v>0</v>
      </c>
      <c r="P82" s="57"/>
    </row>
    <row r="83" spans="1:16" ht="15" customHeight="1" x14ac:dyDescent="0.25">
      <c r="A83" s="68">
        <v>2200</v>
      </c>
      <c r="B83" s="182" t="s">
        <v>100</v>
      </c>
      <c r="C83" s="1420">
        <f t="shared" si="0"/>
        <v>68622</v>
      </c>
      <c r="D83" s="316">
        <f>SUM(D84,D89,D95,D103,D112,D116,D122,D128)</f>
        <v>101424</v>
      </c>
      <c r="E83" s="685">
        <f t="shared" ref="E83:F83" si="98">SUM(E84,E89,E95,E103,E112,E116,E122,E128)</f>
        <v>-32802</v>
      </c>
      <c r="F83" s="638">
        <f t="shared" si="98"/>
        <v>68622</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t="15.75" customHeight="1" x14ac:dyDescent="0.25">
      <c r="A84" s="185">
        <v>2210</v>
      </c>
      <c r="B84" s="137" t="s">
        <v>101</v>
      </c>
      <c r="C84" s="1691">
        <f t="shared" ref="C84:C147" si="102">F84+I84+L84+O84</f>
        <v>204</v>
      </c>
      <c r="D84" s="317">
        <f>SUM(D85:D88)</f>
        <v>204</v>
      </c>
      <c r="E84" s="686">
        <f t="shared" ref="E84:F84" si="103">SUM(E85:E88)</f>
        <v>0</v>
      </c>
      <c r="F84" s="667">
        <f t="shared" si="103"/>
        <v>204</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1692">
        <f t="shared" si="102"/>
        <v>0</v>
      </c>
      <c r="D85" s="689"/>
      <c r="E85" s="690"/>
      <c r="F85" s="664">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9" customHeight="1" x14ac:dyDescent="0.25">
      <c r="A86" s="51">
        <v>2212</v>
      </c>
      <c r="B86" s="88" t="s">
        <v>103</v>
      </c>
      <c r="C86" s="853">
        <f t="shared" si="102"/>
        <v>156</v>
      </c>
      <c r="D86" s="544">
        <v>161</v>
      </c>
      <c r="E86" s="545">
        <v>-5</v>
      </c>
      <c r="F86" s="543">
        <f t="shared" si="107"/>
        <v>156</v>
      </c>
      <c r="G86" s="53"/>
      <c r="H86" s="54"/>
      <c r="I86" s="55">
        <f t="shared" si="108"/>
        <v>0</v>
      </c>
      <c r="J86" s="53"/>
      <c r="K86" s="54"/>
      <c r="L86" s="55">
        <f t="shared" si="109"/>
        <v>0</v>
      </c>
      <c r="M86" s="53"/>
      <c r="N86" s="54"/>
      <c r="O86" s="55">
        <f t="shared" si="110"/>
        <v>0</v>
      </c>
      <c r="P86" s="57" t="s">
        <v>2064</v>
      </c>
    </row>
    <row r="87" spans="1:16" ht="24.75" customHeight="1" x14ac:dyDescent="0.25">
      <c r="A87" s="51">
        <v>2214</v>
      </c>
      <c r="B87" s="88" t="s">
        <v>104</v>
      </c>
      <c r="C87" s="853">
        <f t="shared" si="102"/>
        <v>48</v>
      </c>
      <c r="D87" s="544">
        <v>43</v>
      </c>
      <c r="E87" s="545">
        <v>5</v>
      </c>
      <c r="F87" s="543">
        <f t="shared" si="107"/>
        <v>48</v>
      </c>
      <c r="G87" s="53"/>
      <c r="H87" s="54"/>
      <c r="I87" s="55">
        <f t="shared" si="108"/>
        <v>0</v>
      </c>
      <c r="J87" s="53"/>
      <c r="K87" s="54"/>
      <c r="L87" s="55">
        <f t="shared" si="109"/>
        <v>0</v>
      </c>
      <c r="M87" s="53"/>
      <c r="N87" s="54"/>
      <c r="O87" s="55">
        <f t="shared" si="110"/>
        <v>0</v>
      </c>
      <c r="P87" s="57" t="s">
        <v>2064</v>
      </c>
    </row>
    <row r="88" spans="1:16" ht="12" hidden="1" customHeight="1" x14ac:dyDescent="0.25">
      <c r="A88" s="51">
        <v>2219</v>
      </c>
      <c r="B88" s="88" t="s">
        <v>105</v>
      </c>
      <c r="C88" s="853">
        <f t="shared" si="102"/>
        <v>0</v>
      </c>
      <c r="D88" s="544"/>
      <c r="E88" s="545"/>
      <c r="F88" s="543">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53">
        <f t="shared" si="102"/>
        <v>432</v>
      </c>
      <c r="D89" s="318">
        <f>SUM(D90:D94)</f>
        <v>432</v>
      </c>
      <c r="E89" s="687">
        <f t="shared" ref="E89:F89" si="111">SUM(E90:E94)</f>
        <v>0</v>
      </c>
      <c r="F89" s="543">
        <f t="shared" si="111"/>
        <v>432</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7.75" customHeight="1" x14ac:dyDescent="0.25">
      <c r="A90" s="51">
        <v>2221</v>
      </c>
      <c r="B90" s="88" t="s">
        <v>107</v>
      </c>
      <c r="C90" s="853">
        <f t="shared" si="102"/>
        <v>180</v>
      </c>
      <c r="D90" s="544">
        <v>180</v>
      </c>
      <c r="E90" s="545"/>
      <c r="F90" s="543">
        <f t="shared" ref="F90:F94" si="115">D90+E90</f>
        <v>180</v>
      </c>
      <c r="G90" s="53"/>
      <c r="H90" s="54"/>
      <c r="I90" s="55">
        <f t="shared" ref="I90:I94" si="116">G90+H90</f>
        <v>0</v>
      </c>
      <c r="J90" s="53"/>
      <c r="K90" s="54"/>
      <c r="L90" s="55">
        <f t="shared" ref="L90:L94" si="117">K90+J90</f>
        <v>0</v>
      </c>
      <c r="M90" s="53"/>
      <c r="N90" s="54"/>
      <c r="O90" s="55">
        <f t="shared" ref="O90:O94" si="118">N90+M90</f>
        <v>0</v>
      </c>
      <c r="P90" s="57"/>
    </row>
    <row r="91" spans="1:16" ht="16.5" customHeight="1" x14ac:dyDescent="0.25">
      <c r="A91" s="51">
        <v>2222</v>
      </c>
      <c r="B91" s="88" t="s">
        <v>108</v>
      </c>
      <c r="C91" s="853">
        <f t="shared" si="102"/>
        <v>18</v>
      </c>
      <c r="D91" s="544">
        <v>18</v>
      </c>
      <c r="E91" s="545"/>
      <c r="F91" s="543">
        <f t="shared" si="115"/>
        <v>18</v>
      </c>
      <c r="G91" s="53"/>
      <c r="H91" s="54"/>
      <c r="I91" s="55">
        <f t="shared" si="116"/>
        <v>0</v>
      </c>
      <c r="J91" s="53"/>
      <c r="K91" s="54"/>
      <c r="L91" s="55">
        <f t="shared" si="117"/>
        <v>0</v>
      </c>
      <c r="M91" s="53"/>
      <c r="N91" s="54"/>
      <c r="O91" s="55">
        <f t="shared" si="118"/>
        <v>0</v>
      </c>
      <c r="P91" s="57"/>
    </row>
    <row r="92" spans="1:16" ht="17.25" customHeight="1" x14ac:dyDescent="0.25">
      <c r="A92" s="51">
        <v>2223</v>
      </c>
      <c r="B92" s="88" t="s">
        <v>109</v>
      </c>
      <c r="C92" s="853">
        <f t="shared" si="102"/>
        <v>216</v>
      </c>
      <c r="D92" s="544">
        <v>216</v>
      </c>
      <c r="E92" s="545"/>
      <c r="F92" s="543">
        <f t="shared" si="115"/>
        <v>216</v>
      </c>
      <c r="G92" s="53"/>
      <c r="H92" s="54"/>
      <c r="I92" s="55">
        <f t="shared" si="116"/>
        <v>0</v>
      </c>
      <c r="J92" s="53"/>
      <c r="K92" s="54"/>
      <c r="L92" s="55">
        <f t="shared" si="117"/>
        <v>0</v>
      </c>
      <c r="M92" s="53"/>
      <c r="N92" s="54"/>
      <c r="O92" s="55">
        <f t="shared" si="118"/>
        <v>0</v>
      </c>
      <c r="P92" s="57"/>
    </row>
    <row r="93" spans="1:16" ht="51.75" customHeight="1" x14ac:dyDescent="0.25">
      <c r="A93" s="51">
        <v>2224</v>
      </c>
      <c r="B93" s="88" t="s">
        <v>110</v>
      </c>
      <c r="C93" s="853">
        <f t="shared" si="102"/>
        <v>18</v>
      </c>
      <c r="D93" s="544">
        <v>18</v>
      </c>
      <c r="E93" s="545"/>
      <c r="F93" s="543">
        <f t="shared" si="115"/>
        <v>18</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53">
        <f t="shared" si="102"/>
        <v>0</v>
      </c>
      <c r="D94" s="544"/>
      <c r="E94" s="545"/>
      <c r="F94" s="543">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53">
        <f t="shared" si="102"/>
        <v>0</v>
      </c>
      <c r="D95" s="318">
        <f>SUM(D96:D102)</f>
        <v>0</v>
      </c>
      <c r="E95" s="687">
        <f t="shared" ref="E95:F95" si="119">SUM(E96:E102)</f>
        <v>0</v>
      </c>
      <c r="F95" s="543">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53">
        <f t="shared" si="102"/>
        <v>0</v>
      </c>
      <c r="D96" s="544"/>
      <c r="E96" s="545"/>
      <c r="F96" s="543">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53">
        <f t="shared" si="102"/>
        <v>0</v>
      </c>
      <c r="D97" s="544"/>
      <c r="E97" s="545"/>
      <c r="F97" s="543">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1692">
        <f t="shared" si="102"/>
        <v>0</v>
      </c>
      <c r="D98" s="689"/>
      <c r="E98" s="690"/>
      <c r="F98" s="664">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53">
        <f t="shared" si="102"/>
        <v>0</v>
      </c>
      <c r="D99" s="544"/>
      <c r="E99" s="545"/>
      <c r="F99" s="543">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53">
        <f t="shared" si="102"/>
        <v>0</v>
      </c>
      <c r="D100" s="544"/>
      <c r="E100" s="545"/>
      <c r="F100" s="543">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53">
        <f t="shared" si="102"/>
        <v>0</v>
      </c>
      <c r="D101" s="544"/>
      <c r="E101" s="545"/>
      <c r="F101" s="543">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53">
        <f t="shared" si="102"/>
        <v>0</v>
      </c>
      <c r="D102" s="544"/>
      <c r="E102" s="545"/>
      <c r="F102" s="543">
        <f t="shared" si="123"/>
        <v>0</v>
      </c>
      <c r="G102" s="53"/>
      <c r="H102" s="54"/>
      <c r="I102" s="55">
        <f t="shared" si="124"/>
        <v>0</v>
      </c>
      <c r="J102" s="53"/>
      <c r="K102" s="54"/>
      <c r="L102" s="55">
        <f t="shared" si="125"/>
        <v>0</v>
      </c>
      <c r="M102" s="53"/>
      <c r="N102" s="54"/>
      <c r="O102" s="55">
        <f t="shared" si="126"/>
        <v>0</v>
      </c>
      <c r="P102" s="57"/>
    </row>
    <row r="103" spans="1:16" ht="37.5" customHeight="1" x14ac:dyDescent="0.25">
      <c r="A103" s="188">
        <v>2240</v>
      </c>
      <c r="B103" s="88" t="s">
        <v>120</v>
      </c>
      <c r="C103" s="853">
        <f t="shared" si="102"/>
        <v>160</v>
      </c>
      <c r="D103" s="318">
        <f>SUM(D104:D111)</f>
        <v>160</v>
      </c>
      <c r="E103" s="687">
        <f t="shared" ref="E103:F103" si="127">SUM(E104:E111)</f>
        <v>0</v>
      </c>
      <c r="F103" s="543">
        <f t="shared" si="127"/>
        <v>160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53">
        <f t="shared" si="102"/>
        <v>0</v>
      </c>
      <c r="D104" s="544"/>
      <c r="E104" s="545"/>
      <c r="F104" s="543">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53">
        <f t="shared" si="102"/>
        <v>0</v>
      </c>
      <c r="D105" s="544"/>
      <c r="E105" s="545"/>
      <c r="F105" s="543">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53">
        <f t="shared" si="102"/>
        <v>0</v>
      </c>
      <c r="D106" s="544"/>
      <c r="E106" s="545"/>
      <c r="F106" s="543">
        <f t="shared" si="131"/>
        <v>0</v>
      </c>
      <c r="G106" s="53"/>
      <c r="H106" s="54"/>
      <c r="I106" s="55">
        <f t="shared" si="132"/>
        <v>0</v>
      </c>
      <c r="J106" s="53"/>
      <c r="K106" s="54"/>
      <c r="L106" s="55">
        <f t="shared" si="133"/>
        <v>0</v>
      </c>
      <c r="M106" s="53"/>
      <c r="N106" s="54"/>
      <c r="O106" s="55">
        <f t="shared" si="134"/>
        <v>0</v>
      </c>
      <c r="P106" s="57"/>
    </row>
    <row r="107" spans="1:16" ht="16.5" customHeight="1" x14ac:dyDescent="0.25">
      <c r="A107" s="51">
        <v>2244</v>
      </c>
      <c r="B107" s="88" t="s">
        <v>124</v>
      </c>
      <c r="C107" s="853">
        <f t="shared" si="102"/>
        <v>160</v>
      </c>
      <c r="D107" s="544">
        <v>160</v>
      </c>
      <c r="E107" s="545"/>
      <c r="F107" s="543">
        <f t="shared" si="131"/>
        <v>160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53">
        <f t="shared" si="102"/>
        <v>0</v>
      </c>
      <c r="D108" s="544"/>
      <c r="E108" s="545"/>
      <c r="F108" s="543">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53">
        <f t="shared" si="102"/>
        <v>0</v>
      </c>
      <c r="D109" s="544"/>
      <c r="E109" s="545"/>
      <c r="F109" s="543">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53">
        <f t="shared" si="102"/>
        <v>0</v>
      </c>
      <c r="D110" s="544"/>
      <c r="E110" s="545"/>
      <c r="F110" s="543">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53">
        <f t="shared" si="102"/>
        <v>0</v>
      </c>
      <c r="D111" s="544"/>
      <c r="E111" s="545"/>
      <c r="F111" s="543">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53">
        <f t="shared" si="102"/>
        <v>0</v>
      </c>
      <c r="D112" s="318">
        <f>SUM(D113:D115)</f>
        <v>0</v>
      </c>
      <c r="E112" s="687">
        <f t="shared" ref="E112:F112" si="135">SUM(E113:E115)</f>
        <v>0</v>
      </c>
      <c r="F112" s="543">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53">
        <f t="shared" si="102"/>
        <v>0</v>
      </c>
      <c r="D113" s="544"/>
      <c r="E113" s="545"/>
      <c r="F113" s="543">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53">
        <f t="shared" si="102"/>
        <v>0</v>
      </c>
      <c r="D114" s="544"/>
      <c r="E114" s="545"/>
      <c r="F114" s="543">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53">
        <f t="shared" si="102"/>
        <v>0</v>
      </c>
      <c r="D115" s="544"/>
      <c r="E115" s="545"/>
      <c r="F115" s="543">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53">
        <f t="shared" si="102"/>
        <v>0</v>
      </c>
      <c r="D116" s="318">
        <f>SUM(D117:D121)</f>
        <v>0</v>
      </c>
      <c r="E116" s="687">
        <f t="shared" ref="E116:F116" si="143">SUM(E117:E121)</f>
        <v>0</v>
      </c>
      <c r="F116" s="543">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53">
        <f t="shared" si="102"/>
        <v>0</v>
      </c>
      <c r="D117" s="544"/>
      <c r="E117" s="545"/>
      <c r="F117" s="543">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53">
        <f t="shared" si="102"/>
        <v>0</v>
      </c>
      <c r="D118" s="544"/>
      <c r="E118" s="545"/>
      <c r="F118" s="543">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53">
        <f t="shared" si="102"/>
        <v>0</v>
      </c>
      <c r="D119" s="544"/>
      <c r="E119" s="545"/>
      <c r="F119" s="543">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53">
        <f t="shared" si="102"/>
        <v>0</v>
      </c>
      <c r="D120" s="544"/>
      <c r="E120" s="545"/>
      <c r="F120" s="543">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53">
        <f t="shared" si="102"/>
        <v>0</v>
      </c>
      <c r="D121" s="544"/>
      <c r="E121" s="545"/>
      <c r="F121" s="543">
        <f t="shared" si="147"/>
        <v>0</v>
      </c>
      <c r="G121" s="53"/>
      <c r="H121" s="54"/>
      <c r="I121" s="55">
        <f t="shared" si="148"/>
        <v>0</v>
      </c>
      <c r="J121" s="53"/>
      <c r="K121" s="54"/>
      <c r="L121" s="55">
        <f t="shared" si="149"/>
        <v>0</v>
      </c>
      <c r="M121" s="53"/>
      <c r="N121" s="54"/>
      <c r="O121" s="55">
        <f t="shared" si="150"/>
        <v>0</v>
      </c>
      <c r="P121" s="57"/>
    </row>
    <row r="122" spans="1:16" ht="15.75" customHeight="1" x14ac:dyDescent="0.25">
      <c r="A122" s="188">
        <v>2270</v>
      </c>
      <c r="B122" s="88" t="s">
        <v>139</v>
      </c>
      <c r="C122" s="853">
        <f t="shared" si="102"/>
        <v>67826</v>
      </c>
      <c r="D122" s="318">
        <f>SUM(D123:D127)</f>
        <v>100628</v>
      </c>
      <c r="E122" s="687">
        <f t="shared" ref="E122:F122" si="151">SUM(E123:E127)</f>
        <v>-32802</v>
      </c>
      <c r="F122" s="543">
        <f t="shared" si="151"/>
        <v>67826</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53">
        <f t="shared" si="102"/>
        <v>0</v>
      </c>
      <c r="D123" s="544"/>
      <c r="E123" s="545"/>
      <c r="F123" s="543">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53">
        <f t="shared" si="102"/>
        <v>0</v>
      </c>
      <c r="D124" s="544"/>
      <c r="E124" s="545"/>
      <c r="F124" s="543">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53">
        <f t="shared" si="102"/>
        <v>0</v>
      </c>
      <c r="D125" s="544"/>
      <c r="E125" s="545"/>
      <c r="F125" s="543">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53">
        <f t="shared" si="102"/>
        <v>0</v>
      </c>
      <c r="D126" s="544"/>
      <c r="E126" s="545"/>
      <c r="F126" s="543">
        <f t="shared" si="155"/>
        <v>0</v>
      </c>
      <c r="G126" s="53"/>
      <c r="H126" s="54"/>
      <c r="I126" s="55">
        <f t="shared" si="156"/>
        <v>0</v>
      </c>
      <c r="J126" s="53"/>
      <c r="K126" s="54"/>
      <c r="L126" s="55">
        <f t="shared" si="157"/>
        <v>0</v>
      </c>
      <c r="M126" s="53"/>
      <c r="N126" s="54"/>
      <c r="O126" s="55">
        <f t="shared" si="158"/>
        <v>0</v>
      </c>
      <c r="P126" s="57"/>
    </row>
    <row r="127" spans="1:16" ht="27" customHeight="1" x14ac:dyDescent="0.25">
      <c r="A127" s="51">
        <v>2279</v>
      </c>
      <c r="B127" s="88" t="s">
        <v>144</v>
      </c>
      <c r="C127" s="853">
        <f t="shared" si="102"/>
        <v>67826</v>
      </c>
      <c r="D127" s="544">
        <v>100628</v>
      </c>
      <c r="E127" s="545">
        <v>-32802</v>
      </c>
      <c r="F127" s="543">
        <f t="shared" si="155"/>
        <v>67826</v>
      </c>
      <c r="G127" s="53"/>
      <c r="H127" s="54"/>
      <c r="I127" s="55">
        <f t="shared" si="156"/>
        <v>0</v>
      </c>
      <c r="J127" s="53"/>
      <c r="K127" s="54"/>
      <c r="L127" s="55">
        <f t="shared" si="157"/>
        <v>0</v>
      </c>
      <c r="M127" s="53"/>
      <c r="N127" s="54"/>
      <c r="O127" s="55">
        <f t="shared" si="158"/>
        <v>0</v>
      </c>
      <c r="P127" s="57" t="s">
        <v>2065</v>
      </c>
    </row>
    <row r="128" spans="1:16" ht="48" hidden="1" x14ac:dyDescent="0.25">
      <c r="A128" s="1423">
        <v>2280</v>
      </c>
      <c r="B128" s="81" t="s">
        <v>145</v>
      </c>
      <c r="C128" s="1692">
        <f t="shared" si="102"/>
        <v>0</v>
      </c>
      <c r="D128" s="319">
        <f t="shared" ref="D128:O128" si="159">SUM(D129)</f>
        <v>0</v>
      </c>
      <c r="E128" s="688">
        <f t="shared" si="159"/>
        <v>0</v>
      </c>
      <c r="F128" s="664">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53">
        <f t="shared" si="102"/>
        <v>0</v>
      </c>
      <c r="D129" s="544"/>
      <c r="E129" s="545"/>
      <c r="F129" s="543">
        <f>D129+E129</f>
        <v>0</v>
      </c>
      <c r="G129" s="53"/>
      <c r="H129" s="54"/>
      <c r="I129" s="55">
        <f>G129+H129</f>
        <v>0</v>
      </c>
      <c r="J129" s="53"/>
      <c r="K129" s="54"/>
      <c r="L129" s="55">
        <f>K129+J129</f>
        <v>0</v>
      </c>
      <c r="M129" s="53"/>
      <c r="N129" s="54"/>
      <c r="O129" s="55">
        <f>N129+M129</f>
        <v>0</v>
      </c>
      <c r="P129" s="57"/>
    </row>
    <row r="130" spans="1:16" ht="41.25" customHeight="1" x14ac:dyDescent="0.25">
      <c r="A130" s="68">
        <v>2300</v>
      </c>
      <c r="B130" s="182" t="s">
        <v>147</v>
      </c>
      <c r="C130" s="1420">
        <f t="shared" si="102"/>
        <v>32</v>
      </c>
      <c r="D130" s="316">
        <f>SUM(D131,D136,D140,D141,D144,D151,D159,D160,D163)</f>
        <v>32</v>
      </c>
      <c r="E130" s="685">
        <f t="shared" ref="E130:F130" si="160">SUM(E131,E136,E140,E141,E144,E151,E159,E160,E163)</f>
        <v>0</v>
      </c>
      <c r="F130" s="638">
        <f t="shared" si="160"/>
        <v>32</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6.25" customHeight="1" x14ac:dyDescent="0.25">
      <c r="A131" s="1423">
        <v>2310</v>
      </c>
      <c r="B131" s="81" t="s">
        <v>148</v>
      </c>
      <c r="C131" s="1692">
        <f t="shared" si="102"/>
        <v>32</v>
      </c>
      <c r="D131" s="319">
        <f t="shared" ref="D131:O131" si="164">SUM(D132:D135)</f>
        <v>32</v>
      </c>
      <c r="E131" s="688">
        <f t="shared" si="164"/>
        <v>0</v>
      </c>
      <c r="F131" s="664">
        <f t="shared" si="164"/>
        <v>32</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6.5" customHeight="1" x14ac:dyDescent="0.25">
      <c r="A132" s="51">
        <v>2311</v>
      </c>
      <c r="B132" s="88" t="s">
        <v>149</v>
      </c>
      <c r="C132" s="853">
        <f t="shared" si="102"/>
        <v>32</v>
      </c>
      <c r="D132" s="544">
        <v>32</v>
      </c>
      <c r="E132" s="545"/>
      <c r="F132" s="543">
        <f t="shared" ref="F132:F135" si="165">D132+E132</f>
        <v>32</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53">
        <f t="shared" si="102"/>
        <v>0</v>
      </c>
      <c r="D133" s="544"/>
      <c r="E133" s="545"/>
      <c r="F133" s="543">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53">
        <f t="shared" si="102"/>
        <v>0</v>
      </c>
      <c r="D134" s="544"/>
      <c r="E134" s="545"/>
      <c r="F134" s="543">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53">
        <f t="shared" si="102"/>
        <v>0</v>
      </c>
      <c r="D135" s="544"/>
      <c r="E135" s="545"/>
      <c r="F135" s="543">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53">
        <f t="shared" si="102"/>
        <v>0</v>
      </c>
      <c r="D136" s="318">
        <f>SUM(D137:D139)</f>
        <v>0</v>
      </c>
      <c r="E136" s="687">
        <f t="shared" ref="E136:F136" si="169">SUM(E137:E139)</f>
        <v>0</v>
      </c>
      <c r="F136" s="543">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53">
        <f t="shared" si="102"/>
        <v>0</v>
      </c>
      <c r="D137" s="544"/>
      <c r="E137" s="545"/>
      <c r="F137" s="543">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53">
        <f t="shared" si="102"/>
        <v>0</v>
      </c>
      <c r="D138" s="544"/>
      <c r="E138" s="545"/>
      <c r="F138" s="543">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53">
        <f t="shared" si="102"/>
        <v>0</v>
      </c>
      <c r="D139" s="544"/>
      <c r="E139" s="545"/>
      <c r="F139" s="543">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53">
        <f t="shared" si="102"/>
        <v>0</v>
      </c>
      <c r="D140" s="544"/>
      <c r="E140" s="545"/>
      <c r="F140" s="543">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53">
        <f t="shared" si="102"/>
        <v>0</v>
      </c>
      <c r="D141" s="318">
        <f>SUM(D142:D143)</f>
        <v>0</v>
      </c>
      <c r="E141" s="687">
        <f t="shared" ref="E141:F141" si="177">SUM(E142:E143)</f>
        <v>0</v>
      </c>
      <c r="F141" s="543">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53">
        <f t="shared" si="102"/>
        <v>0</v>
      </c>
      <c r="D142" s="544"/>
      <c r="E142" s="545"/>
      <c r="F142" s="543">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53">
        <f t="shared" si="102"/>
        <v>0</v>
      </c>
      <c r="D143" s="544"/>
      <c r="E143" s="545"/>
      <c r="F143" s="543">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691">
        <f t="shared" si="102"/>
        <v>0</v>
      </c>
      <c r="D144" s="317">
        <f>SUM(D145:D150)</f>
        <v>0</v>
      </c>
      <c r="E144" s="686">
        <f t="shared" ref="E144:F144" si="185">SUM(E145:E150)</f>
        <v>0</v>
      </c>
      <c r="F144" s="667">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1692">
        <f t="shared" si="102"/>
        <v>0</v>
      </c>
      <c r="D145" s="689"/>
      <c r="E145" s="690"/>
      <c r="F145" s="664">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53">
        <f t="shared" si="102"/>
        <v>0</v>
      </c>
      <c r="D146" s="544"/>
      <c r="E146" s="545"/>
      <c r="F146" s="543">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53">
        <f t="shared" si="102"/>
        <v>0</v>
      </c>
      <c r="D147" s="544"/>
      <c r="E147" s="545"/>
      <c r="F147" s="543">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53">
        <f t="shared" ref="C148:C211" si="193">F148+I148+L148+O148</f>
        <v>0</v>
      </c>
      <c r="D148" s="544"/>
      <c r="E148" s="545"/>
      <c r="F148" s="543">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53">
        <f t="shared" si="193"/>
        <v>0</v>
      </c>
      <c r="D149" s="544"/>
      <c r="E149" s="545"/>
      <c r="F149" s="543">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53">
        <f t="shared" si="193"/>
        <v>0</v>
      </c>
      <c r="D150" s="544"/>
      <c r="E150" s="545"/>
      <c r="F150" s="543">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53">
        <f t="shared" si="193"/>
        <v>0</v>
      </c>
      <c r="D151" s="318">
        <f>SUM(D152:D158)</f>
        <v>0</v>
      </c>
      <c r="E151" s="687">
        <f t="shared" ref="E151:F151" si="194">SUM(E152:E158)</f>
        <v>0</v>
      </c>
      <c r="F151" s="543">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53">
        <f t="shared" si="193"/>
        <v>0</v>
      </c>
      <c r="D152" s="544"/>
      <c r="E152" s="545"/>
      <c r="F152" s="543">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53">
        <f t="shared" si="193"/>
        <v>0</v>
      </c>
      <c r="D153" s="544"/>
      <c r="E153" s="545"/>
      <c r="F153" s="543">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53">
        <f t="shared" si="193"/>
        <v>0</v>
      </c>
      <c r="D154" s="544"/>
      <c r="E154" s="545"/>
      <c r="F154" s="543">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53">
        <f t="shared" si="193"/>
        <v>0</v>
      </c>
      <c r="D155" s="544"/>
      <c r="E155" s="545"/>
      <c r="F155" s="543">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53">
        <f t="shared" si="193"/>
        <v>0</v>
      </c>
      <c r="D156" s="544"/>
      <c r="E156" s="545"/>
      <c r="F156" s="543">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53">
        <f t="shared" si="193"/>
        <v>0</v>
      </c>
      <c r="D157" s="544"/>
      <c r="E157" s="545"/>
      <c r="F157" s="543">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53">
        <f t="shared" si="193"/>
        <v>0</v>
      </c>
      <c r="D158" s="544"/>
      <c r="E158" s="545"/>
      <c r="F158" s="543">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691">
        <f t="shared" si="193"/>
        <v>0</v>
      </c>
      <c r="D159" s="691"/>
      <c r="E159" s="692"/>
      <c r="F159" s="667">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691">
        <f t="shared" si="193"/>
        <v>0</v>
      </c>
      <c r="D160" s="317">
        <f>SUM(D161:D162)</f>
        <v>0</v>
      </c>
      <c r="E160" s="686">
        <f t="shared" ref="E160:F160" si="202">SUM(E161:E162)</f>
        <v>0</v>
      </c>
      <c r="F160" s="667">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1692">
        <f t="shared" si="193"/>
        <v>0</v>
      </c>
      <c r="D161" s="689"/>
      <c r="E161" s="690"/>
      <c r="F161" s="664">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53">
        <f t="shared" si="193"/>
        <v>0</v>
      </c>
      <c r="D162" s="544"/>
      <c r="E162" s="545"/>
      <c r="F162" s="543">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691">
        <f t="shared" si="193"/>
        <v>0</v>
      </c>
      <c r="D163" s="691"/>
      <c r="E163" s="692"/>
      <c r="F163" s="667">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1420">
        <f t="shared" si="193"/>
        <v>0</v>
      </c>
      <c r="D164" s="330"/>
      <c r="E164" s="693"/>
      <c r="F164" s="638">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1420">
        <f t="shared" si="193"/>
        <v>0</v>
      </c>
      <c r="D165" s="316">
        <f>SUM(D166,D171)</f>
        <v>0</v>
      </c>
      <c r="E165" s="685">
        <f t="shared" ref="E165:O165" si="210">SUM(E166,E171)</f>
        <v>0</v>
      </c>
      <c r="F165" s="638">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423">
        <v>2510</v>
      </c>
      <c r="B166" s="81" t="s">
        <v>183</v>
      </c>
      <c r="C166" s="1692">
        <f t="shared" si="193"/>
        <v>0</v>
      </c>
      <c r="D166" s="319">
        <f>SUM(D167:D170)</f>
        <v>0</v>
      </c>
      <c r="E166" s="688">
        <f t="shared" ref="E166:O166" si="211">SUM(E167:E170)</f>
        <v>0</v>
      </c>
      <c r="F166" s="664">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53">
        <f t="shared" si="193"/>
        <v>0</v>
      </c>
      <c r="D167" s="544"/>
      <c r="E167" s="545"/>
      <c r="F167" s="543">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53">
        <f t="shared" si="193"/>
        <v>0</v>
      </c>
      <c r="D168" s="544"/>
      <c r="E168" s="545"/>
      <c r="F168" s="543">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53">
        <f t="shared" si="193"/>
        <v>0</v>
      </c>
      <c r="D169" s="544"/>
      <c r="E169" s="545"/>
      <c r="F169" s="543">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53">
        <f t="shared" si="193"/>
        <v>0</v>
      </c>
      <c r="D170" s="544"/>
      <c r="E170" s="545"/>
      <c r="F170" s="543">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53">
        <f t="shared" si="193"/>
        <v>0</v>
      </c>
      <c r="D171" s="544"/>
      <c r="E171" s="545"/>
      <c r="F171" s="543">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1692">
        <f t="shared" si="193"/>
        <v>0</v>
      </c>
      <c r="D172" s="302"/>
      <c r="E172" s="628"/>
      <c r="F172" s="664">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687">
        <f t="shared" si="193"/>
        <v>0</v>
      </c>
      <c r="D173" s="1688">
        <f>SUM(D174,D184)</f>
        <v>0</v>
      </c>
      <c r="E173" s="1689">
        <f t="shared" ref="E173:F173" si="216">SUM(E174,E184)</f>
        <v>0</v>
      </c>
      <c r="F173" s="169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1420">
        <f t="shared" si="193"/>
        <v>0</v>
      </c>
      <c r="D174" s="316">
        <f>SUM(D175,D179)</f>
        <v>0</v>
      </c>
      <c r="E174" s="685">
        <f t="shared" ref="E174:O174" si="220">SUM(E175,E179)</f>
        <v>0</v>
      </c>
      <c r="F174" s="638">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423">
        <v>3260</v>
      </c>
      <c r="B175" s="81" t="s">
        <v>192</v>
      </c>
      <c r="C175" s="1692">
        <f t="shared" si="193"/>
        <v>0</v>
      </c>
      <c r="D175" s="319">
        <f>SUM(D176:D178)</f>
        <v>0</v>
      </c>
      <c r="E175" s="688">
        <f t="shared" ref="E175:F175" si="221">SUM(E176:E178)</f>
        <v>0</v>
      </c>
      <c r="F175" s="664">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53">
        <f t="shared" si="193"/>
        <v>0</v>
      </c>
      <c r="D176" s="544"/>
      <c r="E176" s="545"/>
      <c r="F176" s="543">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53">
        <f t="shared" si="193"/>
        <v>0</v>
      </c>
      <c r="D177" s="544"/>
      <c r="E177" s="545"/>
      <c r="F177" s="543">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53">
        <f t="shared" si="193"/>
        <v>0</v>
      </c>
      <c r="D178" s="544"/>
      <c r="E178" s="545"/>
      <c r="F178" s="543">
        <f t="shared" si="225"/>
        <v>0</v>
      </c>
      <c r="G178" s="53"/>
      <c r="H178" s="54"/>
      <c r="I178" s="55">
        <f t="shared" si="226"/>
        <v>0</v>
      </c>
      <c r="J178" s="53"/>
      <c r="K178" s="54"/>
      <c r="L178" s="55">
        <f t="shared" si="227"/>
        <v>0</v>
      </c>
      <c r="M178" s="53"/>
      <c r="N178" s="54"/>
      <c r="O178" s="55">
        <f t="shared" si="228"/>
        <v>0</v>
      </c>
      <c r="P178" s="57"/>
    </row>
    <row r="179" spans="1:16" ht="84" hidden="1" x14ac:dyDescent="0.25">
      <c r="A179" s="1423">
        <v>3290</v>
      </c>
      <c r="B179" s="81" t="s">
        <v>196</v>
      </c>
      <c r="C179" s="1693">
        <f t="shared" si="193"/>
        <v>0</v>
      </c>
      <c r="D179" s="319">
        <f>SUM(D180:D183)</f>
        <v>0</v>
      </c>
      <c r="E179" s="688">
        <f t="shared" ref="E179:O179" si="229">SUM(E180:E183)</f>
        <v>0</v>
      </c>
      <c r="F179" s="664">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53">
        <f t="shared" si="193"/>
        <v>0</v>
      </c>
      <c r="D180" s="544"/>
      <c r="E180" s="545"/>
      <c r="F180" s="543">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53">
        <f t="shared" si="193"/>
        <v>0</v>
      </c>
      <c r="D181" s="544"/>
      <c r="E181" s="545"/>
      <c r="F181" s="543">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53">
        <f t="shared" si="193"/>
        <v>0</v>
      </c>
      <c r="D182" s="544"/>
      <c r="E182" s="545"/>
      <c r="F182" s="543">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1693">
        <f t="shared" si="193"/>
        <v>0</v>
      </c>
      <c r="D183" s="694"/>
      <c r="E183" s="695"/>
      <c r="F183" s="696">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1694">
        <f t="shared" si="193"/>
        <v>0</v>
      </c>
      <c r="D184" s="322">
        <f>SUM(D185:D186)</f>
        <v>0</v>
      </c>
      <c r="E184" s="698">
        <f t="shared" ref="E184:O184" si="234">SUM(E185:E186)</f>
        <v>0</v>
      </c>
      <c r="F184" s="699">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691">
        <f t="shared" si="193"/>
        <v>0</v>
      </c>
      <c r="D185" s="691"/>
      <c r="E185" s="692"/>
      <c r="F185" s="667">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1692">
        <f t="shared" si="193"/>
        <v>0</v>
      </c>
      <c r="D186" s="689"/>
      <c r="E186" s="690"/>
      <c r="F186" s="664">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687">
        <f t="shared" si="193"/>
        <v>0</v>
      </c>
      <c r="D187" s="1688">
        <f>SUM(D188,D191)</f>
        <v>0</v>
      </c>
      <c r="E187" s="1689">
        <f t="shared" ref="E187:F187" si="239">SUM(E188,E191)</f>
        <v>0</v>
      </c>
      <c r="F187" s="169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1420">
        <f t="shared" si="193"/>
        <v>0</v>
      </c>
      <c r="D188" s="316">
        <f>SUM(D189,D190)</f>
        <v>0</v>
      </c>
      <c r="E188" s="685">
        <f t="shared" ref="E188:F188" si="243">SUM(E189,E190)</f>
        <v>0</v>
      </c>
      <c r="F188" s="638">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423">
        <v>4240</v>
      </c>
      <c r="B189" s="81" t="s">
        <v>206</v>
      </c>
      <c r="C189" s="1692">
        <f t="shared" si="193"/>
        <v>0</v>
      </c>
      <c r="D189" s="689"/>
      <c r="E189" s="690"/>
      <c r="F189" s="664">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53">
        <f t="shared" si="193"/>
        <v>0</v>
      </c>
      <c r="D190" s="544"/>
      <c r="E190" s="545"/>
      <c r="F190" s="543">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1420">
        <f t="shared" si="193"/>
        <v>0</v>
      </c>
      <c r="D191" s="316">
        <f>SUM(D192)</f>
        <v>0</v>
      </c>
      <c r="E191" s="685">
        <f t="shared" ref="E191:F191" si="251">SUM(E192)</f>
        <v>0</v>
      </c>
      <c r="F191" s="638">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423">
        <v>4310</v>
      </c>
      <c r="B192" s="81" t="s">
        <v>209</v>
      </c>
      <c r="C192" s="1692">
        <f t="shared" si="193"/>
        <v>0</v>
      </c>
      <c r="D192" s="319">
        <f>SUM(D193:D193)</f>
        <v>0</v>
      </c>
      <c r="E192" s="688">
        <f t="shared" ref="E192:F192" si="255">SUM(E193:E193)</f>
        <v>0</v>
      </c>
      <c r="F192" s="664">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53">
        <f t="shared" si="193"/>
        <v>0</v>
      </c>
      <c r="D193" s="544"/>
      <c r="E193" s="545"/>
      <c r="F193" s="543">
        <f>D193+E193</f>
        <v>0</v>
      </c>
      <c r="G193" s="53"/>
      <c r="H193" s="54"/>
      <c r="I193" s="55">
        <f>G193+H193</f>
        <v>0</v>
      </c>
      <c r="J193" s="53"/>
      <c r="K193" s="54"/>
      <c r="L193" s="55">
        <f>K193+J193</f>
        <v>0</v>
      </c>
      <c r="M193" s="53"/>
      <c r="N193" s="54"/>
      <c r="O193" s="55">
        <f>N193+M193</f>
        <v>0</v>
      </c>
      <c r="P193" s="57"/>
    </row>
    <row r="194" spans="1:16" s="28" customFormat="1" ht="24.75" customHeight="1" x14ac:dyDescent="0.25">
      <c r="A194" s="134"/>
      <c r="B194" s="135" t="s">
        <v>211</v>
      </c>
      <c r="C194" s="1708">
        <f t="shared" si="193"/>
        <v>21771</v>
      </c>
      <c r="D194" s="1709">
        <f t="shared" ref="D194:O194" si="259">SUM(D195,D230,D269,D283)</f>
        <v>103788</v>
      </c>
      <c r="E194" s="1710">
        <f t="shared" si="259"/>
        <v>-82017</v>
      </c>
      <c r="F194" s="1711">
        <f t="shared" si="259"/>
        <v>21771</v>
      </c>
      <c r="G194" s="1712">
        <f t="shared" si="259"/>
        <v>0</v>
      </c>
      <c r="H194" s="1384">
        <f t="shared" si="259"/>
        <v>0</v>
      </c>
      <c r="I194" s="1713">
        <f t="shared" si="259"/>
        <v>0</v>
      </c>
      <c r="J194" s="1712">
        <f t="shared" si="259"/>
        <v>0</v>
      </c>
      <c r="K194" s="1384">
        <f t="shared" si="259"/>
        <v>0</v>
      </c>
      <c r="L194" s="1713">
        <f t="shared" si="259"/>
        <v>0</v>
      </c>
      <c r="M194" s="1712">
        <f t="shared" si="259"/>
        <v>0</v>
      </c>
      <c r="N194" s="1384">
        <f t="shared" si="259"/>
        <v>0</v>
      </c>
      <c r="O194" s="1713">
        <f t="shared" si="259"/>
        <v>0</v>
      </c>
      <c r="P194" s="1714"/>
    </row>
    <row r="195" spans="1:16" hidden="1" x14ac:dyDescent="0.25">
      <c r="A195" s="176">
        <v>5000</v>
      </c>
      <c r="B195" s="176" t="s">
        <v>212</v>
      </c>
      <c r="C195" s="1687">
        <f t="shared" si="193"/>
        <v>0</v>
      </c>
      <c r="D195" s="1688">
        <f>D196+D204</f>
        <v>0</v>
      </c>
      <c r="E195" s="1689">
        <f t="shared" ref="E195:F195" si="260">E196+E204</f>
        <v>0</v>
      </c>
      <c r="F195" s="169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1420">
        <f t="shared" si="193"/>
        <v>0</v>
      </c>
      <c r="D196" s="316">
        <f>D197+D198+D201+D202+D203</f>
        <v>0</v>
      </c>
      <c r="E196" s="685">
        <f t="shared" ref="E196:F196" si="264">E197+E198+E201+E202+E203</f>
        <v>0</v>
      </c>
      <c r="F196" s="638">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423">
        <v>5110</v>
      </c>
      <c r="B197" s="81" t="s">
        <v>214</v>
      </c>
      <c r="C197" s="1692">
        <f t="shared" si="193"/>
        <v>0</v>
      </c>
      <c r="D197" s="689"/>
      <c r="E197" s="690"/>
      <c r="F197" s="664">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53">
        <f t="shared" si="193"/>
        <v>0</v>
      </c>
      <c r="D198" s="318">
        <f>D199+D200</f>
        <v>0</v>
      </c>
      <c r="E198" s="687">
        <f t="shared" ref="E198:F198" si="268">E199+E200</f>
        <v>0</v>
      </c>
      <c r="F198" s="543">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53">
        <f t="shared" si="193"/>
        <v>0</v>
      </c>
      <c r="D199" s="544"/>
      <c r="E199" s="545"/>
      <c r="F199" s="543">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53">
        <f t="shared" si="193"/>
        <v>0</v>
      </c>
      <c r="D200" s="544"/>
      <c r="E200" s="545"/>
      <c r="F200" s="543">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53">
        <f t="shared" si="193"/>
        <v>0</v>
      </c>
      <c r="D201" s="544"/>
      <c r="E201" s="545"/>
      <c r="F201" s="543">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53">
        <f t="shared" si="193"/>
        <v>0</v>
      </c>
      <c r="D202" s="544"/>
      <c r="E202" s="545"/>
      <c r="F202" s="543">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53">
        <f t="shared" si="193"/>
        <v>0</v>
      </c>
      <c r="D203" s="544"/>
      <c r="E203" s="545"/>
      <c r="F203" s="543">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1420">
        <f t="shared" si="193"/>
        <v>0</v>
      </c>
      <c r="D204" s="316">
        <f>D205+D215+D216+D225+D226+D227+D229</f>
        <v>0</v>
      </c>
      <c r="E204" s="685">
        <f t="shared" ref="E204:F204" si="276">E205+E215+E216+E225+E226+E227+E229</f>
        <v>0</v>
      </c>
      <c r="F204" s="638">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691">
        <f t="shared" si="193"/>
        <v>0</v>
      </c>
      <c r="D205" s="317">
        <f>SUM(D206:D214)</f>
        <v>0</v>
      </c>
      <c r="E205" s="686">
        <f t="shared" ref="E205:F205" si="280">SUM(E206:E214)</f>
        <v>0</v>
      </c>
      <c r="F205" s="667">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1692">
        <f t="shared" si="193"/>
        <v>0</v>
      </c>
      <c r="D206" s="689"/>
      <c r="E206" s="690"/>
      <c r="F206" s="664">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53">
        <f t="shared" si="193"/>
        <v>0</v>
      </c>
      <c r="D207" s="544"/>
      <c r="E207" s="545"/>
      <c r="F207" s="543">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53">
        <f t="shared" si="193"/>
        <v>0</v>
      </c>
      <c r="D208" s="544"/>
      <c r="E208" s="545"/>
      <c r="F208" s="543">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53">
        <f t="shared" si="193"/>
        <v>0</v>
      </c>
      <c r="D209" s="544"/>
      <c r="E209" s="545"/>
      <c r="F209" s="543">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53">
        <f t="shared" si="193"/>
        <v>0</v>
      </c>
      <c r="D210" s="544"/>
      <c r="E210" s="545"/>
      <c r="F210" s="543">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53">
        <f t="shared" si="193"/>
        <v>0</v>
      </c>
      <c r="D211" s="544"/>
      <c r="E211" s="545"/>
      <c r="F211" s="543">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53">
        <f t="shared" ref="C212:C275" si="288">F212+I212+L212+O212</f>
        <v>0</v>
      </c>
      <c r="D212" s="544"/>
      <c r="E212" s="545"/>
      <c r="F212" s="543">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53">
        <f t="shared" si="288"/>
        <v>0</v>
      </c>
      <c r="D213" s="544"/>
      <c r="E213" s="545"/>
      <c r="F213" s="543">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53">
        <f t="shared" si="288"/>
        <v>0</v>
      </c>
      <c r="D214" s="544"/>
      <c r="E214" s="545"/>
      <c r="F214" s="543">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53">
        <f t="shared" si="288"/>
        <v>0</v>
      </c>
      <c r="D215" s="544"/>
      <c r="E215" s="545"/>
      <c r="F215" s="543">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53">
        <f t="shared" si="288"/>
        <v>0</v>
      </c>
      <c r="D216" s="318">
        <f>SUM(D217:D224)</f>
        <v>0</v>
      </c>
      <c r="E216" s="687">
        <f t="shared" ref="E216:F216" si="289">SUM(E217:E224)</f>
        <v>0</v>
      </c>
      <c r="F216" s="543">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53">
        <f t="shared" si="288"/>
        <v>0</v>
      </c>
      <c r="D217" s="544"/>
      <c r="E217" s="545"/>
      <c r="F217" s="543">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53">
        <f t="shared" si="288"/>
        <v>0</v>
      </c>
      <c r="D218" s="544"/>
      <c r="E218" s="545"/>
      <c r="F218" s="543">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53">
        <f t="shared" si="288"/>
        <v>0</v>
      </c>
      <c r="D219" s="544"/>
      <c r="E219" s="545"/>
      <c r="F219" s="543">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53">
        <f t="shared" si="288"/>
        <v>0</v>
      </c>
      <c r="D220" s="544"/>
      <c r="E220" s="545"/>
      <c r="F220" s="543">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53">
        <f t="shared" si="288"/>
        <v>0</v>
      </c>
      <c r="D221" s="544"/>
      <c r="E221" s="545"/>
      <c r="F221" s="543">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53">
        <f t="shared" si="288"/>
        <v>0</v>
      </c>
      <c r="D222" s="544"/>
      <c r="E222" s="545"/>
      <c r="F222" s="543">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53">
        <f t="shared" si="288"/>
        <v>0</v>
      </c>
      <c r="D223" s="544"/>
      <c r="E223" s="545"/>
      <c r="F223" s="543">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53">
        <f t="shared" si="288"/>
        <v>0</v>
      </c>
      <c r="D224" s="544"/>
      <c r="E224" s="545"/>
      <c r="F224" s="543">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53">
        <f t="shared" si="288"/>
        <v>0</v>
      </c>
      <c r="D225" s="544"/>
      <c r="E225" s="545"/>
      <c r="F225" s="543">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53">
        <f t="shared" si="288"/>
        <v>0</v>
      </c>
      <c r="D226" s="544"/>
      <c r="E226" s="545"/>
      <c r="F226" s="543">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53">
        <f t="shared" si="288"/>
        <v>0</v>
      </c>
      <c r="D227" s="318">
        <f>SUM(D228)</f>
        <v>0</v>
      </c>
      <c r="E227" s="687">
        <f t="shared" ref="E227:F227" si="297">SUM(E228)</f>
        <v>0</v>
      </c>
      <c r="F227" s="543">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53">
        <f t="shared" si="288"/>
        <v>0</v>
      </c>
      <c r="D228" s="544"/>
      <c r="E228" s="545"/>
      <c r="F228" s="543">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691">
        <f t="shared" si="288"/>
        <v>0</v>
      </c>
      <c r="D229" s="691"/>
      <c r="E229" s="692"/>
      <c r="F229" s="667">
        <f t="shared" si="301"/>
        <v>0</v>
      </c>
      <c r="G229" s="143"/>
      <c r="H229" s="144"/>
      <c r="I229" s="140">
        <f t="shared" si="302"/>
        <v>0</v>
      </c>
      <c r="J229" s="143"/>
      <c r="K229" s="144"/>
      <c r="L229" s="140">
        <f t="shared" si="303"/>
        <v>0</v>
      </c>
      <c r="M229" s="143"/>
      <c r="N229" s="144"/>
      <c r="O229" s="140">
        <f t="shared" si="304"/>
        <v>0</v>
      </c>
      <c r="P229" s="128"/>
    </row>
    <row r="230" spans="1:16" ht="14.25" customHeight="1" x14ac:dyDescent="0.25">
      <c r="A230" s="176">
        <v>6000</v>
      </c>
      <c r="B230" s="176" t="s">
        <v>247</v>
      </c>
      <c r="C230" s="1687">
        <f t="shared" si="288"/>
        <v>21771</v>
      </c>
      <c r="D230" s="1688">
        <f>D231+D251+D259</f>
        <v>103788</v>
      </c>
      <c r="E230" s="1689">
        <f t="shared" ref="E230:F230" si="305">E231+E251+E259</f>
        <v>-82017</v>
      </c>
      <c r="F230" s="1690">
        <f t="shared" si="305"/>
        <v>21771</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1694">
        <f t="shared" si="288"/>
        <v>0</v>
      </c>
      <c r="D231" s="322">
        <f>SUM(D232,D233,D235,D238,D244,D245,D246)</f>
        <v>0</v>
      </c>
      <c r="E231" s="698">
        <f t="shared" ref="E231:F231" si="309">SUM(E232,E233,E235,E238,E244,E245,E246)</f>
        <v>0</v>
      </c>
      <c r="F231" s="699">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423">
        <v>6220</v>
      </c>
      <c r="B232" s="81" t="s">
        <v>249</v>
      </c>
      <c r="C232" s="1692">
        <f t="shared" si="288"/>
        <v>0</v>
      </c>
      <c r="D232" s="689"/>
      <c r="E232" s="690"/>
      <c r="F232" s="664">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53">
        <f t="shared" si="288"/>
        <v>0</v>
      </c>
      <c r="D233" s="318">
        <f t="shared" ref="D233:O233" si="313">SUM(D234)</f>
        <v>0</v>
      </c>
      <c r="E233" s="687">
        <f t="shared" si="313"/>
        <v>0</v>
      </c>
      <c r="F233" s="543">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53">
        <f t="shared" si="288"/>
        <v>0</v>
      </c>
      <c r="D234" s="689"/>
      <c r="E234" s="690"/>
      <c r="F234" s="664">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53">
        <f t="shared" si="288"/>
        <v>0</v>
      </c>
      <c r="D235" s="318">
        <f>SUM(D236:D237)</f>
        <v>0</v>
      </c>
      <c r="E235" s="687">
        <f t="shared" ref="E235:F235" si="314">SUM(E236:E237)</f>
        <v>0</v>
      </c>
      <c r="F235" s="543">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53">
        <f t="shared" si="288"/>
        <v>0</v>
      </c>
      <c r="D236" s="544"/>
      <c r="E236" s="545"/>
      <c r="F236" s="543">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53">
        <f t="shared" si="288"/>
        <v>0</v>
      </c>
      <c r="D237" s="544"/>
      <c r="E237" s="545"/>
      <c r="F237" s="543">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53">
        <f t="shared" si="288"/>
        <v>0</v>
      </c>
      <c r="D238" s="318">
        <f>SUM(D239:D243)</f>
        <v>0</v>
      </c>
      <c r="E238" s="687">
        <f t="shared" ref="E238:F238" si="322">SUM(E239:E243)</f>
        <v>0</v>
      </c>
      <c r="F238" s="543">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53">
        <f t="shared" si="288"/>
        <v>0</v>
      </c>
      <c r="D239" s="544"/>
      <c r="E239" s="545"/>
      <c r="F239" s="543">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53">
        <f t="shared" si="288"/>
        <v>0</v>
      </c>
      <c r="D240" s="544"/>
      <c r="E240" s="545"/>
      <c r="F240" s="543">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53">
        <f t="shared" si="288"/>
        <v>0</v>
      </c>
      <c r="D241" s="544"/>
      <c r="E241" s="545"/>
      <c r="F241" s="543">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53">
        <f t="shared" si="288"/>
        <v>0</v>
      </c>
      <c r="D242" s="544"/>
      <c r="E242" s="545"/>
      <c r="F242" s="543">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53">
        <f t="shared" si="288"/>
        <v>0</v>
      </c>
      <c r="D243" s="544"/>
      <c r="E243" s="545"/>
      <c r="F243" s="543">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53">
        <f t="shared" si="288"/>
        <v>0</v>
      </c>
      <c r="D244" s="544"/>
      <c r="E244" s="545"/>
      <c r="F244" s="543">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53">
        <f t="shared" si="288"/>
        <v>0</v>
      </c>
      <c r="D245" s="544"/>
      <c r="E245" s="545"/>
      <c r="F245" s="543">
        <f t="shared" si="326"/>
        <v>0</v>
      </c>
      <c r="G245" s="53"/>
      <c r="H245" s="54"/>
      <c r="I245" s="55">
        <f t="shared" si="327"/>
        <v>0</v>
      </c>
      <c r="J245" s="53"/>
      <c r="K245" s="54"/>
      <c r="L245" s="55">
        <f t="shared" si="328"/>
        <v>0</v>
      </c>
      <c r="M245" s="53"/>
      <c r="N245" s="54"/>
      <c r="O245" s="55">
        <f t="shared" si="329"/>
        <v>0</v>
      </c>
      <c r="P245" s="57"/>
    </row>
    <row r="246" spans="1:16" ht="24" hidden="1" x14ac:dyDescent="0.25">
      <c r="A246" s="1423">
        <v>6290</v>
      </c>
      <c r="B246" s="81" t="s">
        <v>263</v>
      </c>
      <c r="C246" s="1693">
        <f t="shared" si="288"/>
        <v>0</v>
      </c>
      <c r="D246" s="319">
        <f>SUM(D247:D250)</f>
        <v>0</v>
      </c>
      <c r="E246" s="688">
        <f t="shared" ref="E246:O246" si="330">SUM(E247:E250)</f>
        <v>0</v>
      </c>
      <c r="F246" s="664">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53">
        <f t="shared" si="288"/>
        <v>0</v>
      </c>
      <c r="D247" s="544"/>
      <c r="E247" s="545"/>
      <c r="F247" s="543">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53">
        <f t="shared" si="288"/>
        <v>0</v>
      </c>
      <c r="D248" s="544"/>
      <c r="E248" s="545"/>
      <c r="F248" s="543">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53">
        <f t="shared" si="288"/>
        <v>0</v>
      </c>
      <c r="D249" s="544"/>
      <c r="E249" s="545"/>
      <c r="F249" s="543">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53">
        <f t="shared" si="288"/>
        <v>0</v>
      </c>
      <c r="D250" s="544"/>
      <c r="E250" s="545"/>
      <c r="F250" s="543">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1420">
        <f t="shared" si="288"/>
        <v>0</v>
      </c>
      <c r="D251" s="316">
        <f>SUM(D252,D257,D258)</f>
        <v>0</v>
      </c>
      <c r="E251" s="685">
        <f t="shared" ref="E251:O251" si="335">SUM(E252,E257,E258)</f>
        <v>0</v>
      </c>
      <c r="F251" s="638">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423">
        <v>6320</v>
      </c>
      <c r="B252" s="81" t="s">
        <v>269</v>
      </c>
      <c r="C252" s="1693">
        <f t="shared" si="288"/>
        <v>0</v>
      </c>
      <c r="D252" s="319">
        <f>SUM(D253:D256)</f>
        <v>0</v>
      </c>
      <c r="E252" s="688">
        <f t="shared" ref="E252:O252" si="336">SUM(E253:E256)</f>
        <v>0</v>
      </c>
      <c r="F252" s="664">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53">
        <f t="shared" si="288"/>
        <v>0</v>
      </c>
      <c r="D253" s="544"/>
      <c r="E253" s="545"/>
      <c r="F253" s="543">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53">
        <f t="shared" si="288"/>
        <v>0</v>
      </c>
      <c r="D254" s="544"/>
      <c r="E254" s="545"/>
      <c r="F254" s="543">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53">
        <f t="shared" si="288"/>
        <v>0</v>
      </c>
      <c r="D255" s="544"/>
      <c r="E255" s="545"/>
      <c r="F255" s="543">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1692">
        <f t="shared" si="288"/>
        <v>0</v>
      </c>
      <c r="D256" s="689"/>
      <c r="E256" s="690"/>
      <c r="F256" s="664">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1693">
        <f t="shared" si="288"/>
        <v>0</v>
      </c>
      <c r="D257" s="694"/>
      <c r="E257" s="695"/>
      <c r="F257" s="696">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53">
        <f t="shared" si="288"/>
        <v>0</v>
      </c>
      <c r="D258" s="544"/>
      <c r="E258" s="545"/>
      <c r="F258" s="543">
        <f t="shared" si="337"/>
        <v>0</v>
      </c>
      <c r="G258" s="53"/>
      <c r="H258" s="54"/>
      <c r="I258" s="55">
        <f t="shared" si="338"/>
        <v>0</v>
      </c>
      <c r="J258" s="53"/>
      <c r="K258" s="54"/>
      <c r="L258" s="55">
        <f t="shared" si="339"/>
        <v>0</v>
      </c>
      <c r="M258" s="53"/>
      <c r="N258" s="54"/>
      <c r="O258" s="55">
        <f t="shared" si="340"/>
        <v>0</v>
      </c>
      <c r="P258" s="57"/>
    </row>
    <row r="259" spans="1:16" ht="36" x14ac:dyDescent="0.25">
      <c r="A259" s="68">
        <v>6400</v>
      </c>
      <c r="B259" s="182" t="s">
        <v>276</v>
      </c>
      <c r="C259" s="1420">
        <f t="shared" si="288"/>
        <v>21771</v>
      </c>
      <c r="D259" s="316">
        <f>SUM(D260,D264)</f>
        <v>103788</v>
      </c>
      <c r="E259" s="685">
        <f t="shared" ref="E259:O259" si="341">SUM(E260,E264)</f>
        <v>-82017</v>
      </c>
      <c r="F259" s="638">
        <f t="shared" si="341"/>
        <v>21771</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x14ac:dyDescent="0.25">
      <c r="A260" s="1423">
        <v>6410</v>
      </c>
      <c r="B260" s="81" t="s">
        <v>277</v>
      </c>
      <c r="C260" s="1692">
        <f t="shared" si="288"/>
        <v>21771</v>
      </c>
      <c r="D260" s="319">
        <f>SUM(D261:D263)</f>
        <v>103788</v>
      </c>
      <c r="E260" s="688">
        <f t="shared" ref="E260:O260" si="342">SUM(E261:E263)</f>
        <v>-82017</v>
      </c>
      <c r="F260" s="664">
        <f t="shared" si="342"/>
        <v>21771</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53">
        <f t="shared" si="288"/>
        <v>0</v>
      </c>
      <c r="D261" s="544"/>
      <c r="E261" s="545"/>
      <c r="F261" s="543">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53">
        <f t="shared" si="288"/>
        <v>0</v>
      </c>
      <c r="D262" s="544"/>
      <c r="E262" s="545"/>
      <c r="F262" s="543">
        <f t="shared" si="343"/>
        <v>0</v>
      </c>
      <c r="G262" s="53"/>
      <c r="H262" s="54"/>
      <c r="I262" s="55">
        <f t="shared" si="344"/>
        <v>0</v>
      </c>
      <c r="J262" s="53"/>
      <c r="K262" s="54"/>
      <c r="L262" s="55">
        <f t="shared" si="345"/>
        <v>0</v>
      </c>
      <c r="M262" s="53"/>
      <c r="N262" s="54"/>
      <c r="O262" s="55">
        <f t="shared" si="346"/>
        <v>0</v>
      </c>
      <c r="P262" s="57"/>
    </row>
    <row r="263" spans="1:16" ht="39" customHeight="1" x14ac:dyDescent="0.25">
      <c r="A263" s="51">
        <v>6419</v>
      </c>
      <c r="B263" s="88" t="s">
        <v>280</v>
      </c>
      <c r="C263" s="853">
        <f t="shared" si="288"/>
        <v>21771</v>
      </c>
      <c r="D263" s="544">
        <v>103788</v>
      </c>
      <c r="E263" s="545">
        <v>-82017</v>
      </c>
      <c r="F263" s="543">
        <f t="shared" si="343"/>
        <v>21771</v>
      </c>
      <c r="G263" s="53"/>
      <c r="H263" s="54"/>
      <c r="I263" s="55">
        <f t="shared" si="344"/>
        <v>0</v>
      </c>
      <c r="J263" s="53"/>
      <c r="K263" s="54"/>
      <c r="L263" s="55">
        <f t="shared" si="345"/>
        <v>0</v>
      </c>
      <c r="M263" s="53"/>
      <c r="N263" s="54"/>
      <c r="O263" s="55">
        <f t="shared" si="346"/>
        <v>0</v>
      </c>
      <c r="P263" s="57" t="s">
        <v>2066</v>
      </c>
    </row>
    <row r="264" spans="1:16" ht="48" hidden="1" x14ac:dyDescent="0.25">
      <c r="A264" s="188">
        <v>6420</v>
      </c>
      <c r="B264" s="88" t="s">
        <v>281</v>
      </c>
      <c r="C264" s="853">
        <f t="shared" si="288"/>
        <v>0</v>
      </c>
      <c r="D264" s="318">
        <f>SUM(D265:D268)</f>
        <v>0</v>
      </c>
      <c r="E264" s="687">
        <f t="shared" ref="E264:F264" si="347">SUM(E265:E268)</f>
        <v>0</v>
      </c>
      <c r="F264" s="543">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53">
        <f t="shared" si="288"/>
        <v>0</v>
      </c>
      <c r="D265" s="544"/>
      <c r="E265" s="545"/>
      <c r="F265" s="543">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53">
        <f t="shared" si="288"/>
        <v>0</v>
      </c>
      <c r="D266" s="544"/>
      <c r="E266" s="545"/>
      <c r="F266" s="543">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53">
        <f t="shared" si="288"/>
        <v>0</v>
      </c>
      <c r="D267" s="544"/>
      <c r="E267" s="545"/>
      <c r="F267" s="543">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53">
        <f t="shared" si="288"/>
        <v>0</v>
      </c>
      <c r="D268" s="544"/>
      <c r="E268" s="545"/>
      <c r="F268" s="543">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1695">
        <f t="shared" si="288"/>
        <v>0</v>
      </c>
      <c r="D269" s="1696">
        <f>SUM(D270,D281)</f>
        <v>0</v>
      </c>
      <c r="E269" s="1697">
        <f t="shared" ref="E269:F269" si="355">SUM(E270,E281)</f>
        <v>0</v>
      </c>
      <c r="F269" s="1698">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1420">
        <f t="shared" si="288"/>
        <v>0</v>
      </c>
      <c r="D270" s="316">
        <f>SUM(D271,D272,D275,D276,D280)</f>
        <v>0</v>
      </c>
      <c r="E270" s="685">
        <f t="shared" ref="E270:F270" si="359">SUM(E271,E272,E275,E276,E280)</f>
        <v>0</v>
      </c>
      <c r="F270" s="638">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423">
        <v>7210</v>
      </c>
      <c r="B271" s="81" t="s">
        <v>288</v>
      </c>
      <c r="C271" s="1692">
        <f t="shared" si="288"/>
        <v>0</v>
      </c>
      <c r="D271" s="689"/>
      <c r="E271" s="690"/>
      <c r="F271" s="664">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53">
        <f t="shared" si="288"/>
        <v>0</v>
      </c>
      <c r="D272" s="318">
        <f>SUM(D273:D274)</f>
        <v>0</v>
      </c>
      <c r="E272" s="687">
        <f t="shared" ref="E272:F272" si="363">SUM(E273:E274)</f>
        <v>0</v>
      </c>
      <c r="F272" s="543">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53">
        <f t="shared" si="288"/>
        <v>0</v>
      </c>
      <c r="D273" s="544"/>
      <c r="E273" s="545"/>
      <c r="F273" s="543">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53">
        <f t="shared" si="288"/>
        <v>0</v>
      </c>
      <c r="D274" s="544"/>
      <c r="E274" s="545"/>
      <c r="F274" s="543">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53">
        <f t="shared" si="288"/>
        <v>0</v>
      </c>
      <c r="D275" s="544"/>
      <c r="E275" s="545"/>
      <c r="F275" s="543">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53">
        <f t="shared" ref="C276:C301" si="371">F276+I276+L276+O276</f>
        <v>0</v>
      </c>
      <c r="D276" s="318">
        <f t="shared" ref="D276:O276" si="372">SUM(D277:D279)</f>
        <v>0</v>
      </c>
      <c r="E276" s="687">
        <f t="shared" si="372"/>
        <v>0</v>
      </c>
      <c r="F276" s="543">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53">
        <f t="shared" si="371"/>
        <v>0</v>
      </c>
      <c r="D277" s="544"/>
      <c r="E277" s="545"/>
      <c r="F277" s="543">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53">
        <f t="shared" si="371"/>
        <v>0</v>
      </c>
      <c r="D278" s="544"/>
      <c r="E278" s="545"/>
      <c r="F278" s="543">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53">
        <f t="shared" si="371"/>
        <v>0</v>
      </c>
      <c r="D279" s="544"/>
      <c r="E279" s="545"/>
      <c r="F279" s="543">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23">
        <v>7260</v>
      </c>
      <c r="B280" s="81" t="s">
        <v>297</v>
      </c>
      <c r="C280" s="1692">
        <f t="shared" si="371"/>
        <v>0</v>
      </c>
      <c r="D280" s="689"/>
      <c r="E280" s="690"/>
      <c r="F280" s="664">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699">
        <f t="shared" si="371"/>
        <v>0</v>
      </c>
      <c r="D281" s="324">
        <f t="shared" ref="D281:O281" si="378">D282</f>
        <v>0</v>
      </c>
      <c r="E281" s="707">
        <f t="shared" si="378"/>
        <v>0</v>
      </c>
      <c r="F281" s="663">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1700">
        <f t="shared" si="371"/>
        <v>0</v>
      </c>
      <c r="D282" s="708"/>
      <c r="E282" s="709"/>
      <c r="F282" s="710">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1701">
        <f t="shared" si="371"/>
        <v>0</v>
      </c>
      <c r="D283" s="1702">
        <f t="shared" ref="D283:O284" si="379">D284</f>
        <v>0</v>
      </c>
      <c r="E283" s="1703">
        <f t="shared" si="379"/>
        <v>0</v>
      </c>
      <c r="F283" s="170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691">
        <f t="shared" si="371"/>
        <v>0</v>
      </c>
      <c r="D284" s="317">
        <f t="shared" si="379"/>
        <v>0</v>
      </c>
      <c r="E284" s="686">
        <f t="shared" si="379"/>
        <v>0</v>
      </c>
      <c r="F284" s="667">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691">
        <f t="shared" si="371"/>
        <v>0</v>
      </c>
      <c r="D285" s="691"/>
      <c r="E285" s="692"/>
      <c r="F285" s="667">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53">
        <f t="shared" si="371"/>
        <v>29034</v>
      </c>
      <c r="D286" s="318">
        <f>SUM(D287:D288)</f>
        <v>2443</v>
      </c>
      <c r="E286" s="687">
        <f t="shared" ref="E286:F286" si="381">SUM(E287:E288)</f>
        <v>26591</v>
      </c>
      <c r="F286" s="543">
        <f t="shared" si="381"/>
        <v>29034</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customHeight="1" x14ac:dyDescent="0.25">
      <c r="A287" s="199" t="s">
        <v>304</v>
      </c>
      <c r="B287" s="51" t="s">
        <v>305</v>
      </c>
      <c r="C287" s="853">
        <f t="shared" si="371"/>
        <v>29034</v>
      </c>
      <c r="D287" s="544">
        <v>2443</v>
      </c>
      <c r="E287" s="545">
        <f>18312+8279</f>
        <v>26591</v>
      </c>
      <c r="F287" s="543">
        <f t="shared" ref="F287:F288" si="385">D287+E287</f>
        <v>29034</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1692">
        <f t="shared" si="371"/>
        <v>0</v>
      </c>
      <c r="D288" s="689"/>
      <c r="E288" s="690"/>
      <c r="F288" s="664">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1705">
        <f t="shared" si="371"/>
        <v>143804</v>
      </c>
      <c r="D289" s="326">
        <f t="shared" ref="D289:O289" si="389">SUM(D286,D269,D230,D195,D187,D173,D75,D53,D283)</f>
        <v>269671</v>
      </c>
      <c r="E289" s="718">
        <f t="shared" si="389"/>
        <v>-125867</v>
      </c>
      <c r="F289" s="719">
        <f t="shared" si="389"/>
        <v>143804</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945" t="s">
        <v>309</v>
      </c>
      <c r="B290" s="1946"/>
      <c r="C290" s="1706">
        <f t="shared" si="371"/>
        <v>4668</v>
      </c>
      <c r="D290" s="327">
        <f>SUM(D24,D25,D41)-D51</f>
        <v>-21923</v>
      </c>
      <c r="E290" s="720">
        <f t="shared" ref="E290:F290" si="390">SUM(E24,E25,E41)-E51</f>
        <v>26591</v>
      </c>
      <c r="F290" s="721">
        <f t="shared" si="390"/>
        <v>4668</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947" t="s">
        <v>310</v>
      </c>
      <c r="B291" s="1948"/>
      <c r="C291" s="1707">
        <f t="shared" si="371"/>
        <v>-4668</v>
      </c>
      <c r="D291" s="323">
        <f t="shared" ref="D291:O291" si="394">SUM(D292,D293)-D300+D301</f>
        <v>21923</v>
      </c>
      <c r="E291" s="722">
        <f t="shared" si="394"/>
        <v>-26591</v>
      </c>
      <c r="F291" s="723">
        <f t="shared" si="394"/>
        <v>-4668</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thickBot="1" x14ac:dyDescent="0.3">
      <c r="A292" s="156" t="s">
        <v>311</v>
      </c>
      <c r="B292" s="156" t="s">
        <v>312</v>
      </c>
      <c r="C292" s="1684">
        <f t="shared" si="371"/>
        <v>-4668</v>
      </c>
      <c r="D292" s="328">
        <f t="shared" ref="D292:O292" si="395">D21-D286</f>
        <v>21923</v>
      </c>
      <c r="E292" s="671">
        <f t="shared" si="395"/>
        <v>-26591</v>
      </c>
      <c r="F292" s="672">
        <f t="shared" si="395"/>
        <v>-4668</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JJ8FzK67Odb20XxOxP278rjNmDnfEo93JttOg0me80rGhV31H38ekcvOlpTyuE/cPLANyh/zVdJRKCifwCliPQ==" saltValue="+VMNA1CpKf8d5rZqWjyhgQ==" spinCount="100000" sheet="1" objects="1" scenarios="1" formatCells="0" formatColumns="0" formatRows="0" deleteColumns="0"/>
  <autoFilter ref="A18:P301">
    <filterColumn colId="2">
      <filters>
        <filter val="100 469"/>
        <filter val="114 770"/>
        <filter val="143 804"/>
        <filter val="156"/>
        <filter val="160"/>
        <filter val="18"/>
        <filter val="18 865"/>
        <filter val="18 969"/>
        <filter val="180"/>
        <filter val="204"/>
        <filter val="21 771"/>
        <filter val="216"/>
        <filter val="24 345"/>
        <filter val="24 366"/>
        <filter val="29 034"/>
        <filter val="32"/>
        <filter val="4 668"/>
        <filter val="-4 668"/>
        <filter val="4 728"/>
        <filter val="432"/>
        <filter val="48"/>
        <filter val="5 480"/>
        <filter val="67 826"/>
        <filter val="68 622"/>
        <filter val="68 654"/>
        <filter val="752"/>
        <filter val="92 99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63.pielikums Jūrmalas pilsētas domes
2019.gada 29.augusta saistošajiem noteikumiem Nr.31
(protokols Nr.12, 20.punkts)
 </firstHeader>
    <firstFooter>&amp;L&amp;9&amp;D; &amp;T&amp;R&amp;9&amp;P (&amp;N)</first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U3" sqref="U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373</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38.25" customHeight="1" x14ac:dyDescent="0.25">
      <c r="A3" s="5" t="s">
        <v>2</v>
      </c>
      <c r="B3" s="6"/>
      <c r="C3" s="1977" t="s">
        <v>347</v>
      </c>
      <c r="D3" s="1977"/>
      <c r="E3" s="1977"/>
      <c r="F3" s="1977"/>
      <c r="G3" s="1977"/>
      <c r="H3" s="1977"/>
      <c r="I3" s="1977"/>
      <c r="J3" s="1977"/>
      <c r="K3" s="1977"/>
      <c r="L3" s="1977"/>
      <c r="M3" s="1977"/>
      <c r="N3" s="1977"/>
      <c r="O3" s="1977"/>
      <c r="P3" s="1978"/>
      <c r="Q3" s="276"/>
    </row>
    <row r="4" spans="1:17" ht="12.75" customHeight="1" x14ac:dyDescent="0.25">
      <c r="A4" s="5" t="s">
        <v>4</v>
      </c>
      <c r="B4" s="6"/>
      <c r="C4" s="1977" t="s">
        <v>348</v>
      </c>
      <c r="D4" s="1977"/>
      <c r="E4" s="1977"/>
      <c r="F4" s="1977"/>
      <c r="G4" s="1977"/>
      <c r="H4" s="1977"/>
      <c r="I4" s="1977"/>
      <c r="J4" s="1977"/>
      <c r="K4" s="1977"/>
      <c r="L4" s="1977"/>
      <c r="M4" s="1977"/>
      <c r="N4" s="1977"/>
      <c r="O4" s="1977"/>
      <c r="P4" s="1978"/>
      <c r="Q4" s="276"/>
    </row>
    <row r="5" spans="1:17" ht="12.75" customHeight="1" x14ac:dyDescent="0.25">
      <c r="A5" s="7" t="s">
        <v>6</v>
      </c>
      <c r="B5" s="8"/>
      <c r="C5" s="1972" t="s">
        <v>349</v>
      </c>
      <c r="D5" s="1972"/>
      <c r="E5" s="1972"/>
      <c r="F5" s="1972"/>
      <c r="G5" s="1972"/>
      <c r="H5" s="1972"/>
      <c r="I5" s="1972"/>
      <c r="J5" s="1972"/>
      <c r="K5" s="1972"/>
      <c r="L5" s="1972"/>
      <c r="M5" s="1972"/>
      <c r="N5" s="1972"/>
      <c r="O5" s="1972"/>
      <c r="P5" s="1973"/>
      <c r="Q5" s="276"/>
    </row>
    <row r="6" spans="1:17" ht="12.75" customHeight="1" x14ac:dyDescent="0.25">
      <c r="A6" s="7" t="s">
        <v>8</v>
      </c>
      <c r="B6" s="8"/>
      <c r="C6" s="1972" t="s">
        <v>350</v>
      </c>
      <c r="D6" s="1972"/>
      <c r="E6" s="1972"/>
      <c r="F6" s="1972"/>
      <c r="G6" s="1972"/>
      <c r="H6" s="1972"/>
      <c r="I6" s="1972"/>
      <c r="J6" s="1972"/>
      <c r="K6" s="1972"/>
      <c r="L6" s="1972"/>
      <c r="M6" s="1972"/>
      <c r="N6" s="1972"/>
      <c r="O6" s="1972"/>
      <c r="P6" s="1973"/>
      <c r="Q6" s="276"/>
    </row>
    <row r="7" spans="1:17" ht="12" customHeight="1" x14ac:dyDescent="0.25">
      <c r="A7" s="7" t="s">
        <v>10</v>
      </c>
      <c r="B7" s="8"/>
      <c r="C7" s="1977" t="s">
        <v>374</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352</v>
      </c>
      <c r="D9" s="1972"/>
      <c r="E9" s="1972"/>
      <c r="F9" s="1972"/>
      <c r="G9" s="1972"/>
      <c r="H9" s="1972"/>
      <c r="I9" s="1972"/>
      <c r="J9" s="1972"/>
      <c r="K9" s="1972"/>
      <c r="L9" s="1972"/>
      <c r="M9" s="1972"/>
      <c r="N9" s="1972"/>
      <c r="O9" s="1972"/>
      <c r="P9" s="1973"/>
      <c r="Q9" s="276"/>
    </row>
    <row r="10" spans="1:17" ht="12.75" customHeight="1" x14ac:dyDescent="0.25">
      <c r="A10" s="7"/>
      <c r="B10" s="8" t="s">
        <v>15</v>
      </c>
      <c r="C10" s="1972" t="s">
        <v>352</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375</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t="s">
        <v>376</v>
      </c>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1374894</v>
      </c>
      <c r="D20" s="32">
        <f>SUM(D21,D24,D25,D41,D43)</f>
        <v>754329</v>
      </c>
      <c r="E20" s="33">
        <f t="shared" ref="E20:F20" si="1">SUM(E21,E24,E25,E41,E43)</f>
        <v>-5924</v>
      </c>
      <c r="F20" s="34">
        <f t="shared" si="1"/>
        <v>748405</v>
      </c>
      <c r="G20" s="32">
        <f>SUM(G21,G24,G43)</f>
        <v>25620</v>
      </c>
      <c r="H20" s="33">
        <f t="shared" ref="H20:I20" si="2">SUM(H21,H24,H43)</f>
        <v>0</v>
      </c>
      <c r="I20" s="34">
        <f t="shared" si="2"/>
        <v>25620</v>
      </c>
      <c r="J20" s="32">
        <f>SUM(J21,J26,J43)</f>
        <v>609346</v>
      </c>
      <c r="K20" s="33">
        <f t="shared" ref="K20:L20" si="3">SUM(K21,K26,K43)</f>
        <v>-8477</v>
      </c>
      <c r="L20" s="34">
        <f t="shared" si="3"/>
        <v>600869</v>
      </c>
      <c r="M20" s="32">
        <f>SUM(M21,M45)</f>
        <v>0</v>
      </c>
      <c r="N20" s="33">
        <f t="shared" ref="N20:O20" si="4">SUM(N21,N45)</f>
        <v>0</v>
      </c>
      <c r="O20" s="34">
        <f t="shared" si="4"/>
        <v>0</v>
      </c>
      <c r="P20" s="35"/>
    </row>
    <row r="21" spans="1:16" ht="12.75" thickTop="1" x14ac:dyDescent="0.25">
      <c r="A21" s="36"/>
      <c r="B21" s="37" t="s">
        <v>40</v>
      </c>
      <c r="C21" s="38">
        <f t="shared" si="0"/>
        <v>47856</v>
      </c>
      <c r="D21" s="39">
        <f>SUM(D22:D23)</f>
        <v>0</v>
      </c>
      <c r="E21" s="40">
        <f t="shared" ref="E21:F21" si="5">SUM(E22:E23)</f>
        <v>0</v>
      </c>
      <c r="F21" s="41">
        <f t="shared" si="5"/>
        <v>0</v>
      </c>
      <c r="G21" s="39">
        <f>SUM(G22:G23)</f>
        <v>0</v>
      </c>
      <c r="H21" s="40">
        <f t="shared" ref="H21:I21" si="6">SUM(H22:H23)</f>
        <v>0</v>
      </c>
      <c r="I21" s="41">
        <f t="shared" si="6"/>
        <v>0</v>
      </c>
      <c r="J21" s="39">
        <f>SUM(J22:J23)</f>
        <v>47856</v>
      </c>
      <c r="K21" s="40">
        <f t="shared" ref="K21:L21" si="7">SUM(K22:K23)</f>
        <v>0</v>
      </c>
      <c r="L21" s="41">
        <f t="shared" si="7"/>
        <v>47856</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47856</v>
      </c>
      <c r="D23" s="53"/>
      <c r="E23" s="54">
        <v>0</v>
      </c>
      <c r="F23" s="55">
        <f t="shared" ref="F23:F25" si="9">D23+E23</f>
        <v>0</v>
      </c>
      <c r="G23" s="53"/>
      <c r="H23" s="54"/>
      <c r="I23" s="55">
        <f t="shared" ref="I23:I24" si="10">G23+H23</f>
        <v>0</v>
      </c>
      <c r="J23" s="53">
        <v>47856</v>
      </c>
      <c r="K23" s="54"/>
      <c r="L23" s="56">
        <f>K23+J23</f>
        <v>47856</v>
      </c>
      <c r="M23" s="53"/>
      <c r="N23" s="54"/>
      <c r="O23" s="55">
        <f>N23+M23</f>
        <v>0</v>
      </c>
      <c r="P23" s="290"/>
    </row>
    <row r="24" spans="1:16" s="28" customFormat="1" ht="28.5" customHeight="1" thickBot="1" x14ac:dyDescent="0.3">
      <c r="A24" s="58">
        <v>19300</v>
      </c>
      <c r="B24" s="58" t="s">
        <v>43</v>
      </c>
      <c r="C24" s="59">
        <f>F24+I24</f>
        <v>774025</v>
      </c>
      <c r="D24" s="60">
        <v>754329</v>
      </c>
      <c r="E24" s="61">
        <v>-5924</v>
      </c>
      <c r="F24" s="62">
        <f t="shared" si="9"/>
        <v>748405</v>
      </c>
      <c r="G24" s="60">
        <v>25620</v>
      </c>
      <c r="H24" s="61"/>
      <c r="I24" s="62">
        <f t="shared" si="10"/>
        <v>25620</v>
      </c>
      <c r="J24" s="63" t="s">
        <v>44</v>
      </c>
      <c r="K24" s="64" t="s">
        <v>44</v>
      </c>
      <c r="L24" s="65" t="s">
        <v>44</v>
      </c>
      <c r="M24" s="63" t="s">
        <v>44</v>
      </c>
      <c r="N24" s="64" t="s">
        <v>44</v>
      </c>
      <c r="O24" s="65" t="s">
        <v>44</v>
      </c>
      <c r="P24" s="66" t="s">
        <v>377</v>
      </c>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553013</v>
      </c>
      <c r="D26" s="73" t="s">
        <v>44</v>
      </c>
      <c r="E26" s="74" t="s">
        <v>44</v>
      </c>
      <c r="F26" s="75" t="s">
        <v>44</v>
      </c>
      <c r="G26" s="73" t="s">
        <v>44</v>
      </c>
      <c r="H26" s="74" t="s">
        <v>44</v>
      </c>
      <c r="I26" s="75" t="s">
        <v>44</v>
      </c>
      <c r="J26" s="77">
        <f>SUM(J27,J31,J33,J36)</f>
        <v>561490</v>
      </c>
      <c r="K26" s="78">
        <f t="shared" ref="K26:L26" si="11">SUM(K27,K31,K33,K36)</f>
        <v>-8477</v>
      </c>
      <c r="L26" s="79">
        <f t="shared" si="11"/>
        <v>553013</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customHeight="1" x14ac:dyDescent="0.25">
      <c r="A33" s="80">
        <v>21380</v>
      </c>
      <c r="B33" s="68" t="s">
        <v>53</v>
      </c>
      <c r="C33" s="69">
        <f t="shared" si="16"/>
        <v>13005</v>
      </c>
      <c r="D33" s="73" t="s">
        <v>44</v>
      </c>
      <c r="E33" s="74" t="s">
        <v>44</v>
      </c>
      <c r="F33" s="75" t="s">
        <v>44</v>
      </c>
      <c r="G33" s="73" t="s">
        <v>44</v>
      </c>
      <c r="H33" s="74" t="s">
        <v>44</v>
      </c>
      <c r="I33" s="75" t="s">
        <v>44</v>
      </c>
      <c r="J33" s="77">
        <f>SUM(J34:J35)</f>
        <v>13005</v>
      </c>
      <c r="K33" s="78">
        <f t="shared" ref="K33:L33" si="17">SUM(K34:K35)</f>
        <v>0</v>
      </c>
      <c r="L33" s="79">
        <f t="shared" si="17"/>
        <v>13005</v>
      </c>
      <c r="M33" s="77" t="s">
        <v>44</v>
      </c>
      <c r="N33" s="78" t="s">
        <v>44</v>
      </c>
      <c r="O33" s="79" t="s">
        <v>44</v>
      </c>
      <c r="P33" s="76"/>
    </row>
    <row r="34" spans="1:16" ht="12" customHeight="1" x14ac:dyDescent="0.25">
      <c r="A34" s="44">
        <v>21381</v>
      </c>
      <c r="B34" s="81" t="s">
        <v>54</v>
      </c>
      <c r="C34" s="82">
        <f t="shared" si="16"/>
        <v>13005</v>
      </c>
      <c r="D34" s="83" t="s">
        <v>44</v>
      </c>
      <c r="E34" s="84" t="s">
        <v>44</v>
      </c>
      <c r="F34" s="85" t="s">
        <v>44</v>
      </c>
      <c r="G34" s="83" t="s">
        <v>44</v>
      </c>
      <c r="H34" s="84" t="s">
        <v>44</v>
      </c>
      <c r="I34" s="85" t="s">
        <v>44</v>
      </c>
      <c r="J34" s="46">
        <v>13005</v>
      </c>
      <c r="K34" s="47"/>
      <c r="L34" s="48">
        <f t="shared" ref="L34:L35" si="18">K34+J34</f>
        <v>13005</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customHeight="1" x14ac:dyDescent="0.25">
      <c r="A36" s="80">
        <v>21390</v>
      </c>
      <c r="B36" s="68" t="s">
        <v>56</v>
      </c>
      <c r="C36" s="69">
        <f t="shared" si="16"/>
        <v>540008</v>
      </c>
      <c r="D36" s="73" t="s">
        <v>44</v>
      </c>
      <c r="E36" s="74" t="s">
        <v>44</v>
      </c>
      <c r="F36" s="75" t="s">
        <v>44</v>
      </c>
      <c r="G36" s="73" t="s">
        <v>44</v>
      </c>
      <c r="H36" s="74" t="s">
        <v>44</v>
      </c>
      <c r="I36" s="75" t="s">
        <v>44</v>
      </c>
      <c r="J36" s="77">
        <f>SUM(J37:J40)</f>
        <v>548485</v>
      </c>
      <c r="K36" s="78">
        <f t="shared" ref="K36:L36" si="19">SUM(K37:K40)</f>
        <v>-8477</v>
      </c>
      <c r="L36" s="79">
        <f t="shared" si="19"/>
        <v>540008</v>
      </c>
      <c r="M36" s="77" t="s">
        <v>44</v>
      </c>
      <c r="N36" s="78" t="s">
        <v>44</v>
      </c>
      <c r="O36" s="79" t="s">
        <v>44</v>
      </c>
      <c r="P36" s="76"/>
    </row>
    <row r="37" spans="1:16" ht="28.5" customHeight="1" thickBot="1" x14ac:dyDescent="0.3">
      <c r="A37" s="44">
        <v>21391</v>
      </c>
      <c r="B37" s="81" t="s">
        <v>57</v>
      </c>
      <c r="C37" s="82">
        <f t="shared" si="16"/>
        <v>493713</v>
      </c>
      <c r="D37" s="83" t="s">
        <v>44</v>
      </c>
      <c r="E37" s="84" t="s">
        <v>44</v>
      </c>
      <c r="F37" s="85" t="s">
        <v>44</v>
      </c>
      <c r="G37" s="83" t="s">
        <v>44</v>
      </c>
      <c r="H37" s="84" t="s">
        <v>44</v>
      </c>
      <c r="I37" s="85" t="s">
        <v>44</v>
      </c>
      <c r="J37" s="46">
        <f>502190</f>
        <v>502190</v>
      </c>
      <c r="K37" s="292">
        <v>-8477</v>
      </c>
      <c r="L37" s="48">
        <f t="shared" ref="L37:L40" si="20">K37+J37</f>
        <v>493713</v>
      </c>
      <c r="M37" s="86" t="s">
        <v>44</v>
      </c>
      <c r="N37" s="87" t="s">
        <v>44</v>
      </c>
      <c r="O37" s="48" t="s">
        <v>44</v>
      </c>
      <c r="P37" s="66" t="s">
        <v>378</v>
      </c>
    </row>
    <row r="38" spans="1:16" ht="12" hidden="1" customHeight="1" thickTop="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thickTop="1" x14ac:dyDescent="0.25">
      <c r="A40" s="107">
        <v>21399</v>
      </c>
      <c r="B40" s="108" t="s">
        <v>60</v>
      </c>
      <c r="C40" s="109">
        <f t="shared" si="16"/>
        <v>46295</v>
      </c>
      <c r="D40" s="110" t="s">
        <v>44</v>
      </c>
      <c r="E40" s="111" t="s">
        <v>44</v>
      </c>
      <c r="F40" s="112" t="s">
        <v>44</v>
      </c>
      <c r="G40" s="110" t="s">
        <v>44</v>
      </c>
      <c r="H40" s="111" t="s">
        <v>44</v>
      </c>
      <c r="I40" s="112" t="s">
        <v>44</v>
      </c>
      <c r="J40" s="113">
        <v>46295</v>
      </c>
      <c r="K40" s="114"/>
      <c r="L40" s="115">
        <f t="shared" si="20"/>
        <v>46295</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1374894</v>
      </c>
      <c r="D50" s="158">
        <f>SUM(D51,D286)</f>
        <v>754329</v>
      </c>
      <c r="E50" s="159">
        <f t="shared" ref="E50:F50" si="26">SUM(E51,E286)</f>
        <v>-5924</v>
      </c>
      <c r="F50" s="160">
        <f t="shared" si="26"/>
        <v>748405</v>
      </c>
      <c r="G50" s="158">
        <f>SUM(G51,G286)</f>
        <v>25620</v>
      </c>
      <c r="H50" s="159">
        <f>SUM(H51,H286)</f>
        <v>0</v>
      </c>
      <c r="I50" s="160">
        <f t="shared" ref="I50" si="27">SUM(I51,I286)</f>
        <v>25620</v>
      </c>
      <c r="J50" s="32">
        <f>SUM(J51,J286)</f>
        <v>609346</v>
      </c>
      <c r="K50" s="33">
        <f t="shared" ref="K50:L50" si="28">SUM(K51,K286)</f>
        <v>-8477</v>
      </c>
      <c r="L50" s="34">
        <f t="shared" si="28"/>
        <v>600869</v>
      </c>
      <c r="M50" s="32">
        <f>SUM(M51,M286)</f>
        <v>0</v>
      </c>
      <c r="N50" s="33">
        <f t="shared" ref="N50:O50" si="29">SUM(N51,N286)</f>
        <v>0</v>
      </c>
      <c r="O50" s="34">
        <f t="shared" si="29"/>
        <v>0</v>
      </c>
      <c r="P50" s="35"/>
    </row>
    <row r="51" spans="1:16" s="28" customFormat="1" ht="36.75" thickTop="1" x14ac:dyDescent="0.25">
      <c r="A51" s="161"/>
      <c r="B51" s="162" t="s">
        <v>70</v>
      </c>
      <c r="C51" s="163">
        <f t="shared" si="0"/>
        <v>1374894</v>
      </c>
      <c r="D51" s="164">
        <f>SUM(D52,D194)</f>
        <v>754329</v>
      </c>
      <c r="E51" s="165">
        <f t="shared" ref="E51:F51" si="30">SUM(E52,E194)</f>
        <v>-5924</v>
      </c>
      <c r="F51" s="166">
        <f t="shared" si="30"/>
        <v>748405</v>
      </c>
      <c r="G51" s="164">
        <f>SUM(G52,G194)</f>
        <v>25620</v>
      </c>
      <c r="H51" s="165">
        <f t="shared" ref="H51:I51" si="31">SUM(H52,H194)</f>
        <v>0</v>
      </c>
      <c r="I51" s="166">
        <f t="shared" si="31"/>
        <v>25620</v>
      </c>
      <c r="J51" s="167">
        <f>SUM(J52,J194)</f>
        <v>609346</v>
      </c>
      <c r="K51" s="168">
        <f t="shared" ref="K51:L51" si="32">SUM(K52,K194)</f>
        <v>-8477</v>
      </c>
      <c r="L51" s="169">
        <f t="shared" si="32"/>
        <v>600869</v>
      </c>
      <c r="M51" s="167">
        <f>SUM(M52,M194)</f>
        <v>0</v>
      </c>
      <c r="N51" s="168">
        <f t="shared" ref="N51:O51" si="33">SUM(N52,N194)</f>
        <v>0</v>
      </c>
      <c r="O51" s="169">
        <f t="shared" si="33"/>
        <v>0</v>
      </c>
      <c r="P51" s="170"/>
    </row>
    <row r="52" spans="1:16" s="28" customFormat="1" ht="24" x14ac:dyDescent="0.25">
      <c r="A52" s="24"/>
      <c r="B52" s="22" t="s">
        <v>71</v>
      </c>
      <c r="C52" s="171">
        <f t="shared" si="0"/>
        <v>1325523</v>
      </c>
      <c r="D52" s="172">
        <f>SUM(D53,D75,D173,D187)</f>
        <v>752829</v>
      </c>
      <c r="E52" s="173">
        <f t="shared" ref="E52:F52" si="34">SUM(E53,E75,E173,E187)</f>
        <v>-5924</v>
      </c>
      <c r="F52" s="174">
        <f t="shared" si="34"/>
        <v>746905</v>
      </c>
      <c r="G52" s="172">
        <f>SUM(G53,G75,G173,G187)</f>
        <v>25620</v>
      </c>
      <c r="H52" s="173">
        <f t="shared" ref="H52:I52" si="35">SUM(H53,H75,H173,H187)</f>
        <v>0</v>
      </c>
      <c r="I52" s="174">
        <f t="shared" si="35"/>
        <v>25620</v>
      </c>
      <c r="J52" s="172">
        <f>SUM(J53,J75,J173,J187)</f>
        <v>558122</v>
      </c>
      <c r="K52" s="173">
        <f t="shared" ref="K52:L52" si="36">SUM(K53,K75,K173,K187)</f>
        <v>-5124</v>
      </c>
      <c r="L52" s="174">
        <f t="shared" si="36"/>
        <v>552998</v>
      </c>
      <c r="M52" s="172">
        <f>SUM(M53,M75,M173,M187)</f>
        <v>0</v>
      </c>
      <c r="N52" s="173">
        <f t="shared" ref="N52:O52" si="37">SUM(N53,N75,N173,N187)</f>
        <v>0</v>
      </c>
      <c r="O52" s="174">
        <f t="shared" si="37"/>
        <v>0</v>
      </c>
      <c r="P52" s="175"/>
    </row>
    <row r="53" spans="1:16" s="28" customFormat="1" x14ac:dyDescent="0.25">
      <c r="A53" s="176">
        <v>1000</v>
      </c>
      <c r="B53" s="176" t="s">
        <v>72</v>
      </c>
      <c r="C53" s="177">
        <f t="shared" si="0"/>
        <v>908423</v>
      </c>
      <c r="D53" s="178">
        <f>SUM(D54,D67)</f>
        <v>751929</v>
      </c>
      <c r="E53" s="179">
        <f t="shared" ref="E53:F53" si="38">SUM(E54,E67)</f>
        <v>-5924</v>
      </c>
      <c r="F53" s="180">
        <f t="shared" si="38"/>
        <v>746005</v>
      </c>
      <c r="G53" s="178">
        <f>SUM(G54,G67)</f>
        <v>0</v>
      </c>
      <c r="H53" s="179">
        <f t="shared" ref="H53:I53" si="39">SUM(H54,H67)</f>
        <v>0</v>
      </c>
      <c r="I53" s="180">
        <f t="shared" si="39"/>
        <v>0</v>
      </c>
      <c r="J53" s="178">
        <f>SUM(J54,J67)</f>
        <v>162579</v>
      </c>
      <c r="K53" s="179">
        <f t="shared" ref="K53:L53" si="40">SUM(K54,K67)</f>
        <v>-161</v>
      </c>
      <c r="L53" s="180">
        <f t="shared" si="40"/>
        <v>162418</v>
      </c>
      <c r="M53" s="178">
        <f>SUM(M54,M67)</f>
        <v>0</v>
      </c>
      <c r="N53" s="179">
        <f t="shared" ref="N53:O53" si="41">SUM(N54,N67)</f>
        <v>0</v>
      </c>
      <c r="O53" s="180">
        <f t="shared" si="41"/>
        <v>0</v>
      </c>
      <c r="P53" s="181"/>
    </row>
    <row r="54" spans="1:16" x14ac:dyDescent="0.25">
      <c r="A54" s="68">
        <v>1100</v>
      </c>
      <c r="B54" s="182" t="s">
        <v>73</v>
      </c>
      <c r="C54" s="69">
        <f t="shared" si="0"/>
        <v>689051</v>
      </c>
      <c r="D54" s="183">
        <f>SUM(D55,D58,D66)</f>
        <v>681404</v>
      </c>
      <c r="E54" s="184">
        <f t="shared" ref="E54:F54" si="42">SUM(E55,E58,E66)</f>
        <v>-2377</v>
      </c>
      <c r="F54" s="72">
        <f t="shared" si="42"/>
        <v>679027</v>
      </c>
      <c r="G54" s="183">
        <f>SUM(G55,G58,G66)</f>
        <v>0</v>
      </c>
      <c r="H54" s="184">
        <f t="shared" ref="H54:I54" si="43">SUM(H55,H58,H66)</f>
        <v>0</v>
      </c>
      <c r="I54" s="72">
        <f t="shared" si="43"/>
        <v>0</v>
      </c>
      <c r="J54" s="183">
        <f>SUM(J55,J58,J66)</f>
        <v>10185</v>
      </c>
      <c r="K54" s="184">
        <f t="shared" ref="K54:L54" si="44">SUM(K55,K58,K66)</f>
        <v>-161</v>
      </c>
      <c r="L54" s="72">
        <f t="shared" si="44"/>
        <v>10024</v>
      </c>
      <c r="M54" s="183">
        <f>SUM(M55,M58,M66)</f>
        <v>0</v>
      </c>
      <c r="N54" s="184">
        <f t="shared" ref="N54:O54" si="45">SUM(N55,N58,N66)</f>
        <v>0</v>
      </c>
      <c r="O54" s="72">
        <f t="shared" si="45"/>
        <v>0</v>
      </c>
      <c r="P54" s="76"/>
    </row>
    <row r="55" spans="1:16" x14ac:dyDescent="0.25">
      <c r="A55" s="185">
        <v>1110</v>
      </c>
      <c r="B55" s="137" t="s">
        <v>74</v>
      </c>
      <c r="C55" s="142">
        <f t="shared" si="0"/>
        <v>619253</v>
      </c>
      <c r="D55" s="186">
        <f>SUM(D56:D57)</f>
        <v>623277</v>
      </c>
      <c r="E55" s="187">
        <f t="shared" ref="E55:F55" si="46">SUM(E56:E57)</f>
        <v>-4024</v>
      </c>
      <c r="F55" s="140">
        <f t="shared" si="46"/>
        <v>619253</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75" customHeight="1" x14ac:dyDescent="0.25">
      <c r="A57" s="51">
        <v>1119</v>
      </c>
      <c r="B57" s="88" t="s">
        <v>76</v>
      </c>
      <c r="C57" s="89">
        <f t="shared" si="0"/>
        <v>619253</v>
      </c>
      <c r="D57" s="53">
        <v>623277</v>
      </c>
      <c r="E57" s="54">
        <v>-4024</v>
      </c>
      <c r="F57" s="55">
        <f t="shared" si="50"/>
        <v>619253</v>
      </c>
      <c r="G57" s="53"/>
      <c r="H57" s="54"/>
      <c r="I57" s="55">
        <f t="shared" si="51"/>
        <v>0</v>
      </c>
      <c r="J57" s="53"/>
      <c r="K57" s="54"/>
      <c r="L57" s="55">
        <f t="shared" si="52"/>
        <v>0</v>
      </c>
      <c r="M57" s="53"/>
      <c r="N57" s="54"/>
      <c r="O57" s="55">
        <f t="shared" si="53"/>
        <v>0</v>
      </c>
      <c r="P57" s="57" t="s">
        <v>379</v>
      </c>
    </row>
    <row r="58" spans="1:16" x14ac:dyDescent="0.25">
      <c r="A58" s="188">
        <v>1140</v>
      </c>
      <c r="B58" s="88" t="s">
        <v>77</v>
      </c>
      <c r="C58" s="89">
        <f t="shared" si="0"/>
        <v>69798</v>
      </c>
      <c r="D58" s="189">
        <f>SUM(D59:D65)</f>
        <v>58127</v>
      </c>
      <c r="E58" s="190">
        <f>SUM(E59:E65)</f>
        <v>1647</v>
      </c>
      <c r="F58" s="55">
        <f t="shared" ref="F58" si="54">SUM(F59:F65)</f>
        <v>59774</v>
      </c>
      <c r="G58" s="189">
        <f>SUM(G59:G65)</f>
        <v>0</v>
      </c>
      <c r="H58" s="190">
        <f t="shared" ref="H58:I58" si="55">SUM(H59:H65)</f>
        <v>0</v>
      </c>
      <c r="I58" s="55">
        <f t="shared" si="55"/>
        <v>0</v>
      </c>
      <c r="J58" s="189">
        <f>SUM(J59:J65)</f>
        <v>10185</v>
      </c>
      <c r="K58" s="190">
        <f t="shared" ref="K58:L58" si="56">SUM(K59:K65)</f>
        <v>-161</v>
      </c>
      <c r="L58" s="55">
        <f t="shared" si="56"/>
        <v>10024</v>
      </c>
      <c r="M58" s="189">
        <f>SUM(M59:M65)</f>
        <v>0</v>
      </c>
      <c r="N58" s="190">
        <f t="shared" ref="N58:O58" si="57">SUM(N59:N65)</f>
        <v>0</v>
      </c>
      <c r="O58" s="55">
        <f t="shared" si="57"/>
        <v>0</v>
      </c>
      <c r="P58" s="57"/>
    </row>
    <row r="59" spans="1:16" ht="12" customHeight="1" x14ac:dyDescent="0.25">
      <c r="A59" s="51">
        <v>1141</v>
      </c>
      <c r="B59" s="88" t="s">
        <v>78</v>
      </c>
      <c r="C59" s="89">
        <f t="shared" si="0"/>
        <v>14341</v>
      </c>
      <c r="D59" s="53">
        <v>14341</v>
      </c>
      <c r="E59" s="54"/>
      <c r="F59" s="55">
        <f t="shared" ref="F59:F66" si="58">D59+E59</f>
        <v>14341</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11032</v>
      </c>
      <c r="D60" s="53">
        <v>11032</v>
      </c>
      <c r="E60" s="54"/>
      <c r="F60" s="55">
        <f t="shared" si="58"/>
        <v>11032</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75" customHeight="1" x14ac:dyDescent="0.25">
      <c r="A63" s="51">
        <v>1147</v>
      </c>
      <c r="B63" s="88" t="s">
        <v>82</v>
      </c>
      <c r="C63" s="89">
        <f t="shared" si="0"/>
        <v>10024</v>
      </c>
      <c r="D63" s="53"/>
      <c r="E63" s="54"/>
      <c r="F63" s="55">
        <f t="shared" si="58"/>
        <v>0</v>
      </c>
      <c r="G63" s="53"/>
      <c r="H63" s="54"/>
      <c r="I63" s="55">
        <f t="shared" si="59"/>
        <v>0</v>
      </c>
      <c r="J63" s="53">
        <v>10185</v>
      </c>
      <c r="K63" s="54">
        <v>-161</v>
      </c>
      <c r="L63" s="55">
        <f t="shared" si="60"/>
        <v>10024</v>
      </c>
      <c r="M63" s="53"/>
      <c r="N63" s="54"/>
      <c r="O63" s="55">
        <f t="shared" si="61"/>
        <v>0</v>
      </c>
      <c r="P63" s="57" t="s">
        <v>380</v>
      </c>
    </row>
    <row r="64" spans="1:16" ht="12.75" customHeight="1" x14ac:dyDescent="0.25">
      <c r="A64" s="51">
        <v>1148</v>
      </c>
      <c r="B64" s="88" t="s">
        <v>83</v>
      </c>
      <c r="C64" s="89">
        <f t="shared" si="0"/>
        <v>34401</v>
      </c>
      <c r="D64" s="53">
        <v>32754</v>
      </c>
      <c r="E64" s="54">
        <v>1647</v>
      </c>
      <c r="F64" s="55">
        <f t="shared" si="58"/>
        <v>34401</v>
      </c>
      <c r="G64" s="53"/>
      <c r="H64" s="54"/>
      <c r="I64" s="55">
        <f t="shared" si="59"/>
        <v>0</v>
      </c>
      <c r="J64" s="53"/>
      <c r="K64" s="54"/>
      <c r="L64" s="55">
        <f t="shared" si="60"/>
        <v>0</v>
      </c>
      <c r="M64" s="53"/>
      <c r="N64" s="54"/>
      <c r="O64" s="55">
        <f t="shared" si="61"/>
        <v>0</v>
      </c>
      <c r="P64" s="57" t="s">
        <v>381</v>
      </c>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219372</v>
      </c>
      <c r="D67" s="183">
        <f>SUM(D68:D69)</f>
        <v>70525</v>
      </c>
      <c r="E67" s="184">
        <f t="shared" ref="E67:F67" si="62">SUM(E68:E69)</f>
        <v>-3547</v>
      </c>
      <c r="F67" s="72">
        <f t="shared" si="62"/>
        <v>66978</v>
      </c>
      <c r="G67" s="183">
        <f>SUM(G68:G69)</f>
        <v>0</v>
      </c>
      <c r="H67" s="184">
        <f t="shared" ref="H67:I67" si="63">SUM(H68:H69)</f>
        <v>0</v>
      </c>
      <c r="I67" s="72">
        <f t="shared" si="63"/>
        <v>0</v>
      </c>
      <c r="J67" s="183">
        <f>SUM(J68:J69)</f>
        <v>152394</v>
      </c>
      <c r="K67" s="184">
        <f t="shared" ref="K67:L67" si="64">SUM(K68:K69)</f>
        <v>0</v>
      </c>
      <c r="L67" s="72">
        <f t="shared" si="64"/>
        <v>152394</v>
      </c>
      <c r="M67" s="183">
        <f>SUM(M68:M69)</f>
        <v>0</v>
      </c>
      <c r="N67" s="184">
        <f t="shared" ref="N67:O67" si="65">SUM(N68:N69)</f>
        <v>0</v>
      </c>
      <c r="O67" s="72">
        <f t="shared" si="65"/>
        <v>0</v>
      </c>
      <c r="P67" s="76"/>
    </row>
    <row r="68" spans="1:16" ht="27" customHeight="1" x14ac:dyDescent="0.25">
      <c r="A68" s="191">
        <v>1210</v>
      </c>
      <c r="B68" s="81" t="s">
        <v>87</v>
      </c>
      <c r="C68" s="82">
        <f t="shared" si="0"/>
        <v>171109</v>
      </c>
      <c r="D68" s="46">
        <v>22071</v>
      </c>
      <c r="E68" s="47">
        <v>-3242</v>
      </c>
      <c r="F68" s="133">
        <f>D68+E68</f>
        <v>18829</v>
      </c>
      <c r="G68" s="46"/>
      <c r="H68" s="47"/>
      <c r="I68" s="133">
        <f>G68+H68</f>
        <v>0</v>
      </c>
      <c r="J68" s="46">
        <v>152280</v>
      </c>
      <c r="K68" s="47"/>
      <c r="L68" s="133">
        <f>K68+J68</f>
        <v>152280</v>
      </c>
      <c r="M68" s="46"/>
      <c r="N68" s="47"/>
      <c r="O68" s="133">
        <f>N68+M68</f>
        <v>0</v>
      </c>
      <c r="P68" s="49" t="s">
        <v>382</v>
      </c>
    </row>
    <row r="69" spans="1:16" ht="24" x14ac:dyDescent="0.25">
      <c r="A69" s="188">
        <v>1220</v>
      </c>
      <c r="B69" s="88" t="s">
        <v>88</v>
      </c>
      <c r="C69" s="89">
        <f t="shared" si="0"/>
        <v>48263</v>
      </c>
      <c r="D69" s="189">
        <f>SUM(D70:D74)</f>
        <v>48454</v>
      </c>
      <c r="E69" s="190">
        <f t="shared" ref="E69:F69" si="66">SUM(E70:E74)</f>
        <v>-305</v>
      </c>
      <c r="F69" s="55">
        <f t="shared" si="66"/>
        <v>48149</v>
      </c>
      <c r="G69" s="189">
        <f>SUM(G70:G74)</f>
        <v>0</v>
      </c>
      <c r="H69" s="190">
        <f t="shared" ref="H69:I69" si="67">SUM(H70:H74)</f>
        <v>0</v>
      </c>
      <c r="I69" s="55">
        <f t="shared" si="67"/>
        <v>0</v>
      </c>
      <c r="J69" s="189">
        <f>SUM(J70:J74)</f>
        <v>114</v>
      </c>
      <c r="K69" s="190">
        <f t="shared" ref="K69:L69" si="68">SUM(K70:K74)</f>
        <v>0</v>
      </c>
      <c r="L69" s="55">
        <f t="shared" si="68"/>
        <v>114</v>
      </c>
      <c r="M69" s="189">
        <f>SUM(M70:M74)</f>
        <v>0</v>
      </c>
      <c r="N69" s="190">
        <f t="shared" ref="N69:O69" si="69">SUM(N70:N74)</f>
        <v>0</v>
      </c>
      <c r="O69" s="55">
        <f t="shared" si="69"/>
        <v>0</v>
      </c>
      <c r="P69" s="57"/>
    </row>
    <row r="70" spans="1:16" ht="48" customHeight="1" x14ac:dyDescent="0.25">
      <c r="A70" s="51">
        <v>1221</v>
      </c>
      <c r="B70" s="88" t="s">
        <v>89</v>
      </c>
      <c r="C70" s="89">
        <f t="shared" si="0"/>
        <v>32160</v>
      </c>
      <c r="D70" s="53">
        <v>32160</v>
      </c>
      <c r="E70" s="54"/>
      <c r="F70" s="55">
        <f t="shared" ref="F70:F74" si="70">D70+E70</f>
        <v>32160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75" customHeight="1" x14ac:dyDescent="0.25">
      <c r="A73" s="51">
        <v>1227</v>
      </c>
      <c r="B73" s="88" t="s">
        <v>92</v>
      </c>
      <c r="C73" s="89">
        <f t="shared" si="0"/>
        <v>15489</v>
      </c>
      <c r="D73" s="53">
        <v>15794</v>
      </c>
      <c r="E73" s="54">
        <v>-305</v>
      </c>
      <c r="F73" s="55">
        <f t="shared" si="70"/>
        <v>15489</v>
      </c>
      <c r="G73" s="53"/>
      <c r="H73" s="54"/>
      <c r="I73" s="55">
        <f t="shared" si="71"/>
        <v>0</v>
      </c>
      <c r="J73" s="53"/>
      <c r="K73" s="54"/>
      <c r="L73" s="55">
        <f t="shared" si="72"/>
        <v>0</v>
      </c>
      <c r="M73" s="53"/>
      <c r="N73" s="54"/>
      <c r="O73" s="55">
        <f t="shared" si="73"/>
        <v>0</v>
      </c>
      <c r="P73" s="49" t="s">
        <v>383</v>
      </c>
    </row>
    <row r="74" spans="1:16" ht="46.5" customHeight="1" x14ac:dyDescent="0.25">
      <c r="A74" s="51">
        <v>1228</v>
      </c>
      <c r="B74" s="88" t="s">
        <v>93</v>
      </c>
      <c r="C74" s="89">
        <f t="shared" si="0"/>
        <v>614</v>
      </c>
      <c r="D74" s="53">
        <v>500</v>
      </c>
      <c r="E74" s="54"/>
      <c r="F74" s="55">
        <f t="shared" si="70"/>
        <v>500</v>
      </c>
      <c r="G74" s="53"/>
      <c r="H74" s="54"/>
      <c r="I74" s="55">
        <f t="shared" si="71"/>
        <v>0</v>
      </c>
      <c r="J74" s="53">
        <v>114</v>
      </c>
      <c r="K74" s="54"/>
      <c r="L74" s="55">
        <f t="shared" si="72"/>
        <v>114</v>
      </c>
      <c r="M74" s="53"/>
      <c r="N74" s="54"/>
      <c r="O74" s="55">
        <f t="shared" si="73"/>
        <v>0</v>
      </c>
      <c r="P74" s="57"/>
    </row>
    <row r="75" spans="1:16" x14ac:dyDescent="0.25">
      <c r="A75" s="176">
        <v>2000</v>
      </c>
      <c r="B75" s="176" t="s">
        <v>94</v>
      </c>
      <c r="C75" s="177">
        <f t="shared" si="0"/>
        <v>417100</v>
      </c>
      <c r="D75" s="178">
        <f>SUM(D76,D83,D130,D164,D165,D172)</f>
        <v>900</v>
      </c>
      <c r="E75" s="179">
        <f t="shared" ref="E75:F75" si="74">SUM(E76,E83,E130,E164,E165,E172)</f>
        <v>0</v>
      </c>
      <c r="F75" s="180">
        <f t="shared" si="74"/>
        <v>900</v>
      </c>
      <c r="G75" s="178">
        <f>SUM(G76,G83,G130,G164,G165,G172)</f>
        <v>25620</v>
      </c>
      <c r="H75" s="179">
        <f t="shared" ref="H75:I75" si="75">SUM(H76,H83,H130,H164,H165,H172)</f>
        <v>0</v>
      </c>
      <c r="I75" s="180">
        <f t="shared" si="75"/>
        <v>25620</v>
      </c>
      <c r="J75" s="178">
        <f>SUM(J76,J83,J130,J164,J165,J172)</f>
        <v>395543</v>
      </c>
      <c r="K75" s="179">
        <f t="shared" ref="K75:L75" si="76">SUM(K76,K83,K130,K164,K165,K172)</f>
        <v>-4963</v>
      </c>
      <c r="L75" s="180">
        <f t="shared" si="76"/>
        <v>390580</v>
      </c>
      <c r="M75" s="178">
        <f>SUM(M76,M83,M130,M164,M165,M172)</f>
        <v>0</v>
      </c>
      <c r="N75" s="179">
        <f t="shared" ref="N75:O75" si="77">SUM(N76,N83,N130,N164,N165,N172)</f>
        <v>0</v>
      </c>
      <c r="O75" s="180">
        <f t="shared" si="77"/>
        <v>0</v>
      </c>
      <c r="P75" s="181"/>
    </row>
    <row r="76" spans="1:16" ht="24" x14ac:dyDescent="0.25">
      <c r="A76" s="68">
        <v>2100</v>
      </c>
      <c r="B76" s="182" t="s">
        <v>95</v>
      </c>
      <c r="C76" s="69">
        <f t="shared" si="0"/>
        <v>212</v>
      </c>
      <c r="D76" s="183">
        <f>SUM(D77,D80)</f>
        <v>0</v>
      </c>
      <c r="E76" s="184">
        <f t="shared" ref="E76:F76" si="78">SUM(E77,E80)</f>
        <v>0</v>
      </c>
      <c r="F76" s="72">
        <f t="shared" si="78"/>
        <v>0</v>
      </c>
      <c r="G76" s="183">
        <f>SUM(G77,G80)</f>
        <v>0</v>
      </c>
      <c r="H76" s="184">
        <f t="shared" ref="H76:I76" si="79">SUM(H77,H80)</f>
        <v>0</v>
      </c>
      <c r="I76" s="72">
        <f t="shared" si="79"/>
        <v>0</v>
      </c>
      <c r="J76" s="183">
        <f>SUM(J77,J80)</f>
        <v>212</v>
      </c>
      <c r="K76" s="184">
        <f t="shared" ref="K76:L76" si="80">SUM(K77,K80)</f>
        <v>0</v>
      </c>
      <c r="L76" s="72">
        <f t="shared" si="80"/>
        <v>212</v>
      </c>
      <c r="M76" s="183">
        <f>SUM(M77,M80)</f>
        <v>0</v>
      </c>
      <c r="N76" s="184">
        <f t="shared" ref="N76:O76" si="81">SUM(N77,N80)</f>
        <v>0</v>
      </c>
      <c r="O76" s="72">
        <f t="shared" si="81"/>
        <v>0</v>
      </c>
      <c r="P76" s="76"/>
    </row>
    <row r="77" spans="1:16" ht="24" x14ac:dyDescent="0.25">
      <c r="A77" s="191">
        <v>2110</v>
      </c>
      <c r="B77" s="81" t="s">
        <v>96</v>
      </c>
      <c r="C77" s="82">
        <f t="shared" si="0"/>
        <v>212</v>
      </c>
      <c r="D77" s="192">
        <f>SUM(D78:D79)</f>
        <v>0</v>
      </c>
      <c r="E77" s="193">
        <f t="shared" ref="E77:F77" si="82">SUM(E78:E79)</f>
        <v>0</v>
      </c>
      <c r="F77" s="133">
        <f t="shared" si="82"/>
        <v>0</v>
      </c>
      <c r="G77" s="192">
        <f>SUM(G78:G79)</f>
        <v>0</v>
      </c>
      <c r="H77" s="193">
        <f t="shared" ref="H77:I77" si="83">SUM(H78:H79)</f>
        <v>0</v>
      </c>
      <c r="I77" s="133">
        <f t="shared" si="83"/>
        <v>0</v>
      </c>
      <c r="J77" s="192">
        <f>SUM(J78:J79)</f>
        <v>212</v>
      </c>
      <c r="K77" s="193">
        <f t="shared" ref="K77:L77" si="84">SUM(K78:K79)</f>
        <v>0</v>
      </c>
      <c r="L77" s="133">
        <f t="shared" si="84"/>
        <v>212</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8" t="s">
        <v>98</v>
      </c>
      <c r="C79" s="89">
        <f t="shared" si="0"/>
        <v>212</v>
      </c>
      <c r="D79" s="194"/>
      <c r="E79" s="195"/>
      <c r="F79" s="55">
        <f t="shared" si="86"/>
        <v>0</v>
      </c>
      <c r="G79" s="53"/>
      <c r="H79" s="54"/>
      <c r="I79" s="55">
        <f t="shared" si="87"/>
        <v>0</v>
      </c>
      <c r="J79" s="53">
        <v>212</v>
      </c>
      <c r="K79" s="54"/>
      <c r="L79" s="55">
        <f t="shared" si="88"/>
        <v>212</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181910</v>
      </c>
      <c r="D83" s="183">
        <f>SUM(D84,D89,D95,D103,D112,D116,D122,D128)</f>
        <v>900</v>
      </c>
      <c r="E83" s="184">
        <f t="shared" ref="E83:F83" si="98">SUM(E84,E89,E95,E103,E112,E116,E122,E128)</f>
        <v>0</v>
      </c>
      <c r="F83" s="72">
        <f t="shared" si="98"/>
        <v>900</v>
      </c>
      <c r="G83" s="183">
        <f>SUM(G84,G89,G95,G103,G112,G116,G122,G128)</f>
        <v>25620</v>
      </c>
      <c r="H83" s="184">
        <f t="shared" ref="H83:I83" si="99">SUM(H84,H89,H95,H103,H112,H116,H122,H128)</f>
        <v>0</v>
      </c>
      <c r="I83" s="72">
        <f t="shared" si="99"/>
        <v>25620</v>
      </c>
      <c r="J83" s="183">
        <f>SUM(J84,J89,J95,J103,J112,J116,J122,J128)</f>
        <v>158468</v>
      </c>
      <c r="K83" s="184">
        <f t="shared" ref="K83:L83" si="100">SUM(K84,K89,K95,K103,K112,K116,K122,K128)</f>
        <v>-3078</v>
      </c>
      <c r="L83" s="72">
        <f t="shared" si="100"/>
        <v>155390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2272</v>
      </c>
      <c r="D84" s="186">
        <f>SUM(D85:D88)</f>
        <v>0</v>
      </c>
      <c r="E84" s="187">
        <f t="shared" ref="E84:F84" si="103">SUM(E85:E88)</f>
        <v>0</v>
      </c>
      <c r="F84" s="140">
        <f t="shared" si="103"/>
        <v>0</v>
      </c>
      <c r="G84" s="186">
        <f>SUM(G85:G88)</f>
        <v>0</v>
      </c>
      <c r="H84" s="187">
        <f t="shared" ref="H84:I84" si="104">SUM(H85:H88)</f>
        <v>0</v>
      </c>
      <c r="I84" s="140">
        <f t="shared" si="104"/>
        <v>0</v>
      </c>
      <c r="J84" s="186">
        <f>SUM(J85:J88)</f>
        <v>2272</v>
      </c>
      <c r="K84" s="187">
        <f t="shared" ref="K84:L84" si="105">SUM(K85:K88)</f>
        <v>0</v>
      </c>
      <c r="L84" s="140">
        <f t="shared" si="105"/>
        <v>2272</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41.25" customHeight="1" x14ac:dyDescent="0.25">
      <c r="A86" s="51">
        <v>2212</v>
      </c>
      <c r="B86" s="88" t="s">
        <v>103</v>
      </c>
      <c r="C86" s="89">
        <f t="shared" si="102"/>
        <v>1610</v>
      </c>
      <c r="D86" s="194"/>
      <c r="E86" s="195"/>
      <c r="F86" s="55">
        <f t="shared" si="107"/>
        <v>0</v>
      </c>
      <c r="G86" s="53"/>
      <c r="H86" s="54"/>
      <c r="I86" s="55">
        <f t="shared" si="108"/>
        <v>0</v>
      </c>
      <c r="J86" s="53">
        <v>1610</v>
      </c>
      <c r="K86" s="54"/>
      <c r="L86" s="55">
        <f t="shared" si="109"/>
        <v>1610</v>
      </c>
      <c r="M86" s="53"/>
      <c r="N86" s="54"/>
      <c r="O86" s="55">
        <f t="shared" si="110"/>
        <v>0</v>
      </c>
      <c r="P86" s="57"/>
    </row>
    <row r="87" spans="1:16" ht="23.25" customHeight="1" x14ac:dyDescent="0.25">
      <c r="A87" s="51">
        <v>2214</v>
      </c>
      <c r="B87" s="88" t="s">
        <v>104</v>
      </c>
      <c r="C87" s="89">
        <f t="shared" si="102"/>
        <v>444</v>
      </c>
      <c r="D87" s="194"/>
      <c r="E87" s="195"/>
      <c r="F87" s="55">
        <f t="shared" si="107"/>
        <v>0</v>
      </c>
      <c r="G87" s="53"/>
      <c r="H87" s="54"/>
      <c r="I87" s="55">
        <f t="shared" si="108"/>
        <v>0</v>
      </c>
      <c r="J87" s="53">
        <v>444</v>
      </c>
      <c r="K87" s="54"/>
      <c r="L87" s="55">
        <f t="shared" si="109"/>
        <v>444</v>
      </c>
      <c r="M87" s="53"/>
      <c r="N87" s="54"/>
      <c r="O87" s="55">
        <f t="shared" si="110"/>
        <v>0</v>
      </c>
      <c r="P87" s="57"/>
    </row>
    <row r="88" spans="1:16" ht="15" customHeight="1" x14ac:dyDescent="0.25">
      <c r="A88" s="51">
        <v>2219</v>
      </c>
      <c r="B88" s="88" t="s">
        <v>105</v>
      </c>
      <c r="C88" s="89">
        <f t="shared" si="102"/>
        <v>218</v>
      </c>
      <c r="D88" s="194"/>
      <c r="E88" s="195"/>
      <c r="F88" s="55">
        <f t="shared" si="107"/>
        <v>0</v>
      </c>
      <c r="G88" s="53"/>
      <c r="H88" s="54"/>
      <c r="I88" s="55">
        <f t="shared" si="108"/>
        <v>0</v>
      </c>
      <c r="J88" s="53">
        <v>218</v>
      </c>
      <c r="K88" s="54"/>
      <c r="L88" s="55">
        <f t="shared" si="109"/>
        <v>218</v>
      </c>
      <c r="M88" s="53"/>
      <c r="N88" s="54"/>
      <c r="O88" s="55">
        <f t="shared" si="110"/>
        <v>0</v>
      </c>
      <c r="P88" s="57"/>
    </row>
    <row r="89" spans="1:16" ht="24" x14ac:dyDescent="0.25">
      <c r="A89" s="188">
        <v>2220</v>
      </c>
      <c r="B89" s="88" t="s">
        <v>106</v>
      </c>
      <c r="C89" s="89">
        <f t="shared" si="102"/>
        <v>144685</v>
      </c>
      <c r="D89" s="189">
        <f>SUM(D90:D94)</f>
        <v>0</v>
      </c>
      <c r="E89" s="190">
        <f t="shared" ref="E89:F89" si="111">SUM(E90:E94)</f>
        <v>0</v>
      </c>
      <c r="F89" s="55">
        <f t="shared" si="111"/>
        <v>0</v>
      </c>
      <c r="G89" s="189">
        <f>SUM(G90:G94)</f>
        <v>25620</v>
      </c>
      <c r="H89" s="190">
        <f t="shared" ref="H89:I89" si="112">SUM(H90:H94)</f>
        <v>0</v>
      </c>
      <c r="I89" s="55">
        <f t="shared" si="112"/>
        <v>25620</v>
      </c>
      <c r="J89" s="189">
        <f>SUM(J90:J94)</f>
        <v>121842</v>
      </c>
      <c r="K89" s="190">
        <f t="shared" ref="K89:L89" si="113">SUM(K90:K94)</f>
        <v>-2777</v>
      </c>
      <c r="L89" s="55">
        <f t="shared" si="113"/>
        <v>119065</v>
      </c>
      <c r="M89" s="189">
        <f>SUM(M90:M94)</f>
        <v>0</v>
      </c>
      <c r="N89" s="190">
        <f t="shared" ref="N89:O89" si="114">SUM(N90:N94)</f>
        <v>0</v>
      </c>
      <c r="O89" s="55">
        <f t="shared" si="114"/>
        <v>0</v>
      </c>
      <c r="P89" s="57"/>
    </row>
    <row r="90" spans="1:16" ht="25.5" customHeight="1" x14ac:dyDescent="0.25">
      <c r="A90" s="51">
        <v>2221</v>
      </c>
      <c r="B90" s="88" t="s">
        <v>107</v>
      </c>
      <c r="C90" s="89">
        <f t="shared" si="102"/>
        <v>76178</v>
      </c>
      <c r="D90" s="194"/>
      <c r="E90" s="195"/>
      <c r="F90" s="55">
        <f t="shared" ref="F90:F94" si="115">D90+E90</f>
        <v>0</v>
      </c>
      <c r="G90" s="53">
        <v>25620</v>
      </c>
      <c r="H90" s="54"/>
      <c r="I90" s="55">
        <f t="shared" ref="I90:I94" si="116">G90+H90</f>
        <v>25620</v>
      </c>
      <c r="J90" s="53">
        <v>52016</v>
      </c>
      <c r="K90" s="54">
        <v>-1458</v>
      </c>
      <c r="L90" s="55">
        <f t="shared" ref="L90:L94" si="117">K90+J90</f>
        <v>50558</v>
      </c>
      <c r="M90" s="53"/>
      <c r="N90" s="54"/>
      <c r="O90" s="55">
        <f t="shared" ref="O90:O94" si="118">N90+M90</f>
        <v>0</v>
      </c>
      <c r="P90" s="57" t="s">
        <v>384</v>
      </c>
    </row>
    <row r="91" spans="1:16" ht="18" customHeight="1" x14ac:dyDescent="0.25">
      <c r="A91" s="51">
        <v>2222</v>
      </c>
      <c r="B91" s="88" t="s">
        <v>108</v>
      </c>
      <c r="C91" s="89">
        <f t="shared" si="102"/>
        <v>28047</v>
      </c>
      <c r="D91" s="194"/>
      <c r="E91" s="195"/>
      <c r="F91" s="55">
        <f t="shared" si="115"/>
        <v>0</v>
      </c>
      <c r="G91" s="53"/>
      <c r="H91" s="54"/>
      <c r="I91" s="55">
        <f t="shared" si="116"/>
        <v>0</v>
      </c>
      <c r="J91" s="53">
        <v>28584</v>
      </c>
      <c r="K91" s="54">
        <v>-537</v>
      </c>
      <c r="L91" s="55">
        <f t="shared" si="117"/>
        <v>28047</v>
      </c>
      <c r="M91" s="53"/>
      <c r="N91" s="54"/>
      <c r="O91" s="55">
        <f t="shared" si="118"/>
        <v>0</v>
      </c>
      <c r="P91" s="57" t="s">
        <v>385</v>
      </c>
    </row>
    <row r="92" spans="1:16" ht="15" customHeight="1" x14ac:dyDescent="0.25">
      <c r="A92" s="51">
        <v>2223</v>
      </c>
      <c r="B92" s="88" t="s">
        <v>109</v>
      </c>
      <c r="C92" s="89">
        <f t="shared" si="102"/>
        <v>34429</v>
      </c>
      <c r="D92" s="194"/>
      <c r="E92" s="195"/>
      <c r="F92" s="55">
        <f t="shared" si="115"/>
        <v>0</v>
      </c>
      <c r="G92" s="53"/>
      <c r="H92" s="54"/>
      <c r="I92" s="55">
        <f t="shared" si="116"/>
        <v>0</v>
      </c>
      <c r="J92" s="53">
        <v>35143</v>
      </c>
      <c r="K92" s="54">
        <v>-714</v>
      </c>
      <c r="L92" s="55">
        <f t="shared" si="117"/>
        <v>34429</v>
      </c>
      <c r="M92" s="53"/>
      <c r="N92" s="54"/>
      <c r="O92" s="55">
        <f t="shared" si="118"/>
        <v>0</v>
      </c>
      <c r="P92" s="57" t="s">
        <v>386</v>
      </c>
    </row>
    <row r="93" spans="1:16" ht="49.5" customHeight="1" x14ac:dyDescent="0.25">
      <c r="A93" s="51">
        <v>2224</v>
      </c>
      <c r="B93" s="88" t="s">
        <v>110</v>
      </c>
      <c r="C93" s="89">
        <f t="shared" si="102"/>
        <v>6031</v>
      </c>
      <c r="D93" s="194"/>
      <c r="E93" s="195"/>
      <c r="F93" s="55">
        <f t="shared" si="115"/>
        <v>0</v>
      </c>
      <c r="G93" s="53"/>
      <c r="H93" s="54"/>
      <c r="I93" s="55">
        <f t="shared" si="116"/>
        <v>0</v>
      </c>
      <c r="J93" s="53">
        <v>6099</v>
      </c>
      <c r="K93" s="54">
        <v>-68</v>
      </c>
      <c r="L93" s="55">
        <f t="shared" si="117"/>
        <v>6031</v>
      </c>
      <c r="M93" s="53"/>
      <c r="N93" s="54"/>
      <c r="O93" s="55">
        <f t="shared" si="118"/>
        <v>0</v>
      </c>
      <c r="P93" s="57" t="s">
        <v>387</v>
      </c>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4133</v>
      </c>
      <c r="D95" s="189">
        <f>SUM(D96:D102)</f>
        <v>0</v>
      </c>
      <c r="E95" s="190">
        <f t="shared" ref="E95:F95" si="119">SUM(E96:E102)</f>
        <v>0</v>
      </c>
      <c r="F95" s="55">
        <f t="shared" si="119"/>
        <v>0</v>
      </c>
      <c r="G95" s="189">
        <f>SUM(G96:G102)</f>
        <v>0</v>
      </c>
      <c r="H95" s="190">
        <f t="shared" ref="H95:I95" si="120">SUM(H96:H102)</f>
        <v>0</v>
      </c>
      <c r="I95" s="55">
        <f t="shared" si="120"/>
        <v>0</v>
      </c>
      <c r="J95" s="189">
        <f>SUM(J96:J102)</f>
        <v>4133</v>
      </c>
      <c r="K95" s="190">
        <f t="shared" ref="K95:L95" si="121">SUM(K96:K102)</f>
        <v>0</v>
      </c>
      <c r="L95" s="55">
        <f t="shared" si="121"/>
        <v>4133</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1110</v>
      </c>
      <c r="D100" s="194"/>
      <c r="E100" s="195"/>
      <c r="F100" s="55">
        <f t="shared" si="123"/>
        <v>0</v>
      </c>
      <c r="G100" s="53"/>
      <c r="H100" s="54"/>
      <c r="I100" s="55">
        <f t="shared" si="124"/>
        <v>0</v>
      </c>
      <c r="J100" s="53">
        <v>1110</v>
      </c>
      <c r="K100" s="54"/>
      <c r="L100" s="55">
        <f t="shared" si="125"/>
        <v>1110</v>
      </c>
      <c r="M100" s="53"/>
      <c r="N100" s="54"/>
      <c r="O100" s="55">
        <f t="shared" si="126"/>
        <v>0</v>
      </c>
      <c r="P100" s="57"/>
    </row>
    <row r="101" spans="1:16" ht="12" customHeight="1" x14ac:dyDescent="0.25">
      <c r="A101" s="51">
        <v>2236</v>
      </c>
      <c r="B101" s="88" t="s">
        <v>118</v>
      </c>
      <c r="C101" s="89">
        <f t="shared" si="102"/>
        <v>458</v>
      </c>
      <c r="D101" s="194"/>
      <c r="E101" s="195"/>
      <c r="F101" s="55">
        <f t="shared" si="123"/>
        <v>0</v>
      </c>
      <c r="G101" s="53"/>
      <c r="H101" s="54"/>
      <c r="I101" s="55">
        <f t="shared" si="124"/>
        <v>0</v>
      </c>
      <c r="J101" s="53">
        <v>458</v>
      </c>
      <c r="K101" s="54"/>
      <c r="L101" s="55">
        <f t="shared" si="125"/>
        <v>458</v>
      </c>
      <c r="M101" s="53"/>
      <c r="N101" s="54"/>
      <c r="O101" s="55">
        <f t="shared" si="126"/>
        <v>0</v>
      </c>
      <c r="P101" s="57"/>
    </row>
    <row r="102" spans="1:16" ht="24" customHeight="1" x14ac:dyDescent="0.25">
      <c r="A102" s="51">
        <v>2239</v>
      </c>
      <c r="B102" s="88" t="s">
        <v>119</v>
      </c>
      <c r="C102" s="89">
        <f t="shared" si="102"/>
        <v>2565</v>
      </c>
      <c r="D102" s="194"/>
      <c r="E102" s="195"/>
      <c r="F102" s="55">
        <f t="shared" si="123"/>
        <v>0</v>
      </c>
      <c r="G102" s="53"/>
      <c r="H102" s="54"/>
      <c r="I102" s="55">
        <f t="shared" si="124"/>
        <v>0</v>
      </c>
      <c r="J102" s="53">
        <v>2565</v>
      </c>
      <c r="K102" s="54"/>
      <c r="L102" s="55">
        <f t="shared" si="125"/>
        <v>2565</v>
      </c>
      <c r="M102" s="53"/>
      <c r="N102" s="54"/>
      <c r="O102" s="55">
        <f t="shared" si="126"/>
        <v>0</v>
      </c>
      <c r="P102" s="57"/>
    </row>
    <row r="103" spans="1:16" ht="36" x14ac:dyDescent="0.25">
      <c r="A103" s="188">
        <v>2240</v>
      </c>
      <c r="B103" s="88" t="s">
        <v>120</v>
      </c>
      <c r="C103" s="89">
        <f t="shared" si="102"/>
        <v>20831</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21132</v>
      </c>
      <c r="K103" s="190">
        <f t="shared" ref="K103:L103" si="129">SUM(K104:K111)</f>
        <v>-301</v>
      </c>
      <c r="L103" s="55">
        <f t="shared" si="129"/>
        <v>20831</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customHeight="1" x14ac:dyDescent="0.25">
      <c r="A105" s="51">
        <v>2242</v>
      </c>
      <c r="B105" s="88" t="s">
        <v>122</v>
      </c>
      <c r="C105" s="89">
        <f t="shared" si="102"/>
        <v>1813</v>
      </c>
      <c r="D105" s="194"/>
      <c r="E105" s="195"/>
      <c r="F105" s="55">
        <f t="shared" si="131"/>
        <v>0</v>
      </c>
      <c r="G105" s="53"/>
      <c r="H105" s="54"/>
      <c r="I105" s="55">
        <f t="shared" si="132"/>
        <v>0</v>
      </c>
      <c r="J105" s="53">
        <v>1813</v>
      </c>
      <c r="K105" s="54"/>
      <c r="L105" s="55">
        <f t="shared" si="133"/>
        <v>1813</v>
      </c>
      <c r="M105" s="53"/>
      <c r="N105" s="54"/>
      <c r="O105" s="55">
        <f t="shared" si="134"/>
        <v>0</v>
      </c>
      <c r="P105" s="57"/>
    </row>
    <row r="106" spans="1:16" ht="24" customHeight="1" x14ac:dyDescent="0.25">
      <c r="A106" s="51">
        <v>2243</v>
      </c>
      <c r="B106" s="88" t="s">
        <v>123</v>
      </c>
      <c r="C106" s="89">
        <f t="shared" si="102"/>
        <v>1188</v>
      </c>
      <c r="D106" s="194"/>
      <c r="E106" s="195"/>
      <c r="F106" s="55">
        <f t="shared" si="131"/>
        <v>0</v>
      </c>
      <c r="G106" s="53"/>
      <c r="H106" s="54"/>
      <c r="I106" s="55">
        <f t="shared" si="132"/>
        <v>0</v>
      </c>
      <c r="J106" s="53">
        <v>1188</v>
      </c>
      <c r="K106" s="54"/>
      <c r="L106" s="55">
        <f t="shared" si="133"/>
        <v>1188</v>
      </c>
      <c r="M106" s="53"/>
      <c r="N106" s="54"/>
      <c r="O106" s="55">
        <f t="shared" si="134"/>
        <v>0</v>
      </c>
      <c r="P106" s="57"/>
    </row>
    <row r="107" spans="1:16" ht="18" customHeight="1" x14ac:dyDescent="0.25">
      <c r="A107" s="51">
        <v>2244</v>
      </c>
      <c r="B107" s="88" t="s">
        <v>124</v>
      </c>
      <c r="C107" s="89">
        <f t="shared" si="102"/>
        <v>7171</v>
      </c>
      <c r="D107" s="194"/>
      <c r="E107" s="195"/>
      <c r="F107" s="55">
        <f t="shared" si="131"/>
        <v>0</v>
      </c>
      <c r="G107" s="53"/>
      <c r="H107" s="54"/>
      <c r="I107" s="55">
        <f t="shared" si="132"/>
        <v>0</v>
      </c>
      <c r="J107" s="53">
        <v>7343</v>
      </c>
      <c r="K107" s="54">
        <v>-172</v>
      </c>
      <c r="L107" s="55">
        <f t="shared" si="133"/>
        <v>7171</v>
      </c>
      <c r="M107" s="53"/>
      <c r="N107" s="54"/>
      <c r="O107" s="55">
        <f t="shared" si="134"/>
        <v>0</v>
      </c>
      <c r="P107" s="57" t="s">
        <v>388</v>
      </c>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7.75" customHeight="1" x14ac:dyDescent="0.25">
      <c r="A111" s="51">
        <v>2249</v>
      </c>
      <c r="B111" s="88" t="s">
        <v>128</v>
      </c>
      <c r="C111" s="89">
        <f t="shared" si="102"/>
        <v>10659</v>
      </c>
      <c r="D111" s="194"/>
      <c r="E111" s="195"/>
      <c r="F111" s="55">
        <f t="shared" si="131"/>
        <v>0</v>
      </c>
      <c r="G111" s="53"/>
      <c r="H111" s="54"/>
      <c r="I111" s="55">
        <f t="shared" si="132"/>
        <v>0</v>
      </c>
      <c r="J111" s="53">
        <v>10788</v>
      </c>
      <c r="K111" s="54">
        <v>-129</v>
      </c>
      <c r="L111" s="55">
        <f t="shared" si="133"/>
        <v>10659</v>
      </c>
      <c r="M111" s="53"/>
      <c r="N111" s="54"/>
      <c r="O111" s="55">
        <f t="shared" si="134"/>
        <v>0</v>
      </c>
      <c r="P111" s="57" t="s">
        <v>389</v>
      </c>
    </row>
    <row r="112" spans="1:16" x14ac:dyDescent="0.25">
      <c r="A112" s="188">
        <v>2250</v>
      </c>
      <c r="B112" s="88" t="s">
        <v>129</v>
      </c>
      <c r="C112" s="89">
        <f t="shared" si="102"/>
        <v>653</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653</v>
      </c>
      <c r="K112" s="190">
        <f t="shared" ref="K112:L112" si="137">SUM(K113:K115)</f>
        <v>0</v>
      </c>
      <c r="L112" s="55">
        <f t="shared" si="137"/>
        <v>653</v>
      </c>
      <c r="M112" s="189">
        <f>SUM(M113:M115)</f>
        <v>0</v>
      </c>
      <c r="N112" s="190">
        <f t="shared" ref="N112:O112" si="138">SUM(N113:N115)</f>
        <v>0</v>
      </c>
      <c r="O112" s="55">
        <f t="shared" si="138"/>
        <v>0</v>
      </c>
      <c r="P112" s="57"/>
    </row>
    <row r="113" spans="1:16" ht="12" customHeight="1" x14ac:dyDescent="0.25">
      <c r="A113" s="51">
        <v>2251</v>
      </c>
      <c r="B113" s="88" t="s">
        <v>130</v>
      </c>
      <c r="C113" s="89">
        <f t="shared" si="102"/>
        <v>365</v>
      </c>
      <c r="D113" s="194"/>
      <c r="E113" s="195"/>
      <c r="F113" s="55">
        <f t="shared" ref="F113:F115" si="139">D113+E113</f>
        <v>0</v>
      </c>
      <c r="G113" s="53"/>
      <c r="H113" s="54"/>
      <c r="I113" s="55">
        <f t="shared" ref="I113:I115" si="140">G113+H113</f>
        <v>0</v>
      </c>
      <c r="J113" s="53">
        <v>365</v>
      </c>
      <c r="K113" s="54"/>
      <c r="L113" s="55">
        <f t="shared" ref="L113:L115" si="141">K113+J113</f>
        <v>365</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8" t="s">
        <v>132</v>
      </c>
      <c r="C115" s="89">
        <f t="shared" si="102"/>
        <v>288</v>
      </c>
      <c r="D115" s="194"/>
      <c r="E115" s="195"/>
      <c r="F115" s="55">
        <f t="shared" si="139"/>
        <v>0</v>
      </c>
      <c r="G115" s="53"/>
      <c r="H115" s="54"/>
      <c r="I115" s="55">
        <f t="shared" si="140"/>
        <v>0</v>
      </c>
      <c r="J115" s="53">
        <v>288</v>
      </c>
      <c r="K115" s="54"/>
      <c r="L115" s="55">
        <f t="shared" si="141"/>
        <v>288</v>
      </c>
      <c r="M115" s="53"/>
      <c r="N115" s="54"/>
      <c r="O115" s="55">
        <f t="shared" si="142"/>
        <v>0</v>
      </c>
      <c r="P115" s="57"/>
    </row>
    <row r="116" spans="1:16" x14ac:dyDescent="0.25">
      <c r="A116" s="188">
        <v>2260</v>
      </c>
      <c r="B116" s="88" t="s">
        <v>133</v>
      </c>
      <c r="C116" s="89">
        <f t="shared" si="102"/>
        <v>389</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389</v>
      </c>
      <c r="K116" s="190">
        <f t="shared" ref="K116:L116" si="145">SUM(K117:K121)</f>
        <v>0</v>
      </c>
      <c r="L116" s="55">
        <f t="shared" si="145"/>
        <v>389</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8" t="s">
        <v>135</v>
      </c>
      <c r="C118" s="89">
        <f t="shared" si="102"/>
        <v>285</v>
      </c>
      <c r="D118" s="194"/>
      <c r="E118" s="195"/>
      <c r="F118" s="55">
        <f t="shared" si="147"/>
        <v>0</v>
      </c>
      <c r="G118" s="53"/>
      <c r="H118" s="54"/>
      <c r="I118" s="55">
        <f t="shared" si="148"/>
        <v>0</v>
      </c>
      <c r="J118" s="53">
        <v>285</v>
      </c>
      <c r="K118" s="54"/>
      <c r="L118" s="55">
        <f t="shared" si="149"/>
        <v>285</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8" t="s">
        <v>138</v>
      </c>
      <c r="C121" s="89">
        <f t="shared" si="102"/>
        <v>104</v>
      </c>
      <c r="D121" s="194"/>
      <c r="E121" s="195"/>
      <c r="F121" s="55">
        <f t="shared" si="147"/>
        <v>0</v>
      </c>
      <c r="G121" s="53"/>
      <c r="H121" s="54"/>
      <c r="I121" s="55">
        <f t="shared" si="148"/>
        <v>0</v>
      </c>
      <c r="J121" s="53">
        <v>104</v>
      </c>
      <c r="K121" s="54"/>
      <c r="L121" s="55">
        <f t="shared" si="149"/>
        <v>104</v>
      </c>
      <c r="M121" s="53"/>
      <c r="N121" s="54"/>
      <c r="O121" s="55">
        <f t="shared" si="150"/>
        <v>0</v>
      </c>
      <c r="P121" s="57"/>
    </row>
    <row r="122" spans="1:16" x14ac:dyDescent="0.25">
      <c r="A122" s="188">
        <v>2270</v>
      </c>
      <c r="B122" s="88" t="s">
        <v>139</v>
      </c>
      <c r="C122" s="89">
        <f t="shared" si="102"/>
        <v>8947</v>
      </c>
      <c r="D122" s="189">
        <f>SUM(D123:D127)</f>
        <v>900</v>
      </c>
      <c r="E122" s="190">
        <f t="shared" ref="E122:F122" si="151">SUM(E123:E127)</f>
        <v>0</v>
      </c>
      <c r="F122" s="55">
        <f t="shared" si="151"/>
        <v>900</v>
      </c>
      <c r="G122" s="189">
        <f>SUM(G123:G127)</f>
        <v>0</v>
      </c>
      <c r="H122" s="190">
        <f t="shared" ref="H122:I122" si="152">SUM(H123:H127)</f>
        <v>0</v>
      </c>
      <c r="I122" s="55">
        <f t="shared" si="152"/>
        <v>0</v>
      </c>
      <c r="J122" s="189">
        <f>SUM(J123:J127)</f>
        <v>8047</v>
      </c>
      <c r="K122" s="190">
        <f t="shared" ref="K122:L122" si="153">SUM(K123:K127)</f>
        <v>0</v>
      </c>
      <c r="L122" s="55">
        <f t="shared" si="153"/>
        <v>8047</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8947</v>
      </c>
      <c r="D127" s="194">
        <v>900</v>
      </c>
      <c r="E127" s="195"/>
      <c r="F127" s="55">
        <f t="shared" si="155"/>
        <v>900</v>
      </c>
      <c r="G127" s="53"/>
      <c r="H127" s="54"/>
      <c r="I127" s="55">
        <f t="shared" si="156"/>
        <v>0</v>
      </c>
      <c r="J127" s="53">
        <v>8047</v>
      </c>
      <c r="K127" s="54"/>
      <c r="L127" s="55">
        <f t="shared" si="157"/>
        <v>8047</v>
      </c>
      <c r="M127" s="53"/>
      <c r="N127" s="54"/>
      <c r="O127" s="55">
        <f t="shared" si="158"/>
        <v>0</v>
      </c>
      <c r="P127" s="57"/>
    </row>
    <row r="128" spans="1:16" ht="48" hidden="1" x14ac:dyDescent="0.25">
      <c r="A128" s="19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233185</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235070</v>
      </c>
      <c r="K130" s="184">
        <f t="shared" ref="K130:L130" si="162">SUM(K131,K136,K140,K141,K144,K151,K159,K160,K163)</f>
        <v>-1885</v>
      </c>
      <c r="L130" s="72">
        <f t="shared" si="162"/>
        <v>233185</v>
      </c>
      <c r="M130" s="183">
        <f>SUM(M131,M136,M140,M141,M144,M151,M159,M160,M163)</f>
        <v>0</v>
      </c>
      <c r="N130" s="184">
        <f t="shared" ref="N130:O130" si="163">SUM(N131,N136,N140,N141,N144,N151,N159,N160,N163)</f>
        <v>0</v>
      </c>
      <c r="O130" s="72">
        <f t="shared" si="163"/>
        <v>0</v>
      </c>
      <c r="P130" s="76"/>
    </row>
    <row r="131" spans="1:16" ht="24" x14ac:dyDescent="0.25">
      <c r="A131" s="191">
        <v>2310</v>
      </c>
      <c r="B131" s="81" t="s">
        <v>148</v>
      </c>
      <c r="C131" s="82">
        <f t="shared" si="102"/>
        <v>11945</v>
      </c>
      <c r="D131" s="192">
        <f t="shared" ref="D131:O131" si="164">SUM(D132:D135)</f>
        <v>0</v>
      </c>
      <c r="E131" s="193">
        <f t="shared" si="164"/>
        <v>0</v>
      </c>
      <c r="F131" s="133">
        <f t="shared" si="164"/>
        <v>0</v>
      </c>
      <c r="G131" s="192">
        <f t="shared" si="164"/>
        <v>0</v>
      </c>
      <c r="H131" s="193">
        <f t="shared" si="164"/>
        <v>0</v>
      </c>
      <c r="I131" s="133">
        <f t="shared" si="164"/>
        <v>0</v>
      </c>
      <c r="J131" s="192">
        <f t="shared" si="164"/>
        <v>9665</v>
      </c>
      <c r="K131" s="193">
        <f t="shared" si="164"/>
        <v>2280</v>
      </c>
      <c r="L131" s="133">
        <f t="shared" si="164"/>
        <v>11945</v>
      </c>
      <c r="M131" s="192">
        <f t="shared" si="164"/>
        <v>0</v>
      </c>
      <c r="N131" s="193">
        <f t="shared" si="164"/>
        <v>0</v>
      </c>
      <c r="O131" s="133">
        <f t="shared" si="164"/>
        <v>0</v>
      </c>
      <c r="P131" s="49"/>
    </row>
    <row r="132" spans="1:16" ht="12" customHeight="1" x14ac:dyDescent="0.25">
      <c r="A132" s="51">
        <v>2311</v>
      </c>
      <c r="B132" s="88" t="s">
        <v>149</v>
      </c>
      <c r="C132" s="89">
        <f t="shared" si="102"/>
        <v>2000</v>
      </c>
      <c r="D132" s="194"/>
      <c r="E132" s="195"/>
      <c r="F132" s="55">
        <f t="shared" ref="F132:F135" si="165">D132+E132</f>
        <v>0</v>
      </c>
      <c r="G132" s="53"/>
      <c r="H132" s="54"/>
      <c r="I132" s="55">
        <f t="shared" ref="I132:I135" si="166">G132+H132</f>
        <v>0</v>
      </c>
      <c r="J132" s="53">
        <v>2000</v>
      </c>
      <c r="K132" s="54"/>
      <c r="L132" s="55">
        <f t="shared" ref="L132:L135" si="167">K132+J132</f>
        <v>2000</v>
      </c>
      <c r="M132" s="53"/>
      <c r="N132" s="54"/>
      <c r="O132" s="55">
        <f t="shared" ref="O132:O135" si="168">N132+M132</f>
        <v>0</v>
      </c>
      <c r="P132" s="57"/>
    </row>
    <row r="133" spans="1:16" ht="14.25" customHeight="1" x14ac:dyDescent="0.25">
      <c r="A133" s="51">
        <v>2312</v>
      </c>
      <c r="B133" s="88" t="s">
        <v>150</v>
      </c>
      <c r="C133" s="89">
        <f t="shared" si="102"/>
        <v>6075</v>
      </c>
      <c r="D133" s="194"/>
      <c r="E133" s="195"/>
      <c r="F133" s="55">
        <f t="shared" si="165"/>
        <v>0</v>
      </c>
      <c r="G133" s="53"/>
      <c r="H133" s="54"/>
      <c r="I133" s="55">
        <f t="shared" si="166"/>
        <v>0</v>
      </c>
      <c r="J133" s="53">
        <v>3795</v>
      </c>
      <c r="K133" s="54">
        <v>2280</v>
      </c>
      <c r="L133" s="55">
        <f t="shared" si="167"/>
        <v>6075</v>
      </c>
      <c r="M133" s="53"/>
      <c r="N133" s="54"/>
      <c r="O133" s="55">
        <f t="shared" si="168"/>
        <v>0</v>
      </c>
      <c r="P133" s="57" t="s">
        <v>390</v>
      </c>
    </row>
    <row r="134" spans="1:16" ht="12" customHeight="1" x14ac:dyDescent="0.25">
      <c r="A134" s="51">
        <v>2313</v>
      </c>
      <c r="B134" s="88" t="s">
        <v>151</v>
      </c>
      <c r="C134" s="89">
        <f t="shared" si="102"/>
        <v>2460</v>
      </c>
      <c r="D134" s="194"/>
      <c r="E134" s="195"/>
      <c r="F134" s="55">
        <f t="shared" si="165"/>
        <v>0</v>
      </c>
      <c r="G134" s="53"/>
      <c r="H134" s="54"/>
      <c r="I134" s="55">
        <f t="shared" si="166"/>
        <v>0</v>
      </c>
      <c r="J134" s="53">
        <v>2460</v>
      </c>
      <c r="K134" s="54"/>
      <c r="L134" s="55">
        <f t="shared" si="167"/>
        <v>2460</v>
      </c>
      <c r="M134" s="53"/>
      <c r="N134" s="54"/>
      <c r="O134" s="55">
        <f t="shared" si="168"/>
        <v>0</v>
      </c>
      <c r="P134" s="57"/>
    </row>
    <row r="135" spans="1:16" ht="36" customHeight="1" x14ac:dyDescent="0.25">
      <c r="A135" s="51">
        <v>2314</v>
      </c>
      <c r="B135" s="88" t="s">
        <v>152</v>
      </c>
      <c r="C135" s="89">
        <f t="shared" si="102"/>
        <v>1410</v>
      </c>
      <c r="D135" s="194"/>
      <c r="E135" s="195"/>
      <c r="F135" s="55">
        <f t="shared" si="165"/>
        <v>0</v>
      </c>
      <c r="G135" s="53"/>
      <c r="H135" s="54"/>
      <c r="I135" s="55">
        <f t="shared" si="166"/>
        <v>0</v>
      </c>
      <c r="J135" s="53">
        <v>1410</v>
      </c>
      <c r="K135" s="54"/>
      <c r="L135" s="55">
        <f t="shared" si="167"/>
        <v>1410</v>
      </c>
      <c r="M135" s="53"/>
      <c r="N135" s="54"/>
      <c r="O135" s="55">
        <f t="shared" si="168"/>
        <v>0</v>
      </c>
      <c r="P135" s="57"/>
    </row>
    <row r="136" spans="1:16" x14ac:dyDescent="0.25">
      <c r="A136" s="188">
        <v>2320</v>
      </c>
      <c r="B136" s="88" t="s">
        <v>153</v>
      </c>
      <c r="C136" s="89">
        <f t="shared" si="102"/>
        <v>1939</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1939</v>
      </c>
      <c r="K136" s="190">
        <f t="shared" ref="K136:L136" si="171">SUM(K137:K139)</f>
        <v>0</v>
      </c>
      <c r="L136" s="55">
        <f t="shared" si="171"/>
        <v>1939</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4.25" customHeight="1" x14ac:dyDescent="0.25">
      <c r="A138" s="51">
        <v>2322</v>
      </c>
      <c r="B138" s="88" t="s">
        <v>155</v>
      </c>
      <c r="C138" s="89">
        <f t="shared" si="102"/>
        <v>1939</v>
      </c>
      <c r="D138" s="194"/>
      <c r="E138" s="195"/>
      <c r="F138" s="55">
        <f t="shared" si="173"/>
        <v>0</v>
      </c>
      <c r="G138" s="53"/>
      <c r="H138" s="54"/>
      <c r="I138" s="55">
        <f t="shared" si="174"/>
        <v>0</v>
      </c>
      <c r="J138" s="53">
        <v>1939</v>
      </c>
      <c r="K138" s="54"/>
      <c r="L138" s="55">
        <f t="shared" si="175"/>
        <v>1939</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11574</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11803</v>
      </c>
      <c r="K141" s="190">
        <f t="shared" ref="K141:L141" si="179">SUM(K142:K143)</f>
        <v>-229</v>
      </c>
      <c r="L141" s="55">
        <f t="shared" si="179"/>
        <v>11574</v>
      </c>
      <c r="M141" s="189">
        <f>SUM(M142:M143)</f>
        <v>0</v>
      </c>
      <c r="N141" s="190">
        <f t="shared" ref="N141:O141" si="180">SUM(N142:N143)</f>
        <v>0</v>
      </c>
      <c r="O141" s="55">
        <f t="shared" si="180"/>
        <v>0</v>
      </c>
      <c r="P141" s="57"/>
    </row>
    <row r="142" spans="1:16" ht="15" customHeight="1" x14ac:dyDescent="0.25">
      <c r="A142" s="51">
        <v>2341</v>
      </c>
      <c r="B142" s="88" t="s">
        <v>159</v>
      </c>
      <c r="C142" s="89">
        <f t="shared" si="102"/>
        <v>11574</v>
      </c>
      <c r="D142" s="194"/>
      <c r="E142" s="195"/>
      <c r="F142" s="55">
        <f t="shared" ref="F142:F143" si="181">D142+E142</f>
        <v>0</v>
      </c>
      <c r="G142" s="53"/>
      <c r="H142" s="54"/>
      <c r="I142" s="55">
        <f t="shared" ref="I142:I143" si="182">G142+H142</f>
        <v>0</v>
      </c>
      <c r="J142" s="53">
        <v>11803</v>
      </c>
      <c r="K142" s="54">
        <v>-229</v>
      </c>
      <c r="L142" s="55">
        <f t="shared" ref="L142:L143" si="183">K142+J142</f>
        <v>11574</v>
      </c>
      <c r="M142" s="53"/>
      <c r="N142" s="54"/>
      <c r="O142" s="55">
        <f t="shared" ref="O142:O143" si="184">N142+M142</f>
        <v>0</v>
      </c>
      <c r="P142" s="57" t="s">
        <v>391</v>
      </c>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20804</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21004</v>
      </c>
      <c r="K144" s="187">
        <f t="shared" ref="K144:L144" si="187">SUM(K145:K150)</f>
        <v>-200</v>
      </c>
      <c r="L144" s="140">
        <f t="shared" si="187"/>
        <v>20804</v>
      </c>
      <c r="M144" s="186">
        <f>SUM(M145:M150)</f>
        <v>0</v>
      </c>
      <c r="N144" s="187">
        <f t="shared" ref="N144:O144" si="188">SUM(N145:N150)</f>
        <v>0</v>
      </c>
      <c r="O144" s="140">
        <f t="shared" si="188"/>
        <v>0</v>
      </c>
      <c r="P144" s="128"/>
    </row>
    <row r="145" spans="1:16" ht="15" customHeight="1" x14ac:dyDescent="0.25">
      <c r="A145" s="44">
        <v>2351</v>
      </c>
      <c r="B145" s="81" t="s">
        <v>162</v>
      </c>
      <c r="C145" s="82">
        <f t="shared" si="102"/>
        <v>9543</v>
      </c>
      <c r="D145" s="196"/>
      <c r="E145" s="197"/>
      <c r="F145" s="133">
        <f t="shared" ref="F145:F150" si="189">D145+E145</f>
        <v>0</v>
      </c>
      <c r="G145" s="46"/>
      <c r="H145" s="47"/>
      <c r="I145" s="133">
        <f t="shared" ref="I145:I150" si="190">G145+H145</f>
        <v>0</v>
      </c>
      <c r="J145" s="46">
        <v>9543</v>
      </c>
      <c r="K145" s="47"/>
      <c r="L145" s="133">
        <f t="shared" ref="L145:L150" si="191">K145+J145</f>
        <v>9543</v>
      </c>
      <c r="M145" s="46"/>
      <c r="N145" s="47"/>
      <c r="O145" s="133">
        <f t="shared" ref="O145:O150" si="192">N145+M145</f>
        <v>0</v>
      </c>
      <c r="P145" s="49"/>
    </row>
    <row r="146" spans="1:16" ht="12.75" customHeight="1" x14ac:dyDescent="0.25">
      <c r="A146" s="51">
        <v>2352</v>
      </c>
      <c r="B146" s="88" t="s">
        <v>163</v>
      </c>
      <c r="C146" s="89">
        <f t="shared" si="102"/>
        <v>9592</v>
      </c>
      <c r="D146" s="194"/>
      <c r="E146" s="195"/>
      <c r="F146" s="55">
        <f t="shared" si="189"/>
        <v>0</v>
      </c>
      <c r="G146" s="53"/>
      <c r="H146" s="54"/>
      <c r="I146" s="55">
        <f t="shared" si="190"/>
        <v>0</v>
      </c>
      <c r="J146" s="53">
        <v>9792</v>
      </c>
      <c r="K146" s="54">
        <v>-200</v>
      </c>
      <c r="L146" s="55">
        <f t="shared" si="191"/>
        <v>9592</v>
      </c>
      <c r="M146" s="53"/>
      <c r="N146" s="54"/>
      <c r="O146" s="55">
        <f t="shared" si="192"/>
        <v>0</v>
      </c>
      <c r="P146" s="57" t="s">
        <v>392</v>
      </c>
    </row>
    <row r="147" spans="1:16" ht="24" customHeight="1" x14ac:dyDescent="0.25">
      <c r="A147" s="51">
        <v>2353</v>
      </c>
      <c r="B147" s="88" t="s">
        <v>164</v>
      </c>
      <c r="C147" s="89">
        <f t="shared" si="102"/>
        <v>1395</v>
      </c>
      <c r="D147" s="194"/>
      <c r="E147" s="195"/>
      <c r="F147" s="55">
        <f t="shared" si="189"/>
        <v>0</v>
      </c>
      <c r="G147" s="53"/>
      <c r="H147" s="54"/>
      <c r="I147" s="55">
        <f t="shared" si="190"/>
        <v>0</v>
      </c>
      <c r="J147" s="53">
        <v>1395</v>
      </c>
      <c r="K147" s="54"/>
      <c r="L147" s="55">
        <f t="shared" si="191"/>
        <v>1395</v>
      </c>
      <c r="M147" s="53"/>
      <c r="N147" s="54"/>
      <c r="O147" s="55">
        <f t="shared" si="192"/>
        <v>0</v>
      </c>
      <c r="P147" s="57"/>
    </row>
    <row r="148" spans="1:16" ht="24" customHeight="1" x14ac:dyDescent="0.25">
      <c r="A148" s="51">
        <v>2354</v>
      </c>
      <c r="B148" s="88" t="s">
        <v>165</v>
      </c>
      <c r="C148" s="89">
        <f t="shared" ref="C148:C211" si="193">F148+I148+L148+O148</f>
        <v>150</v>
      </c>
      <c r="D148" s="194"/>
      <c r="E148" s="195"/>
      <c r="F148" s="55">
        <f t="shared" si="189"/>
        <v>0</v>
      </c>
      <c r="G148" s="53"/>
      <c r="H148" s="54"/>
      <c r="I148" s="55">
        <f t="shared" si="190"/>
        <v>0</v>
      </c>
      <c r="J148" s="53">
        <v>150</v>
      </c>
      <c r="K148" s="54"/>
      <c r="L148" s="55">
        <f t="shared" si="191"/>
        <v>150</v>
      </c>
      <c r="M148" s="53"/>
      <c r="N148" s="54"/>
      <c r="O148" s="55">
        <f t="shared" si="192"/>
        <v>0</v>
      </c>
      <c r="P148" s="57"/>
    </row>
    <row r="149" spans="1:16" ht="24" customHeight="1" x14ac:dyDescent="0.25">
      <c r="A149" s="51">
        <v>2355</v>
      </c>
      <c r="B149" s="88" t="s">
        <v>166</v>
      </c>
      <c r="C149" s="89">
        <f t="shared" si="193"/>
        <v>24</v>
      </c>
      <c r="D149" s="194"/>
      <c r="E149" s="195"/>
      <c r="F149" s="55">
        <f t="shared" si="189"/>
        <v>0</v>
      </c>
      <c r="G149" s="53"/>
      <c r="H149" s="54"/>
      <c r="I149" s="55">
        <f t="shared" si="190"/>
        <v>0</v>
      </c>
      <c r="J149" s="53">
        <v>24</v>
      </c>
      <c r="K149" s="54"/>
      <c r="L149" s="55">
        <f t="shared" si="191"/>
        <v>24</v>
      </c>
      <c r="M149" s="53"/>
      <c r="N149" s="54"/>
      <c r="O149" s="55">
        <f t="shared" si="192"/>
        <v>0</v>
      </c>
      <c r="P149" s="57"/>
    </row>
    <row r="150" spans="1:16" ht="24" customHeight="1" x14ac:dyDescent="0.25">
      <c r="A150" s="51">
        <v>2359</v>
      </c>
      <c r="B150" s="88" t="s">
        <v>167</v>
      </c>
      <c r="C150" s="89">
        <f t="shared" si="193"/>
        <v>100</v>
      </c>
      <c r="D150" s="194"/>
      <c r="E150" s="195"/>
      <c r="F150" s="55">
        <f t="shared" si="189"/>
        <v>0</v>
      </c>
      <c r="G150" s="53"/>
      <c r="H150" s="54"/>
      <c r="I150" s="55">
        <f t="shared" si="190"/>
        <v>0</v>
      </c>
      <c r="J150" s="53">
        <v>100</v>
      </c>
      <c r="K150" s="54"/>
      <c r="L150" s="55">
        <f t="shared" si="191"/>
        <v>100</v>
      </c>
      <c r="M150" s="53"/>
      <c r="N150" s="54"/>
      <c r="O150" s="55">
        <f t="shared" si="192"/>
        <v>0</v>
      </c>
      <c r="P150" s="57"/>
    </row>
    <row r="151" spans="1:16" ht="24.75" customHeight="1" x14ac:dyDescent="0.25">
      <c r="A151" s="188">
        <v>2360</v>
      </c>
      <c r="B151" s="88" t="s">
        <v>168</v>
      </c>
      <c r="C151" s="89">
        <f t="shared" si="193"/>
        <v>184486</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188222</v>
      </c>
      <c r="K151" s="190">
        <f t="shared" ref="K151:L151" si="196">SUM(K152:K158)</f>
        <v>-3736</v>
      </c>
      <c r="L151" s="55">
        <f t="shared" si="196"/>
        <v>184486</v>
      </c>
      <c r="M151" s="189">
        <f>SUM(M152:M158)</f>
        <v>0</v>
      </c>
      <c r="N151" s="190">
        <f t="shared" ref="N151:O151" si="197">SUM(N152:N158)</f>
        <v>0</v>
      </c>
      <c r="O151" s="55">
        <f t="shared" si="197"/>
        <v>0</v>
      </c>
      <c r="P151" s="57"/>
    </row>
    <row r="152" spans="1:16" ht="15" customHeight="1" x14ac:dyDescent="0.25">
      <c r="A152" s="50">
        <v>2361</v>
      </c>
      <c r="B152" s="88" t="s">
        <v>169</v>
      </c>
      <c r="C152" s="89">
        <f t="shared" si="193"/>
        <v>4797</v>
      </c>
      <c r="D152" s="194"/>
      <c r="E152" s="195"/>
      <c r="F152" s="55">
        <f t="shared" ref="F152:F159" si="198">D152+E152</f>
        <v>0</v>
      </c>
      <c r="G152" s="53"/>
      <c r="H152" s="54"/>
      <c r="I152" s="55">
        <f t="shared" ref="I152:I159" si="199">G152+H152</f>
        <v>0</v>
      </c>
      <c r="J152" s="53">
        <v>4911</v>
      </c>
      <c r="K152" s="54">
        <v>-114</v>
      </c>
      <c r="L152" s="55">
        <f t="shared" ref="L152:L159" si="200">K152+J152</f>
        <v>4797</v>
      </c>
      <c r="M152" s="53"/>
      <c r="N152" s="54"/>
      <c r="O152" s="55">
        <f t="shared" ref="O152:O159" si="201">N152+M152</f>
        <v>0</v>
      </c>
      <c r="P152" s="57" t="s">
        <v>393</v>
      </c>
    </row>
    <row r="153" spans="1:16" ht="24" customHeight="1" x14ac:dyDescent="0.25">
      <c r="A153" s="50">
        <v>2362</v>
      </c>
      <c r="B153" s="88" t="s">
        <v>170</v>
      </c>
      <c r="C153" s="89">
        <f t="shared" si="193"/>
        <v>772</v>
      </c>
      <c r="D153" s="194"/>
      <c r="E153" s="195"/>
      <c r="F153" s="55">
        <f t="shared" si="198"/>
        <v>0</v>
      </c>
      <c r="G153" s="53"/>
      <c r="H153" s="54"/>
      <c r="I153" s="55">
        <f t="shared" si="199"/>
        <v>0</v>
      </c>
      <c r="J153" s="53">
        <v>772</v>
      </c>
      <c r="K153" s="54"/>
      <c r="L153" s="55">
        <f t="shared" si="200"/>
        <v>772</v>
      </c>
      <c r="M153" s="53"/>
      <c r="N153" s="54"/>
      <c r="O153" s="55">
        <f t="shared" si="201"/>
        <v>0</v>
      </c>
      <c r="P153" s="57"/>
    </row>
    <row r="154" spans="1:16" ht="15" customHeight="1" x14ac:dyDescent="0.25">
      <c r="A154" s="50">
        <v>2363</v>
      </c>
      <c r="B154" s="88" t="s">
        <v>171</v>
      </c>
      <c r="C154" s="89">
        <f t="shared" si="193"/>
        <v>154389</v>
      </c>
      <c r="D154" s="194"/>
      <c r="E154" s="195"/>
      <c r="F154" s="55">
        <f t="shared" si="198"/>
        <v>0</v>
      </c>
      <c r="G154" s="53"/>
      <c r="H154" s="54"/>
      <c r="I154" s="55">
        <f t="shared" si="199"/>
        <v>0</v>
      </c>
      <c r="J154" s="53">
        <v>157543</v>
      </c>
      <c r="K154" s="54">
        <v>-3154</v>
      </c>
      <c r="L154" s="55">
        <f t="shared" si="200"/>
        <v>154389</v>
      </c>
      <c r="M154" s="53"/>
      <c r="N154" s="54"/>
      <c r="O154" s="55">
        <f t="shared" si="201"/>
        <v>0</v>
      </c>
      <c r="P154" s="57" t="s">
        <v>394</v>
      </c>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customHeight="1" x14ac:dyDescent="0.25">
      <c r="A156" s="50">
        <v>2365</v>
      </c>
      <c r="B156" s="88" t="s">
        <v>173</v>
      </c>
      <c r="C156" s="89">
        <f t="shared" si="193"/>
        <v>382</v>
      </c>
      <c r="D156" s="194"/>
      <c r="E156" s="195"/>
      <c r="F156" s="55">
        <f t="shared" si="198"/>
        <v>0</v>
      </c>
      <c r="G156" s="53"/>
      <c r="H156" s="54"/>
      <c r="I156" s="55">
        <f t="shared" si="199"/>
        <v>0</v>
      </c>
      <c r="J156" s="53">
        <v>382</v>
      </c>
      <c r="K156" s="54"/>
      <c r="L156" s="55">
        <f t="shared" si="200"/>
        <v>382</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9.5" customHeight="1" x14ac:dyDescent="0.25">
      <c r="A158" s="50">
        <v>2369</v>
      </c>
      <c r="B158" s="88" t="s">
        <v>175</v>
      </c>
      <c r="C158" s="89">
        <f t="shared" si="193"/>
        <v>24146</v>
      </c>
      <c r="D158" s="194"/>
      <c r="E158" s="195"/>
      <c r="F158" s="55">
        <f t="shared" si="198"/>
        <v>0</v>
      </c>
      <c r="G158" s="53"/>
      <c r="H158" s="54"/>
      <c r="I158" s="55">
        <f t="shared" si="199"/>
        <v>0</v>
      </c>
      <c r="J158" s="53">
        <v>24614</v>
      </c>
      <c r="K158" s="54">
        <v>-468</v>
      </c>
      <c r="L158" s="55">
        <f t="shared" si="200"/>
        <v>24146</v>
      </c>
      <c r="M158" s="53"/>
      <c r="N158" s="54"/>
      <c r="O158" s="55">
        <f t="shared" si="201"/>
        <v>0</v>
      </c>
      <c r="P158" s="57" t="s">
        <v>395</v>
      </c>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x14ac:dyDescent="0.25">
      <c r="A160" s="185">
        <v>2380</v>
      </c>
      <c r="B160" s="137" t="s">
        <v>177</v>
      </c>
      <c r="C160" s="142">
        <f t="shared" si="193"/>
        <v>2437</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2437</v>
      </c>
      <c r="K160" s="187">
        <f t="shared" ref="K160:L160" si="204">SUM(K161:K162)</f>
        <v>0</v>
      </c>
      <c r="L160" s="140">
        <f t="shared" si="204"/>
        <v>2437</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7.75" customHeight="1" x14ac:dyDescent="0.25">
      <c r="A162" s="50">
        <v>2389</v>
      </c>
      <c r="B162" s="88" t="s">
        <v>179</v>
      </c>
      <c r="C162" s="89">
        <f t="shared" si="193"/>
        <v>2437</v>
      </c>
      <c r="D162" s="194"/>
      <c r="E162" s="195"/>
      <c r="F162" s="55">
        <f t="shared" si="206"/>
        <v>0</v>
      </c>
      <c r="G162" s="53"/>
      <c r="H162" s="54"/>
      <c r="I162" s="55">
        <f t="shared" si="207"/>
        <v>0</v>
      </c>
      <c r="J162" s="53">
        <v>2437</v>
      </c>
      <c r="K162" s="54"/>
      <c r="L162" s="55">
        <f t="shared" si="208"/>
        <v>2437</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x14ac:dyDescent="0.25">
      <c r="A165" s="68">
        <v>2500</v>
      </c>
      <c r="B165" s="182" t="s">
        <v>182</v>
      </c>
      <c r="C165" s="69">
        <f t="shared" si="193"/>
        <v>1793</v>
      </c>
      <c r="D165" s="183">
        <f>SUM(D166,D171)</f>
        <v>0</v>
      </c>
      <c r="E165" s="184">
        <f t="shared" ref="E165:O165" si="210">SUM(E166,E171)</f>
        <v>0</v>
      </c>
      <c r="F165" s="72">
        <f t="shared" si="210"/>
        <v>0</v>
      </c>
      <c r="G165" s="183">
        <f t="shared" si="210"/>
        <v>0</v>
      </c>
      <c r="H165" s="184">
        <f t="shared" si="210"/>
        <v>0</v>
      </c>
      <c r="I165" s="72">
        <f t="shared" si="210"/>
        <v>0</v>
      </c>
      <c r="J165" s="183">
        <f t="shared" si="210"/>
        <v>1793</v>
      </c>
      <c r="K165" s="184">
        <f t="shared" si="210"/>
        <v>0</v>
      </c>
      <c r="L165" s="72">
        <f t="shared" si="210"/>
        <v>1793</v>
      </c>
      <c r="M165" s="183">
        <f t="shared" si="210"/>
        <v>0</v>
      </c>
      <c r="N165" s="184">
        <f t="shared" si="210"/>
        <v>0</v>
      </c>
      <c r="O165" s="72">
        <f t="shared" si="210"/>
        <v>0</v>
      </c>
      <c r="P165" s="76"/>
    </row>
    <row r="166" spans="1:16" ht="24" x14ac:dyDescent="0.25">
      <c r="A166" s="191">
        <v>2510</v>
      </c>
      <c r="B166" s="81" t="s">
        <v>183</v>
      </c>
      <c r="C166" s="82">
        <f t="shared" si="193"/>
        <v>1793</v>
      </c>
      <c r="D166" s="192">
        <f>SUM(D167:D170)</f>
        <v>0</v>
      </c>
      <c r="E166" s="193">
        <f t="shared" ref="E166:O166" si="211">SUM(E167:E170)</f>
        <v>0</v>
      </c>
      <c r="F166" s="133">
        <f t="shared" si="211"/>
        <v>0</v>
      </c>
      <c r="G166" s="192">
        <f t="shared" si="211"/>
        <v>0</v>
      </c>
      <c r="H166" s="193">
        <f t="shared" si="211"/>
        <v>0</v>
      </c>
      <c r="I166" s="133">
        <f t="shared" si="211"/>
        <v>0</v>
      </c>
      <c r="J166" s="192">
        <f t="shared" si="211"/>
        <v>1793</v>
      </c>
      <c r="K166" s="193">
        <f t="shared" si="211"/>
        <v>0</v>
      </c>
      <c r="L166" s="133">
        <f t="shared" si="211"/>
        <v>1793</v>
      </c>
      <c r="M166" s="192">
        <f t="shared" si="211"/>
        <v>0</v>
      </c>
      <c r="N166" s="193">
        <f t="shared" si="211"/>
        <v>0</v>
      </c>
      <c r="O166" s="133">
        <f t="shared" si="211"/>
        <v>0</v>
      </c>
      <c r="P166" s="49"/>
    </row>
    <row r="167" spans="1:16" ht="24" customHeight="1" x14ac:dyDescent="0.25">
      <c r="A167" s="51">
        <v>2512</v>
      </c>
      <c r="B167" s="88" t="s">
        <v>184</v>
      </c>
      <c r="C167" s="89">
        <f t="shared" si="193"/>
        <v>1393</v>
      </c>
      <c r="D167" s="194"/>
      <c r="E167" s="195"/>
      <c r="F167" s="55">
        <f t="shared" ref="F167:F172" si="212">D167+E167</f>
        <v>0</v>
      </c>
      <c r="G167" s="53"/>
      <c r="H167" s="54"/>
      <c r="I167" s="55">
        <f t="shared" ref="I167:I172" si="213">G167+H167</f>
        <v>0</v>
      </c>
      <c r="J167" s="53">
        <v>1393</v>
      </c>
      <c r="K167" s="54"/>
      <c r="L167" s="55">
        <f t="shared" ref="L167:L172" si="214">K167+J167</f>
        <v>1393</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6.25" customHeight="1" x14ac:dyDescent="0.2">
      <c r="A170" s="51">
        <v>2519</v>
      </c>
      <c r="B170" s="88" t="s">
        <v>187</v>
      </c>
      <c r="C170" s="89">
        <f t="shared" si="193"/>
        <v>400</v>
      </c>
      <c r="D170" s="194"/>
      <c r="E170" s="195"/>
      <c r="F170" s="55">
        <f t="shared" si="212"/>
        <v>0</v>
      </c>
      <c r="G170" s="53"/>
      <c r="H170" s="54"/>
      <c r="I170" s="55">
        <f t="shared" si="213"/>
        <v>0</v>
      </c>
      <c r="J170" s="53">
        <v>400</v>
      </c>
      <c r="K170" s="54"/>
      <c r="L170" s="55">
        <f t="shared" si="214"/>
        <v>400</v>
      </c>
      <c r="M170" s="53"/>
      <c r="N170" s="54"/>
      <c r="O170" s="55">
        <f t="shared" si="215"/>
        <v>0</v>
      </c>
      <c r="P170" s="291"/>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9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91">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9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49371</v>
      </c>
      <c r="D194" s="172">
        <f t="shared" ref="D194:O194" si="259">SUM(D195,D230,D269,D283)</f>
        <v>1500</v>
      </c>
      <c r="E194" s="173">
        <f t="shared" si="259"/>
        <v>0</v>
      </c>
      <c r="F194" s="174">
        <f t="shared" si="259"/>
        <v>1500</v>
      </c>
      <c r="G194" s="172">
        <f t="shared" si="259"/>
        <v>0</v>
      </c>
      <c r="H194" s="173">
        <f t="shared" si="259"/>
        <v>0</v>
      </c>
      <c r="I194" s="174">
        <f t="shared" si="259"/>
        <v>0</v>
      </c>
      <c r="J194" s="172">
        <f t="shared" si="259"/>
        <v>51224</v>
      </c>
      <c r="K194" s="173">
        <f t="shared" si="259"/>
        <v>-3353</v>
      </c>
      <c r="L194" s="174">
        <f t="shared" si="259"/>
        <v>47871</v>
      </c>
      <c r="M194" s="172">
        <f t="shared" si="259"/>
        <v>0</v>
      </c>
      <c r="N194" s="173">
        <f t="shared" si="259"/>
        <v>0</v>
      </c>
      <c r="O194" s="174">
        <f t="shared" si="259"/>
        <v>0</v>
      </c>
      <c r="P194" s="175"/>
    </row>
    <row r="195" spans="1:16" x14ac:dyDescent="0.25">
      <c r="A195" s="176">
        <v>5000</v>
      </c>
      <c r="B195" s="176" t="s">
        <v>212</v>
      </c>
      <c r="C195" s="177">
        <f t="shared" si="193"/>
        <v>15141</v>
      </c>
      <c r="D195" s="178">
        <f>D196+D204</f>
        <v>1500</v>
      </c>
      <c r="E195" s="179">
        <f t="shared" ref="E195:F195" si="260">E196+E204</f>
        <v>0</v>
      </c>
      <c r="F195" s="180">
        <f t="shared" si="260"/>
        <v>1500</v>
      </c>
      <c r="G195" s="178">
        <f>G196+G204</f>
        <v>0</v>
      </c>
      <c r="H195" s="179">
        <f t="shared" ref="H195:I195" si="261">H196+H204</f>
        <v>0</v>
      </c>
      <c r="I195" s="180">
        <f t="shared" si="261"/>
        <v>0</v>
      </c>
      <c r="J195" s="178">
        <f>J196+J204</f>
        <v>16353</v>
      </c>
      <c r="K195" s="179">
        <f t="shared" ref="K195:L195" si="262">K196+K204</f>
        <v>-2712</v>
      </c>
      <c r="L195" s="180">
        <f t="shared" si="262"/>
        <v>13641</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200</v>
      </c>
      <c r="E196" s="184">
        <f t="shared" ref="E196:F196" si="264">E197+E198+E201+E202+E203</f>
        <v>-200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91">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200</v>
      </c>
      <c r="E198" s="190">
        <f t="shared" ref="E198:F198" si="268">E199+E200</f>
        <v>-200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279">
        <v>5121</v>
      </c>
      <c r="B199" s="280" t="s">
        <v>216</v>
      </c>
      <c r="C199" s="281">
        <f t="shared" si="193"/>
        <v>0</v>
      </c>
      <c r="D199" s="282">
        <v>200</v>
      </c>
      <c r="E199" s="283">
        <v>-200</v>
      </c>
      <c r="F199" s="284">
        <f t="shared" ref="F199:F203" si="272">D199+E199</f>
        <v>0</v>
      </c>
      <c r="G199" s="285"/>
      <c r="H199" s="286"/>
      <c r="I199" s="284">
        <f t="shared" ref="I199:I203" si="273">G199+H199</f>
        <v>0</v>
      </c>
      <c r="J199" s="285"/>
      <c r="K199" s="286"/>
      <c r="L199" s="284">
        <f t="shared" ref="L199:L203" si="274">K199+J199</f>
        <v>0</v>
      </c>
      <c r="M199" s="285"/>
      <c r="N199" s="286"/>
      <c r="O199" s="284">
        <f t="shared" ref="O199:O203" si="275">N199+M199</f>
        <v>0</v>
      </c>
      <c r="P199" s="287" t="s">
        <v>371</v>
      </c>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15141</v>
      </c>
      <c r="D204" s="183">
        <f>D205+D215+D216+D225+D226+D227+D229</f>
        <v>1300</v>
      </c>
      <c r="E204" s="184">
        <f t="shared" ref="E204:F204" si="276">E205+E215+E216+E225+E226+E227+E229</f>
        <v>200</v>
      </c>
      <c r="F204" s="72">
        <f t="shared" si="276"/>
        <v>1500</v>
      </c>
      <c r="G204" s="183">
        <f>G205+G215+G216+G225+G226+G227+G229</f>
        <v>0</v>
      </c>
      <c r="H204" s="184">
        <f t="shared" ref="H204:I204" si="277">H205+H215+H216+H225+H226+H227+H229</f>
        <v>0</v>
      </c>
      <c r="I204" s="72">
        <f t="shared" si="277"/>
        <v>0</v>
      </c>
      <c r="J204" s="183">
        <f>J205+J215+J216+J225+J226+J227+J229</f>
        <v>16353</v>
      </c>
      <c r="K204" s="184">
        <f t="shared" ref="K204:L204" si="278">K205+K215+K216+K225+K226+K227+K229</f>
        <v>-2712</v>
      </c>
      <c r="L204" s="72">
        <f t="shared" si="278"/>
        <v>13641</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15141</v>
      </c>
      <c r="D216" s="189">
        <f>SUM(D217:D224)</f>
        <v>1300</v>
      </c>
      <c r="E216" s="190">
        <f t="shared" ref="E216:F216" si="289">SUM(E217:E224)</f>
        <v>200</v>
      </c>
      <c r="F216" s="55">
        <f t="shared" si="289"/>
        <v>1500</v>
      </c>
      <c r="G216" s="189">
        <f>SUM(G217:G224)</f>
        <v>0</v>
      </c>
      <c r="H216" s="190">
        <f t="shared" ref="H216:I216" si="290">SUM(H217:H224)</f>
        <v>0</v>
      </c>
      <c r="I216" s="55">
        <f t="shared" si="290"/>
        <v>0</v>
      </c>
      <c r="J216" s="189">
        <f>SUM(J217:J224)</f>
        <v>16353</v>
      </c>
      <c r="K216" s="190">
        <f t="shared" ref="K216:L216" si="291">SUM(K217:K224)</f>
        <v>-2712</v>
      </c>
      <c r="L216" s="55">
        <f t="shared" si="291"/>
        <v>13641</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5" customHeight="1" x14ac:dyDescent="0.25">
      <c r="A218" s="51">
        <v>5232</v>
      </c>
      <c r="B218" s="88" t="s">
        <v>235</v>
      </c>
      <c r="C218" s="89">
        <f t="shared" si="288"/>
        <v>13641</v>
      </c>
      <c r="D218" s="194"/>
      <c r="E218" s="195"/>
      <c r="F218" s="55">
        <f t="shared" si="293"/>
        <v>0</v>
      </c>
      <c r="G218" s="53"/>
      <c r="H218" s="54"/>
      <c r="I218" s="55">
        <f t="shared" si="294"/>
        <v>0</v>
      </c>
      <c r="J218" s="53">
        <v>16353</v>
      </c>
      <c r="K218" s="54">
        <v>-2712</v>
      </c>
      <c r="L218" s="55">
        <f t="shared" si="295"/>
        <v>13641</v>
      </c>
      <c r="M218" s="53"/>
      <c r="N218" s="54"/>
      <c r="O218" s="55">
        <f t="shared" si="296"/>
        <v>0</v>
      </c>
      <c r="P218" s="57" t="s">
        <v>396</v>
      </c>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1500</v>
      </c>
      <c r="D223" s="194">
        <v>1300</v>
      </c>
      <c r="E223" s="195">
        <v>200</v>
      </c>
      <c r="F223" s="55">
        <f t="shared" si="293"/>
        <v>1500</v>
      </c>
      <c r="G223" s="53"/>
      <c r="H223" s="54"/>
      <c r="I223" s="55">
        <f t="shared" si="294"/>
        <v>0</v>
      </c>
      <c r="J223" s="53"/>
      <c r="K223" s="54"/>
      <c r="L223" s="55">
        <f t="shared" si="295"/>
        <v>0</v>
      </c>
      <c r="M223" s="53"/>
      <c r="N223" s="54"/>
      <c r="O223" s="55">
        <f t="shared" si="296"/>
        <v>0</v>
      </c>
      <c r="P223" s="57" t="s">
        <v>397</v>
      </c>
    </row>
    <row r="224" spans="1:16" ht="33"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x14ac:dyDescent="0.25">
      <c r="A230" s="176">
        <v>6000</v>
      </c>
      <c r="B230" s="176" t="s">
        <v>247</v>
      </c>
      <c r="C230" s="177">
        <f t="shared" si="288"/>
        <v>34230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34871</v>
      </c>
      <c r="K230" s="179">
        <f t="shared" ref="K230:L230" si="307">K231+K251+K259</f>
        <v>-641</v>
      </c>
      <c r="L230" s="180">
        <f t="shared" si="307"/>
        <v>34230</v>
      </c>
      <c r="M230" s="178">
        <f>M231+M251+M259</f>
        <v>0</v>
      </c>
      <c r="N230" s="179">
        <f t="shared" ref="N230:O230" si="308">N231+N251+N259</f>
        <v>0</v>
      </c>
      <c r="O230" s="180">
        <f t="shared" si="308"/>
        <v>0</v>
      </c>
      <c r="P230" s="181"/>
    </row>
    <row r="231" spans="1:16" ht="14.25" customHeight="1" x14ac:dyDescent="0.25">
      <c r="A231" s="216">
        <v>6200</v>
      </c>
      <c r="B231" s="207" t="s">
        <v>248</v>
      </c>
      <c r="C231" s="217">
        <f t="shared" si="288"/>
        <v>34230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34871</v>
      </c>
      <c r="K231" s="219">
        <f t="shared" ref="K231:L231" si="311">SUM(K232,K233,K235,K238,K244,K245,K246)</f>
        <v>-641</v>
      </c>
      <c r="L231" s="220">
        <f t="shared" si="311"/>
        <v>34230</v>
      </c>
      <c r="M231" s="218">
        <f>SUM(M232,M233,M235,M238,M244,M245,M246)</f>
        <v>0</v>
      </c>
      <c r="N231" s="219">
        <f t="shared" ref="N231:O231" si="312">SUM(N232,N233,N235,N238,N244,N245,N246)</f>
        <v>0</v>
      </c>
      <c r="O231" s="220">
        <f t="shared" si="312"/>
        <v>0</v>
      </c>
      <c r="P231" s="221"/>
    </row>
    <row r="232" spans="1:16" ht="24" hidden="1" customHeight="1" x14ac:dyDescent="0.25">
      <c r="A232" s="191">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x14ac:dyDescent="0.25">
      <c r="A246" s="191">
        <v>6290</v>
      </c>
      <c r="B246" s="81" t="s">
        <v>263</v>
      </c>
      <c r="C246" s="208">
        <f t="shared" si="288"/>
        <v>34230</v>
      </c>
      <c r="D246" s="192">
        <f>SUM(D247:D250)</f>
        <v>0</v>
      </c>
      <c r="E246" s="193">
        <f t="shared" ref="E246:O246" si="330">SUM(E247:E250)</f>
        <v>0</v>
      </c>
      <c r="F246" s="133">
        <f t="shared" si="330"/>
        <v>0</v>
      </c>
      <c r="G246" s="192">
        <f t="shared" si="330"/>
        <v>0</v>
      </c>
      <c r="H246" s="193">
        <f t="shared" si="330"/>
        <v>0</v>
      </c>
      <c r="I246" s="133">
        <f t="shared" si="330"/>
        <v>0</v>
      </c>
      <c r="J246" s="192">
        <f t="shared" si="330"/>
        <v>34871</v>
      </c>
      <c r="K246" s="193">
        <f t="shared" si="330"/>
        <v>-641</v>
      </c>
      <c r="L246" s="133">
        <f t="shared" si="330"/>
        <v>34230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x14ac:dyDescent="0.25">
      <c r="A249" s="51">
        <v>6296</v>
      </c>
      <c r="B249" s="88" t="s">
        <v>266</v>
      </c>
      <c r="C249" s="89">
        <f t="shared" si="288"/>
        <v>34230</v>
      </c>
      <c r="D249" s="194"/>
      <c r="E249" s="195"/>
      <c r="F249" s="55">
        <f t="shared" si="331"/>
        <v>0</v>
      </c>
      <c r="G249" s="53"/>
      <c r="H249" s="54"/>
      <c r="I249" s="55">
        <f t="shared" si="332"/>
        <v>0</v>
      </c>
      <c r="J249" s="53">
        <v>34871</v>
      </c>
      <c r="K249" s="54">
        <v>-641</v>
      </c>
      <c r="L249" s="55">
        <f t="shared" si="333"/>
        <v>34230</v>
      </c>
      <c r="M249" s="53"/>
      <c r="N249" s="54"/>
      <c r="O249" s="55">
        <f t="shared" si="334"/>
        <v>0</v>
      </c>
      <c r="P249" s="57" t="s">
        <v>398</v>
      </c>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9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9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91">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1">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1374894</v>
      </c>
      <c r="D289" s="251">
        <f t="shared" ref="D289:O289" si="389">SUM(D286,D269,D230,D195,D187,D173,D75,D53,D283)</f>
        <v>754329</v>
      </c>
      <c r="E289" s="252">
        <f t="shared" si="389"/>
        <v>-5924</v>
      </c>
      <c r="F289" s="253">
        <f t="shared" si="389"/>
        <v>748405</v>
      </c>
      <c r="G289" s="251">
        <f t="shared" si="389"/>
        <v>25620</v>
      </c>
      <c r="H289" s="252">
        <f t="shared" si="389"/>
        <v>0</v>
      </c>
      <c r="I289" s="253">
        <f t="shared" si="389"/>
        <v>25620</v>
      </c>
      <c r="J289" s="251">
        <f t="shared" si="389"/>
        <v>609346</v>
      </c>
      <c r="K289" s="252">
        <f t="shared" si="389"/>
        <v>-8477</v>
      </c>
      <c r="L289" s="253">
        <f t="shared" si="389"/>
        <v>600869</v>
      </c>
      <c r="M289" s="251">
        <f t="shared" si="389"/>
        <v>0</v>
      </c>
      <c r="N289" s="252">
        <f t="shared" si="389"/>
        <v>0</v>
      </c>
      <c r="O289" s="253">
        <f t="shared" si="389"/>
        <v>0</v>
      </c>
      <c r="P289" s="254"/>
    </row>
    <row r="290" spans="1:16" s="28" customFormat="1" ht="13.5" thickTop="1" thickBot="1" x14ac:dyDescent="0.3">
      <c r="A290" s="1945" t="s">
        <v>309</v>
      </c>
      <c r="B290" s="1946"/>
      <c r="C290" s="255">
        <f t="shared" si="371"/>
        <v>-47856</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-47856</v>
      </c>
      <c r="K290" s="257">
        <f t="shared" ref="K290:L290" si="392">(K26+K43)-K51</f>
        <v>0</v>
      </c>
      <c r="L290" s="258">
        <f t="shared" si="392"/>
        <v>-47856</v>
      </c>
      <c r="M290" s="256">
        <f>M45-M51</f>
        <v>0</v>
      </c>
      <c r="N290" s="257">
        <f t="shared" ref="N290:O290" si="393">N45-N51</f>
        <v>0</v>
      </c>
      <c r="O290" s="258">
        <f t="shared" si="393"/>
        <v>0</v>
      </c>
      <c r="P290" s="259"/>
    </row>
    <row r="291" spans="1:16" s="28" customFormat="1" ht="12.75" thickTop="1" x14ac:dyDescent="0.25">
      <c r="A291" s="1947" t="s">
        <v>310</v>
      </c>
      <c r="B291" s="1948"/>
      <c r="C291" s="260">
        <f t="shared" si="371"/>
        <v>47856</v>
      </c>
      <c r="D291" s="261">
        <f t="shared" ref="D291:O291" si="394">SUM(D292,D293)-D300+D301</f>
        <v>0</v>
      </c>
      <c r="E291" s="262">
        <f t="shared" si="394"/>
        <v>0</v>
      </c>
      <c r="F291" s="263">
        <f t="shared" si="394"/>
        <v>0</v>
      </c>
      <c r="G291" s="261">
        <f t="shared" si="394"/>
        <v>0</v>
      </c>
      <c r="H291" s="262">
        <f t="shared" si="394"/>
        <v>0</v>
      </c>
      <c r="I291" s="263">
        <f t="shared" si="394"/>
        <v>0</v>
      </c>
      <c r="J291" s="261">
        <f t="shared" si="394"/>
        <v>47856</v>
      </c>
      <c r="K291" s="262">
        <f t="shared" si="394"/>
        <v>0</v>
      </c>
      <c r="L291" s="263">
        <f t="shared" si="394"/>
        <v>47856</v>
      </c>
      <c r="M291" s="261">
        <f t="shared" si="394"/>
        <v>0</v>
      </c>
      <c r="N291" s="262">
        <f t="shared" si="394"/>
        <v>0</v>
      </c>
      <c r="O291" s="263">
        <f t="shared" si="394"/>
        <v>0</v>
      </c>
      <c r="P291" s="264"/>
    </row>
    <row r="292" spans="1:16" s="28" customFormat="1" ht="12.75" thickBot="1" x14ac:dyDescent="0.3">
      <c r="A292" s="156" t="s">
        <v>311</v>
      </c>
      <c r="B292" s="156" t="s">
        <v>312</v>
      </c>
      <c r="C292" s="157">
        <f t="shared" si="371"/>
        <v>47856</v>
      </c>
      <c r="D292" s="158">
        <f t="shared" ref="D292:O292" si="395">D21-D286</f>
        <v>0</v>
      </c>
      <c r="E292" s="159">
        <f t="shared" si="395"/>
        <v>0</v>
      </c>
      <c r="F292" s="160">
        <f t="shared" si="395"/>
        <v>0</v>
      </c>
      <c r="G292" s="158">
        <f t="shared" si="395"/>
        <v>0</v>
      </c>
      <c r="H292" s="159">
        <f t="shared" si="395"/>
        <v>0</v>
      </c>
      <c r="I292" s="160">
        <f t="shared" si="395"/>
        <v>0</v>
      </c>
      <c r="J292" s="158">
        <f t="shared" si="395"/>
        <v>47856</v>
      </c>
      <c r="K292" s="159">
        <f t="shared" si="395"/>
        <v>0</v>
      </c>
      <c r="L292" s="160">
        <f t="shared" si="395"/>
        <v>47856</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sheetData>
  <sheetProtection algorithmName="SHA-512" hashValue="rPfvdawBUd+MFZsghp337wd81o+2Ma3lMK8ji0xA3PhKAcIlea6lHAXXEmBrYO67n4vOzPlTVwIyPNrjEe4Xww==" saltValue="gEzuPKI04W+sRA0yeclZnQ==" spinCount="100000" sheet="1" objects="1" scenarios="1" formatCells="0" formatColumns="0" formatRows="0" deleteColumns="0"/>
  <autoFilter ref="A18:P301">
    <filterColumn colId="2">
      <filters>
        <filter val="1 110"/>
        <filter val="1 188"/>
        <filter val="1 325 523"/>
        <filter val="1 374 894"/>
        <filter val="1 393"/>
        <filter val="1 395"/>
        <filter val="1 410"/>
        <filter val="1 500"/>
        <filter val="1 610"/>
        <filter val="1 793"/>
        <filter val="1 813"/>
        <filter val="1 939"/>
        <filter val="10 024"/>
        <filter val="10 659"/>
        <filter val="100"/>
        <filter val="104"/>
        <filter val="11 032"/>
        <filter val="11 574"/>
        <filter val="11 945"/>
        <filter val="13 005"/>
        <filter val="13 641"/>
        <filter val="14 341"/>
        <filter val="144 685"/>
        <filter val="15 141"/>
        <filter val="15 489"/>
        <filter val="150"/>
        <filter val="154 389"/>
        <filter val="171 109"/>
        <filter val="181 910"/>
        <filter val="184 486"/>
        <filter val="2 000"/>
        <filter val="2 272"/>
        <filter val="2 437"/>
        <filter val="2 460"/>
        <filter val="2 565"/>
        <filter val="20 804"/>
        <filter val="20 831"/>
        <filter val="212"/>
        <filter val="218"/>
        <filter val="219 372"/>
        <filter val="233 185"/>
        <filter val="24"/>
        <filter val="24 146"/>
        <filter val="28 047"/>
        <filter val="285"/>
        <filter val="288"/>
        <filter val="32 160"/>
        <filter val="34 230"/>
        <filter val="34 401"/>
        <filter val="34 429"/>
        <filter val="365"/>
        <filter val="382"/>
        <filter val="389"/>
        <filter val="4 133"/>
        <filter val="4 797"/>
        <filter val="400"/>
        <filter val="417 100"/>
        <filter val="444"/>
        <filter val="458"/>
        <filter val="46 295"/>
        <filter val="47 856"/>
        <filter val="-47 856"/>
        <filter val="48 263"/>
        <filter val="49 371"/>
        <filter val="493 713"/>
        <filter val="540 008"/>
        <filter val="553 013"/>
        <filter val="6 031"/>
        <filter val="6 075"/>
        <filter val="614"/>
        <filter val="619 253"/>
        <filter val="653"/>
        <filter val="689 051"/>
        <filter val="69 798"/>
        <filter val="7 171"/>
        <filter val="76 178"/>
        <filter val="772"/>
        <filter val="774 025"/>
        <filter val="8 947"/>
        <filter val="9 543"/>
        <filter val="9 592"/>
        <filter val="908 42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64.pielikums Jūrmalas pilsētas domes
2019.gada 29.augusta saistošajiem noteikumiem Nr.31
(protokols Nr.12, 20.punkts) </firstHeader>
    <firstFooter>&amp;L&amp;9&amp;D; &amp;T&amp;R&amp;9&amp;P (&amp;N)</first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Q9" sqref="Q9"/>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399</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38.25" customHeight="1" x14ac:dyDescent="0.25">
      <c r="A3" s="5" t="s">
        <v>2</v>
      </c>
      <c r="B3" s="6"/>
      <c r="C3" s="1977" t="s">
        <v>347</v>
      </c>
      <c r="D3" s="1977"/>
      <c r="E3" s="1977"/>
      <c r="F3" s="1977"/>
      <c r="G3" s="1977"/>
      <c r="H3" s="1977"/>
      <c r="I3" s="1977"/>
      <c r="J3" s="1977"/>
      <c r="K3" s="1977"/>
      <c r="L3" s="1977"/>
      <c r="M3" s="1977"/>
      <c r="N3" s="1977"/>
      <c r="O3" s="1977"/>
      <c r="P3" s="1978"/>
      <c r="Q3" s="276"/>
    </row>
    <row r="4" spans="1:17" ht="12.75" customHeight="1" x14ac:dyDescent="0.25">
      <c r="A4" s="5" t="s">
        <v>4</v>
      </c>
      <c r="B4" s="6"/>
      <c r="C4" s="1977" t="s">
        <v>348</v>
      </c>
      <c r="D4" s="1977"/>
      <c r="E4" s="1977"/>
      <c r="F4" s="1977"/>
      <c r="G4" s="1977"/>
      <c r="H4" s="1977"/>
      <c r="I4" s="1977"/>
      <c r="J4" s="1977"/>
      <c r="K4" s="1977"/>
      <c r="L4" s="1977"/>
      <c r="M4" s="1977"/>
      <c r="N4" s="1977"/>
      <c r="O4" s="1977"/>
      <c r="P4" s="1978"/>
      <c r="Q4" s="276"/>
    </row>
    <row r="5" spans="1:17" ht="12.75" customHeight="1" x14ac:dyDescent="0.25">
      <c r="A5" s="7" t="s">
        <v>6</v>
      </c>
      <c r="B5" s="8"/>
      <c r="C5" s="1972" t="s">
        <v>349</v>
      </c>
      <c r="D5" s="1972"/>
      <c r="E5" s="1972"/>
      <c r="F5" s="1972"/>
      <c r="G5" s="1972"/>
      <c r="H5" s="1972"/>
      <c r="I5" s="1972"/>
      <c r="J5" s="1972"/>
      <c r="K5" s="1972"/>
      <c r="L5" s="1972"/>
      <c r="M5" s="1972"/>
      <c r="N5" s="1972"/>
      <c r="O5" s="1972"/>
      <c r="P5" s="1973"/>
      <c r="Q5" s="276"/>
    </row>
    <row r="6" spans="1:17" ht="12.75" customHeight="1" x14ac:dyDescent="0.25">
      <c r="A6" s="7" t="s">
        <v>8</v>
      </c>
      <c r="B6" s="8"/>
      <c r="C6" s="1972" t="s">
        <v>350</v>
      </c>
      <c r="D6" s="1972"/>
      <c r="E6" s="1972"/>
      <c r="F6" s="1972"/>
      <c r="G6" s="1972"/>
      <c r="H6" s="1972"/>
      <c r="I6" s="1972"/>
      <c r="J6" s="1972"/>
      <c r="K6" s="1972"/>
      <c r="L6" s="1972"/>
      <c r="M6" s="1972"/>
      <c r="N6" s="1972"/>
      <c r="O6" s="1972"/>
      <c r="P6" s="1973"/>
      <c r="Q6" s="276"/>
    </row>
    <row r="7" spans="1:17" ht="12" customHeight="1" x14ac:dyDescent="0.25">
      <c r="A7" s="7" t="s">
        <v>10</v>
      </c>
      <c r="B7" s="8"/>
      <c r="C7" s="1977" t="s">
        <v>374</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c r="D9" s="1972"/>
      <c r="E9" s="1972"/>
      <c r="F9" s="1972"/>
      <c r="G9" s="1972"/>
      <c r="H9" s="1972"/>
      <c r="I9" s="1972"/>
      <c r="J9" s="1972"/>
      <c r="K9" s="1972"/>
      <c r="L9" s="1972"/>
      <c r="M9" s="1972"/>
      <c r="N9" s="1972"/>
      <c r="O9" s="1972"/>
      <c r="P9" s="1973"/>
      <c r="Q9" s="276"/>
    </row>
    <row r="10" spans="1:17" ht="12.75" customHeight="1" x14ac:dyDescent="0.25">
      <c r="A10" s="7"/>
      <c r="B10" s="8" t="s">
        <v>15</v>
      </c>
      <c r="C10" s="1972" t="s">
        <v>400</v>
      </c>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72602</v>
      </c>
      <c r="D20" s="32">
        <f>SUM(D21,D24,D25,D41,D43)</f>
        <v>0</v>
      </c>
      <c r="E20" s="33">
        <f t="shared" ref="E20:F20" si="1">SUM(E21,E24,E25,E41,E43)</f>
        <v>0</v>
      </c>
      <c r="F20" s="34">
        <f t="shared" si="1"/>
        <v>0</v>
      </c>
      <c r="G20" s="32">
        <f>SUM(G21,G24,G25,G43)</f>
        <v>58201</v>
      </c>
      <c r="H20" s="33">
        <f>SUM(H21,H24,H25,H43)</f>
        <v>14401</v>
      </c>
      <c r="I20" s="34">
        <f>SUM(I21,I24,I25,I43)</f>
        <v>72602</v>
      </c>
      <c r="J20" s="32">
        <f>SUM(J21,J26,J43)</f>
        <v>0</v>
      </c>
      <c r="K20" s="33">
        <f t="shared" ref="K20:L20" si="2">SUM(K21,K26,K43)</f>
        <v>0</v>
      </c>
      <c r="L20" s="34">
        <f t="shared" si="2"/>
        <v>0</v>
      </c>
      <c r="M20" s="32">
        <f>SUM(M21,M45)</f>
        <v>0</v>
      </c>
      <c r="N20" s="33">
        <f t="shared" ref="N20:O20" si="3">SUM(N21,N45)</f>
        <v>0</v>
      </c>
      <c r="O20" s="34">
        <f t="shared" si="3"/>
        <v>0</v>
      </c>
      <c r="P20" s="35"/>
    </row>
    <row r="21" spans="1:16" ht="12.75" thickTop="1" x14ac:dyDescent="0.25">
      <c r="A21" s="36"/>
      <c r="B21" s="37" t="s">
        <v>40</v>
      </c>
      <c r="C21" s="38">
        <f t="shared" si="0"/>
        <v>5401</v>
      </c>
      <c r="D21" s="39">
        <f>SUM(D22:D23)</f>
        <v>0</v>
      </c>
      <c r="E21" s="40">
        <f t="shared" ref="E21:F21" si="4">SUM(E22:E23)</f>
        <v>0</v>
      </c>
      <c r="F21" s="41">
        <f t="shared" si="4"/>
        <v>0</v>
      </c>
      <c r="G21" s="39">
        <f>SUM(G22:G23)</f>
        <v>5401</v>
      </c>
      <c r="H21" s="40">
        <f t="shared" ref="H21:I21" si="5">SUM(H22:H23)</f>
        <v>0</v>
      </c>
      <c r="I21" s="41">
        <f t="shared" si="5"/>
        <v>5401</v>
      </c>
      <c r="J21" s="39">
        <f>SUM(J22:J23)</f>
        <v>0</v>
      </c>
      <c r="K21" s="40">
        <f t="shared" ref="K21:L21" si="6">SUM(K22:K23)</f>
        <v>0</v>
      </c>
      <c r="L21" s="41">
        <f t="shared" si="6"/>
        <v>0</v>
      </c>
      <c r="M21" s="39">
        <f>SUM(M22:M23)</f>
        <v>0</v>
      </c>
      <c r="N21" s="40">
        <f t="shared" ref="N21:O21" si="7">SUM(N22:N23)</f>
        <v>0</v>
      </c>
      <c r="O21" s="41">
        <f t="shared" si="7"/>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5401</v>
      </c>
      <c r="D23" s="53"/>
      <c r="E23" s="54"/>
      <c r="F23" s="55">
        <f t="shared" ref="F23:F25" si="8">D23+E23</f>
        <v>0</v>
      </c>
      <c r="G23" s="53">
        <v>5401</v>
      </c>
      <c r="H23" s="54"/>
      <c r="I23" s="55">
        <f>G23+H23</f>
        <v>5401</v>
      </c>
      <c r="J23" s="53"/>
      <c r="K23" s="54"/>
      <c r="L23" s="56">
        <f>K23+J23</f>
        <v>0</v>
      </c>
      <c r="M23" s="53"/>
      <c r="N23" s="54"/>
      <c r="O23" s="55">
        <f>N23+M23</f>
        <v>0</v>
      </c>
      <c r="P23" s="57"/>
    </row>
    <row r="24" spans="1:16" s="28" customFormat="1" ht="24.75" hidden="1" customHeight="1" thickBot="1" x14ac:dyDescent="0.3">
      <c r="A24" s="58">
        <v>19300</v>
      </c>
      <c r="B24" s="58" t="s">
        <v>43</v>
      </c>
      <c r="C24" s="59">
        <f>F24+I24</f>
        <v>0</v>
      </c>
      <c r="D24" s="60"/>
      <c r="E24" s="61"/>
      <c r="F24" s="62">
        <f t="shared" si="8"/>
        <v>0</v>
      </c>
      <c r="G24" s="60"/>
      <c r="H24" s="61"/>
      <c r="I24" s="62">
        <f t="shared" ref="I24" si="9">G24+H24</f>
        <v>0</v>
      </c>
      <c r="J24" s="63" t="s">
        <v>44</v>
      </c>
      <c r="K24" s="64" t="s">
        <v>44</v>
      </c>
      <c r="L24" s="65" t="s">
        <v>44</v>
      </c>
      <c r="M24" s="63" t="s">
        <v>44</v>
      </c>
      <c r="N24" s="64" t="s">
        <v>44</v>
      </c>
      <c r="O24" s="65" t="s">
        <v>44</v>
      </c>
      <c r="P24" s="66"/>
    </row>
    <row r="25" spans="1:16" s="28" customFormat="1" ht="129" hidden="1" customHeight="1" thickTop="1" x14ac:dyDescent="0.25">
      <c r="A25" s="67">
        <v>19200</v>
      </c>
      <c r="B25" s="68" t="s">
        <v>45</v>
      </c>
      <c r="C25" s="69">
        <f>F25</f>
        <v>0</v>
      </c>
      <c r="D25" s="70"/>
      <c r="E25" s="71"/>
      <c r="F25" s="72">
        <f t="shared" si="8"/>
        <v>0</v>
      </c>
      <c r="G25" s="1096">
        <v>52800</v>
      </c>
      <c r="H25" s="1097">
        <v>14401</v>
      </c>
      <c r="I25" s="75">
        <f>G25+H25</f>
        <v>67201</v>
      </c>
      <c r="J25" s="73" t="s">
        <v>44</v>
      </c>
      <c r="K25" s="74" t="s">
        <v>44</v>
      </c>
      <c r="L25" s="75" t="s">
        <v>44</v>
      </c>
      <c r="M25" s="73" t="s">
        <v>44</v>
      </c>
      <c r="N25" s="74" t="s">
        <v>44</v>
      </c>
      <c r="O25" s="75" t="s">
        <v>44</v>
      </c>
      <c r="P25" s="76" t="s">
        <v>401</v>
      </c>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0">SUM(K27,K31,K33,K36)</f>
        <v>0</v>
      </c>
      <c r="L26" s="79">
        <f t="shared" si="10"/>
        <v>0</v>
      </c>
      <c r="M26" s="77" t="s">
        <v>44</v>
      </c>
      <c r="N26" s="78" t="s">
        <v>44</v>
      </c>
      <c r="O26" s="79" t="s">
        <v>44</v>
      </c>
      <c r="P26" s="76"/>
    </row>
    <row r="27" spans="1:16" s="28" customFormat="1" ht="24" hidden="1" customHeight="1" x14ac:dyDescent="0.25">
      <c r="A27" s="80">
        <v>21350</v>
      </c>
      <c r="B27" s="68" t="s">
        <v>47</v>
      </c>
      <c r="C27" s="69">
        <f t="shared" ref="C27:C30" si="11">L27</f>
        <v>0</v>
      </c>
      <c r="D27" s="73" t="s">
        <v>44</v>
      </c>
      <c r="E27" s="74" t="s">
        <v>44</v>
      </c>
      <c r="F27" s="75" t="s">
        <v>44</v>
      </c>
      <c r="G27" s="73" t="s">
        <v>44</v>
      </c>
      <c r="H27" s="74" t="s">
        <v>44</v>
      </c>
      <c r="I27" s="75" t="s">
        <v>44</v>
      </c>
      <c r="J27" s="77">
        <f>SUM(J28:J30)</f>
        <v>0</v>
      </c>
      <c r="K27" s="78">
        <f t="shared" ref="K27:L27" si="12">SUM(K28:K30)</f>
        <v>0</v>
      </c>
      <c r="L27" s="79">
        <f t="shared" si="12"/>
        <v>0</v>
      </c>
      <c r="M27" s="77" t="s">
        <v>44</v>
      </c>
      <c r="N27" s="78" t="s">
        <v>44</v>
      </c>
      <c r="O27" s="79" t="s">
        <v>44</v>
      </c>
      <c r="P27" s="76"/>
    </row>
    <row r="28" spans="1:16" ht="12" hidden="1" customHeight="1" x14ac:dyDescent="0.25">
      <c r="A28" s="43">
        <v>21351</v>
      </c>
      <c r="B28" s="81" t="s">
        <v>48</v>
      </c>
      <c r="C28" s="82">
        <f t="shared" si="11"/>
        <v>0</v>
      </c>
      <c r="D28" s="83" t="s">
        <v>44</v>
      </c>
      <c r="E28" s="84" t="s">
        <v>44</v>
      </c>
      <c r="F28" s="85" t="s">
        <v>44</v>
      </c>
      <c r="G28" s="83" t="s">
        <v>44</v>
      </c>
      <c r="H28" s="84" t="s">
        <v>44</v>
      </c>
      <c r="I28" s="85" t="s">
        <v>44</v>
      </c>
      <c r="J28" s="46"/>
      <c r="K28" s="47"/>
      <c r="L28" s="48">
        <f t="shared" ref="L28:L30" si="13">K28+J28</f>
        <v>0</v>
      </c>
      <c r="M28" s="86" t="s">
        <v>44</v>
      </c>
      <c r="N28" s="87" t="s">
        <v>44</v>
      </c>
      <c r="O28" s="48" t="s">
        <v>44</v>
      </c>
      <c r="P28" s="49"/>
    </row>
    <row r="29" spans="1:16" ht="12" hidden="1" customHeight="1" x14ac:dyDescent="0.25">
      <c r="A29" s="50">
        <v>21352</v>
      </c>
      <c r="B29" s="88" t="s">
        <v>49</v>
      </c>
      <c r="C29" s="89">
        <f t="shared" si="11"/>
        <v>0</v>
      </c>
      <c r="D29" s="90" t="s">
        <v>44</v>
      </c>
      <c r="E29" s="91" t="s">
        <v>44</v>
      </c>
      <c r="F29" s="92" t="s">
        <v>44</v>
      </c>
      <c r="G29" s="90" t="s">
        <v>44</v>
      </c>
      <c r="H29" s="91" t="s">
        <v>44</v>
      </c>
      <c r="I29" s="92" t="s">
        <v>44</v>
      </c>
      <c r="J29" s="53"/>
      <c r="K29" s="54"/>
      <c r="L29" s="56">
        <f t="shared" si="13"/>
        <v>0</v>
      </c>
      <c r="M29" s="93" t="s">
        <v>44</v>
      </c>
      <c r="N29" s="94" t="s">
        <v>44</v>
      </c>
      <c r="O29" s="56" t="s">
        <v>44</v>
      </c>
      <c r="P29" s="57"/>
    </row>
    <row r="30" spans="1:16" ht="24" hidden="1" customHeight="1" x14ac:dyDescent="0.25">
      <c r="A30" s="50">
        <v>21359</v>
      </c>
      <c r="B30" s="88" t="s">
        <v>50</v>
      </c>
      <c r="C30" s="89">
        <f t="shared" si="11"/>
        <v>0</v>
      </c>
      <c r="D30" s="90" t="s">
        <v>44</v>
      </c>
      <c r="E30" s="91" t="s">
        <v>44</v>
      </c>
      <c r="F30" s="92" t="s">
        <v>44</v>
      </c>
      <c r="G30" s="90" t="s">
        <v>44</v>
      </c>
      <c r="H30" s="91" t="s">
        <v>44</v>
      </c>
      <c r="I30" s="92" t="s">
        <v>44</v>
      </c>
      <c r="J30" s="53"/>
      <c r="K30" s="54"/>
      <c r="L30" s="56">
        <f t="shared" si="13"/>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4">SUM(K32)</f>
        <v>0</v>
      </c>
      <c r="L31" s="79">
        <f t="shared" si="14"/>
        <v>0</v>
      </c>
      <c r="M31" s="77" t="s">
        <v>44</v>
      </c>
      <c r="N31" s="78" t="s">
        <v>44</v>
      </c>
      <c r="O31" s="79" t="s">
        <v>44</v>
      </c>
      <c r="P31" s="76"/>
    </row>
    <row r="32" spans="1:16" ht="36" hidden="1" customHeight="1" x14ac:dyDescent="0.25">
      <c r="A32" s="95">
        <v>21379</v>
      </c>
      <c r="B32" s="96" t="s">
        <v>52</v>
      </c>
      <c r="C32" s="97">
        <f t="shared" ref="C32:C40" si="15">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5"/>
        <v>0</v>
      </c>
      <c r="D33" s="73" t="s">
        <v>44</v>
      </c>
      <c r="E33" s="74" t="s">
        <v>44</v>
      </c>
      <c r="F33" s="75" t="s">
        <v>44</v>
      </c>
      <c r="G33" s="73" t="s">
        <v>44</v>
      </c>
      <c r="H33" s="74" t="s">
        <v>44</v>
      </c>
      <c r="I33" s="75" t="s">
        <v>44</v>
      </c>
      <c r="J33" s="77">
        <f>SUM(J34:J35)</f>
        <v>0</v>
      </c>
      <c r="K33" s="78">
        <f t="shared" ref="K33:L33" si="16">SUM(K34:K35)</f>
        <v>0</v>
      </c>
      <c r="L33" s="79">
        <f t="shared" si="16"/>
        <v>0</v>
      </c>
      <c r="M33" s="77" t="s">
        <v>44</v>
      </c>
      <c r="N33" s="78" t="s">
        <v>44</v>
      </c>
      <c r="O33" s="79" t="s">
        <v>44</v>
      </c>
      <c r="P33" s="76"/>
    </row>
    <row r="34" spans="1:16" ht="12" hidden="1" customHeight="1" x14ac:dyDescent="0.25">
      <c r="A34" s="44">
        <v>21381</v>
      </c>
      <c r="B34" s="81" t="s">
        <v>54</v>
      </c>
      <c r="C34" s="82">
        <f t="shared" si="15"/>
        <v>0</v>
      </c>
      <c r="D34" s="83" t="s">
        <v>44</v>
      </c>
      <c r="E34" s="84" t="s">
        <v>44</v>
      </c>
      <c r="F34" s="85" t="s">
        <v>44</v>
      </c>
      <c r="G34" s="83" t="s">
        <v>44</v>
      </c>
      <c r="H34" s="84" t="s">
        <v>44</v>
      </c>
      <c r="I34" s="85" t="s">
        <v>44</v>
      </c>
      <c r="J34" s="46"/>
      <c r="K34" s="47"/>
      <c r="L34" s="48">
        <f t="shared" ref="L34:L35" si="17">K34+J34</f>
        <v>0</v>
      </c>
      <c r="M34" s="86" t="s">
        <v>44</v>
      </c>
      <c r="N34" s="87" t="s">
        <v>44</v>
      </c>
      <c r="O34" s="48" t="s">
        <v>44</v>
      </c>
      <c r="P34" s="49"/>
    </row>
    <row r="35" spans="1:16" ht="24" hidden="1" customHeight="1" x14ac:dyDescent="0.25">
      <c r="A35" s="51">
        <v>21383</v>
      </c>
      <c r="B35" s="88" t="s">
        <v>55</v>
      </c>
      <c r="C35" s="89">
        <f t="shared" si="15"/>
        <v>0</v>
      </c>
      <c r="D35" s="90" t="s">
        <v>44</v>
      </c>
      <c r="E35" s="91" t="s">
        <v>44</v>
      </c>
      <c r="F35" s="92" t="s">
        <v>44</v>
      </c>
      <c r="G35" s="90" t="s">
        <v>44</v>
      </c>
      <c r="H35" s="91" t="s">
        <v>44</v>
      </c>
      <c r="I35" s="92" t="s">
        <v>44</v>
      </c>
      <c r="J35" s="53"/>
      <c r="K35" s="54"/>
      <c r="L35" s="56">
        <f t="shared" si="17"/>
        <v>0</v>
      </c>
      <c r="M35" s="93" t="s">
        <v>44</v>
      </c>
      <c r="N35" s="94" t="s">
        <v>44</v>
      </c>
      <c r="O35" s="56" t="s">
        <v>44</v>
      </c>
      <c r="P35" s="57"/>
    </row>
    <row r="36" spans="1:16" s="28" customFormat="1" ht="25.5" hidden="1" customHeight="1" x14ac:dyDescent="0.25">
      <c r="A36" s="80">
        <v>21390</v>
      </c>
      <c r="B36" s="68" t="s">
        <v>56</v>
      </c>
      <c r="C36" s="69">
        <f t="shared" si="15"/>
        <v>0</v>
      </c>
      <c r="D36" s="73" t="s">
        <v>44</v>
      </c>
      <c r="E36" s="74" t="s">
        <v>44</v>
      </c>
      <c r="F36" s="75" t="s">
        <v>44</v>
      </c>
      <c r="G36" s="73" t="s">
        <v>44</v>
      </c>
      <c r="H36" s="74" t="s">
        <v>44</v>
      </c>
      <c r="I36" s="75" t="s">
        <v>44</v>
      </c>
      <c r="J36" s="77">
        <f>SUM(J37:J40)</f>
        <v>0</v>
      </c>
      <c r="K36" s="78">
        <f t="shared" ref="K36:L36" si="18">SUM(K37:K40)</f>
        <v>0</v>
      </c>
      <c r="L36" s="79">
        <f t="shared" si="18"/>
        <v>0</v>
      </c>
      <c r="M36" s="77" t="s">
        <v>44</v>
      </c>
      <c r="N36" s="78" t="s">
        <v>44</v>
      </c>
      <c r="O36" s="79" t="s">
        <v>44</v>
      </c>
      <c r="P36" s="76"/>
    </row>
    <row r="37" spans="1:16" ht="24" hidden="1" customHeight="1" x14ac:dyDescent="0.25">
      <c r="A37" s="44">
        <v>21391</v>
      </c>
      <c r="B37" s="81" t="s">
        <v>57</v>
      </c>
      <c r="C37" s="82">
        <f t="shared" si="15"/>
        <v>0</v>
      </c>
      <c r="D37" s="83" t="s">
        <v>44</v>
      </c>
      <c r="E37" s="84" t="s">
        <v>44</v>
      </c>
      <c r="F37" s="85" t="s">
        <v>44</v>
      </c>
      <c r="G37" s="83" t="s">
        <v>44</v>
      </c>
      <c r="H37" s="84" t="s">
        <v>44</v>
      </c>
      <c r="I37" s="85" t="s">
        <v>44</v>
      </c>
      <c r="J37" s="46"/>
      <c r="K37" s="47"/>
      <c r="L37" s="48">
        <f t="shared" ref="L37:L40" si="19">K37+J37</f>
        <v>0</v>
      </c>
      <c r="M37" s="86" t="s">
        <v>44</v>
      </c>
      <c r="N37" s="87" t="s">
        <v>44</v>
      </c>
      <c r="O37" s="48" t="s">
        <v>44</v>
      </c>
      <c r="P37" s="49"/>
    </row>
    <row r="38" spans="1:16" ht="12" hidden="1" customHeight="1" x14ac:dyDescent="0.25">
      <c r="A38" s="51">
        <v>21393</v>
      </c>
      <c r="B38" s="88" t="s">
        <v>58</v>
      </c>
      <c r="C38" s="89">
        <f t="shared" si="15"/>
        <v>0</v>
      </c>
      <c r="D38" s="90" t="s">
        <v>44</v>
      </c>
      <c r="E38" s="91" t="s">
        <v>44</v>
      </c>
      <c r="F38" s="92" t="s">
        <v>44</v>
      </c>
      <c r="G38" s="90" t="s">
        <v>44</v>
      </c>
      <c r="H38" s="91" t="s">
        <v>44</v>
      </c>
      <c r="I38" s="92" t="s">
        <v>44</v>
      </c>
      <c r="J38" s="53"/>
      <c r="K38" s="54"/>
      <c r="L38" s="56">
        <f t="shared" si="19"/>
        <v>0</v>
      </c>
      <c r="M38" s="93" t="s">
        <v>44</v>
      </c>
      <c r="N38" s="94" t="s">
        <v>44</v>
      </c>
      <c r="O38" s="56" t="s">
        <v>44</v>
      </c>
      <c r="P38" s="57"/>
    </row>
    <row r="39" spans="1:16" ht="12" hidden="1" customHeight="1" x14ac:dyDescent="0.25">
      <c r="A39" s="51">
        <v>21395</v>
      </c>
      <c r="B39" s="88" t="s">
        <v>59</v>
      </c>
      <c r="C39" s="89">
        <f t="shared" si="15"/>
        <v>0</v>
      </c>
      <c r="D39" s="90" t="s">
        <v>44</v>
      </c>
      <c r="E39" s="91" t="s">
        <v>44</v>
      </c>
      <c r="F39" s="92" t="s">
        <v>44</v>
      </c>
      <c r="G39" s="90" t="s">
        <v>44</v>
      </c>
      <c r="H39" s="91" t="s">
        <v>44</v>
      </c>
      <c r="I39" s="92" t="s">
        <v>44</v>
      </c>
      <c r="J39" s="53"/>
      <c r="K39" s="54"/>
      <c r="L39" s="56">
        <f t="shared" si="19"/>
        <v>0</v>
      </c>
      <c r="M39" s="93" t="s">
        <v>44</v>
      </c>
      <c r="N39" s="94" t="s">
        <v>44</v>
      </c>
      <c r="O39" s="56" t="s">
        <v>44</v>
      </c>
      <c r="P39" s="57"/>
    </row>
    <row r="40" spans="1:16" ht="24" hidden="1" customHeight="1" x14ac:dyDescent="0.25">
      <c r="A40" s="107">
        <v>21399</v>
      </c>
      <c r="B40" s="108" t="s">
        <v>60</v>
      </c>
      <c r="C40" s="109">
        <f t="shared" si="15"/>
        <v>0</v>
      </c>
      <c r="D40" s="110" t="s">
        <v>44</v>
      </c>
      <c r="E40" s="111" t="s">
        <v>44</v>
      </c>
      <c r="F40" s="112" t="s">
        <v>44</v>
      </c>
      <c r="G40" s="110" t="s">
        <v>44</v>
      </c>
      <c r="H40" s="111" t="s">
        <v>44</v>
      </c>
      <c r="I40" s="112" t="s">
        <v>44</v>
      </c>
      <c r="J40" s="113"/>
      <c r="K40" s="114"/>
      <c r="L40" s="115">
        <f t="shared" si="19"/>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0">SUM(E42)</f>
        <v>0</v>
      </c>
      <c r="F41" s="124">
        <f t="shared" si="20"/>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1">E44</f>
        <v>0</v>
      </c>
      <c r="F43" s="79">
        <f t="shared" si="21"/>
        <v>0</v>
      </c>
      <c r="G43" s="77">
        <f t="shared" si="21"/>
        <v>0</v>
      </c>
      <c r="H43" s="78">
        <f t="shared" si="21"/>
        <v>0</v>
      </c>
      <c r="I43" s="79">
        <f t="shared" si="21"/>
        <v>0</v>
      </c>
      <c r="J43" s="77">
        <f t="shared" si="21"/>
        <v>0</v>
      </c>
      <c r="K43" s="78">
        <f t="shared" si="21"/>
        <v>0</v>
      </c>
      <c r="L43" s="79">
        <f t="shared" si="21"/>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2">SUM(N46:N47)</f>
        <v>0</v>
      </c>
      <c r="O45" s="115">
        <f t="shared" si="22"/>
        <v>0</v>
      </c>
      <c r="P45" s="118"/>
    </row>
    <row r="46" spans="1:16" ht="24" hidden="1" customHeight="1" x14ac:dyDescent="0.25">
      <c r="A46" s="136">
        <v>23410</v>
      </c>
      <c r="B46" s="137" t="s">
        <v>66</v>
      </c>
      <c r="C46" s="121">
        <f t="shared" ref="C46:C47" si="23">O46</f>
        <v>0</v>
      </c>
      <c r="D46" s="125" t="s">
        <v>44</v>
      </c>
      <c r="E46" s="126" t="s">
        <v>44</v>
      </c>
      <c r="F46" s="127" t="s">
        <v>44</v>
      </c>
      <c r="G46" s="125" t="s">
        <v>44</v>
      </c>
      <c r="H46" s="126" t="s">
        <v>44</v>
      </c>
      <c r="I46" s="127" t="s">
        <v>44</v>
      </c>
      <c r="J46" s="125" t="s">
        <v>44</v>
      </c>
      <c r="K46" s="126" t="s">
        <v>44</v>
      </c>
      <c r="L46" s="127" t="s">
        <v>44</v>
      </c>
      <c r="M46" s="138"/>
      <c r="N46" s="139"/>
      <c r="O46" s="140">
        <f t="shared" ref="O46:O47" si="24">N46+M46</f>
        <v>0</v>
      </c>
      <c r="P46" s="128"/>
    </row>
    <row r="47" spans="1:16" ht="24" hidden="1" customHeight="1" x14ac:dyDescent="0.25">
      <c r="A47" s="136">
        <v>23510</v>
      </c>
      <c r="B47" s="137" t="s">
        <v>67</v>
      </c>
      <c r="C47" s="121">
        <f t="shared" si="23"/>
        <v>0</v>
      </c>
      <c r="D47" s="125" t="s">
        <v>44</v>
      </c>
      <c r="E47" s="126" t="s">
        <v>44</v>
      </c>
      <c r="F47" s="127" t="s">
        <v>44</v>
      </c>
      <c r="G47" s="125" t="s">
        <v>44</v>
      </c>
      <c r="H47" s="126" t="s">
        <v>44</v>
      </c>
      <c r="I47" s="127" t="s">
        <v>44</v>
      </c>
      <c r="J47" s="125" t="s">
        <v>44</v>
      </c>
      <c r="K47" s="126" t="s">
        <v>44</v>
      </c>
      <c r="L47" s="127" t="s">
        <v>44</v>
      </c>
      <c r="M47" s="138"/>
      <c r="N47" s="139"/>
      <c r="O47" s="140">
        <f t="shared" si="24"/>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72602</v>
      </c>
      <c r="D50" s="158">
        <f>SUM(D51,D286)</f>
        <v>0</v>
      </c>
      <c r="E50" s="159">
        <f t="shared" ref="E50:F50" si="25">SUM(E51,E286)</f>
        <v>0</v>
      </c>
      <c r="F50" s="160">
        <f t="shared" si="25"/>
        <v>0</v>
      </c>
      <c r="G50" s="158">
        <f>SUM(G51,G286)</f>
        <v>58201</v>
      </c>
      <c r="H50" s="159">
        <f>SUM(H51,H286)</f>
        <v>14401</v>
      </c>
      <c r="I50" s="160">
        <f t="shared" ref="I50" si="26">SUM(I51,I286)</f>
        <v>72602</v>
      </c>
      <c r="J50" s="32">
        <f>SUM(J51,J286)</f>
        <v>0</v>
      </c>
      <c r="K50" s="33">
        <f t="shared" ref="K50:L50" si="27">SUM(K51,K286)</f>
        <v>0</v>
      </c>
      <c r="L50" s="34">
        <f t="shared" si="27"/>
        <v>0</v>
      </c>
      <c r="M50" s="32">
        <f>SUM(M51,M286)</f>
        <v>0</v>
      </c>
      <c r="N50" s="33">
        <f t="shared" ref="N50:O50" si="28">SUM(N51,N286)</f>
        <v>0</v>
      </c>
      <c r="O50" s="34">
        <f t="shared" si="28"/>
        <v>0</v>
      </c>
      <c r="P50" s="35"/>
    </row>
    <row r="51" spans="1:16" s="28" customFormat="1" ht="43.5" customHeight="1" thickTop="1" x14ac:dyDescent="0.25">
      <c r="A51" s="161"/>
      <c r="B51" s="162" t="s">
        <v>70</v>
      </c>
      <c r="C51" s="163">
        <f t="shared" si="0"/>
        <v>72602</v>
      </c>
      <c r="D51" s="164">
        <f>SUM(D52,D194)</f>
        <v>0</v>
      </c>
      <c r="E51" s="165">
        <f t="shared" ref="E51:F51" si="29">SUM(E52,E194)</f>
        <v>0</v>
      </c>
      <c r="F51" s="166">
        <f t="shared" si="29"/>
        <v>0</v>
      </c>
      <c r="G51" s="164">
        <f>SUM(G52,G194)</f>
        <v>58201</v>
      </c>
      <c r="H51" s="165">
        <f t="shared" ref="H51:I51" si="30">SUM(H52,H194)</f>
        <v>14401</v>
      </c>
      <c r="I51" s="166">
        <f t="shared" si="30"/>
        <v>72602</v>
      </c>
      <c r="J51" s="167">
        <f>SUM(J52,J194)</f>
        <v>0</v>
      </c>
      <c r="K51" s="168">
        <f t="shared" ref="K51:L51" si="31">SUM(K52,K194)</f>
        <v>0</v>
      </c>
      <c r="L51" s="169">
        <f t="shared" si="31"/>
        <v>0</v>
      </c>
      <c r="M51" s="167">
        <f>SUM(M52,M194)</f>
        <v>0</v>
      </c>
      <c r="N51" s="168">
        <f t="shared" ref="N51:O51" si="32">SUM(N52,N194)</f>
        <v>0</v>
      </c>
      <c r="O51" s="169">
        <f t="shared" si="32"/>
        <v>0</v>
      </c>
      <c r="P51" s="170"/>
    </row>
    <row r="52" spans="1:16" s="28" customFormat="1" ht="26.25" customHeight="1" x14ac:dyDescent="0.25">
      <c r="A52" s="24"/>
      <c r="B52" s="22" t="s">
        <v>71</v>
      </c>
      <c r="C52" s="171">
        <f t="shared" si="0"/>
        <v>67836</v>
      </c>
      <c r="D52" s="172">
        <f>SUM(D53,D75,D173,D187)</f>
        <v>0</v>
      </c>
      <c r="E52" s="173">
        <f t="shared" ref="E52:F52" si="33">SUM(E53,E75,E173,E187)</f>
        <v>0</v>
      </c>
      <c r="F52" s="174">
        <f t="shared" si="33"/>
        <v>0</v>
      </c>
      <c r="G52" s="172">
        <f>SUM(G53,G75,G173,G187)</f>
        <v>54381</v>
      </c>
      <c r="H52" s="173">
        <f t="shared" ref="H52:I52" si="34">SUM(H53,H75,H173,H187)</f>
        <v>13455</v>
      </c>
      <c r="I52" s="174">
        <f t="shared" si="34"/>
        <v>67836</v>
      </c>
      <c r="J52" s="172">
        <f>SUM(J53,J75,J173,J187)</f>
        <v>0</v>
      </c>
      <c r="K52" s="173">
        <f t="shared" ref="K52:L52" si="35">SUM(K53,K75,K173,K187)</f>
        <v>0</v>
      </c>
      <c r="L52" s="174">
        <f t="shared" si="35"/>
        <v>0</v>
      </c>
      <c r="M52" s="172">
        <f>SUM(M53,M75,M173,M187)</f>
        <v>0</v>
      </c>
      <c r="N52" s="173">
        <f t="shared" ref="N52:O52" si="36">SUM(N53,N75,N173,N187)</f>
        <v>0</v>
      </c>
      <c r="O52" s="174">
        <f t="shared" si="36"/>
        <v>0</v>
      </c>
      <c r="P52" s="175"/>
    </row>
    <row r="53" spans="1:16" s="28" customFormat="1" ht="15" customHeight="1" x14ac:dyDescent="0.25">
      <c r="A53" s="176">
        <v>1000</v>
      </c>
      <c r="B53" s="176" t="s">
        <v>72</v>
      </c>
      <c r="C53" s="177">
        <f t="shared" si="0"/>
        <v>30668</v>
      </c>
      <c r="D53" s="178">
        <f>SUM(D54,D67)</f>
        <v>0</v>
      </c>
      <c r="E53" s="179">
        <f t="shared" ref="E53:F53" si="37">SUM(E54,E67)</f>
        <v>0</v>
      </c>
      <c r="F53" s="180">
        <f t="shared" si="37"/>
        <v>0</v>
      </c>
      <c r="G53" s="178">
        <f>SUM(G54,G67)</f>
        <v>24583</v>
      </c>
      <c r="H53" s="179">
        <f t="shared" ref="H53:I53" si="38">SUM(H54,H67)</f>
        <v>6085</v>
      </c>
      <c r="I53" s="180">
        <f t="shared" si="38"/>
        <v>30668</v>
      </c>
      <c r="J53" s="178">
        <f>SUM(J54,J67)</f>
        <v>0</v>
      </c>
      <c r="K53" s="179">
        <f t="shared" ref="K53:L53" si="39">SUM(K54,K67)</f>
        <v>0</v>
      </c>
      <c r="L53" s="180">
        <f t="shared" si="39"/>
        <v>0</v>
      </c>
      <c r="M53" s="178">
        <f>SUM(M54,M67)</f>
        <v>0</v>
      </c>
      <c r="N53" s="179">
        <f t="shared" ref="N53:O53" si="40">SUM(N54,N67)</f>
        <v>0</v>
      </c>
      <c r="O53" s="180">
        <f t="shared" si="40"/>
        <v>0</v>
      </c>
      <c r="P53" s="181"/>
    </row>
    <row r="54" spans="1:16" ht="15" customHeight="1" x14ac:dyDescent="0.25">
      <c r="A54" s="68">
        <v>1100</v>
      </c>
      <c r="B54" s="182" t="s">
        <v>73</v>
      </c>
      <c r="C54" s="69">
        <f t="shared" si="0"/>
        <v>12792</v>
      </c>
      <c r="D54" s="183">
        <f>SUM(D55,D58,D66)</f>
        <v>0</v>
      </c>
      <c r="E54" s="184">
        <f t="shared" ref="E54:F54" si="41">SUM(E55,E58,E66)</f>
        <v>0</v>
      </c>
      <c r="F54" s="72">
        <f t="shared" si="41"/>
        <v>0</v>
      </c>
      <c r="G54" s="183">
        <f>SUM(G55,G58,G66)</f>
        <v>10254</v>
      </c>
      <c r="H54" s="184">
        <f t="shared" ref="H54:I54" si="42">SUM(H55,H58,H66)</f>
        <v>2538</v>
      </c>
      <c r="I54" s="72">
        <f t="shared" si="42"/>
        <v>12792</v>
      </c>
      <c r="J54" s="183">
        <f>SUM(J55,J58,J66)</f>
        <v>0</v>
      </c>
      <c r="K54" s="184">
        <f t="shared" ref="K54:L54" si="43">SUM(K55,K58,K66)</f>
        <v>0</v>
      </c>
      <c r="L54" s="72">
        <f t="shared" si="43"/>
        <v>0</v>
      </c>
      <c r="M54" s="183">
        <f>SUM(M55,M58,M66)</f>
        <v>0</v>
      </c>
      <c r="N54" s="184">
        <f t="shared" ref="N54:O54" si="44">SUM(N55,N58,N66)</f>
        <v>0</v>
      </c>
      <c r="O54" s="72">
        <f t="shared" si="44"/>
        <v>0</v>
      </c>
      <c r="P54" s="76"/>
    </row>
    <row r="55" spans="1:16" ht="15.75" customHeight="1" x14ac:dyDescent="0.25">
      <c r="A55" s="185">
        <v>1110</v>
      </c>
      <c r="B55" s="137" t="s">
        <v>74</v>
      </c>
      <c r="C55" s="142">
        <f t="shared" si="0"/>
        <v>11980</v>
      </c>
      <c r="D55" s="186">
        <f>SUM(D56:D57)</f>
        <v>0</v>
      </c>
      <c r="E55" s="187">
        <f t="shared" ref="E55:F55" si="45">SUM(E56:E57)</f>
        <v>0</v>
      </c>
      <c r="F55" s="140">
        <f t="shared" si="45"/>
        <v>0</v>
      </c>
      <c r="G55" s="186">
        <f>SUM(G56:G57)</f>
        <v>9603</v>
      </c>
      <c r="H55" s="187">
        <f t="shared" ref="H55:I55" si="46">SUM(H56:H57)</f>
        <v>2377</v>
      </c>
      <c r="I55" s="140">
        <f t="shared" si="46"/>
        <v>11980</v>
      </c>
      <c r="J55" s="186">
        <f>SUM(J56:J57)</f>
        <v>0</v>
      </c>
      <c r="K55" s="187">
        <f t="shared" ref="K55:L55" si="47">SUM(K56:K57)</f>
        <v>0</v>
      </c>
      <c r="L55" s="140">
        <f t="shared" si="47"/>
        <v>0</v>
      </c>
      <c r="M55" s="186">
        <f>SUM(M56:M57)</f>
        <v>0</v>
      </c>
      <c r="N55" s="187">
        <f t="shared" ref="N55:O55" si="48">SUM(N56:N57)</f>
        <v>0</v>
      </c>
      <c r="O55" s="140">
        <f t="shared" si="48"/>
        <v>0</v>
      </c>
      <c r="P55" s="128"/>
    </row>
    <row r="56" spans="1:16" ht="12" hidden="1" customHeight="1" x14ac:dyDescent="0.25">
      <c r="A56" s="44">
        <v>1111</v>
      </c>
      <c r="B56" s="81" t="s">
        <v>75</v>
      </c>
      <c r="C56" s="82">
        <f t="shared" si="0"/>
        <v>0</v>
      </c>
      <c r="D56" s="46"/>
      <c r="E56" s="47"/>
      <c r="F56" s="133">
        <f t="shared" ref="F56:F57" si="49">D56+E56</f>
        <v>0</v>
      </c>
      <c r="G56" s="46"/>
      <c r="H56" s="47"/>
      <c r="I56" s="133">
        <f t="shared" ref="I56:I57" si="50">G56+H56</f>
        <v>0</v>
      </c>
      <c r="J56" s="46"/>
      <c r="K56" s="47"/>
      <c r="L56" s="133">
        <f t="shared" ref="L56:L57" si="51">K56+J56</f>
        <v>0</v>
      </c>
      <c r="M56" s="46"/>
      <c r="N56" s="47"/>
      <c r="O56" s="133">
        <f t="shared" ref="O56:O57" si="52">N56+M56</f>
        <v>0</v>
      </c>
      <c r="P56" s="49"/>
    </row>
    <row r="57" spans="1:16" ht="24.75" customHeight="1" x14ac:dyDescent="0.25">
      <c r="A57" s="51">
        <v>1119</v>
      </c>
      <c r="B57" s="88" t="s">
        <v>76</v>
      </c>
      <c r="C57" s="89">
        <f t="shared" si="0"/>
        <v>11980</v>
      </c>
      <c r="D57" s="53"/>
      <c r="E57" s="54"/>
      <c r="F57" s="55">
        <f t="shared" si="49"/>
        <v>0</v>
      </c>
      <c r="G57" s="53">
        <v>9603</v>
      </c>
      <c r="H57" s="54">
        <v>2377</v>
      </c>
      <c r="I57" s="55">
        <f t="shared" si="50"/>
        <v>11980</v>
      </c>
      <c r="J57" s="53"/>
      <c r="K57" s="54"/>
      <c r="L57" s="55">
        <f t="shared" si="51"/>
        <v>0</v>
      </c>
      <c r="M57" s="53"/>
      <c r="N57" s="54"/>
      <c r="O57" s="55">
        <f t="shared" si="52"/>
        <v>0</v>
      </c>
      <c r="P57" s="57" t="s">
        <v>402</v>
      </c>
    </row>
    <row r="58" spans="1:16" ht="15" customHeight="1" x14ac:dyDescent="0.25">
      <c r="A58" s="188">
        <v>1140</v>
      </c>
      <c r="B58" s="88" t="s">
        <v>77</v>
      </c>
      <c r="C58" s="89">
        <f t="shared" si="0"/>
        <v>812</v>
      </c>
      <c r="D58" s="189">
        <f>SUM(D59:D65)</f>
        <v>0</v>
      </c>
      <c r="E58" s="190">
        <f>SUM(E59:E65)</f>
        <v>0</v>
      </c>
      <c r="F58" s="55">
        <f t="shared" ref="F58" si="53">SUM(F59:F65)</f>
        <v>0</v>
      </c>
      <c r="G58" s="189">
        <f>SUM(G59:G65)</f>
        <v>651</v>
      </c>
      <c r="H58" s="190">
        <f t="shared" ref="H58:I58" si="54">SUM(H59:H65)</f>
        <v>161</v>
      </c>
      <c r="I58" s="55">
        <f t="shared" si="54"/>
        <v>812</v>
      </c>
      <c r="J58" s="189">
        <f>SUM(J59:J65)</f>
        <v>0</v>
      </c>
      <c r="K58" s="190">
        <f t="shared" ref="K58:L58" si="55">SUM(K59:K65)</f>
        <v>0</v>
      </c>
      <c r="L58" s="55">
        <f t="shared" si="55"/>
        <v>0</v>
      </c>
      <c r="M58" s="189">
        <f>SUM(M59:M65)</f>
        <v>0</v>
      </c>
      <c r="N58" s="190">
        <f t="shared" ref="N58:O58" si="56">SUM(N59:N65)</f>
        <v>0</v>
      </c>
      <c r="O58" s="55">
        <f t="shared" si="56"/>
        <v>0</v>
      </c>
      <c r="P58" s="57"/>
    </row>
    <row r="59" spans="1:16" ht="12" hidden="1" customHeight="1" x14ac:dyDescent="0.25">
      <c r="A59" s="51">
        <v>1141</v>
      </c>
      <c r="B59" s="88" t="s">
        <v>78</v>
      </c>
      <c r="C59" s="89">
        <f t="shared" si="0"/>
        <v>0</v>
      </c>
      <c r="D59" s="53"/>
      <c r="E59" s="54"/>
      <c r="F59" s="55">
        <f t="shared" ref="F59:F66" si="57">D59+E59</f>
        <v>0</v>
      </c>
      <c r="G59" s="53"/>
      <c r="H59" s="54"/>
      <c r="I59" s="55">
        <f t="shared" ref="I59:I66" si="58">G59+H59</f>
        <v>0</v>
      </c>
      <c r="J59" s="53"/>
      <c r="K59" s="54"/>
      <c r="L59" s="55">
        <f t="shared" ref="L59:L66" si="59">K59+J59</f>
        <v>0</v>
      </c>
      <c r="M59" s="53"/>
      <c r="N59" s="54"/>
      <c r="O59" s="55">
        <f t="shared" ref="O59:O66" si="60">N59+M59</f>
        <v>0</v>
      </c>
      <c r="P59" s="57"/>
    </row>
    <row r="60" spans="1:16" ht="24.75" hidden="1" customHeight="1" x14ac:dyDescent="0.25">
      <c r="A60" s="51">
        <v>1142</v>
      </c>
      <c r="B60" s="88" t="s">
        <v>79</v>
      </c>
      <c r="C60" s="89">
        <f t="shared" si="0"/>
        <v>0</v>
      </c>
      <c r="D60" s="53"/>
      <c r="E60" s="54"/>
      <c r="F60" s="55">
        <f t="shared" si="57"/>
        <v>0</v>
      </c>
      <c r="G60" s="53"/>
      <c r="H60" s="54"/>
      <c r="I60" s="55">
        <f t="shared" si="58"/>
        <v>0</v>
      </c>
      <c r="J60" s="53"/>
      <c r="K60" s="54"/>
      <c r="L60" s="55">
        <f t="shared" si="59"/>
        <v>0</v>
      </c>
      <c r="M60" s="53"/>
      <c r="N60" s="54"/>
      <c r="O60" s="55">
        <f t="shared" si="60"/>
        <v>0</v>
      </c>
      <c r="P60" s="57"/>
    </row>
    <row r="61" spans="1:16" ht="24" hidden="1" customHeight="1" x14ac:dyDescent="0.25">
      <c r="A61" s="51">
        <v>1145</v>
      </c>
      <c r="B61" s="88" t="s">
        <v>80</v>
      </c>
      <c r="C61" s="89">
        <f t="shared" si="0"/>
        <v>0</v>
      </c>
      <c r="D61" s="53"/>
      <c r="E61" s="54"/>
      <c r="F61" s="55">
        <f t="shared" si="57"/>
        <v>0</v>
      </c>
      <c r="G61" s="53"/>
      <c r="H61" s="54"/>
      <c r="I61" s="55">
        <f t="shared" si="58"/>
        <v>0</v>
      </c>
      <c r="J61" s="53"/>
      <c r="K61" s="54"/>
      <c r="L61" s="55">
        <f t="shared" si="59"/>
        <v>0</v>
      </c>
      <c r="M61" s="53"/>
      <c r="N61" s="54"/>
      <c r="O61" s="55">
        <f t="shared" si="60"/>
        <v>0</v>
      </c>
      <c r="P61" s="57"/>
    </row>
    <row r="62" spans="1:16" ht="27.75" hidden="1" customHeight="1" x14ac:dyDescent="0.25">
      <c r="A62" s="51">
        <v>1146</v>
      </c>
      <c r="B62" s="88" t="s">
        <v>81</v>
      </c>
      <c r="C62" s="89">
        <f t="shared" si="0"/>
        <v>0</v>
      </c>
      <c r="D62" s="53"/>
      <c r="E62" s="54"/>
      <c r="F62" s="55">
        <f t="shared" si="57"/>
        <v>0</v>
      </c>
      <c r="G62" s="53"/>
      <c r="H62" s="54"/>
      <c r="I62" s="55">
        <f t="shared" si="58"/>
        <v>0</v>
      </c>
      <c r="J62" s="53"/>
      <c r="K62" s="54"/>
      <c r="L62" s="55">
        <f t="shared" si="59"/>
        <v>0</v>
      </c>
      <c r="M62" s="53"/>
      <c r="N62" s="54"/>
      <c r="O62" s="55">
        <f t="shared" si="60"/>
        <v>0</v>
      </c>
      <c r="P62" s="57"/>
    </row>
    <row r="63" spans="1:16" ht="14.25" customHeight="1" x14ac:dyDescent="0.25">
      <c r="A63" s="51">
        <v>1147</v>
      </c>
      <c r="B63" s="88" t="s">
        <v>82</v>
      </c>
      <c r="C63" s="89">
        <f t="shared" si="0"/>
        <v>812</v>
      </c>
      <c r="D63" s="53"/>
      <c r="E63" s="54"/>
      <c r="F63" s="55">
        <f t="shared" si="57"/>
        <v>0</v>
      </c>
      <c r="G63" s="53">
        <v>651</v>
      </c>
      <c r="H63" s="54">
        <v>161</v>
      </c>
      <c r="I63" s="55">
        <f t="shared" si="58"/>
        <v>812</v>
      </c>
      <c r="J63" s="53"/>
      <c r="K63" s="54"/>
      <c r="L63" s="55">
        <f t="shared" si="59"/>
        <v>0</v>
      </c>
      <c r="M63" s="53"/>
      <c r="N63" s="54"/>
      <c r="O63" s="55">
        <f t="shared" si="60"/>
        <v>0</v>
      </c>
      <c r="P63" s="57" t="s">
        <v>403</v>
      </c>
    </row>
    <row r="64" spans="1:16" ht="12" hidden="1" customHeight="1" x14ac:dyDescent="0.25">
      <c r="A64" s="51">
        <v>1148</v>
      </c>
      <c r="B64" s="88" t="s">
        <v>83</v>
      </c>
      <c r="C64" s="89">
        <f t="shared" si="0"/>
        <v>0</v>
      </c>
      <c r="D64" s="53"/>
      <c r="E64" s="54"/>
      <c r="F64" s="55">
        <f t="shared" si="57"/>
        <v>0</v>
      </c>
      <c r="G64" s="53"/>
      <c r="H64" s="54"/>
      <c r="I64" s="55">
        <f t="shared" si="58"/>
        <v>0</v>
      </c>
      <c r="J64" s="53"/>
      <c r="K64" s="54"/>
      <c r="L64" s="55">
        <f t="shared" si="59"/>
        <v>0</v>
      </c>
      <c r="M64" s="53"/>
      <c r="N64" s="54"/>
      <c r="O64" s="55">
        <f t="shared" si="60"/>
        <v>0</v>
      </c>
      <c r="P64" s="57"/>
    </row>
    <row r="65" spans="1:16" ht="24" hidden="1" customHeight="1" x14ac:dyDescent="0.25">
      <c r="A65" s="51">
        <v>1149</v>
      </c>
      <c r="B65" s="88" t="s">
        <v>84</v>
      </c>
      <c r="C65" s="89">
        <f t="shared" si="0"/>
        <v>0</v>
      </c>
      <c r="D65" s="53"/>
      <c r="E65" s="54"/>
      <c r="F65" s="55">
        <f t="shared" si="57"/>
        <v>0</v>
      </c>
      <c r="G65" s="53"/>
      <c r="H65" s="54"/>
      <c r="I65" s="55">
        <f t="shared" si="58"/>
        <v>0</v>
      </c>
      <c r="J65" s="53"/>
      <c r="K65" s="54"/>
      <c r="L65" s="55">
        <f t="shared" si="59"/>
        <v>0</v>
      </c>
      <c r="M65" s="53"/>
      <c r="N65" s="54"/>
      <c r="O65" s="55">
        <f t="shared" si="60"/>
        <v>0</v>
      </c>
      <c r="P65" s="57"/>
    </row>
    <row r="66" spans="1:16" ht="36" hidden="1" customHeight="1" x14ac:dyDescent="0.25">
      <c r="A66" s="185">
        <v>1150</v>
      </c>
      <c r="B66" s="137" t="s">
        <v>85</v>
      </c>
      <c r="C66" s="142">
        <f t="shared" si="0"/>
        <v>0</v>
      </c>
      <c r="D66" s="143"/>
      <c r="E66" s="144"/>
      <c r="F66" s="140">
        <f t="shared" si="57"/>
        <v>0</v>
      </c>
      <c r="G66" s="143"/>
      <c r="H66" s="144"/>
      <c r="I66" s="140">
        <f t="shared" si="58"/>
        <v>0</v>
      </c>
      <c r="J66" s="143"/>
      <c r="K66" s="144"/>
      <c r="L66" s="140">
        <f t="shared" si="59"/>
        <v>0</v>
      </c>
      <c r="M66" s="143"/>
      <c r="N66" s="144"/>
      <c r="O66" s="140">
        <f t="shared" si="60"/>
        <v>0</v>
      </c>
      <c r="P66" s="128"/>
    </row>
    <row r="67" spans="1:16" ht="26.25" customHeight="1" x14ac:dyDescent="0.25">
      <c r="A67" s="68">
        <v>1200</v>
      </c>
      <c r="B67" s="182" t="s">
        <v>86</v>
      </c>
      <c r="C67" s="69">
        <f t="shared" si="0"/>
        <v>17876</v>
      </c>
      <c r="D67" s="183">
        <f>SUM(D68:D69)</f>
        <v>0</v>
      </c>
      <c r="E67" s="184">
        <f t="shared" ref="E67:F67" si="61">SUM(E68:E69)</f>
        <v>0</v>
      </c>
      <c r="F67" s="72">
        <f t="shared" si="61"/>
        <v>0</v>
      </c>
      <c r="G67" s="183">
        <f>SUM(G68:G69)</f>
        <v>14329</v>
      </c>
      <c r="H67" s="184">
        <f t="shared" ref="H67:I67" si="62">SUM(H68:H69)</f>
        <v>3547</v>
      </c>
      <c r="I67" s="72">
        <f t="shared" si="62"/>
        <v>17876</v>
      </c>
      <c r="J67" s="183">
        <f>SUM(J68:J69)</f>
        <v>0</v>
      </c>
      <c r="K67" s="184">
        <f t="shared" ref="K67:L67" si="63">SUM(K68:K69)</f>
        <v>0</v>
      </c>
      <c r="L67" s="72">
        <f t="shared" si="63"/>
        <v>0</v>
      </c>
      <c r="M67" s="183">
        <f>SUM(M68:M69)</f>
        <v>0</v>
      </c>
      <c r="N67" s="184">
        <f t="shared" ref="N67:O67" si="64">SUM(N68:N69)</f>
        <v>0</v>
      </c>
      <c r="O67" s="72">
        <f t="shared" si="64"/>
        <v>0</v>
      </c>
      <c r="P67" s="76"/>
    </row>
    <row r="68" spans="1:16" ht="27.75" customHeight="1" x14ac:dyDescent="0.25">
      <c r="A68" s="191">
        <v>1210</v>
      </c>
      <c r="B68" s="81" t="s">
        <v>87</v>
      </c>
      <c r="C68" s="82">
        <f t="shared" si="0"/>
        <v>16340</v>
      </c>
      <c r="D68" s="46"/>
      <c r="E68" s="47"/>
      <c r="F68" s="133">
        <f>D68+E68</f>
        <v>0</v>
      </c>
      <c r="G68" s="46">
        <v>13098</v>
      </c>
      <c r="H68" s="47">
        <v>3242</v>
      </c>
      <c r="I68" s="133">
        <f>G68+H68</f>
        <v>16340</v>
      </c>
      <c r="J68" s="46"/>
      <c r="K68" s="47"/>
      <c r="L68" s="133">
        <f>K68+J68</f>
        <v>0</v>
      </c>
      <c r="M68" s="46"/>
      <c r="N68" s="47"/>
      <c r="O68" s="133">
        <f>N68+M68</f>
        <v>0</v>
      </c>
      <c r="P68" s="57" t="s">
        <v>404</v>
      </c>
    </row>
    <row r="69" spans="1:16" ht="27.75" customHeight="1" x14ac:dyDescent="0.25">
      <c r="A69" s="188">
        <v>1220</v>
      </c>
      <c r="B69" s="88" t="s">
        <v>88</v>
      </c>
      <c r="C69" s="89">
        <f t="shared" si="0"/>
        <v>1536</v>
      </c>
      <c r="D69" s="189">
        <f>SUM(D70:D74)</f>
        <v>0</v>
      </c>
      <c r="E69" s="190">
        <f t="shared" ref="E69:F69" si="65">SUM(E70:E74)</f>
        <v>0</v>
      </c>
      <c r="F69" s="55">
        <f t="shared" si="65"/>
        <v>0</v>
      </c>
      <c r="G69" s="189">
        <f>SUM(G70:G74)</f>
        <v>1231</v>
      </c>
      <c r="H69" s="190">
        <f t="shared" ref="H69:I69" si="66">SUM(H70:H74)</f>
        <v>305</v>
      </c>
      <c r="I69" s="55">
        <f t="shared" si="66"/>
        <v>1536</v>
      </c>
      <c r="J69" s="189">
        <f>SUM(J70:J74)</f>
        <v>0</v>
      </c>
      <c r="K69" s="190">
        <f t="shared" ref="K69:L69" si="67">SUM(K70:K74)</f>
        <v>0</v>
      </c>
      <c r="L69" s="55">
        <f t="shared" si="67"/>
        <v>0</v>
      </c>
      <c r="M69" s="189">
        <f>SUM(M70:M74)</f>
        <v>0</v>
      </c>
      <c r="N69" s="190">
        <f t="shared" ref="N69:O69" si="68">SUM(N70:N74)</f>
        <v>0</v>
      </c>
      <c r="O69" s="55">
        <f t="shared" si="68"/>
        <v>0</v>
      </c>
      <c r="P69" s="57"/>
    </row>
    <row r="70" spans="1:16" ht="48" hidden="1" customHeight="1" x14ac:dyDescent="0.25">
      <c r="A70" s="51">
        <v>1221</v>
      </c>
      <c r="B70" s="88" t="s">
        <v>89</v>
      </c>
      <c r="C70" s="89">
        <f t="shared" si="0"/>
        <v>0</v>
      </c>
      <c r="D70" s="53"/>
      <c r="E70" s="54"/>
      <c r="F70" s="55">
        <f t="shared" ref="F70:F74" si="69">D70+E70</f>
        <v>0</v>
      </c>
      <c r="G70" s="53"/>
      <c r="H70" s="54"/>
      <c r="I70" s="55">
        <f t="shared" ref="I70:I74" si="70">G70+H70</f>
        <v>0</v>
      </c>
      <c r="J70" s="53"/>
      <c r="K70" s="54"/>
      <c r="L70" s="55">
        <f t="shared" ref="L70:L74" si="71">K70+J70</f>
        <v>0</v>
      </c>
      <c r="M70" s="53"/>
      <c r="N70" s="54"/>
      <c r="O70" s="55">
        <f t="shared" ref="O70:O74" si="72">N70+M70</f>
        <v>0</v>
      </c>
      <c r="P70" s="57"/>
    </row>
    <row r="71" spans="1:16" ht="12" hidden="1" customHeight="1" x14ac:dyDescent="0.25">
      <c r="A71" s="51">
        <v>1223</v>
      </c>
      <c r="B71" s="88" t="s">
        <v>90</v>
      </c>
      <c r="C71" s="89">
        <f t="shared" si="0"/>
        <v>0</v>
      </c>
      <c r="D71" s="53"/>
      <c r="E71" s="54"/>
      <c r="F71" s="55">
        <f t="shared" si="69"/>
        <v>0</v>
      </c>
      <c r="G71" s="53"/>
      <c r="H71" s="54"/>
      <c r="I71" s="55">
        <f t="shared" si="70"/>
        <v>0</v>
      </c>
      <c r="J71" s="53"/>
      <c r="K71" s="54"/>
      <c r="L71" s="55">
        <f t="shared" si="71"/>
        <v>0</v>
      </c>
      <c r="M71" s="53"/>
      <c r="N71" s="54"/>
      <c r="O71" s="55">
        <f t="shared" si="72"/>
        <v>0</v>
      </c>
      <c r="P71" s="57"/>
    </row>
    <row r="72" spans="1:16" ht="24" hidden="1" customHeight="1" x14ac:dyDescent="0.25">
      <c r="A72" s="51">
        <v>1225</v>
      </c>
      <c r="B72" s="88" t="s">
        <v>91</v>
      </c>
      <c r="C72" s="89">
        <f t="shared" si="0"/>
        <v>0</v>
      </c>
      <c r="D72" s="53"/>
      <c r="E72" s="54"/>
      <c r="F72" s="55">
        <f t="shared" si="69"/>
        <v>0</v>
      </c>
      <c r="G72" s="53"/>
      <c r="H72" s="54"/>
      <c r="I72" s="55">
        <f t="shared" si="70"/>
        <v>0</v>
      </c>
      <c r="J72" s="53"/>
      <c r="K72" s="54"/>
      <c r="L72" s="55">
        <f t="shared" si="71"/>
        <v>0</v>
      </c>
      <c r="M72" s="53"/>
      <c r="N72" s="54"/>
      <c r="O72" s="55">
        <f t="shared" si="72"/>
        <v>0</v>
      </c>
      <c r="P72" s="57"/>
    </row>
    <row r="73" spans="1:16" ht="39" customHeight="1" x14ac:dyDescent="0.25">
      <c r="A73" s="51">
        <v>1227</v>
      </c>
      <c r="B73" s="88" t="s">
        <v>92</v>
      </c>
      <c r="C73" s="89">
        <f t="shared" si="0"/>
        <v>1536</v>
      </c>
      <c r="D73" s="53"/>
      <c r="E73" s="54"/>
      <c r="F73" s="55">
        <f t="shared" si="69"/>
        <v>0</v>
      </c>
      <c r="G73" s="53">
        <v>1231</v>
      </c>
      <c r="H73" s="54">
        <v>305</v>
      </c>
      <c r="I73" s="55">
        <f t="shared" si="70"/>
        <v>1536</v>
      </c>
      <c r="J73" s="53"/>
      <c r="K73" s="54"/>
      <c r="L73" s="55">
        <f t="shared" si="71"/>
        <v>0</v>
      </c>
      <c r="M73" s="53"/>
      <c r="N73" s="54"/>
      <c r="O73" s="55">
        <f t="shared" si="72"/>
        <v>0</v>
      </c>
      <c r="P73" s="57" t="s">
        <v>405</v>
      </c>
    </row>
    <row r="74" spans="1:16" ht="48" hidden="1" customHeight="1" x14ac:dyDescent="0.25">
      <c r="A74" s="51">
        <v>1228</v>
      </c>
      <c r="B74" s="88" t="s">
        <v>93</v>
      </c>
      <c r="C74" s="89">
        <f t="shared" si="0"/>
        <v>0</v>
      </c>
      <c r="D74" s="53"/>
      <c r="E74" s="54"/>
      <c r="F74" s="55">
        <f t="shared" si="69"/>
        <v>0</v>
      </c>
      <c r="G74" s="53"/>
      <c r="H74" s="54"/>
      <c r="I74" s="55">
        <f t="shared" si="70"/>
        <v>0</v>
      </c>
      <c r="J74" s="53"/>
      <c r="K74" s="54"/>
      <c r="L74" s="55">
        <f t="shared" si="71"/>
        <v>0</v>
      </c>
      <c r="M74" s="53"/>
      <c r="N74" s="54"/>
      <c r="O74" s="55">
        <f t="shared" si="72"/>
        <v>0</v>
      </c>
      <c r="P74" s="57"/>
    </row>
    <row r="75" spans="1:16" ht="15" customHeight="1" x14ac:dyDescent="0.25">
      <c r="A75" s="176">
        <v>2000</v>
      </c>
      <c r="B75" s="176" t="s">
        <v>94</v>
      </c>
      <c r="C75" s="177">
        <f t="shared" si="0"/>
        <v>37168</v>
      </c>
      <c r="D75" s="178">
        <f>SUM(D76,D83,D130,D164,D165,D172)</f>
        <v>0</v>
      </c>
      <c r="E75" s="179">
        <f t="shared" ref="E75:F75" si="73">SUM(E76,E83,E130,E164,E165,E172)</f>
        <v>0</v>
      </c>
      <c r="F75" s="180">
        <f t="shared" si="73"/>
        <v>0</v>
      </c>
      <c r="G75" s="178">
        <f>SUM(G76,G83,G130,G164,G165,G172)</f>
        <v>29798</v>
      </c>
      <c r="H75" s="179">
        <f t="shared" ref="H75:I75" si="74">SUM(H76,H83,H130,H164,H165,H172)</f>
        <v>7370</v>
      </c>
      <c r="I75" s="180">
        <f t="shared" si="74"/>
        <v>37168</v>
      </c>
      <c r="J75" s="178">
        <f>SUM(J76,J83,J130,J164,J165,J172)</f>
        <v>0</v>
      </c>
      <c r="K75" s="179">
        <f t="shared" ref="K75:L75" si="75">SUM(K76,K83,K130,K164,K165,K172)</f>
        <v>0</v>
      </c>
      <c r="L75" s="180">
        <f t="shared" si="75"/>
        <v>0</v>
      </c>
      <c r="M75" s="178">
        <f>SUM(M76,M83,M130,M164,M165,M172)</f>
        <v>0</v>
      </c>
      <c r="N75" s="179">
        <f t="shared" ref="N75:O75" si="76">SUM(N76,N83,N130,N164,N165,N172)</f>
        <v>0</v>
      </c>
      <c r="O75" s="180">
        <f t="shared" si="76"/>
        <v>0</v>
      </c>
      <c r="P75" s="181"/>
    </row>
    <row r="76" spans="1:16" ht="24" hidden="1" x14ac:dyDescent="0.25">
      <c r="A76" s="68">
        <v>2100</v>
      </c>
      <c r="B76" s="182" t="s">
        <v>95</v>
      </c>
      <c r="C76" s="69">
        <f t="shared" si="0"/>
        <v>0</v>
      </c>
      <c r="D76" s="183">
        <f>SUM(D77,D80)</f>
        <v>0</v>
      </c>
      <c r="E76" s="184">
        <f t="shared" ref="E76:F76" si="77">SUM(E77,E80)</f>
        <v>0</v>
      </c>
      <c r="F76" s="72">
        <f t="shared" si="77"/>
        <v>0</v>
      </c>
      <c r="G76" s="183">
        <f>SUM(G77,G80)</f>
        <v>0</v>
      </c>
      <c r="H76" s="184">
        <f t="shared" ref="H76:I76" si="78">SUM(H77,H80)</f>
        <v>0</v>
      </c>
      <c r="I76" s="72">
        <f t="shared" si="78"/>
        <v>0</v>
      </c>
      <c r="J76" s="183">
        <f>SUM(J77,J80)</f>
        <v>0</v>
      </c>
      <c r="K76" s="184">
        <f t="shared" ref="K76:L76" si="79">SUM(K77,K80)</f>
        <v>0</v>
      </c>
      <c r="L76" s="72">
        <f t="shared" si="79"/>
        <v>0</v>
      </c>
      <c r="M76" s="183">
        <f>SUM(M77,M80)</f>
        <v>0</v>
      </c>
      <c r="N76" s="184">
        <f t="shared" ref="N76:O76" si="80">SUM(N77,N80)</f>
        <v>0</v>
      </c>
      <c r="O76" s="72">
        <f t="shared" si="80"/>
        <v>0</v>
      </c>
      <c r="P76" s="76"/>
    </row>
    <row r="77" spans="1:16" ht="24" hidden="1" x14ac:dyDescent="0.25">
      <c r="A77" s="191">
        <v>2110</v>
      </c>
      <c r="B77" s="81" t="s">
        <v>96</v>
      </c>
      <c r="C77" s="82">
        <f t="shared" si="0"/>
        <v>0</v>
      </c>
      <c r="D77" s="192">
        <f>SUM(D78:D79)</f>
        <v>0</v>
      </c>
      <c r="E77" s="193">
        <f t="shared" ref="E77:F77" si="81">SUM(E78:E79)</f>
        <v>0</v>
      </c>
      <c r="F77" s="133">
        <f t="shared" si="81"/>
        <v>0</v>
      </c>
      <c r="G77" s="192">
        <f>SUM(G78:G79)</f>
        <v>0</v>
      </c>
      <c r="H77" s="193">
        <f t="shared" ref="H77:I77" si="82">SUM(H78:H79)</f>
        <v>0</v>
      </c>
      <c r="I77" s="133">
        <f t="shared" si="82"/>
        <v>0</v>
      </c>
      <c r="J77" s="192">
        <f>SUM(J78:J79)</f>
        <v>0</v>
      </c>
      <c r="K77" s="193">
        <f t="shared" ref="K77:L77" si="83">SUM(K78:K79)</f>
        <v>0</v>
      </c>
      <c r="L77" s="133">
        <f t="shared" si="83"/>
        <v>0</v>
      </c>
      <c r="M77" s="192">
        <f>SUM(M78:M79)</f>
        <v>0</v>
      </c>
      <c r="N77" s="193">
        <f t="shared" ref="N77:O77" si="84">SUM(N78:N79)</f>
        <v>0</v>
      </c>
      <c r="O77" s="133">
        <f t="shared" si="84"/>
        <v>0</v>
      </c>
      <c r="P77" s="49"/>
    </row>
    <row r="78" spans="1:16" ht="12" hidden="1" customHeight="1" x14ac:dyDescent="0.25">
      <c r="A78" s="51">
        <v>2111</v>
      </c>
      <c r="B78" s="88" t="s">
        <v>97</v>
      </c>
      <c r="C78" s="89">
        <f t="shared" si="0"/>
        <v>0</v>
      </c>
      <c r="D78" s="194"/>
      <c r="E78" s="195"/>
      <c r="F78" s="55">
        <f t="shared" ref="F78:F79" si="85">D78+E78</f>
        <v>0</v>
      </c>
      <c r="G78" s="53"/>
      <c r="H78" s="54"/>
      <c r="I78" s="55">
        <f t="shared" ref="I78:I79" si="86">G78+H78</f>
        <v>0</v>
      </c>
      <c r="J78" s="53"/>
      <c r="K78" s="54"/>
      <c r="L78" s="55">
        <f t="shared" ref="L78:L79" si="87">K78+J78</f>
        <v>0</v>
      </c>
      <c r="M78" s="53"/>
      <c r="N78" s="54"/>
      <c r="O78" s="55">
        <f t="shared" ref="O78:O79" si="88">N78+M78</f>
        <v>0</v>
      </c>
      <c r="P78" s="57"/>
    </row>
    <row r="79" spans="1:16" ht="24" hidden="1" customHeight="1" x14ac:dyDescent="0.25">
      <c r="A79" s="51">
        <v>2112</v>
      </c>
      <c r="B79" s="88" t="s">
        <v>98</v>
      </c>
      <c r="C79" s="89">
        <f t="shared" si="0"/>
        <v>0</v>
      </c>
      <c r="D79" s="194"/>
      <c r="E79" s="195"/>
      <c r="F79" s="55">
        <f t="shared" si="85"/>
        <v>0</v>
      </c>
      <c r="G79" s="53"/>
      <c r="H79" s="54"/>
      <c r="I79" s="55">
        <f t="shared" si="86"/>
        <v>0</v>
      </c>
      <c r="J79" s="53"/>
      <c r="K79" s="54"/>
      <c r="L79" s="55">
        <f t="shared" si="87"/>
        <v>0</v>
      </c>
      <c r="M79" s="53"/>
      <c r="N79" s="54"/>
      <c r="O79" s="55">
        <f t="shared" si="88"/>
        <v>0</v>
      </c>
      <c r="P79" s="57"/>
    </row>
    <row r="80" spans="1:16" ht="24" hidden="1" x14ac:dyDescent="0.25">
      <c r="A80" s="188">
        <v>2120</v>
      </c>
      <c r="B80" s="88" t="s">
        <v>99</v>
      </c>
      <c r="C80" s="89">
        <f t="shared" si="0"/>
        <v>0</v>
      </c>
      <c r="D80" s="189">
        <f>SUM(D81:D82)</f>
        <v>0</v>
      </c>
      <c r="E80" s="190">
        <f t="shared" ref="E80:F80" si="89">SUM(E81:E82)</f>
        <v>0</v>
      </c>
      <c r="F80" s="55">
        <f t="shared" si="89"/>
        <v>0</v>
      </c>
      <c r="G80" s="189">
        <f>SUM(G81:G82)</f>
        <v>0</v>
      </c>
      <c r="H80" s="190">
        <f t="shared" ref="H80:I80" si="90">SUM(H81:H82)</f>
        <v>0</v>
      </c>
      <c r="I80" s="55">
        <f t="shared" si="90"/>
        <v>0</v>
      </c>
      <c r="J80" s="189">
        <f>SUM(J81:J82)</f>
        <v>0</v>
      </c>
      <c r="K80" s="190">
        <f t="shared" ref="K80:L80" si="91">SUM(K81:K82)</f>
        <v>0</v>
      </c>
      <c r="L80" s="55">
        <f t="shared" si="91"/>
        <v>0</v>
      </c>
      <c r="M80" s="189">
        <f>SUM(M81:M82)</f>
        <v>0</v>
      </c>
      <c r="N80" s="190">
        <f t="shared" ref="N80:O80" si="92">SUM(N81:N82)</f>
        <v>0</v>
      </c>
      <c r="O80" s="55">
        <f t="shared" si="92"/>
        <v>0</v>
      </c>
      <c r="P80" s="57"/>
    </row>
    <row r="81" spans="1:16" ht="12" hidden="1" customHeight="1" x14ac:dyDescent="0.25">
      <c r="A81" s="51">
        <v>2121</v>
      </c>
      <c r="B81" s="88" t="s">
        <v>97</v>
      </c>
      <c r="C81" s="89">
        <f t="shared" si="0"/>
        <v>0</v>
      </c>
      <c r="D81" s="194"/>
      <c r="E81" s="195"/>
      <c r="F81" s="55">
        <f t="shared" ref="F81:F82" si="93">D81+E81</f>
        <v>0</v>
      </c>
      <c r="G81" s="53"/>
      <c r="H81" s="54"/>
      <c r="I81" s="55">
        <f t="shared" ref="I81:I82" si="94">G81+H81</f>
        <v>0</v>
      </c>
      <c r="J81" s="53"/>
      <c r="K81" s="54"/>
      <c r="L81" s="55">
        <f t="shared" ref="L81:L82" si="95">K81+J81</f>
        <v>0</v>
      </c>
      <c r="M81" s="53"/>
      <c r="N81" s="54"/>
      <c r="O81" s="55">
        <f t="shared" ref="O81:O82" si="96">N81+M81</f>
        <v>0</v>
      </c>
      <c r="P81" s="57"/>
    </row>
    <row r="82" spans="1:16" ht="24" hidden="1" customHeight="1" x14ac:dyDescent="0.25">
      <c r="A82" s="51">
        <v>2122</v>
      </c>
      <c r="B82" s="88" t="s">
        <v>98</v>
      </c>
      <c r="C82" s="89">
        <f t="shared" si="0"/>
        <v>0</v>
      </c>
      <c r="D82" s="194"/>
      <c r="E82" s="195"/>
      <c r="F82" s="55">
        <f t="shared" si="93"/>
        <v>0</v>
      </c>
      <c r="G82" s="53"/>
      <c r="H82" s="54"/>
      <c r="I82" s="55">
        <f t="shared" si="94"/>
        <v>0</v>
      </c>
      <c r="J82" s="53"/>
      <c r="K82" s="54"/>
      <c r="L82" s="55">
        <f t="shared" si="95"/>
        <v>0</v>
      </c>
      <c r="M82" s="53"/>
      <c r="N82" s="54"/>
      <c r="O82" s="55">
        <f t="shared" si="96"/>
        <v>0</v>
      </c>
      <c r="P82" s="57"/>
    </row>
    <row r="83" spans="1:16" ht="15" customHeight="1" x14ac:dyDescent="0.25">
      <c r="A83" s="68">
        <v>2200</v>
      </c>
      <c r="B83" s="182" t="s">
        <v>100</v>
      </c>
      <c r="C83" s="69">
        <f t="shared" si="0"/>
        <v>15533</v>
      </c>
      <c r="D83" s="183">
        <f>SUM(D84,D89,D95,D103,D112,D116,D122,D128)</f>
        <v>0</v>
      </c>
      <c r="E83" s="184">
        <f t="shared" ref="E83:F83" si="97">SUM(E84,E89,E95,E103,E112,E116,E122,E128)</f>
        <v>0</v>
      </c>
      <c r="F83" s="72">
        <f t="shared" si="97"/>
        <v>0</v>
      </c>
      <c r="G83" s="183">
        <f>SUM(G84,G89,G95,G103,G112,G116,G122,G128)</f>
        <v>12455</v>
      </c>
      <c r="H83" s="184">
        <f t="shared" ref="H83:I83" si="98">SUM(H84,H89,H95,H103,H112,H116,H122,H128)</f>
        <v>3078</v>
      </c>
      <c r="I83" s="72">
        <f t="shared" si="98"/>
        <v>15533</v>
      </c>
      <c r="J83" s="183">
        <f>SUM(J84,J89,J95,J103,J112,J116,J122,J128)</f>
        <v>0</v>
      </c>
      <c r="K83" s="184">
        <f t="shared" ref="K83:L83" si="99">SUM(K84,K89,K95,K103,K112,K116,K122,K128)</f>
        <v>0</v>
      </c>
      <c r="L83" s="72">
        <f t="shared" si="99"/>
        <v>0</v>
      </c>
      <c r="M83" s="183">
        <f>SUM(M84,M89,M95,M103,M112,M116,M122,M128)</f>
        <v>0</v>
      </c>
      <c r="N83" s="184">
        <f t="shared" ref="N83:O83" si="100">SUM(N84,N89,N95,N103,N112,N116,N122,N128)</f>
        <v>0</v>
      </c>
      <c r="O83" s="72">
        <f t="shared" si="100"/>
        <v>0</v>
      </c>
      <c r="P83" s="76"/>
    </row>
    <row r="84" spans="1:16" hidden="1" x14ac:dyDescent="0.25">
      <c r="A84" s="185">
        <v>2210</v>
      </c>
      <c r="B84" s="137" t="s">
        <v>101</v>
      </c>
      <c r="C84" s="142">
        <f t="shared" ref="C84:C147" si="101">F84+I84+L84+O84</f>
        <v>0</v>
      </c>
      <c r="D84" s="186">
        <f>SUM(D85:D88)</f>
        <v>0</v>
      </c>
      <c r="E84" s="187">
        <f t="shared" ref="E84:F84" si="102">SUM(E85:E88)</f>
        <v>0</v>
      </c>
      <c r="F84" s="140">
        <f t="shared" si="102"/>
        <v>0</v>
      </c>
      <c r="G84" s="186">
        <f>SUM(G85:G88)</f>
        <v>0</v>
      </c>
      <c r="H84" s="187">
        <f t="shared" ref="H84:I84" si="103">SUM(H85:H88)</f>
        <v>0</v>
      </c>
      <c r="I84" s="140">
        <f t="shared" si="103"/>
        <v>0</v>
      </c>
      <c r="J84" s="186">
        <f>SUM(J85:J88)</f>
        <v>0</v>
      </c>
      <c r="K84" s="187">
        <f t="shared" ref="K84:L84" si="104">SUM(K85:K88)</f>
        <v>0</v>
      </c>
      <c r="L84" s="140">
        <f t="shared" si="104"/>
        <v>0</v>
      </c>
      <c r="M84" s="186">
        <f>SUM(M85:M88)</f>
        <v>0</v>
      </c>
      <c r="N84" s="187">
        <f t="shared" ref="N84:O84" si="105">SUM(N85:N88)</f>
        <v>0</v>
      </c>
      <c r="O84" s="140">
        <f t="shared" si="105"/>
        <v>0</v>
      </c>
      <c r="P84" s="128"/>
    </row>
    <row r="85" spans="1:16" ht="24" hidden="1" customHeight="1" x14ac:dyDescent="0.25">
      <c r="A85" s="44">
        <v>2211</v>
      </c>
      <c r="B85" s="81" t="s">
        <v>102</v>
      </c>
      <c r="C85" s="82">
        <f t="shared" si="101"/>
        <v>0</v>
      </c>
      <c r="D85" s="196"/>
      <c r="E85" s="197"/>
      <c r="F85" s="133">
        <f t="shared" ref="F85:F88" si="106">D85+E85</f>
        <v>0</v>
      </c>
      <c r="G85" s="46"/>
      <c r="H85" s="47"/>
      <c r="I85" s="133">
        <f t="shared" ref="I85:I88" si="107">G85+H85</f>
        <v>0</v>
      </c>
      <c r="J85" s="46"/>
      <c r="K85" s="47"/>
      <c r="L85" s="133">
        <f t="shared" ref="L85:L88" si="108">K85+J85</f>
        <v>0</v>
      </c>
      <c r="M85" s="46"/>
      <c r="N85" s="47"/>
      <c r="O85" s="133">
        <f t="shared" ref="O85:O88" si="109">N85+M85</f>
        <v>0</v>
      </c>
      <c r="P85" s="49"/>
    </row>
    <row r="86" spans="1:16" ht="36" hidden="1" customHeight="1" x14ac:dyDescent="0.25">
      <c r="A86" s="51">
        <v>2212</v>
      </c>
      <c r="B86" s="88" t="s">
        <v>103</v>
      </c>
      <c r="C86" s="89">
        <f t="shared" si="101"/>
        <v>0</v>
      </c>
      <c r="D86" s="194"/>
      <c r="E86" s="195"/>
      <c r="F86" s="55">
        <f t="shared" si="106"/>
        <v>0</v>
      </c>
      <c r="G86" s="53"/>
      <c r="H86" s="54"/>
      <c r="I86" s="55">
        <f t="shared" si="107"/>
        <v>0</v>
      </c>
      <c r="J86" s="53"/>
      <c r="K86" s="54"/>
      <c r="L86" s="55">
        <f t="shared" si="108"/>
        <v>0</v>
      </c>
      <c r="M86" s="53"/>
      <c r="N86" s="54"/>
      <c r="O86" s="55">
        <f t="shared" si="109"/>
        <v>0</v>
      </c>
      <c r="P86" s="57"/>
    </row>
    <row r="87" spans="1:16" ht="24" hidden="1" customHeight="1" x14ac:dyDescent="0.25">
      <c r="A87" s="51">
        <v>2214</v>
      </c>
      <c r="B87" s="88" t="s">
        <v>104</v>
      </c>
      <c r="C87" s="89">
        <f t="shared" si="101"/>
        <v>0</v>
      </c>
      <c r="D87" s="194"/>
      <c r="E87" s="195"/>
      <c r="F87" s="55">
        <f t="shared" si="106"/>
        <v>0</v>
      </c>
      <c r="G87" s="53"/>
      <c r="H87" s="54"/>
      <c r="I87" s="55">
        <f t="shared" si="107"/>
        <v>0</v>
      </c>
      <c r="J87" s="53"/>
      <c r="K87" s="54"/>
      <c r="L87" s="55">
        <f t="shared" si="108"/>
        <v>0</v>
      </c>
      <c r="M87" s="53"/>
      <c r="N87" s="54"/>
      <c r="O87" s="55">
        <f t="shared" si="109"/>
        <v>0</v>
      </c>
      <c r="P87" s="57"/>
    </row>
    <row r="88" spans="1:16" ht="12" hidden="1" customHeight="1" x14ac:dyDescent="0.25">
      <c r="A88" s="51">
        <v>2219</v>
      </c>
      <c r="B88" s="88" t="s">
        <v>105</v>
      </c>
      <c r="C88" s="89">
        <f t="shared" si="101"/>
        <v>0</v>
      </c>
      <c r="D88" s="194"/>
      <c r="E88" s="195"/>
      <c r="F88" s="55">
        <f t="shared" si="106"/>
        <v>0</v>
      </c>
      <c r="G88" s="53"/>
      <c r="H88" s="54"/>
      <c r="I88" s="55">
        <f t="shared" si="107"/>
        <v>0</v>
      </c>
      <c r="J88" s="53"/>
      <c r="K88" s="54"/>
      <c r="L88" s="55">
        <f t="shared" si="108"/>
        <v>0</v>
      </c>
      <c r="M88" s="53"/>
      <c r="N88" s="54"/>
      <c r="O88" s="55">
        <f t="shared" si="109"/>
        <v>0</v>
      </c>
      <c r="P88" s="57"/>
    </row>
    <row r="89" spans="1:16" ht="27" customHeight="1" x14ac:dyDescent="0.25">
      <c r="A89" s="188">
        <v>2220</v>
      </c>
      <c r="B89" s="88" t="s">
        <v>106</v>
      </c>
      <c r="C89" s="89">
        <f t="shared" si="101"/>
        <v>13994</v>
      </c>
      <c r="D89" s="189">
        <f>SUM(D90:D94)</f>
        <v>0</v>
      </c>
      <c r="E89" s="190">
        <f t="shared" ref="E89:F89" si="110">SUM(E90:E94)</f>
        <v>0</v>
      </c>
      <c r="F89" s="55">
        <f t="shared" si="110"/>
        <v>0</v>
      </c>
      <c r="G89" s="189">
        <f>SUM(G90:G94)</f>
        <v>11217</v>
      </c>
      <c r="H89" s="190">
        <f t="shared" ref="H89:I89" si="111">SUM(H90:H94)</f>
        <v>2777</v>
      </c>
      <c r="I89" s="55">
        <f t="shared" si="111"/>
        <v>13994</v>
      </c>
      <c r="J89" s="189">
        <f>SUM(J90:J94)</f>
        <v>0</v>
      </c>
      <c r="K89" s="190">
        <f t="shared" ref="K89:L89" si="112">SUM(K90:K94)</f>
        <v>0</v>
      </c>
      <c r="L89" s="55">
        <f t="shared" si="112"/>
        <v>0</v>
      </c>
      <c r="M89" s="189">
        <f>SUM(M90:M94)</f>
        <v>0</v>
      </c>
      <c r="N89" s="190">
        <f t="shared" ref="N89:O89" si="113">SUM(N90:N94)</f>
        <v>0</v>
      </c>
      <c r="O89" s="55">
        <f t="shared" si="113"/>
        <v>0</v>
      </c>
      <c r="P89" s="57"/>
    </row>
    <row r="90" spans="1:16" ht="24" customHeight="1" x14ac:dyDescent="0.25">
      <c r="A90" s="51">
        <v>2221</v>
      </c>
      <c r="B90" s="88" t="s">
        <v>107</v>
      </c>
      <c r="C90" s="89">
        <f t="shared" si="101"/>
        <v>7347</v>
      </c>
      <c r="D90" s="194"/>
      <c r="E90" s="195"/>
      <c r="F90" s="55">
        <f t="shared" ref="F90:F94" si="114">D90+E90</f>
        <v>0</v>
      </c>
      <c r="G90" s="53">
        <v>5889</v>
      </c>
      <c r="H90" s="54">
        <v>1458</v>
      </c>
      <c r="I90" s="55">
        <f t="shared" ref="I90:I94" si="115">G90+H90</f>
        <v>7347</v>
      </c>
      <c r="J90" s="53"/>
      <c r="K90" s="54"/>
      <c r="L90" s="55">
        <f t="shared" ref="L90:L94" si="116">K90+J90</f>
        <v>0</v>
      </c>
      <c r="M90" s="53"/>
      <c r="N90" s="54"/>
      <c r="O90" s="55">
        <f t="shared" ref="O90:O94" si="117">N90+M90</f>
        <v>0</v>
      </c>
      <c r="P90" s="57" t="s">
        <v>406</v>
      </c>
    </row>
    <row r="91" spans="1:16" ht="15.75" customHeight="1" x14ac:dyDescent="0.25">
      <c r="A91" s="51">
        <v>2222</v>
      </c>
      <c r="B91" s="88" t="s">
        <v>108</v>
      </c>
      <c r="C91" s="89">
        <f t="shared" si="101"/>
        <v>2705</v>
      </c>
      <c r="D91" s="194"/>
      <c r="E91" s="195"/>
      <c r="F91" s="55">
        <f t="shared" si="114"/>
        <v>0</v>
      </c>
      <c r="G91" s="53">
        <v>2168</v>
      </c>
      <c r="H91" s="54">
        <v>537</v>
      </c>
      <c r="I91" s="55">
        <f t="shared" si="115"/>
        <v>2705</v>
      </c>
      <c r="J91" s="53"/>
      <c r="K91" s="54"/>
      <c r="L91" s="55">
        <f t="shared" si="116"/>
        <v>0</v>
      </c>
      <c r="M91" s="53"/>
      <c r="N91" s="54"/>
      <c r="O91" s="55">
        <f t="shared" si="117"/>
        <v>0</v>
      </c>
      <c r="P91" s="57" t="s">
        <v>407</v>
      </c>
    </row>
    <row r="92" spans="1:16" ht="15" customHeight="1" x14ac:dyDescent="0.25">
      <c r="A92" s="51">
        <v>2223</v>
      </c>
      <c r="B92" s="88" t="s">
        <v>109</v>
      </c>
      <c r="C92" s="89">
        <f t="shared" si="101"/>
        <v>3599</v>
      </c>
      <c r="D92" s="194"/>
      <c r="E92" s="195"/>
      <c r="F92" s="55">
        <f t="shared" si="114"/>
        <v>0</v>
      </c>
      <c r="G92" s="53">
        <v>2885</v>
      </c>
      <c r="H92" s="54">
        <v>714</v>
      </c>
      <c r="I92" s="55">
        <f t="shared" si="115"/>
        <v>3599</v>
      </c>
      <c r="J92" s="53"/>
      <c r="K92" s="54"/>
      <c r="L92" s="55">
        <f t="shared" si="116"/>
        <v>0</v>
      </c>
      <c r="M92" s="53"/>
      <c r="N92" s="54"/>
      <c r="O92" s="55">
        <f t="shared" si="117"/>
        <v>0</v>
      </c>
      <c r="P92" s="57" t="s">
        <v>408</v>
      </c>
    </row>
    <row r="93" spans="1:16" ht="46.5" customHeight="1" x14ac:dyDescent="0.25">
      <c r="A93" s="51">
        <v>2224</v>
      </c>
      <c r="B93" s="88" t="s">
        <v>110</v>
      </c>
      <c r="C93" s="89">
        <f t="shared" si="101"/>
        <v>343</v>
      </c>
      <c r="D93" s="194"/>
      <c r="E93" s="195"/>
      <c r="F93" s="55">
        <f t="shared" si="114"/>
        <v>0</v>
      </c>
      <c r="G93" s="53">
        <v>275</v>
      </c>
      <c r="H93" s="54">
        <v>68</v>
      </c>
      <c r="I93" s="55">
        <f t="shared" si="115"/>
        <v>343</v>
      </c>
      <c r="J93" s="53"/>
      <c r="K93" s="54"/>
      <c r="L93" s="55">
        <f t="shared" si="116"/>
        <v>0</v>
      </c>
      <c r="M93" s="53"/>
      <c r="N93" s="54"/>
      <c r="O93" s="55">
        <f t="shared" si="117"/>
        <v>0</v>
      </c>
      <c r="P93" s="57" t="s">
        <v>409</v>
      </c>
    </row>
    <row r="94" spans="1:16" ht="24" hidden="1" customHeight="1" x14ac:dyDescent="0.25">
      <c r="A94" s="51">
        <v>2229</v>
      </c>
      <c r="B94" s="88" t="s">
        <v>111</v>
      </c>
      <c r="C94" s="89">
        <f t="shared" si="101"/>
        <v>0</v>
      </c>
      <c r="D94" s="194"/>
      <c r="E94" s="195"/>
      <c r="F94" s="55">
        <f t="shared" si="114"/>
        <v>0</v>
      </c>
      <c r="G94" s="53"/>
      <c r="H94" s="54"/>
      <c r="I94" s="55">
        <f t="shared" si="115"/>
        <v>0</v>
      </c>
      <c r="J94" s="53"/>
      <c r="K94" s="54"/>
      <c r="L94" s="55">
        <f t="shared" si="116"/>
        <v>0</v>
      </c>
      <c r="M94" s="53"/>
      <c r="N94" s="54"/>
      <c r="O94" s="55">
        <f t="shared" si="117"/>
        <v>0</v>
      </c>
      <c r="P94" s="57"/>
    </row>
    <row r="95" spans="1:16" ht="36" hidden="1" x14ac:dyDescent="0.25">
      <c r="A95" s="188">
        <v>2230</v>
      </c>
      <c r="B95" s="88" t="s">
        <v>112</v>
      </c>
      <c r="C95" s="89">
        <f t="shared" si="101"/>
        <v>0</v>
      </c>
      <c r="D95" s="189">
        <f>SUM(D96:D102)</f>
        <v>0</v>
      </c>
      <c r="E95" s="190">
        <f t="shared" ref="E95:F95" si="118">SUM(E96:E102)</f>
        <v>0</v>
      </c>
      <c r="F95" s="55">
        <f t="shared" si="118"/>
        <v>0</v>
      </c>
      <c r="G95" s="189">
        <f>SUM(G96:G102)</f>
        <v>0</v>
      </c>
      <c r="H95" s="190">
        <f t="shared" ref="H95:I95" si="119">SUM(H96:H102)</f>
        <v>0</v>
      </c>
      <c r="I95" s="55">
        <f t="shared" si="119"/>
        <v>0</v>
      </c>
      <c r="J95" s="189">
        <f>SUM(J96:J102)</f>
        <v>0</v>
      </c>
      <c r="K95" s="190">
        <f t="shared" ref="K95:L95" si="120">SUM(K96:K102)</f>
        <v>0</v>
      </c>
      <c r="L95" s="55">
        <f t="shared" si="120"/>
        <v>0</v>
      </c>
      <c r="M95" s="189">
        <f>SUM(M96:M102)</f>
        <v>0</v>
      </c>
      <c r="N95" s="190">
        <f t="shared" ref="N95:O95" si="121">SUM(N96:N102)</f>
        <v>0</v>
      </c>
      <c r="O95" s="55">
        <f t="shared" si="121"/>
        <v>0</v>
      </c>
      <c r="P95" s="57"/>
    </row>
    <row r="96" spans="1:16" ht="24" hidden="1" customHeight="1" x14ac:dyDescent="0.25">
      <c r="A96" s="51">
        <v>2231</v>
      </c>
      <c r="B96" s="88" t="s">
        <v>113</v>
      </c>
      <c r="C96" s="89">
        <f t="shared" si="101"/>
        <v>0</v>
      </c>
      <c r="D96" s="194"/>
      <c r="E96" s="195"/>
      <c r="F96" s="55">
        <f t="shared" ref="F96:F102" si="122">D96+E96</f>
        <v>0</v>
      </c>
      <c r="G96" s="53"/>
      <c r="H96" s="54"/>
      <c r="I96" s="55">
        <f t="shared" ref="I96:I102" si="123">G96+H96</f>
        <v>0</v>
      </c>
      <c r="J96" s="53"/>
      <c r="K96" s="54"/>
      <c r="L96" s="55">
        <f t="shared" ref="L96:L102" si="124">K96+J96</f>
        <v>0</v>
      </c>
      <c r="M96" s="53"/>
      <c r="N96" s="54"/>
      <c r="O96" s="55">
        <f t="shared" ref="O96:O102" si="125">N96+M96</f>
        <v>0</v>
      </c>
      <c r="P96" s="57"/>
    </row>
    <row r="97" spans="1:16" ht="24.75" hidden="1" customHeight="1" x14ac:dyDescent="0.25">
      <c r="A97" s="51">
        <v>2232</v>
      </c>
      <c r="B97" s="88" t="s">
        <v>114</v>
      </c>
      <c r="C97" s="89">
        <f t="shared" si="101"/>
        <v>0</v>
      </c>
      <c r="D97" s="194"/>
      <c r="E97" s="195"/>
      <c r="F97" s="55">
        <f t="shared" si="122"/>
        <v>0</v>
      </c>
      <c r="G97" s="53"/>
      <c r="H97" s="54"/>
      <c r="I97" s="55">
        <f t="shared" si="123"/>
        <v>0</v>
      </c>
      <c r="J97" s="53"/>
      <c r="K97" s="54"/>
      <c r="L97" s="55">
        <f t="shared" si="124"/>
        <v>0</v>
      </c>
      <c r="M97" s="53"/>
      <c r="N97" s="54"/>
      <c r="O97" s="55">
        <f t="shared" si="125"/>
        <v>0</v>
      </c>
      <c r="P97" s="57"/>
    </row>
    <row r="98" spans="1:16" ht="24" hidden="1" customHeight="1" x14ac:dyDescent="0.25">
      <c r="A98" s="44">
        <v>2233</v>
      </c>
      <c r="B98" s="81" t="s">
        <v>115</v>
      </c>
      <c r="C98" s="82">
        <f t="shared" si="101"/>
        <v>0</v>
      </c>
      <c r="D98" s="196"/>
      <c r="E98" s="197"/>
      <c r="F98" s="133">
        <f t="shared" si="122"/>
        <v>0</v>
      </c>
      <c r="G98" s="46"/>
      <c r="H98" s="47"/>
      <c r="I98" s="133">
        <f t="shared" si="123"/>
        <v>0</v>
      </c>
      <c r="J98" s="46"/>
      <c r="K98" s="47"/>
      <c r="L98" s="133">
        <f t="shared" si="124"/>
        <v>0</v>
      </c>
      <c r="M98" s="46"/>
      <c r="N98" s="47"/>
      <c r="O98" s="133">
        <f t="shared" si="125"/>
        <v>0</v>
      </c>
      <c r="P98" s="49"/>
    </row>
    <row r="99" spans="1:16" ht="36" hidden="1" customHeight="1" x14ac:dyDescent="0.25">
      <c r="A99" s="51">
        <v>2234</v>
      </c>
      <c r="B99" s="88" t="s">
        <v>116</v>
      </c>
      <c r="C99" s="89">
        <f t="shared" si="101"/>
        <v>0</v>
      </c>
      <c r="D99" s="194"/>
      <c r="E99" s="195"/>
      <c r="F99" s="55">
        <f t="shared" si="122"/>
        <v>0</v>
      </c>
      <c r="G99" s="53"/>
      <c r="H99" s="54"/>
      <c r="I99" s="55">
        <f t="shared" si="123"/>
        <v>0</v>
      </c>
      <c r="J99" s="53"/>
      <c r="K99" s="54"/>
      <c r="L99" s="55">
        <f t="shared" si="124"/>
        <v>0</v>
      </c>
      <c r="M99" s="53"/>
      <c r="N99" s="54"/>
      <c r="O99" s="55">
        <f t="shared" si="125"/>
        <v>0</v>
      </c>
      <c r="P99" s="57"/>
    </row>
    <row r="100" spans="1:16" ht="24" hidden="1" customHeight="1" x14ac:dyDescent="0.25">
      <c r="A100" s="51">
        <v>2235</v>
      </c>
      <c r="B100" s="88" t="s">
        <v>117</v>
      </c>
      <c r="C100" s="89">
        <f t="shared" si="101"/>
        <v>0</v>
      </c>
      <c r="D100" s="194"/>
      <c r="E100" s="195"/>
      <c r="F100" s="55">
        <f t="shared" si="122"/>
        <v>0</v>
      </c>
      <c r="G100" s="53"/>
      <c r="H100" s="54"/>
      <c r="I100" s="55">
        <f t="shared" si="123"/>
        <v>0</v>
      </c>
      <c r="J100" s="53"/>
      <c r="K100" s="54"/>
      <c r="L100" s="55">
        <f t="shared" si="124"/>
        <v>0</v>
      </c>
      <c r="M100" s="53"/>
      <c r="N100" s="54"/>
      <c r="O100" s="55">
        <f t="shared" si="125"/>
        <v>0</v>
      </c>
      <c r="P100" s="57"/>
    </row>
    <row r="101" spans="1:16" ht="12" hidden="1" customHeight="1" x14ac:dyDescent="0.25">
      <c r="A101" s="51">
        <v>2236</v>
      </c>
      <c r="B101" s="88" t="s">
        <v>118</v>
      </c>
      <c r="C101" s="89">
        <f t="shared" si="101"/>
        <v>0</v>
      </c>
      <c r="D101" s="194"/>
      <c r="E101" s="195"/>
      <c r="F101" s="55">
        <f t="shared" si="122"/>
        <v>0</v>
      </c>
      <c r="G101" s="53"/>
      <c r="H101" s="54"/>
      <c r="I101" s="55">
        <f t="shared" si="123"/>
        <v>0</v>
      </c>
      <c r="J101" s="53"/>
      <c r="K101" s="54"/>
      <c r="L101" s="55">
        <f t="shared" si="124"/>
        <v>0</v>
      </c>
      <c r="M101" s="53"/>
      <c r="N101" s="54"/>
      <c r="O101" s="55">
        <f t="shared" si="125"/>
        <v>0</v>
      </c>
      <c r="P101" s="57"/>
    </row>
    <row r="102" spans="1:16" ht="24" hidden="1" customHeight="1" x14ac:dyDescent="0.25">
      <c r="A102" s="51">
        <v>2239</v>
      </c>
      <c r="B102" s="88" t="s">
        <v>119</v>
      </c>
      <c r="C102" s="89">
        <f t="shared" si="101"/>
        <v>0</v>
      </c>
      <c r="D102" s="194"/>
      <c r="E102" s="195"/>
      <c r="F102" s="55">
        <f t="shared" si="122"/>
        <v>0</v>
      </c>
      <c r="G102" s="53"/>
      <c r="H102" s="54"/>
      <c r="I102" s="55">
        <f t="shared" si="123"/>
        <v>0</v>
      </c>
      <c r="J102" s="53"/>
      <c r="K102" s="54"/>
      <c r="L102" s="55">
        <f t="shared" si="124"/>
        <v>0</v>
      </c>
      <c r="M102" s="53"/>
      <c r="N102" s="54"/>
      <c r="O102" s="55">
        <f t="shared" si="125"/>
        <v>0</v>
      </c>
      <c r="P102" s="57"/>
    </row>
    <row r="103" spans="1:16" ht="34.5" customHeight="1" x14ac:dyDescent="0.25">
      <c r="A103" s="188">
        <v>2240</v>
      </c>
      <c r="B103" s="88" t="s">
        <v>120</v>
      </c>
      <c r="C103" s="89">
        <f t="shared" si="101"/>
        <v>1514</v>
      </c>
      <c r="D103" s="189">
        <f>SUM(D104:D111)</f>
        <v>0</v>
      </c>
      <c r="E103" s="190">
        <f t="shared" ref="E103:F103" si="126">SUM(E104:E111)</f>
        <v>0</v>
      </c>
      <c r="F103" s="55">
        <f t="shared" si="126"/>
        <v>0</v>
      </c>
      <c r="G103" s="189">
        <f>SUM(G104:G111)</f>
        <v>1213</v>
      </c>
      <c r="H103" s="190">
        <f t="shared" ref="H103:I103" si="127">SUM(H104:H111)</f>
        <v>301</v>
      </c>
      <c r="I103" s="55">
        <f t="shared" si="127"/>
        <v>1514</v>
      </c>
      <c r="J103" s="189">
        <f>SUM(J104:J111)</f>
        <v>0</v>
      </c>
      <c r="K103" s="190">
        <f t="shared" ref="K103:L103" si="128">SUM(K104:K111)</f>
        <v>0</v>
      </c>
      <c r="L103" s="55">
        <f t="shared" si="128"/>
        <v>0</v>
      </c>
      <c r="M103" s="189">
        <f>SUM(M104:M111)</f>
        <v>0</v>
      </c>
      <c r="N103" s="190">
        <f t="shared" ref="N103:O103" si="129">SUM(N104:N111)</f>
        <v>0</v>
      </c>
      <c r="O103" s="55">
        <f t="shared" si="129"/>
        <v>0</v>
      </c>
      <c r="P103" s="57"/>
    </row>
    <row r="104" spans="1:16" ht="12" hidden="1" customHeight="1" x14ac:dyDescent="0.25">
      <c r="A104" s="51">
        <v>2241</v>
      </c>
      <c r="B104" s="88" t="s">
        <v>121</v>
      </c>
      <c r="C104" s="89">
        <f t="shared" si="101"/>
        <v>0</v>
      </c>
      <c r="D104" s="194"/>
      <c r="E104" s="195"/>
      <c r="F104" s="55">
        <f t="shared" ref="F104:F111" si="130">D104+E104</f>
        <v>0</v>
      </c>
      <c r="G104" s="53"/>
      <c r="H104" s="54"/>
      <c r="I104" s="55">
        <f t="shared" ref="I104:I111" si="131">G104+H104</f>
        <v>0</v>
      </c>
      <c r="J104" s="53"/>
      <c r="K104" s="54"/>
      <c r="L104" s="55">
        <f t="shared" ref="L104:L111" si="132">K104+J104</f>
        <v>0</v>
      </c>
      <c r="M104" s="53"/>
      <c r="N104" s="54"/>
      <c r="O104" s="55">
        <f t="shared" ref="O104:O111" si="133">N104+M104</f>
        <v>0</v>
      </c>
      <c r="P104" s="57"/>
    </row>
    <row r="105" spans="1:16" ht="24" hidden="1" customHeight="1" x14ac:dyDescent="0.25">
      <c r="A105" s="51">
        <v>2242</v>
      </c>
      <c r="B105" s="88" t="s">
        <v>122</v>
      </c>
      <c r="C105" s="89">
        <f t="shared" si="101"/>
        <v>0</v>
      </c>
      <c r="D105" s="194"/>
      <c r="E105" s="195"/>
      <c r="F105" s="55">
        <f t="shared" si="130"/>
        <v>0</v>
      </c>
      <c r="G105" s="53"/>
      <c r="H105" s="54"/>
      <c r="I105" s="55">
        <f t="shared" si="131"/>
        <v>0</v>
      </c>
      <c r="J105" s="53"/>
      <c r="K105" s="54"/>
      <c r="L105" s="55">
        <f t="shared" si="132"/>
        <v>0</v>
      </c>
      <c r="M105" s="53"/>
      <c r="N105" s="54"/>
      <c r="O105" s="55">
        <f t="shared" si="133"/>
        <v>0</v>
      </c>
      <c r="P105" s="57"/>
    </row>
    <row r="106" spans="1:16" ht="24" hidden="1" customHeight="1" x14ac:dyDescent="0.25">
      <c r="A106" s="51">
        <v>2243</v>
      </c>
      <c r="B106" s="88" t="s">
        <v>123</v>
      </c>
      <c r="C106" s="89">
        <f t="shared" si="101"/>
        <v>0</v>
      </c>
      <c r="D106" s="194"/>
      <c r="E106" s="195"/>
      <c r="F106" s="55">
        <f t="shared" si="130"/>
        <v>0</v>
      </c>
      <c r="G106" s="53"/>
      <c r="H106" s="54"/>
      <c r="I106" s="55">
        <f t="shared" si="131"/>
        <v>0</v>
      </c>
      <c r="J106" s="53"/>
      <c r="K106" s="54"/>
      <c r="L106" s="55">
        <f t="shared" si="132"/>
        <v>0</v>
      </c>
      <c r="M106" s="53"/>
      <c r="N106" s="54"/>
      <c r="O106" s="55">
        <f t="shared" si="133"/>
        <v>0</v>
      </c>
      <c r="P106" s="57"/>
    </row>
    <row r="107" spans="1:16" ht="17.25" customHeight="1" x14ac:dyDescent="0.25">
      <c r="A107" s="51">
        <v>2244</v>
      </c>
      <c r="B107" s="88" t="s">
        <v>124</v>
      </c>
      <c r="C107" s="89">
        <f t="shared" si="101"/>
        <v>867</v>
      </c>
      <c r="D107" s="194"/>
      <c r="E107" s="195"/>
      <c r="F107" s="55">
        <f t="shared" si="130"/>
        <v>0</v>
      </c>
      <c r="G107" s="53">
        <v>695</v>
      </c>
      <c r="H107" s="54">
        <v>172</v>
      </c>
      <c r="I107" s="55">
        <f t="shared" si="131"/>
        <v>867</v>
      </c>
      <c r="J107" s="53"/>
      <c r="K107" s="54"/>
      <c r="L107" s="55">
        <f t="shared" si="132"/>
        <v>0</v>
      </c>
      <c r="M107" s="53"/>
      <c r="N107" s="54"/>
      <c r="O107" s="55">
        <f t="shared" si="133"/>
        <v>0</v>
      </c>
      <c r="P107" s="57" t="s">
        <v>410</v>
      </c>
    </row>
    <row r="108" spans="1:16" ht="24" hidden="1" customHeight="1" x14ac:dyDescent="0.25">
      <c r="A108" s="51">
        <v>2246</v>
      </c>
      <c r="B108" s="88" t="s">
        <v>125</v>
      </c>
      <c r="C108" s="89">
        <f t="shared" si="101"/>
        <v>0</v>
      </c>
      <c r="D108" s="194"/>
      <c r="E108" s="195"/>
      <c r="F108" s="55">
        <f t="shared" si="130"/>
        <v>0</v>
      </c>
      <c r="G108" s="53"/>
      <c r="H108" s="54"/>
      <c r="I108" s="55">
        <f t="shared" si="131"/>
        <v>0</v>
      </c>
      <c r="J108" s="53"/>
      <c r="K108" s="54"/>
      <c r="L108" s="55">
        <f t="shared" si="132"/>
        <v>0</v>
      </c>
      <c r="M108" s="53"/>
      <c r="N108" s="54"/>
      <c r="O108" s="55">
        <f t="shared" si="133"/>
        <v>0</v>
      </c>
      <c r="P108" s="57"/>
    </row>
    <row r="109" spans="1:16" ht="12" hidden="1" customHeight="1" x14ac:dyDescent="0.25">
      <c r="A109" s="51">
        <v>2247</v>
      </c>
      <c r="B109" s="88" t="s">
        <v>126</v>
      </c>
      <c r="C109" s="89">
        <f t="shared" si="101"/>
        <v>0</v>
      </c>
      <c r="D109" s="194"/>
      <c r="E109" s="195"/>
      <c r="F109" s="55">
        <f t="shared" si="130"/>
        <v>0</v>
      </c>
      <c r="G109" s="53"/>
      <c r="H109" s="54"/>
      <c r="I109" s="55">
        <f t="shared" si="131"/>
        <v>0</v>
      </c>
      <c r="J109" s="53"/>
      <c r="K109" s="54"/>
      <c r="L109" s="55">
        <f t="shared" si="132"/>
        <v>0</v>
      </c>
      <c r="M109" s="53"/>
      <c r="N109" s="54"/>
      <c r="O109" s="55">
        <f t="shared" si="133"/>
        <v>0</v>
      </c>
      <c r="P109" s="57"/>
    </row>
    <row r="110" spans="1:16" ht="24" hidden="1" customHeight="1" x14ac:dyDescent="0.25">
      <c r="A110" s="51">
        <v>2248</v>
      </c>
      <c r="B110" s="88" t="s">
        <v>127</v>
      </c>
      <c r="C110" s="89">
        <f t="shared" si="101"/>
        <v>0</v>
      </c>
      <c r="D110" s="194"/>
      <c r="E110" s="195"/>
      <c r="F110" s="55">
        <f t="shared" si="130"/>
        <v>0</v>
      </c>
      <c r="G110" s="53"/>
      <c r="H110" s="54"/>
      <c r="I110" s="55">
        <f t="shared" si="131"/>
        <v>0</v>
      </c>
      <c r="J110" s="53"/>
      <c r="K110" s="54"/>
      <c r="L110" s="55">
        <f t="shared" si="132"/>
        <v>0</v>
      </c>
      <c r="M110" s="53"/>
      <c r="N110" s="54"/>
      <c r="O110" s="55">
        <f t="shared" si="133"/>
        <v>0</v>
      </c>
      <c r="P110" s="57"/>
    </row>
    <row r="111" spans="1:16" ht="28.5" customHeight="1" x14ac:dyDescent="0.25">
      <c r="A111" s="51">
        <v>2249</v>
      </c>
      <c r="B111" s="88" t="s">
        <v>128</v>
      </c>
      <c r="C111" s="89">
        <f t="shared" si="101"/>
        <v>647</v>
      </c>
      <c r="D111" s="194"/>
      <c r="E111" s="195"/>
      <c r="F111" s="55">
        <f t="shared" si="130"/>
        <v>0</v>
      </c>
      <c r="G111" s="53">
        <v>518</v>
      </c>
      <c r="H111" s="54">
        <v>129</v>
      </c>
      <c r="I111" s="55">
        <f t="shared" si="131"/>
        <v>647</v>
      </c>
      <c r="J111" s="53"/>
      <c r="K111" s="54"/>
      <c r="L111" s="55">
        <f t="shared" si="132"/>
        <v>0</v>
      </c>
      <c r="M111" s="53"/>
      <c r="N111" s="54"/>
      <c r="O111" s="55">
        <f t="shared" si="133"/>
        <v>0</v>
      </c>
      <c r="P111" s="57" t="s">
        <v>411</v>
      </c>
    </row>
    <row r="112" spans="1:16" hidden="1" x14ac:dyDescent="0.25">
      <c r="A112" s="188">
        <v>2250</v>
      </c>
      <c r="B112" s="88" t="s">
        <v>129</v>
      </c>
      <c r="C112" s="89">
        <f t="shared" si="101"/>
        <v>0</v>
      </c>
      <c r="D112" s="189">
        <f>SUM(D113:D115)</f>
        <v>0</v>
      </c>
      <c r="E112" s="190">
        <f t="shared" ref="E112:F112" si="134">SUM(E113:E115)</f>
        <v>0</v>
      </c>
      <c r="F112" s="55">
        <f t="shared" si="134"/>
        <v>0</v>
      </c>
      <c r="G112" s="189">
        <f>SUM(G113:G115)</f>
        <v>0</v>
      </c>
      <c r="H112" s="190">
        <f t="shared" ref="H112:I112" si="135">SUM(H113:H115)</f>
        <v>0</v>
      </c>
      <c r="I112" s="55">
        <f t="shared" si="135"/>
        <v>0</v>
      </c>
      <c r="J112" s="189">
        <f>SUM(J113:J115)</f>
        <v>0</v>
      </c>
      <c r="K112" s="190">
        <f t="shared" ref="K112:L112" si="136">SUM(K113:K115)</f>
        <v>0</v>
      </c>
      <c r="L112" s="55">
        <f t="shared" si="136"/>
        <v>0</v>
      </c>
      <c r="M112" s="189">
        <f>SUM(M113:M115)</f>
        <v>0</v>
      </c>
      <c r="N112" s="190">
        <f t="shared" ref="N112:O112" si="137">SUM(N113:N115)</f>
        <v>0</v>
      </c>
      <c r="O112" s="55">
        <f t="shared" si="137"/>
        <v>0</v>
      </c>
      <c r="P112" s="57"/>
    </row>
    <row r="113" spans="1:16" ht="12" hidden="1" customHeight="1" x14ac:dyDescent="0.25">
      <c r="A113" s="51">
        <v>2251</v>
      </c>
      <c r="B113" s="88" t="s">
        <v>130</v>
      </c>
      <c r="C113" s="89">
        <f t="shared" si="101"/>
        <v>0</v>
      </c>
      <c r="D113" s="194"/>
      <c r="E113" s="195"/>
      <c r="F113" s="55">
        <f t="shared" ref="F113:F115" si="138">D113+E113</f>
        <v>0</v>
      </c>
      <c r="G113" s="53"/>
      <c r="H113" s="54"/>
      <c r="I113" s="55">
        <f t="shared" ref="I113:I115" si="139">G113+H113</f>
        <v>0</v>
      </c>
      <c r="J113" s="53"/>
      <c r="K113" s="54"/>
      <c r="L113" s="55">
        <f t="shared" ref="L113:L115" si="140">K113+J113</f>
        <v>0</v>
      </c>
      <c r="M113" s="53"/>
      <c r="N113" s="54"/>
      <c r="O113" s="55">
        <f t="shared" ref="O113:O115" si="141">N113+M113</f>
        <v>0</v>
      </c>
      <c r="P113" s="57"/>
    </row>
    <row r="114" spans="1:16" ht="24" hidden="1" customHeight="1" x14ac:dyDescent="0.25">
      <c r="A114" s="51">
        <v>2252</v>
      </c>
      <c r="B114" s="88" t="s">
        <v>131</v>
      </c>
      <c r="C114" s="89">
        <f t="shared" si="101"/>
        <v>0</v>
      </c>
      <c r="D114" s="194"/>
      <c r="E114" s="195"/>
      <c r="F114" s="55">
        <f t="shared" si="138"/>
        <v>0</v>
      </c>
      <c r="G114" s="53"/>
      <c r="H114" s="54"/>
      <c r="I114" s="55">
        <f t="shared" si="139"/>
        <v>0</v>
      </c>
      <c r="J114" s="53"/>
      <c r="K114" s="54"/>
      <c r="L114" s="55">
        <f t="shared" si="140"/>
        <v>0</v>
      </c>
      <c r="M114" s="53"/>
      <c r="N114" s="54"/>
      <c r="O114" s="55">
        <f t="shared" si="141"/>
        <v>0</v>
      </c>
      <c r="P114" s="57"/>
    </row>
    <row r="115" spans="1:16" ht="24" hidden="1" customHeight="1" x14ac:dyDescent="0.25">
      <c r="A115" s="51">
        <v>2259</v>
      </c>
      <c r="B115" s="88" t="s">
        <v>132</v>
      </c>
      <c r="C115" s="89">
        <f t="shared" si="101"/>
        <v>0</v>
      </c>
      <c r="D115" s="194"/>
      <c r="E115" s="195"/>
      <c r="F115" s="55">
        <f t="shared" si="138"/>
        <v>0</v>
      </c>
      <c r="G115" s="53"/>
      <c r="H115" s="54"/>
      <c r="I115" s="55">
        <f t="shared" si="139"/>
        <v>0</v>
      </c>
      <c r="J115" s="53"/>
      <c r="K115" s="54"/>
      <c r="L115" s="55">
        <f t="shared" si="140"/>
        <v>0</v>
      </c>
      <c r="M115" s="53"/>
      <c r="N115" s="54"/>
      <c r="O115" s="55">
        <f t="shared" si="141"/>
        <v>0</v>
      </c>
      <c r="P115" s="57"/>
    </row>
    <row r="116" spans="1:16" ht="15" customHeight="1" x14ac:dyDescent="0.25">
      <c r="A116" s="188">
        <v>2260</v>
      </c>
      <c r="B116" s="88" t="s">
        <v>133</v>
      </c>
      <c r="C116" s="89">
        <f t="shared" si="101"/>
        <v>25</v>
      </c>
      <c r="D116" s="189">
        <f>SUM(D117:D121)</f>
        <v>0</v>
      </c>
      <c r="E116" s="190">
        <f t="shared" ref="E116:F116" si="142">SUM(E117:E121)</f>
        <v>0</v>
      </c>
      <c r="F116" s="55">
        <f t="shared" si="142"/>
        <v>0</v>
      </c>
      <c r="G116" s="189">
        <f>SUM(G117:G121)</f>
        <v>25</v>
      </c>
      <c r="H116" s="190">
        <f t="shared" ref="H116:I116" si="143">SUM(H117:H121)</f>
        <v>0</v>
      </c>
      <c r="I116" s="55">
        <f t="shared" si="143"/>
        <v>25</v>
      </c>
      <c r="J116" s="189">
        <f>SUM(J117:J121)</f>
        <v>0</v>
      </c>
      <c r="K116" s="190">
        <f t="shared" ref="K116:L116" si="144">SUM(K117:K121)</f>
        <v>0</v>
      </c>
      <c r="L116" s="55">
        <f t="shared" si="144"/>
        <v>0</v>
      </c>
      <c r="M116" s="189">
        <f>SUM(M117:M121)</f>
        <v>0</v>
      </c>
      <c r="N116" s="190">
        <f t="shared" ref="N116:O116" si="145">SUM(N117:N121)</f>
        <v>0</v>
      </c>
      <c r="O116" s="55">
        <f t="shared" si="145"/>
        <v>0</v>
      </c>
      <c r="P116" s="57"/>
    </row>
    <row r="117" spans="1:16" ht="12" hidden="1" customHeight="1" x14ac:dyDescent="0.25">
      <c r="A117" s="51">
        <v>2261</v>
      </c>
      <c r="B117" s="88" t="s">
        <v>134</v>
      </c>
      <c r="C117" s="89">
        <f t="shared" si="101"/>
        <v>0</v>
      </c>
      <c r="D117" s="194"/>
      <c r="E117" s="195"/>
      <c r="F117" s="55">
        <f t="shared" ref="F117:F121" si="146">D117+E117</f>
        <v>0</v>
      </c>
      <c r="G117" s="53"/>
      <c r="H117" s="54"/>
      <c r="I117" s="55">
        <f t="shared" ref="I117:I121" si="147">G117+H117</f>
        <v>0</v>
      </c>
      <c r="J117" s="53"/>
      <c r="K117" s="54"/>
      <c r="L117" s="55">
        <f t="shared" ref="L117:L121" si="148">K117+J117</f>
        <v>0</v>
      </c>
      <c r="M117" s="53"/>
      <c r="N117" s="54"/>
      <c r="O117" s="55">
        <f t="shared" ref="O117:O121" si="149">N117+M117</f>
        <v>0</v>
      </c>
      <c r="P117" s="57"/>
    </row>
    <row r="118" spans="1:16" ht="15.75" customHeight="1" x14ac:dyDescent="0.25">
      <c r="A118" s="51">
        <v>2262</v>
      </c>
      <c r="B118" s="88" t="s">
        <v>135</v>
      </c>
      <c r="C118" s="89">
        <f t="shared" si="101"/>
        <v>25</v>
      </c>
      <c r="D118" s="194"/>
      <c r="E118" s="195"/>
      <c r="F118" s="55">
        <f t="shared" si="146"/>
        <v>0</v>
      </c>
      <c r="G118" s="53">
        <v>25</v>
      </c>
      <c r="H118" s="54"/>
      <c r="I118" s="55">
        <f t="shared" si="147"/>
        <v>25</v>
      </c>
      <c r="J118" s="53"/>
      <c r="K118" s="54"/>
      <c r="L118" s="55">
        <f t="shared" si="148"/>
        <v>0</v>
      </c>
      <c r="M118" s="53"/>
      <c r="N118" s="54"/>
      <c r="O118" s="55">
        <f t="shared" si="149"/>
        <v>0</v>
      </c>
      <c r="P118" s="57"/>
    </row>
    <row r="119" spans="1:16" ht="12" hidden="1" customHeight="1" x14ac:dyDescent="0.25">
      <c r="A119" s="51">
        <v>2263</v>
      </c>
      <c r="B119" s="88" t="s">
        <v>136</v>
      </c>
      <c r="C119" s="89">
        <f t="shared" si="101"/>
        <v>0</v>
      </c>
      <c r="D119" s="194"/>
      <c r="E119" s="195"/>
      <c r="F119" s="55">
        <f t="shared" si="146"/>
        <v>0</v>
      </c>
      <c r="G119" s="53"/>
      <c r="H119" s="54"/>
      <c r="I119" s="55">
        <f t="shared" si="147"/>
        <v>0</v>
      </c>
      <c r="J119" s="53"/>
      <c r="K119" s="54"/>
      <c r="L119" s="55">
        <f t="shared" si="148"/>
        <v>0</v>
      </c>
      <c r="M119" s="53"/>
      <c r="N119" s="54"/>
      <c r="O119" s="55">
        <f t="shared" si="149"/>
        <v>0</v>
      </c>
      <c r="P119" s="57"/>
    </row>
    <row r="120" spans="1:16" ht="24" hidden="1" customHeight="1" x14ac:dyDescent="0.25">
      <c r="A120" s="51">
        <v>2264</v>
      </c>
      <c r="B120" s="88" t="s">
        <v>137</v>
      </c>
      <c r="C120" s="89">
        <f t="shared" si="101"/>
        <v>0</v>
      </c>
      <c r="D120" s="194"/>
      <c r="E120" s="195"/>
      <c r="F120" s="55">
        <f t="shared" si="146"/>
        <v>0</v>
      </c>
      <c r="G120" s="53"/>
      <c r="H120" s="54"/>
      <c r="I120" s="55">
        <f t="shared" si="147"/>
        <v>0</v>
      </c>
      <c r="J120" s="53"/>
      <c r="K120" s="54"/>
      <c r="L120" s="55">
        <f t="shared" si="148"/>
        <v>0</v>
      </c>
      <c r="M120" s="53"/>
      <c r="N120" s="54"/>
      <c r="O120" s="55">
        <f t="shared" si="149"/>
        <v>0</v>
      </c>
      <c r="P120" s="57"/>
    </row>
    <row r="121" spans="1:16" ht="12" hidden="1" customHeight="1" x14ac:dyDescent="0.25">
      <c r="A121" s="51">
        <v>2269</v>
      </c>
      <c r="B121" s="88" t="s">
        <v>138</v>
      </c>
      <c r="C121" s="89">
        <f t="shared" si="101"/>
        <v>0</v>
      </c>
      <c r="D121" s="194"/>
      <c r="E121" s="195"/>
      <c r="F121" s="55">
        <f t="shared" si="146"/>
        <v>0</v>
      </c>
      <c r="G121" s="53"/>
      <c r="H121" s="54"/>
      <c r="I121" s="55">
        <f t="shared" si="147"/>
        <v>0</v>
      </c>
      <c r="J121" s="53"/>
      <c r="K121" s="54"/>
      <c r="L121" s="55">
        <f t="shared" si="148"/>
        <v>0</v>
      </c>
      <c r="M121" s="53"/>
      <c r="N121" s="54"/>
      <c r="O121" s="55">
        <f t="shared" si="149"/>
        <v>0</v>
      </c>
      <c r="P121" s="57"/>
    </row>
    <row r="122" spans="1:16" hidden="1" x14ac:dyDescent="0.25">
      <c r="A122" s="188">
        <v>2270</v>
      </c>
      <c r="B122" s="88" t="s">
        <v>139</v>
      </c>
      <c r="C122" s="89">
        <f t="shared" si="101"/>
        <v>0</v>
      </c>
      <c r="D122" s="189">
        <f>SUM(D123:D127)</f>
        <v>0</v>
      </c>
      <c r="E122" s="190">
        <f t="shared" ref="E122:F122" si="150">SUM(E123:E127)</f>
        <v>0</v>
      </c>
      <c r="F122" s="55">
        <f t="shared" si="150"/>
        <v>0</v>
      </c>
      <c r="G122" s="189">
        <f>SUM(G123:G127)</f>
        <v>0</v>
      </c>
      <c r="H122" s="190">
        <f t="shared" ref="H122:I122" si="151">SUM(H123:H127)</f>
        <v>0</v>
      </c>
      <c r="I122" s="55">
        <f t="shared" si="151"/>
        <v>0</v>
      </c>
      <c r="J122" s="189">
        <f>SUM(J123:J127)</f>
        <v>0</v>
      </c>
      <c r="K122" s="190">
        <f t="shared" ref="K122:L122" si="152">SUM(K123:K127)</f>
        <v>0</v>
      </c>
      <c r="L122" s="55">
        <f t="shared" si="152"/>
        <v>0</v>
      </c>
      <c r="M122" s="189">
        <f>SUM(M123:M127)</f>
        <v>0</v>
      </c>
      <c r="N122" s="190">
        <f t="shared" ref="N122:O122" si="153">SUM(N123:N127)</f>
        <v>0</v>
      </c>
      <c r="O122" s="55">
        <f t="shared" si="153"/>
        <v>0</v>
      </c>
      <c r="P122" s="57"/>
    </row>
    <row r="123" spans="1:16" ht="12" hidden="1" customHeight="1" x14ac:dyDescent="0.25">
      <c r="A123" s="51">
        <v>2272</v>
      </c>
      <c r="B123" s="199" t="s">
        <v>140</v>
      </c>
      <c r="C123" s="89">
        <f t="shared" si="101"/>
        <v>0</v>
      </c>
      <c r="D123" s="194"/>
      <c r="E123" s="195"/>
      <c r="F123" s="55">
        <f t="shared" ref="F123:F127" si="154">D123+E123</f>
        <v>0</v>
      </c>
      <c r="G123" s="53"/>
      <c r="H123" s="54"/>
      <c r="I123" s="55">
        <f t="shared" ref="I123:I127" si="155">G123+H123</f>
        <v>0</v>
      </c>
      <c r="J123" s="53"/>
      <c r="K123" s="54"/>
      <c r="L123" s="55">
        <f t="shared" ref="L123:L127" si="156">K123+J123</f>
        <v>0</v>
      </c>
      <c r="M123" s="53"/>
      <c r="N123" s="54"/>
      <c r="O123" s="55">
        <f t="shared" ref="O123:O127" si="157">N123+M123</f>
        <v>0</v>
      </c>
      <c r="P123" s="57"/>
    </row>
    <row r="124" spans="1:16" ht="24" hidden="1" customHeight="1" x14ac:dyDescent="0.25">
      <c r="A124" s="51">
        <v>2274</v>
      </c>
      <c r="B124" s="200" t="s">
        <v>141</v>
      </c>
      <c r="C124" s="89">
        <f t="shared" si="101"/>
        <v>0</v>
      </c>
      <c r="D124" s="194"/>
      <c r="E124" s="195"/>
      <c r="F124" s="55">
        <f t="shared" si="154"/>
        <v>0</v>
      </c>
      <c r="G124" s="53"/>
      <c r="H124" s="54"/>
      <c r="I124" s="55">
        <f t="shared" si="155"/>
        <v>0</v>
      </c>
      <c r="J124" s="53"/>
      <c r="K124" s="54"/>
      <c r="L124" s="55">
        <f t="shared" si="156"/>
        <v>0</v>
      </c>
      <c r="M124" s="53"/>
      <c r="N124" s="54"/>
      <c r="O124" s="55">
        <f t="shared" si="157"/>
        <v>0</v>
      </c>
      <c r="P124" s="57"/>
    </row>
    <row r="125" spans="1:16" ht="24" hidden="1" customHeight="1" x14ac:dyDescent="0.25">
      <c r="A125" s="51">
        <v>2275</v>
      </c>
      <c r="B125" s="88" t="s">
        <v>142</v>
      </c>
      <c r="C125" s="89">
        <f t="shared" si="101"/>
        <v>0</v>
      </c>
      <c r="D125" s="194"/>
      <c r="E125" s="195"/>
      <c r="F125" s="55">
        <f t="shared" si="154"/>
        <v>0</v>
      </c>
      <c r="G125" s="53"/>
      <c r="H125" s="54"/>
      <c r="I125" s="55">
        <f t="shared" si="155"/>
        <v>0</v>
      </c>
      <c r="J125" s="53"/>
      <c r="K125" s="54"/>
      <c r="L125" s="55">
        <f t="shared" si="156"/>
        <v>0</v>
      </c>
      <c r="M125" s="53"/>
      <c r="N125" s="54"/>
      <c r="O125" s="55">
        <f t="shared" si="157"/>
        <v>0</v>
      </c>
      <c r="P125" s="57"/>
    </row>
    <row r="126" spans="1:16" ht="36" hidden="1" customHeight="1" x14ac:dyDescent="0.25">
      <c r="A126" s="51">
        <v>2276</v>
      </c>
      <c r="B126" s="88" t="s">
        <v>143</v>
      </c>
      <c r="C126" s="89">
        <f t="shared" si="101"/>
        <v>0</v>
      </c>
      <c r="D126" s="194"/>
      <c r="E126" s="195"/>
      <c r="F126" s="55">
        <f t="shared" si="154"/>
        <v>0</v>
      </c>
      <c r="G126" s="53"/>
      <c r="H126" s="54"/>
      <c r="I126" s="55">
        <f t="shared" si="155"/>
        <v>0</v>
      </c>
      <c r="J126" s="53"/>
      <c r="K126" s="54"/>
      <c r="L126" s="55">
        <f t="shared" si="156"/>
        <v>0</v>
      </c>
      <c r="M126" s="53"/>
      <c r="N126" s="54"/>
      <c r="O126" s="55">
        <f t="shared" si="157"/>
        <v>0</v>
      </c>
      <c r="P126" s="57"/>
    </row>
    <row r="127" spans="1:16" ht="24" hidden="1" customHeight="1" x14ac:dyDescent="0.25">
      <c r="A127" s="51">
        <v>2279</v>
      </c>
      <c r="B127" s="88" t="s">
        <v>144</v>
      </c>
      <c r="C127" s="89">
        <f t="shared" si="101"/>
        <v>0</v>
      </c>
      <c r="D127" s="194"/>
      <c r="E127" s="195"/>
      <c r="F127" s="55">
        <f t="shared" si="154"/>
        <v>0</v>
      </c>
      <c r="G127" s="53"/>
      <c r="H127" s="54"/>
      <c r="I127" s="55">
        <f t="shared" si="155"/>
        <v>0</v>
      </c>
      <c r="J127" s="53"/>
      <c r="K127" s="54"/>
      <c r="L127" s="55">
        <f t="shared" si="156"/>
        <v>0</v>
      </c>
      <c r="M127" s="53"/>
      <c r="N127" s="54"/>
      <c r="O127" s="55">
        <f t="shared" si="157"/>
        <v>0</v>
      </c>
      <c r="P127" s="57"/>
    </row>
    <row r="128" spans="1:16" ht="48" hidden="1" x14ac:dyDescent="0.25">
      <c r="A128" s="191">
        <v>2280</v>
      </c>
      <c r="B128" s="81" t="s">
        <v>145</v>
      </c>
      <c r="C128" s="82">
        <f t="shared" si="101"/>
        <v>0</v>
      </c>
      <c r="D128" s="192">
        <f t="shared" ref="D128:O128" si="158">SUM(D129)</f>
        <v>0</v>
      </c>
      <c r="E128" s="193">
        <f t="shared" si="158"/>
        <v>0</v>
      </c>
      <c r="F128" s="133">
        <f t="shared" si="158"/>
        <v>0</v>
      </c>
      <c r="G128" s="192">
        <f t="shared" si="158"/>
        <v>0</v>
      </c>
      <c r="H128" s="193">
        <f t="shared" si="158"/>
        <v>0</v>
      </c>
      <c r="I128" s="133">
        <f t="shared" si="158"/>
        <v>0</v>
      </c>
      <c r="J128" s="192">
        <f t="shared" si="158"/>
        <v>0</v>
      </c>
      <c r="K128" s="193">
        <f t="shared" si="158"/>
        <v>0</v>
      </c>
      <c r="L128" s="133">
        <f t="shared" si="158"/>
        <v>0</v>
      </c>
      <c r="M128" s="192">
        <f t="shared" si="158"/>
        <v>0</v>
      </c>
      <c r="N128" s="193">
        <f t="shared" si="158"/>
        <v>0</v>
      </c>
      <c r="O128" s="133">
        <f t="shared" si="158"/>
        <v>0</v>
      </c>
      <c r="P128" s="49"/>
    </row>
    <row r="129" spans="1:16" ht="24" hidden="1" customHeight="1" x14ac:dyDescent="0.25">
      <c r="A129" s="51">
        <v>2283</v>
      </c>
      <c r="B129" s="88" t="s">
        <v>146</v>
      </c>
      <c r="C129" s="89">
        <f t="shared" si="101"/>
        <v>0</v>
      </c>
      <c r="D129" s="194"/>
      <c r="E129" s="195"/>
      <c r="F129" s="55">
        <f>D129+E129</f>
        <v>0</v>
      </c>
      <c r="G129" s="53"/>
      <c r="H129" s="54"/>
      <c r="I129" s="55">
        <f>G129+H129</f>
        <v>0</v>
      </c>
      <c r="J129" s="53"/>
      <c r="K129" s="54"/>
      <c r="L129" s="55">
        <f>K129+J129</f>
        <v>0</v>
      </c>
      <c r="M129" s="53"/>
      <c r="N129" s="54"/>
      <c r="O129" s="55">
        <f>N129+M129</f>
        <v>0</v>
      </c>
      <c r="P129" s="57"/>
    </row>
    <row r="130" spans="1:16" ht="35.25" customHeight="1" x14ac:dyDescent="0.25">
      <c r="A130" s="68">
        <v>2300</v>
      </c>
      <c r="B130" s="182" t="s">
        <v>147</v>
      </c>
      <c r="C130" s="69">
        <f t="shared" si="101"/>
        <v>21635</v>
      </c>
      <c r="D130" s="183">
        <f>SUM(D131,D136,D140,D141,D144,D151,D159,D160,D163)</f>
        <v>0</v>
      </c>
      <c r="E130" s="184">
        <f t="shared" ref="E130:F130" si="159">SUM(E131,E136,E140,E141,E144,E151,E159,E160,E163)</f>
        <v>0</v>
      </c>
      <c r="F130" s="72">
        <f t="shared" si="159"/>
        <v>0</v>
      </c>
      <c r="G130" s="183">
        <f>SUM(G131,G136,G140,G141,G144,G151,G159,G160,G163)</f>
        <v>17343</v>
      </c>
      <c r="H130" s="184">
        <f t="shared" ref="H130:I130" si="160">SUM(H131,H136,H140,H141,H144,H151,H159,H160,H163)</f>
        <v>4292</v>
      </c>
      <c r="I130" s="72">
        <f t="shared" si="160"/>
        <v>21635</v>
      </c>
      <c r="J130" s="183">
        <f>SUM(J131,J136,J140,J141,J144,J151,J159,J160,J163)</f>
        <v>0</v>
      </c>
      <c r="K130" s="184">
        <f t="shared" ref="K130:L130" si="161">SUM(K131,K136,K140,K141,K144,K151,K159,K160,K163)</f>
        <v>0</v>
      </c>
      <c r="L130" s="72">
        <f t="shared" si="161"/>
        <v>0</v>
      </c>
      <c r="M130" s="183">
        <f>SUM(M131,M136,M140,M141,M144,M151,M159,M160,M163)</f>
        <v>0</v>
      </c>
      <c r="N130" s="184">
        <f t="shared" ref="N130:O130" si="162">SUM(N131,N136,N140,N141,N144,N151,N159,N160,N163)</f>
        <v>0</v>
      </c>
      <c r="O130" s="72">
        <f t="shared" si="162"/>
        <v>0</v>
      </c>
      <c r="P130" s="76"/>
    </row>
    <row r="131" spans="1:16" ht="24" x14ac:dyDescent="0.25">
      <c r="A131" s="191">
        <v>2310</v>
      </c>
      <c r="B131" s="81" t="s">
        <v>148</v>
      </c>
      <c r="C131" s="82">
        <f t="shared" si="101"/>
        <v>641</v>
      </c>
      <c r="D131" s="192">
        <f t="shared" ref="D131:O131" si="163">SUM(D132:D135)</f>
        <v>0</v>
      </c>
      <c r="E131" s="193">
        <f t="shared" si="163"/>
        <v>0</v>
      </c>
      <c r="F131" s="133">
        <f t="shared" si="163"/>
        <v>0</v>
      </c>
      <c r="G131" s="192">
        <f t="shared" si="163"/>
        <v>514</v>
      </c>
      <c r="H131" s="193">
        <f t="shared" si="163"/>
        <v>127</v>
      </c>
      <c r="I131" s="133">
        <f t="shared" si="163"/>
        <v>641</v>
      </c>
      <c r="J131" s="192">
        <f t="shared" si="163"/>
        <v>0</v>
      </c>
      <c r="K131" s="193">
        <f t="shared" si="163"/>
        <v>0</v>
      </c>
      <c r="L131" s="133">
        <f t="shared" si="163"/>
        <v>0</v>
      </c>
      <c r="M131" s="192">
        <f t="shared" si="163"/>
        <v>0</v>
      </c>
      <c r="N131" s="193">
        <f t="shared" si="163"/>
        <v>0</v>
      </c>
      <c r="O131" s="133">
        <f t="shared" si="163"/>
        <v>0</v>
      </c>
      <c r="P131" s="49"/>
    </row>
    <row r="132" spans="1:16" ht="12" hidden="1" customHeight="1" x14ac:dyDescent="0.25">
      <c r="A132" s="51">
        <v>2311</v>
      </c>
      <c r="B132" s="88" t="s">
        <v>149</v>
      </c>
      <c r="C132" s="89">
        <f t="shared" si="101"/>
        <v>0</v>
      </c>
      <c r="D132" s="194"/>
      <c r="E132" s="195"/>
      <c r="F132" s="55">
        <f t="shared" ref="F132:F135" si="164">D132+E132</f>
        <v>0</v>
      </c>
      <c r="G132" s="53"/>
      <c r="H132" s="54"/>
      <c r="I132" s="55">
        <f t="shared" ref="I132:I135" si="165">G132+H132</f>
        <v>0</v>
      </c>
      <c r="J132" s="53"/>
      <c r="K132" s="54"/>
      <c r="L132" s="55">
        <f t="shared" ref="L132:L135" si="166">K132+J132</f>
        <v>0</v>
      </c>
      <c r="M132" s="53"/>
      <c r="N132" s="54"/>
      <c r="O132" s="55">
        <f t="shared" ref="O132:O135" si="167">N132+M132</f>
        <v>0</v>
      </c>
      <c r="P132" s="57"/>
    </row>
    <row r="133" spans="1:16" ht="16.5" customHeight="1" x14ac:dyDescent="0.25">
      <c r="A133" s="51">
        <v>2312</v>
      </c>
      <c r="B133" s="88" t="s">
        <v>150</v>
      </c>
      <c r="C133" s="89">
        <f t="shared" si="101"/>
        <v>641</v>
      </c>
      <c r="D133" s="194"/>
      <c r="E133" s="195"/>
      <c r="F133" s="55">
        <f t="shared" si="164"/>
        <v>0</v>
      </c>
      <c r="G133" s="53">
        <v>514</v>
      </c>
      <c r="H133" s="54">
        <v>127</v>
      </c>
      <c r="I133" s="55">
        <f t="shared" si="165"/>
        <v>641</v>
      </c>
      <c r="J133" s="53"/>
      <c r="K133" s="54"/>
      <c r="L133" s="55">
        <f t="shared" si="166"/>
        <v>0</v>
      </c>
      <c r="M133" s="53"/>
      <c r="N133" s="54"/>
      <c r="O133" s="55">
        <f t="shared" si="167"/>
        <v>0</v>
      </c>
      <c r="P133" s="57" t="s">
        <v>412</v>
      </c>
    </row>
    <row r="134" spans="1:16" ht="12" hidden="1" customHeight="1" x14ac:dyDescent="0.25">
      <c r="A134" s="51">
        <v>2313</v>
      </c>
      <c r="B134" s="88" t="s">
        <v>151</v>
      </c>
      <c r="C134" s="89">
        <f t="shared" si="101"/>
        <v>0</v>
      </c>
      <c r="D134" s="194"/>
      <c r="E134" s="195"/>
      <c r="F134" s="55">
        <f t="shared" si="164"/>
        <v>0</v>
      </c>
      <c r="G134" s="53"/>
      <c r="H134" s="54"/>
      <c r="I134" s="55">
        <f t="shared" si="165"/>
        <v>0</v>
      </c>
      <c r="J134" s="53"/>
      <c r="K134" s="54"/>
      <c r="L134" s="55">
        <f t="shared" si="166"/>
        <v>0</v>
      </c>
      <c r="M134" s="53"/>
      <c r="N134" s="54"/>
      <c r="O134" s="55">
        <f t="shared" si="167"/>
        <v>0</v>
      </c>
      <c r="P134" s="57"/>
    </row>
    <row r="135" spans="1:16" ht="36" hidden="1" customHeight="1" x14ac:dyDescent="0.25">
      <c r="A135" s="51">
        <v>2314</v>
      </c>
      <c r="B135" s="88" t="s">
        <v>152</v>
      </c>
      <c r="C135" s="89">
        <f t="shared" si="101"/>
        <v>0</v>
      </c>
      <c r="D135" s="194"/>
      <c r="E135" s="195"/>
      <c r="F135" s="55">
        <f t="shared" si="164"/>
        <v>0</v>
      </c>
      <c r="G135" s="53"/>
      <c r="H135" s="54"/>
      <c r="I135" s="55">
        <f t="shared" si="165"/>
        <v>0</v>
      </c>
      <c r="J135" s="53"/>
      <c r="K135" s="54"/>
      <c r="L135" s="55">
        <f t="shared" si="166"/>
        <v>0</v>
      </c>
      <c r="M135" s="53"/>
      <c r="N135" s="54"/>
      <c r="O135" s="55">
        <f t="shared" si="167"/>
        <v>0</v>
      </c>
      <c r="P135" s="57"/>
    </row>
    <row r="136" spans="1:16" hidden="1" x14ac:dyDescent="0.25">
      <c r="A136" s="188">
        <v>2320</v>
      </c>
      <c r="B136" s="88" t="s">
        <v>153</v>
      </c>
      <c r="C136" s="89">
        <f t="shared" si="101"/>
        <v>0</v>
      </c>
      <c r="D136" s="189">
        <f>SUM(D137:D139)</f>
        <v>0</v>
      </c>
      <c r="E136" s="190">
        <f t="shared" ref="E136:F136" si="168">SUM(E137:E139)</f>
        <v>0</v>
      </c>
      <c r="F136" s="55">
        <f t="shared" si="168"/>
        <v>0</v>
      </c>
      <c r="G136" s="189">
        <f>SUM(G137:G139)</f>
        <v>0</v>
      </c>
      <c r="H136" s="190">
        <f t="shared" ref="H136:I136" si="169">SUM(H137:H139)</f>
        <v>0</v>
      </c>
      <c r="I136" s="55">
        <f t="shared" si="169"/>
        <v>0</v>
      </c>
      <c r="J136" s="189">
        <f>SUM(J137:J139)</f>
        <v>0</v>
      </c>
      <c r="K136" s="190">
        <f t="shared" ref="K136:L136" si="170">SUM(K137:K139)</f>
        <v>0</v>
      </c>
      <c r="L136" s="55">
        <f t="shared" si="170"/>
        <v>0</v>
      </c>
      <c r="M136" s="189">
        <f>SUM(M137:M139)</f>
        <v>0</v>
      </c>
      <c r="N136" s="190">
        <f t="shared" ref="N136:O136" si="171">SUM(N137:N139)</f>
        <v>0</v>
      </c>
      <c r="O136" s="55">
        <f t="shared" si="171"/>
        <v>0</v>
      </c>
      <c r="P136" s="57"/>
    </row>
    <row r="137" spans="1:16" ht="12" hidden="1" customHeight="1" x14ac:dyDescent="0.25">
      <c r="A137" s="51">
        <v>2321</v>
      </c>
      <c r="B137" s="88" t="s">
        <v>154</v>
      </c>
      <c r="C137" s="89">
        <f t="shared" si="101"/>
        <v>0</v>
      </c>
      <c r="D137" s="194"/>
      <c r="E137" s="195"/>
      <c r="F137" s="55">
        <f t="shared" ref="F137:F140" si="172">D137+E137</f>
        <v>0</v>
      </c>
      <c r="G137" s="53"/>
      <c r="H137" s="54"/>
      <c r="I137" s="55">
        <f t="shared" ref="I137:I140" si="173">G137+H137</f>
        <v>0</v>
      </c>
      <c r="J137" s="53"/>
      <c r="K137" s="54"/>
      <c r="L137" s="55">
        <f t="shared" ref="L137:L140" si="174">K137+J137</f>
        <v>0</v>
      </c>
      <c r="M137" s="53"/>
      <c r="N137" s="54"/>
      <c r="O137" s="55">
        <f t="shared" ref="O137:O140" si="175">N137+M137</f>
        <v>0</v>
      </c>
      <c r="P137" s="57"/>
    </row>
    <row r="138" spans="1:16" ht="12" hidden="1" customHeight="1" x14ac:dyDescent="0.25">
      <c r="A138" s="51">
        <v>2322</v>
      </c>
      <c r="B138" s="88" t="s">
        <v>155</v>
      </c>
      <c r="C138" s="89">
        <f t="shared" si="101"/>
        <v>0</v>
      </c>
      <c r="D138" s="194"/>
      <c r="E138" s="195"/>
      <c r="F138" s="55">
        <f t="shared" si="172"/>
        <v>0</v>
      </c>
      <c r="G138" s="53"/>
      <c r="H138" s="54"/>
      <c r="I138" s="55">
        <f t="shared" si="173"/>
        <v>0</v>
      </c>
      <c r="J138" s="53"/>
      <c r="K138" s="54"/>
      <c r="L138" s="55">
        <f t="shared" si="174"/>
        <v>0</v>
      </c>
      <c r="M138" s="53"/>
      <c r="N138" s="54"/>
      <c r="O138" s="55">
        <f t="shared" si="175"/>
        <v>0</v>
      </c>
      <c r="P138" s="57"/>
    </row>
    <row r="139" spans="1:16" ht="10.5" hidden="1" customHeight="1" x14ac:dyDescent="0.25">
      <c r="A139" s="51">
        <v>2329</v>
      </c>
      <c r="B139" s="88" t="s">
        <v>156</v>
      </c>
      <c r="C139" s="89">
        <f t="shared" si="101"/>
        <v>0</v>
      </c>
      <c r="D139" s="194"/>
      <c r="E139" s="195"/>
      <c r="F139" s="55">
        <f t="shared" si="172"/>
        <v>0</v>
      </c>
      <c r="G139" s="53"/>
      <c r="H139" s="54"/>
      <c r="I139" s="55">
        <f t="shared" si="173"/>
        <v>0</v>
      </c>
      <c r="J139" s="53"/>
      <c r="K139" s="54"/>
      <c r="L139" s="55">
        <f t="shared" si="174"/>
        <v>0</v>
      </c>
      <c r="M139" s="53"/>
      <c r="N139" s="54"/>
      <c r="O139" s="55">
        <f t="shared" si="175"/>
        <v>0</v>
      </c>
      <c r="P139" s="57"/>
    </row>
    <row r="140" spans="1:16" ht="12" hidden="1" customHeight="1" x14ac:dyDescent="0.25">
      <c r="A140" s="188">
        <v>2330</v>
      </c>
      <c r="B140" s="88" t="s">
        <v>157</v>
      </c>
      <c r="C140" s="89">
        <f t="shared" si="101"/>
        <v>0</v>
      </c>
      <c r="D140" s="194"/>
      <c r="E140" s="195"/>
      <c r="F140" s="55">
        <f t="shared" si="172"/>
        <v>0</v>
      </c>
      <c r="G140" s="53"/>
      <c r="H140" s="54"/>
      <c r="I140" s="55">
        <f t="shared" si="173"/>
        <v>0</v>
      </c>
      <c r="J140" s="53"/>
      <c r="K140" s="54"/>
      <c r="L140" s="55">
        <f t="shared" si="174"/>
        <v>0</v>
      </c>
      <c r="M140" s="53"/>
      <c r="N140" s="54"/>
      <c r="O140" s="55">
        <f t="shared" si="175"/>
        <v>0</v>
      </c>
      <c r="P140" s="57"/>
    </row>
    <row r="141" spans="1:16" ht="48" x14ac:dyDescent="0.25">
      <c r="A141" s="188">
        <v>2340</v>
      </c>
      <c r="B141" s="88" t="s">
        <v>158</v>
      </c>
      <c r="C141" s="89">
        <f t="shared" si="101"/>
        <v>1157</v>
      </c>
      <c r="D141" s="189">
        <f>SUM(D142:D143)</f>
        <v>0</v>
      </c>
      <c r="E141" s="190">
        <f t="shared" ref="E141:F141" si="176">SUM(E142:E143)</f>
        <v>0</v>
      </c>
      <c r="F141" s="55">
        <f t="shared" si="176"/>
        <v>0</v>
      </c>
      <c r="G141" s="189">
        <f>SUM(G142:G143)</f>
        <v>928</v>
      </c>
      <c r="H141" s="190">
        <f t="shared" ref="H141:I141" si="177">SUM(H142:H143)</f>
        <v>229</v>
      </c>
      <c r="I141" s="55">
        <f t="shared" si="177"/>
        <v>1157</v>
      </c>
      <c r="J141" s="189">
        <f>SUM(J142:J143)</f>
        <v>0</v>
      </c>
      <c r="K141" s="190">
        <f t="shared" ref="K141:L141" si="178">SUM(K142:K143)</f>
        <v>0</v>
      </c>
      <c r="L141" s="55">
        <f t="shared" si="178"/>
        <v>0</v>
      </c>
      <c r="M141" s="189">
        <f>SUM(M142:M143)</f>
        <v>0</v>
      </c>
      <c r="N141" s="190">
        <f t="shared" ref="N141:O141" si="179">SUM(N142:N143)</f>
        <v>0</v>
      </c>
      <c r="O141" s="55">
        <f t="shared" si="179"/>
        <v>0</v>
      </c>
      <c r="P141" s="57"/>
    </row>
    <row r="142" spans="1:16" ht="15.75" customHeight="1" x14ac:dyDescent="0.25">
      <c r="A142" s="51">
        <v>2341</v>
      </c>
      <c r="B142" s="88" t="s">
        <v>159</v>
      </c>
      <c r="C142" s="89">
        <f t="shared" si="101"/>
        <v>1157</v>
      </c>
      <c r="D142" s="194"/>
      <c r="E142" s="195"/>
      <c r="F142" s="55">
        <f t="shared" ref="F142:F143" si="180">D142+E142</f>
        <v>0</v>
      </c>
      <c r="G142" s="53">
        <v>928</v>
      </c>
      <c r="H142" s="54">
        <v>229</v>
      </c>
      <c r="I142" s="55">
        <f t="shared" ref="I142:I143" si="181">G142+H142</f>
        <v>1157</v>
      </c>
      <c r="J142" s="53"/>
      <c r="K142" s="54"/>
      <c r="L142" s="55">
        <f t="shared" ref="L142:L143" si="182">K142+J142</f>
        <v>0</v>
      </c>
      <c r="M142" s="53"/>
      <c r="N142" s="54"/>
      <c r="O142" s="55">
        <f t="shared" ref="O142:O143" si="183">N142+M142</f>
        <v>0</v>
      </c>
      <c r="P142" s="57" t="s">
        <v>413</v>
      </c>
    </row>
    <row r="143" spans="1:16" ht="24" hidden="1" customHeight="1" x14ac:dyDescent="0.25">
      <c r="A143" s="51">
        <v>2344</v>
      </c>
      <c r="B143" s="88" t="s">
        <v>160</v>
      </c>
      <c r="C143" s="89">
        <f t="shared" si="101"/>
        <v>0</v>
      </c>
      <c r="D143" s="194"/>
      <c r="E143" s="195"/>
      <c r="F143" s="55">
        <f t="shared" si="180"/>
        <v>0</v>
      </c>
      <c r="G143" s="53"/>
      <c r="H143" s="54"/>
      <c r="I143" s="55">
        <f t="shared" si="181"/>
        <v>0</v>
      </c>
      <c r="J143" s="53"/>
      <c r="K143" s="54"/>
      <c r="L143" s="55">
        <f t="shared" si="182"/>
        <v>0</v>
      </c>
      <c r="M143" s="53"/>
      <c r="N143" s="54"/>
      <c r="O143" s="55">
        <f t="shared" si="183"/>
        <v>0</v>
      </c>
      <c r="P143" s="57"/>
    </row>
    <row r="144" spans="1:16" ht="24" x14ac:dyDescent="0.25">
      <c r="A144" s="185">
        <v>2350</v>
      </c>
      <c r="B144" s="137" t="s">
        <v>161</v>
      </c>
      <c r="C144" s="142">
        <f t="shared" si="101"/>
        <v>1006</v>
      </c>
      <c r="D144" s="186">
        <f>SUM(D145:D150)</f>
        <v>0</v>
      </c>
      <c r="E144" s="187">
        <f t="shared" ref="E144:F144" si="184">SUM(E145:E150)</f>
        <v>0</v>
      </c>
      <c r="F144" s="140">
        <f t="shared" si="184"/>
        <v>0</v>
      </c>
      <c r="G144" s="186">
        <f>SUM(G145:G150)</f>
        <v>806</v>
      </c>
      <c r="H144" s="187">
        <f t="shared" ref="H144:I144" si="185">SUM(H145:H150)</f>
        <v>200</v>
      </c>
      <c r="I144" s="140">
        <f t="shared" si="185"/>
        <v>1006</v>
      </c>
      <c r="J144" s="186">
        <f>SUM(J145:J150)</f>
        <v>0</v>
      </c>
      <c r="K144" s="187">
        <f t="shared" ref="K144:L144" si="186">SUM(K145:K150)</f>
        <v>0</v>
      </c>
      <c r="L144" s="140">
        <f t="shared" si="186"/>
        <v>0</v>
      </c>
      <c r="M144" s="186">
        <f>SUM(M145:M150)</f>
        <v>0</v>
      </c>
      <c r="N144" s="187">
        <f t="shared" ref="N144:O144" si="187">SUM(N145:N150)</f>
        <v>0</v>
      </c>
      <c r="O144" s="140">
        <f t="shared" si="187"/>
        <v>0</v>
      </c>
      <c r="P144" s="128"/>
    </row>
    <row r="145" spans="1:16" ht="12" hidden="1" customHeight="1" x14ac:dyDescent="0.25">
      <c r="A145" s="44">
        <v>2351</v>
      </c>
      <c r="B145" s="81" t="s">
        <v>162</v>
      </c>
      <c r="C145" s="82">
        <f t="shared" si="101"/>
        <v>0</v>
      </c>
      <c r="D145" s="196"/>
      <c r="E145" s="197"/>
      <c r="F145" s="133">
        <f t="shared" ref="F145:F150" si="188">D145+E145</f>
        <v>0</v>
      </c>
      <c r="G145" s="46"/>
      <c r="H145" s="47"/>
      <c r="I145" s="133">
        <f t="shared" ref="I145:I150" si="189">G145+H145</f>
        <v>0</v>
      </c>
      <c r="J145" s="46"/>
      <c r="K145" s="47"/>
      <c r="L145" s="133">
        <f t="shared" ref="L145:L150" si="190">K145+J145</f>
        <v>0</v>
      </c>
      <c r="M145" s="46"/>
      <c r="N145" s="47"/>
      <c r="O145" s="133">
        <f t="shared" ref="O145:O150" si="191">N145+M145</f>
        <v>0</v>
      </c>
      <c r="P145" s="49"/>
    </row>
    <row r="146" spans="1:16" ht="14.25" customHeight="1" x14ac:dyDescent="0.25">
      <c r="A146" s="51">
        <v>2352</v>
      </c>
      <c r="B146" s="88" t="s">
        <v>163</v>
      </c>
      <c r="C146" s="89">
        <f t="shared" si="101"/>
        <v>1006</v>
      </c>
      <c r="D146" s="194"/>
      <c r="E146" s="195"/>
      <c r="F146" s="55">
        <f t="shared" si="188"/>
        <v>0</v>
      </c>
      <c r="G146" s="53">
        <v>806</v>
      </c>
      <c r="H146" s="54">
        <v>200</v>
      </c>
      <c r="I146" s="55">
        <f t="shared" si="189"/>
        <v>1006</v>
      </c>
      <c r="J146" s="53"/>
      <c r="K146" s="54"/>
      <c r="L146" s="55">
        <f t="shared" si="190"/>
        <v>0</v>
      </c>
      <c r="M146" s="53"/>
      <c r="N146" s="54"/>
      <c r="O146" s="55">
        <f t="shared" si="191"/>
        <v>0</v>
      </c>
      <c r="P146" s="57" t="s">
        <v>414</v>
      </c>
    </row>
    <row r="147" spans="1:16" ht="24" hidden="1" customHeight="1" x14ac:dyDescent="0.25">
      <c r="A147" s="51">
        <v>2353</v>
      </c>
      <c r="B147" s="88" t="s">
        <v>164</v>
      </c>
      <c r="C147" s="89">
        <f t="shared" si="101"/>
        <v>0</v>
      </c>
      <c r="D147" s="194"/>
      <c r="E147" s="195"/>
      <c r="F147" s="55">
        <f t="shared" si="188"/>
        <v>0</v>
      </c>
      <c r="G147" s="53"/>
      <c r="H147" s="54"/>
      <c r="I147" s="55">
        <f t="shared" si="189"/>
        <v>0</v>
      </c>
      <c r="J147" s="53"/>
      <c r="K147" s="54"/>
      <c r="L147" s="55">
        <f t="shared" si="190"/>
        <v>0</v>
      </c>
      <c r="M147" s="53"/>
      <c r="N147" s="54"/>
      <c r="O147" s="55">
        <f t="shared" si="191"/>
        <v>0</v>
      </c>
      <c r="P147" s="57"/>
    </row>
    <row r="148" spans="1:16" ht="24" hidden="1" customHeight="1" x14ac:dyDescent="0.25">
      <c r="A148" s="51">
        <v>2354</v>
      </c>
      <c r="B148" s="88" t="s">
        <v>165</v>
      </c>
      <c r="C148" s="89">
        <f t="shared" ref="C148:C211" si="192">F148+I148+L148+O148</f>
        <v>0</v>
      </c>
      <c r="D148" s="194"/>
      <c r="E148" s="195"/>
      <c r="F148" s="55">
        <f t="shared" si="188"/>
        <v>0</v>
      </c>
      <c r="G148" s="53"/>
      <c r="H148" s="54"/>
      <c r="I148" s="55">
        <f t="shared" si="189"/>
        <v>0</v>
      </c>
      <c r="J148" s="53"/>
      <c r="K148" s="54"/>
      <c r="L148" s="55">
        <f t="shared" si="190"/>
        <v>0</v>
      </c>
      <c r="M148" s="53"/>
      <c r="N148" s="54"/>
      <c r="O148" s="55">
        <f t="shared" si="191"/>
        <v>0</v>
      </c>
      <c r="P148" s="57"/>
    </row>
    <row r="149" spans="1:16" ht="24" hidden="1" customHeight="1" x14ac:dyDescent="0.25">
      <c r="A149" s="51">
        <v>2355</v>
      </c>
      <c r="B149" s="88" t="s">
        <v>166</v>
      </c>
      <c r="C149" s="89">
        <f t="shared" si="192"/>
        <v>0</v>
      </c>
      <c r="D149" s="194"/>
      <c r="E149" s="195"/>
      <c r="F149" s="55">
        <f t="shared" si="188"/>
        <v>0</v>
      </c>
      <c r="G149" s="53"/>
      <c r="H149" s="54"/>
      <c r="I149" s="55">
        <f t="shared" si="189"/>
        <v>0</v>
      </c>
      <c r="J149" s="53"/>
      <c r="K149" s="54"/>
      <c r="L149" s="55">
        <f t="shared" si="190"/>
        <v>0</v>
      </c>
      <c r="M149" s="53"/>
      <c r="N149" s="54"/>
      <c r="O149" s="55">
        <f t="shared" si="191"/>
        <v>0</v>
      </c>
      <c r="P149" s="57"/>
    </row>
    <row r="150" spans="1:16" ht="24" hidden="1" customHeight="1" x14ac:dyDescent="0.25">
      <c r="A150" s="51">
        <v>2359</v>
      </c>
      <c r="B150" s="88" t="s">
        <v>167</v>
      </c>
      <c r="C150" s="89">
        <f t="shared" si="192"/>
        <v>0</v>
      </c>
      <c r="D150" s="194"/>
      <c r="E150" s="195"/>
      <c r="F150" s="55">
        <f t="shared" si="188"/>
        <v>0</v>
      </c>
      <c r="G150" s="53"/>
      <c r="H150" s="54"/>
      <c r="I150" s="55">
        <f t="shared" si="189"/>
        <v>0</v>
      </c>
      <c r="J150" s="53"/>
      <c r="K150" s="54"/>
      <c r="L150" s="55">
        <f t="shared" si="190"/>
        <v>0</v>
      </c>
      <c r="M150" s="53"/>
      <c r="N150" s="54"/>
      <c r="O150" s="55">
        <f t="shared" si="191"/>
        <v>0</v>
      </c>
      <c r="P150" s="57"/>
    </row>
    <row r="151" spans="1:16" ht="25.5" customHeight="1" x14ac:dyDescent="0.25">
      <c r="A151" s="188">
        <v>2360</v>
      </c>
      <c r="B151" s="88" t="s">
        <v>168</v>
      </c>
      <c r="C151" s="89">
        <f t="shared" si="192"/>
        <v>18831</v>
      </c>
      <c r="D151" s="189">
        <f>SUM(D152:D158)</f>
        <v>0</v>
      </c>
      <c r="E151" s="190">
        <f t="shared" ref="E151:F151" si="193">SUM(E152:E158)</f>
        <v>0</v>
      </c>
      <c r="F151" s="55">
        <f t="shared" si="193"/>
        <v>0</v>
      </c>
      <c r="G151" s="189">
        <f>SUM(G152:G158)</f>
        <v>15095</v>
      </c>
      <c r="H151" s="190">
        <f t="shared" ref="H151:I151" si="194">SUM(H152:H158)</f>
        <v>3736</v>
      </c>
      <c r="I151" s="55">
        <f t="shared" si="194"/>
        <v>18831</v>
      </c>
      <c r="J151" s="189">
        <f>SUM(J152:J158)</f>
        <v>0</v>
      </c>
      <c r="K151" s="190">
        <f t="shared" ref="K151:L151" si="195">SUM(K152:K158)</f>
        <v>0</v>
      </c>
      <c r="L151" s="55">
        <f t="shared" si="195"/>
        <v>0</v>
      </c>
      <c r="M151" s="189">
        <f>SUM(M152:M158)</f>
        <v>0</v>
      </c>
      <c r="N151" s="190">
        <f t="shared" ref="N151:O151" si="196">SUM(N152:N158)</f>
        <v>0</v>
      </c>
      <c r="O151" s="55">
        <f t="shared" si="196"/>
        <v>0</v>
      </c>
      <c r="P151" s="57"/>
    </row>
    <row r="152" spans="1:16" ht="15" customHeight="1" x14ac:dyDescent="0.25">
      <c r="A152" s="50">
        <v>2361</v>
      </c>
      <c r="B152" s="88" t="s">
        <v>169</v>
      </c>
      <c r="C152" s="89">
        <f t="shared" si="192"/>
        <v>575</v>
      </c>
      <c r="D152" s="194"/>
      <c r="E152" s="195"/>
      <c r="F152" s="55">
        <f t="shared" ref="F152:F159" si="197">D152+E152</f>
        <v>0</v>
      </c>
      <c r="G152" s="53">
        <v>461</v>
      </c>
      <c r="H152" s="54">
        <v>114</v>
      </c>
      <c r="I152" s="55">
        <f t="shared" ref="I152:I159" si="198">G152+H152</f>
        <v>575</v>
      </c>
      <c r="J152" s="53"/>
      <c r="K152" s="54"/>
      <c r="L152" s="55">
        <f t="shared" ref="L152:L159" si="199">K152+J152</f>
        <v>0</v>
      </c>
      <c r="M152" s="53"/>
      <c r="N152" s="54"/>
      <c r="O152" s="55">
        <f t="shared" ref="O152:O159" si="200">N152+M152</f>
        <v>0</v>
      </c>
      <c r="P152" s="57" t="s">
        <v>415</v>
      </c>
    </row>
    <row r="153" spans="1:16" ht="24" hidden="1" customHeight="1" x14ac:dyDescent="0.25">
      <c r="A153" s="50">
        <v>2362</v>
      </c>
      <c r="B153" s="88" t="s">
        <v>170</v>
      </c>
      <c r="C153" s="89">
        <f t="shared" si="192"/>
        <v>0</v>
      </c>
      <c r="D153" s="194"/>
      <c r="E153" s="195"/>
      <c r="F153" s="55">
        <f t="shared" si="197"/>
        <v>0</v>
      </c>
      <c r="G153" s="53"/>
      <c r="H153" s="54"/>
      <c r="I153" s="55">
        <f t="shared" si="198"/>
        <v>0</v>
      </c>
      <c r="J153" s="53"/>
      <c r="K153" s="54"/>
      <c r="L153" s="55">
        <f t="shared" si="199"/>
        <v>0</v>
      </c>
      <c r="M153" s="53"/>
      <c r="N153" s="54"/>
      <c r="O153" s="55">
        <f t="shared" si="200"/>
        <v>0</v>
      </c>
      <c r="P153" s="57"/>
    </row>
    <row r="154" spans="1:16" ht="15" customHeight="1" x14ac:dyDescent="0.25">
      <c r="A154" s="50">
        <v>2363</v>
      </c>
      <c r="B154" s="88" t="s">
        <v>171</v>
      </c>
      <c r="C154" s="89">
        <f t="shared" si="192"/>
        <v>15898</v>
      </c>
      <c r="D154" s="194"/>
      <c r="E154" s="195"/>
      <c r="F154" s="55">
        <f t="shared" si="197"/>
        <v>0</v>
      </c>
      <c r="G154" s="53">
        <v>12744</v>
      </c>
      <c r="H154" s="54">
        <v>3154</v>
      </c>
      <c r="I154" s="55">
        <f t="shared" si="198"/>
        <v>15898</v>
      </c>
      <c r="J154" s="53"/>
      <c r="K154" s="54"/>
      <c r="L154" s="55">
        <f t="shared" si="199"/>
        <v>0</v>
      </c>
      <c r="M154" s="53"/>
      <c r="N154" s="54"/>
      <c r="O154" s="55">
        <f t="shared" si="200"/>
        <v>0</v>
      </c>
      <c r="P154" s="57" t="s">
        <v>416</v>
      </c>
    </row>
    <row r="155" spans="1:16" ht="12" hidden="1" customHeight="1" x14ac:dyDescent="0.25">
      <c r="A155" s="50">
        <v>2364</v>
      </c>
      <c r="B155" s="88" t="s">
        <v>172</v>
      </c>
      <c r="C155" s="89">
        <f t="shared" si="192"/>
        <v>0</v>
      </c>
      <c r="D155" s="194"/>
      <c r="E155" s="195"/>
      <c r="F155" s="55">
        <f t="shared" si="197"/>
        <v>0</v>
      </c>
      <c r="G155" s="53"/>
      <c r="H155" s="54"/>
      <c r="I155" s="55">
        <f t="shared" si="198"/>
        <v>0</v>
      </c>
      <c r="J155" s="53"/>
      <c r="K155" s="54"/>
      <c r="L155" s="55">
        <f t="shared" si="199"/>
        <v>0</v>
      </c>
      <c r="M155" s="53"/>
      <c r="N155" s="54"/>
      <c r="O155" s="55">
        <f t="shared" si="200"/>
        <v>0</v>
      </c>
      <c r="P155" s="57"/>
    </row>
    <row r="156" spans="1:16" ht="12.75" hidden="1" customHeight="1" x14ac:dyDescent="0.25">
      <c r="A156" s="50">
        <v>2365</v>
      </c>
      <c r="B156" s="88" t="s">
        <v>173</v>
      </c>
      <c r="C156" s="89">
        <f t="shared" si="192"/>
        <v>0</v>
      </c>
      <c r="D156" s="194"/>
      <c r="E156" s="195"/>
      <c r="F156" s="55">
        <f t="shared" si="197"/>
        <v>0</v>
      </c>
      <c r="G156" s="53"/>
      <c r="H156" s="54"/>
      <c r="I156" s="55">
        <f t="shared" si="198"/>
        <v>0</v>
      </c>
      <c r="J156" s="53"/>
      <c r="K156" s="54"/>
      <c r="L156" s="55">
        <f t="shared" si="199"/>
        <v>0</v>
      </c>
      <c r="M156" s="53"/>
      <c r="N156" s="54"/>
      <c r="O156" s="55">
        <f t="shared" si="200"/>
        <v>0</v>
      </c>
      <c r="P156" s="57"/>
    </row>
    <row r="157" spans="1:16" ht="36" hidden="1" customHeight="1" x14ac:dyDescent="0.25">
      <c r="A157" s="50">
        <v>2366</v>
      </c>
      <c r="B157" s="88" t="s">
        <v>174</v>
      </c>
      <c r="C157" s="89">
        <f t="shared" si="192"/>
        <v>0</v>
      </c>
      <c r="D157" s="194"/>
      <c r="E157" s="195"/>
      <c r="F157" s="55">
        <f t="shared" si="197"/>
        <v>0</v>
      </c>
      <c r="G157" s="53"/>
      <c r="H157" s="54"/>
      <c r="I157" s="55">
        <f t="shared" si="198"/>
        <v>0</v>
      </c>
      <c r="J157" s="53"/>
      <c r="K157" s="54"/>
      <c r="L157" s="55">
        <f t="shared" si="199"/>
        <v>0</v>
      </c>
      <c r="M157" s="53"/>
      <c r="N157" s="54"/>
      <c r="O157" s="55">
        <f t="shared" si="200"/>
        <v>0</v>
      </c>
      <c r="P157" s="57"/>
    </row>
    <row r="158" spans="1:16" ht="47.25" customHeight="1" x14ac:dyDescent="0.25">
      <c r="A158" s="50">
        <v>2369</v>
      </c>
      <c r="B158" s="88" t="s">
        <v>175</v>
      </c>
      <c r="C158" s="89">
        <f t="shared" si="192"/>
        <v>2358</v>
      </c>
      <c r="D158" s="194"/>
      <c r="E158" s="195"/>
      <c r="F158" s="55">
        <f t="shared" si="197"/>
        <v>0</v>
      </c>
      <c r="G158" s="53">
        <v>1890</v>
      </c>
      <c r="H158" s="54">
        <v>468</v>
      </c>
      <c r="I158" s="55">
        <f t="shared" si="198"/>
        <v>2358</v>
      </c>
      <c r="J158" s="53"/>
      <c r="K158" s="54"/>
      <c r="L158" s="55">
        <f t="shared" si="199"/>
        <v>0</v>
      </c>
      <c r="M158" s="53"/>
      <c r="N158" s="54"/>
      <c r="O158" s="55">
        <f t="shared" si="200"/>
        <v>0</v>
      </c>
      <c r="P158" s="57" t="s">
        <v>417</v>
      </c>
    </row>
    <row r="159" spans="1:16" ht="12" hidden="1" customHeight="1" x14ac:dyDescent="0.25">
      <c r="A159" s="185">
        <v>2370</v>
      </c>
      <c r="B159" s="137" t="s">
        <v>176</v>
      </c>
      <c r="C159" s="142">
        <f t="shared" si="192"/>
        <v>0</v>
      </c>
      <c r="D159" s="202"/>
      <c r="E159" s="203"/>
      <c r="F159" s="140">
        <f t="shared" si="197"/>
        <v>0</v>
      </c>
      <c r="G159" s="143"/>
      <c r="H159" s="144"/>
      <c r="I159" s="140">
        <f t="shared" si="198"/>
        <v>0</v>
      </c>
      <c r="J159" s="143"/>
      <c r="K159" s="144"/>
      <c r="L159" s="140">
        <f t="shared" si="199"/>
        <v>0</v>
      </c>
      <c r="M159" s="143"/>
      <c r="N159" s="144"/>
      <c r="O159" s="140">
        <f t="shared" si="200"/>
        <v>0</v>
      </c>
      <c r="P159" s="128"/>
    </row>
    <row r="160" spans="1:16" hidden="1" x14ac:dyDescent="0.25">
      <c r="A160" s="185">
        <v>2380</v>
      </c>
      <c r="B160" s="137" t="s">
        <v>177</v>
      </c>
      <c r="C160" s="142">
        <f t="shared" si="192"/>
        <v>0</v>
      </c>
      <c r="D160" s="186">
        <f>SUM(D161:D162)</f>
        <v>0</v>
      </c>
      <c r="E160" s="187">
        <f t="shared" ref="E160:F160" si="201">SUM(E161:E162)</f>
        <v>0</v>
      </c>
      <c r="F160" s="140">
        <f t="shared" si="201"/>
        <v>0</v>
      </c>
      <c r="G160" s="186">
        <f>SUM(G161:G162)</f>
        <v>0</v>
      </c>
      <c r="H160" s="187">
        <f t="shared" ref="H160:I160" si="202">SUM(H161:H162)</f>
        <v>0</v>
      </c>
      <c r="I160" s="140">
        <f t="shared" si="202"/>
        <v>0</v>
      </c>
      <c r="J160" s="186">
        <f>SUM(J161:J162)</f>
        <v>0</v>
      </c>
      <c r="K160" s="187">
        <f t="shared" ref="K160:L160" si="203">SUM(K161:K162)</f>
        <v>0</v>
      </c>
      <c r="L160" s="140">
        <f t="shared" si="203"/>
        <v>0</v>
      </c>
      <c r="M160" s="186">
        <f>SUM(M161:M162)</f>
        <v>0</v>
      </c>
      <c r="N160" s="187">
        <f t="shared" ref="N160:O160" si="204">SUM(N161:N162)</f>
        <v>0</v>
      </c>
      <c r="O160" s="140">
        <f t="shared" si="204"/>
        <v>0</v>
      </c>
      <c r="P160" s="128"/>
    </row>
    <row r="161" spans="1:16" ht="12" hidden="1" customHeight="1" x14ac:dyDescent="0.25">
      <c r="A161" s="43">
        <v>2381</v>
      </c>
      <c r="B161" s="81" t="s">
        <v>178</v>
      </c>
      <c r="C161" s="82">
        <f t="shared" si="192"/>
        <v>0</v>
      </c>
      <c r="D161" s="196"/>
      <c r="E161" s="197"/>
      <c r="F161" s="133">
        <f t="shared" ref="F161:F164" si="205">D161+E161</f>
        <v>0</v>
      </c>
      <c r="G161" s="46"/>
      <c r="H161" s="47"/>
      <c r="I161" s="133">
        <f t="shared" ref="I161:I164" si="206">G161+H161</f>
        <v>0</v>
      </c>
      <c r="J161" s="46"/>
      <c r="K161" s="47"/>
      <c r="L161" s="133">
        <f t="shared" ref="L161:L164" si="207">K161+J161</f>
        <v>0</v>
      </c>
      <c r="M161" s="46"/>
      <c r="N161" s="47"/>
      <c r="O161" s="133">
        <f t="shared" ref="O161:O164" si="208">N161+M161</f>
        <v>0</v>
      </c>
      <c r="P161" s="49"/>
    </row>
    <row r="162" spans="1:16" ht="24" hidden="1" customHeight="1" x14ac:dyDescent="0.25">
      <c r="A162" s="50">
        <v>2389</v>
      </c>
      <c r="B162" s="88" t="s">
        <v>179</v>
      </c>
      <c r="C162" s="89">
        <f t="shared" si="192"/>
        <v>0</v>
      </c>
      <c r="D162" s="194"/>
      <c r="E162" s="195"/>
      <c r="F162" s="55">
        <f t="shared" si="205"/>
        <v>0</v>
      </c>
      <c r="G162" s="53"/>
      <c r="H162" s="54"/>
      <c r="I162" s="55">
        <f t="shared" si="206"/>
        <v>0</v>
      </c>
      <c r="J162" s="53"/>
      <c r="K162" s="54"/>
      <c r="L162" s="55">
        <f t="shared" si="207"/>
        <v>0</v>
      </c>
      <c r="M162" s="53"/>
      <c r="N162" s="54"/>
      <c r="O162" s="55">
        <f t="shared" si="208"/>
        <v>0</v>
      </c>
      <c r="P162" s="57"/>
    </row>
    <row r="163" spans="1:16" ht="12" hidden="1" customHeight="1" x14ac:dyDescent="0.25">
      <c r="A163" s="185">
        <v>2390</v>
      </c>
      <c r="B163" s="137" t="s">
        <v>180</v>
      </c>
      <c r="C163" s="142">
        <f t="shared" si="192"/>
        <v>0</v>
      </c>
      <c r="D163" s="202"/>
      <c r="E163" s="203"/>
      <c r="F163" s="140">
        <f t="shared" si="205"/>
        <v>0</v>
      </c>
      <c r="G163" s="143"/>
      <c r="H163" s="144"/>
      <c r="I163" s="140">
        <f t="shared" si="206"/>
        <v>0</v>
      </c>
      <c r="J163" s="143"/>
      <c r="K163" s="144"/>
      <c r="L163" s="140">
        <f t="shared" si="207"/>
        <v>0</v>
      </c>
      <c r="M163" s="143"/>
      <c r="N163" s="144"/>
      <c r="O163" s="140">
        <f t="shared" si="208"/>
        <v>0</v>
      </c>
      <c r="P163" s="128"/>
    </row>
    <row r="164" spans="1:16" ht="12" hidden="1" customHeight="1" x14ac:dyDescent="0.25">
      <c r="A164" s="68">
        <v>2400</v>
      </c>
      <c r="B164" s="182" t="s">
        <v>181</v>
      </c>
      <c r="C164" s="69">
        <f t="shared" si="192"/>
        <v>0</v>
      </c>
      <c r="D164" s="204"/>
      <c r="E164" s="205"/>
      <c r="F164" s="72">
        <f t="shared" si="205"/>
        <v>0</v>
      </c>
      <c r="G164" s="70"/>
      <c r="H164" s="71"/>
      <c r="I164" s="72">
        <f t="shared" si="206"/>
        <v>0</v>
      </c>
      <c r="J164" s="70"/>
      <c r="K164" s="71"/>
      <c r="L164" s="72">
        <f t="shared" si="207"/>
        <v>0</v>
      </c>
      <c r="M164" s="70"/>
      <c r="N164" s="71"/>
      <c r="O164" s="72">
        <f t="shared" si="208"/>
        <v>0</v>
      </c>
      <c r="P164" s="76"/>
    </row>
    <row r="165" spans="1:16" ht="24" hidden="1" x14ac:dyDescent="0.25">
      <c r="A165" s="68">
        <v>2500</v>
      </c>
      <c r="B165" s="182" t="s">
        <v>182</v>
      </c>
      <c r="C165" s="69">
        <f t="shared" si="192"/>
        <v>0</v>
      </c>
      <c r="D165" s="183">
        <f>SUM(D166,D171)</f>
        <v>0</v>
      </c>
      <c r="E165" s="184">
        <f t="shared" ref="E165:O165" si="209">SUM(E166,E171)</f>
        <v>0</v>
      </c>
      <c r="F165" s="72">
        <f t="shared" si="209"/>
        <v>0</v>
      </c>
      <c r="G165" s="183">
        <f t="shared" si="209"/>
        <v>0</v>
      </c>
      <c r="H165" s="184">
        <f t="shared" si="209"/>
        <v>0</v>
      </c>
      <c r="I165" s="72">
        <f t="shared" si="209"/>
        <v>0</v>
      </c>
      <c r="J165" s="183">
        <f t="shared" si="209"/>
        <v>0</v>
      </c>
      <c r="K165" s="184">
        <f t="shared" si="209"/>
        <v>0</v>
      </c>
      <c r="L165" s="72">
        <f t="shared" si="209"/>
        <v>0</v>
      </c>
      <c r="M165" s="183">
        <f t="shared" si="209"/>
        <v>0</v>
      </c>
      <c r="N165" s="184">
        <f t="shared" si="209"/>
        <v>0</v>
      </c>
      <c r="O165" s="72">
        <f t="shared" si="209"/>
        <v>0</v>
      </c>
      <c r="P165" s="76"/>
    </row>
    <row r="166" spans="1:16" ht="16.5" hidden="1" customHeight="1" x14ac:dyDescent="0.25">
      <c r="A166" s="191">
        <v>2510</v>
      </c>
      <c r="B166" s="81" t="s">
        <v>183</v>
      </c>
      <c r="C166" s="82">
        <f t="shared" si="192"/>
        <v>0</v>
      </c>
      <c r="D166" s="192">
        <f>SUM(D167:D170)</f>
        <v>0</v>
      </c>
      <c r="E166" s="193">
        <f t="shared" ref="E166:O166" si="210">SUM(E167:E170)</f>
        <v>0</v>
      </c>
      <c r="F166" s="133">
        <f t="shared" si="210"/>
        <v>0</v>
      </c>
      <c r="G166" s="192">
        <f t="shared" si="210"/>
        <v>0</v>
      </c>
      <c r="H166" s="193">
        <f t="shared" si="210"/>
        <v>0</v>
      </c>
      <c r="I166" s="133">
        <f t="shared" si="210"/>
        <v>0</v>
      </c>
      <c r="J166" s="192">
        <f t="shared" si="210"/>
        <v>0</v>
      </c>
      <c r="K166" s="193">
        <f t="shared" si="210"/>
        <v>0</v>
      </c>
      <c r="L166" s="133">
        <f t="shared" si="210"/>
        <v>0</v>
      </c>
      <c r="M166" s="192">
        <f t="shared" si="210"/>
        <v>0</v>
      </c>
      <c r="N166" s="193">
        <f t="shared" si="210"/>
        <v>0</v>
      </c>
      <c r="O166" s="133">
        <f t="shared" si="210"/>
        <v>0</v>
      </c>
      <c r="P166" s="49"/>
    </row>
    <row r="167" spans="1:16" ht="24" hidden="1" customHeight="1" x14ac:dyDescent="0.25">
      <c r="A167" s="51">
        <v>2512</v>
      </c>
      <c r="B167" s="88" t="s">
        <v>184</v>
      </c>
      <c r="C167" s="89">
        <f t="shared" si="192"/>
        <v>0</v>
      </c>
      <c r="D167" s="194"/>
      <c r="E167" s="195"/>
      <c r="F167" s="55">
        <f t="shared" ref="F167:F172" si="211">D167+E167</f>
        <v>0</v>
      </c>
      <c r="G167" s="53"/>
      <c r="H167" s="54"/>
      <c r="I167" s="55">
        <f t="shared" ref="I167:I172" si="212">G167+H167</f>
        <v>0</v>
      </c>
      <c r="J167" s="53"/>
      <c r="K167" s="54"/>
      <c r="L167" s="55">
        <f t="shared" ref="L167:L172" si="213">K167+J167</f>
        <v>0</v>
      </c>
      <c r="M167" s="53"/>
      <c r="N167" s="54"/>
      <c r="O167" s="55">
        <f t="shared" ref="O167:O172" si="214">N167+M167</f>
        <v>0</v>
      </c>
      <c r="P167" s="57"/>
    </row>
    <row r="168" spans="1:16" ht="36" hidden="1" customHeight="1" x14ac:dyDescent="0.25">
      <c r="A168" s="51">
        <v>2513</v>
      </c>
      <c r="B168" s="88" t="s">
        <v>185</v>
      </c>
      <c r="C168" s="89">
        <f t="shared" si="192"/>
        <v>0</v>
      </c>
      <c r="D168" s="194"/>
      <c r="E168" s="195"/>
      <c r="F168" s="55">
        <f t="shared" si="211"/>
        <v>0</v>
      </c>
      <c r="G168" s="53"/>
      <c r="H168" s="54"/>
      <c r="I168" s="55">
        <f t="shared" si="212"/>
        <v>0</v>
      </c>
      <c r="J168" s="53"/>
      <c r="K168" s="54"/>
      <c r="L168" s="55">
        <f t="shared" si="213"/>
        <v>0</v>
      </c>
      <c r="M168" s="53"/>
      <c r="N168" s="54"/>
      <c r="O168" s="55">
        <f t="shared" si="214"/>
        <v>0</v>
      </c>
      <c r="P168" s="57"/>
    </row>
    <row r="169" spans="1:16" ht="24" hidden="1" customHeight="1" x14ac:dyDescent="0.25">
      <c r="A169" s="51">
        <v>2515</v>
      </c>
      <c r="B169" s="88" t="s">
        <v>186</v>
      </c>
      <c r="C169" s="89">
        <f t="shared" si="192"/>
        <v>0</v>
      </c>
      <c r="D169" s="194"/>
      <c r="E169" s="195"/>
      <c r="F169" s="55">
        <f t="shared" si="211"/>
        <v>0</v>
      </c>
      <c r="G169" s="53"/>
      <c r="H169" s="54"/>
      <c r="I169" s="55">
        <f t="shared" si="212"/>
        <v>0</v>
      </c>
      <c r="J169" s="53"/>
      <c r="K169" s="54"/>
      <c r="L169" s="55">
        <f t="shared" si="213"/>
        <v>0</v>
      </c>
      <c r="M169" s="53"/>
      <c r="N169" s="54"/>
      <c r="O169" s="55">
        <f t="shared" si="214"/>
        <v>0</v>
      </c>
      <c r="P169" s="57"/>
    </row>
    <row r="170" spans="1:16" ht="24" hidden="1" customHeight="1" x14ac:dyDescent="0.25">
      <c r="A170" s="51">
        <v>2519</v>
      </c>
      <c r="B170" s="88" t="s">
        <v>187</v>
      </c>
      <c r="C170" s="89">
        <f t="shared" si="192"/>
        <v>0</v>
      </c>
      <c r="D170" s="194"/>
      <c r="E170" s="195"/>
      <c r="F170" s="55">
        <f t="shared" si="211"/>
        <v>0</v>
      </c>
      <c r="G170" s="53"/>
      <c r="H170" s="54"/>
      <c r="I170" s="55">
        <f t="shared" si="212"/>
        <v>0</v>
      </c>
      <c r="J170" s="53"/>
      <c r="K170" s="54"/>
      <c r="L170" s="55">
        <f t="shared" si="213"/>
        <v>0</v>
      </c>
      <c r="M170" s="53"/>
      <c r="N170" s="54"/>
      <c r="O170" s="55">
        <f t="shared" si="214"/>
        <v>0</v>
      </c>
      <c r="P170" s="57"/>
    </row>
    <row r="171" spans="1:16" ht="24" hidden="1" customHeight="1" x14ac:dyDescent="0.25">
      <c r="A171" s="188">
        <v>2520</v>
      </c>
      <c r="B171" s="88" t="s">
        <v>188</v>
      </c>
      <c r="C171" s="89">
        <f t="shared" si="192"/>
        <v>0</v>
      </c>
      <c r="D171" s="194"/>
      <c r="E171" s="195"/>
      <c r="F171" s="55">
        <f t="shared" si="211"/>
        <v>0</v>
      </c>
      <c r="G171" s="53"/>
      <c r="H171" s="54"/>
      <c r="I171" s="55">
        <f t="shared" si="212"/>
        <v>0</v>
      </c>
      <c r="J171" s="53"/>
      <c r="K171" s="54"/>
      <c r="L171" s="55">
        <f t="shared" si="213"/>
        <v>0</v>
      </c>
      <c r="M171" s="53"/>
      <c r="N171" s="54"/>
      <c r="O171" s="55">
        <f t="shared" si="214"/>
        <v>0</v>
      </c>
      <c r="P171" s="57"/>
    </row>
    <row r="172" spans="1:16" s="206" customFormat="1" ht="36" hidden="1" customHeight="1" x14ac:dyDescent="0.25">
      <c r="A172" s="23">
        <v>2800</v>
      </c>
      <c r="B172" s="81" t="s">
        <v>189</v>
      </c>
      <c r="C172" s="82">
        <f t="shared" si="192"/>
        <v>0</v>
      </c>
      <c r="D172" s="46"/>
      <c r="E172" s="47"/>
      <c r="F172" s="133">
        <f t="shared" si="211"/>
        <v>0</v>
      </c>
      <c r="G172" s="46"/>
      <c r="H172" s="47"/>
      <c r="I172" s="133">
        <f t="shared" si="212"/>
        <v>0</v>
      </c>
      <c r="J172" s="46"/>
      <c r="K172" s="47"/>
      <c r="L172" s="133">
        <f t="shared" si="213"/>
        <v>0</v>
      </c>
      <c r="M172" s="46"/>
      <c r="N172" s="47"/>
      <c r="O172" s="133">
        <f t="shared" si="214"/>
        <v>0</v>
      </c>
      <c r="P172" s="49"/>
    </row>
    <row r="173" spans="1:16" hidden="1" x14ac:dyDescent="0.25">
      <c r="A173" s="176">
        <v>3000</v>
      </c>
      <c r="B173" s="176" t="s">
        <v>190</v>
      </c>
      <c r="C173" s="177">
        <f t="shared" si="192"/>
        <v>0</v>
      </c>
      <c r="D173" s="178">
        <f>SUM(D174,D184)</f>
        <v>0</v>
      </c>
      <c r="E173" s="179">
        <f t="shared" ref="E173:F173" si="215">SUM(E174,E184)</f>
        <v>0</v>
      </c>
      <c r="F173" s="180">
        <f t="shared" si="215"/>
        <v>0</v>
      </c>
      <c r="G173" s="178">
        <f>SUM(G174,G184)</f>
        <v>0</v>
      </c>
      <c r="H173" s="179">
        <f t="shared" ref="H173:I173" si="216">SUM(H174,H184)</f>
        <v>0</v>
      </c>
      <c r="I173" s="180">
        <f t="shared" si="216"/>
        <v>0</v>
      </c>
      <c r="J173" s="178">
        <f>SUM(J174,J184)</f>
        <v>0</v>
      </c>
      <c r="K173" s="179">
        <f t="shared" ref="K173:L173" si="217">SUM(K174,K184)</f>
        <v>0</v>
      </c>
      <c r="L173" s="180">
        <f t="shared" si="217"/>
        <v>0</v>
      </c>
      <c r="M173" s="178">
        <f>SUM(M174,M184)</f>
        <v>0</v>
      </c>
      <c r="N173" s="179">
        <f t="shared" ref="N173:O173" si="218">SUM(N174,N184)</f>
        <v>0</v>
      </c>
      <c r="O173" s="180">
        <f t="shared" si="218"/>
        <v>0</v>
      </c>
      <c r="P173" s="181"/>
    </row>
    <row r="174" spans="1:16" ht="24" hidden="1" x14ac:dyDescent="0.25">
      <c r="A174" s="68">
        <v>3200</v>
      </c>
      <c r="B174" s="207" t="s">
        <v>191</v>
      </c>
      <c r="C174" s="69">
        <f t="shared" si="192"/>
        <v>0</v>
      </c>
      <c r="D174" s="183">
        <f>SUM(D175,D179)</f>
        <v>0</v>
      </c>
      <c r="E174" s="184">
        <f t="shared" ref="E174:O174" si="219">SUM(E175,E179)</f>
        <v>0</v>
      </c>
      <c r="F174" s="72">
        <f t="shared" si="219"/>
        <v>0</v>
      </c>
      <c r="G174" s="183">
        <f t="shared" si="219"/>
        <v>0</v>
      </c>
      <c r="H174" s="184">
        <f t="shared" si="219"/>
        <v>0</v>
      </c>
      <c r="I174" s="72">
        <f t="shared" si="219"/>
        <v>0</v>
      </c>
      <c r="J174" s="183">
        <f t="shared" si="219"/>
        <v>0</v>
      </c>
      <c r="K174" s="184">
        <f t="shared" si="219"/>
        <v>0</v>
      </c>
      <c r="L174" s="72">
        <f t="shared" si="219"/>
        <v>0</v>
      </c>
      <c r="M174" s="183">
        <f t="shared" si="219"/>
        <v>0</v>
      </c>
      <c r="N174" s="184">
        <f t="shared" si="219"/>
        <v>0</v>
      </c>
      <c r="O174" s="72">
        <f t="shared" si="219"/>
        <v>0</v>
      </c>
      <c r="P174" s="76"/>
    </row>
    <row r="175" spans="1:16" ht="36" hidden="1" x14ac:dyDescent="0.25">
      <c r="A175" s="191">
        <v>3260</v>
      </c>
      <c r="B175" s="81" t="s">
        <v>192</v>
      </c>
      <c r="C175" s="82">
        <f t="shared" si="192"/>
        <v>0</v>
      </c>
      <c r="D175" s="192">
        <f>SUM(D176:D178)</f>
        <v>0</v>
      </c>
      <c r="E175" s="193">
        <f t="shared" ref="E175:F175" si="220">SUM(E176:E178)</f>
        <v>0</v>
      </c>
      <c r="F175" s="133">
        <f t="shared" si="220"/>
        <v>0</v>
      </c>
      <c r="G175" s="192">
        <f>SUM(G176:G178)</f>
        <v>0</v>
      </c>
      <c r="H175" s="193">
        <f t="shared" ref="H175:I175" si="221">SUM(H176:H178)</f>
        <v>0</v>
      </c>
      <c r="I175" s="133">
        <f t="shared" si="221"/>
        <v>0</v>
      </c>
      <c r="J175" s="192">
        <f>SUM(J176:J178)</f>
        <v>0</v>
      </c>
      <c r="K175" s="193">
        <f t="shared" ref="K175:L175" si="222">SUM(K176:K178)</f>
        <v>0</v>
      </c>
      <c r="L175" s="133">
        <f t="shared" si="222"/>
        <v>0</v>
      </c>
      <c r="M175" s="192">
        <f>SUM(M176:M178)</f>
        <v>0</v>
      </c>
      <c r="N175" s="193">
        <f t="shared" ref="N175:O175" si="223">SUM(N176:N178)</f>
        <v>0</v>
      </c>
      <c r="O175" s="133">
        <f t="shared" si="223"/>
        <v>0</v>
      </c>
      <c r="P175" s="49"/>
    </row>
    <row r="176" spans="1:16" ht="24" hidden="1" customHeight="1" x14ac:dyDescent="0.25">
      <c r="A176" s="51">
        <v>3261</v>
      </c>
      <c r="B176" s="88" t="s">
        <v>193</v>
      </c>
      <c r="C176" s="89">
        <f t="shared" si="192"/>
        <v>0</v>
      </c>
      <c r="D176" s="194"/>
      <c r="E176" s="195"/>
      <c r="F176" s="55">
        <f t="shared" ref="F176:F178" si="224">D176+E176</f>
        <v>0</v>
      </c>
      <c r="G176" s="53"/>
      <c r="H176" s="54"/>
      <c r="I176" s="55">
        <f t="shared" ref="I176:I178" si="225">G176+H176</f>
        <v>0</v>
      </c>
      <c r="J176" s="53"/>
      <c r="K176" s="54"/>
      <c r="L176" s="55">
        <f t="shared" ref="L176:L178" si="226">K176+J176</f>
        <v>0</v>
      </c>
      <c r="M176" s="53"/>
      <c r="N176" s="54"/>
      <c r="O176" s="55">
        <f t="shared" ref="O176:O178" si="227">N176+M176</f>
        <v>0</v>
      </c>
      <c r="P176" s="57"/>
    </row>
    <row r="177" spans="1:16" ht="36" hidden="1" customHeight="1" x14ac:dyDescent="0.25">
      <c r="A177" s="51">
        <v>3262</v>
      </c>
      <c r="B177" s="88" t="s">
        <v>194</v>
      </c>
      <c r="C177" s="89">
        <f t="shared" si="192"/>
        <v>0</v>
      </c>
      <c r="D177" s="194"/>
      <c r="E177" s="195"/>
      <c r="F177" s="55">
        <f t="shared" si="224"/>
        <v>0</v>
      </c>
      <c r="G177" s="53"/>
      <c r="H177" s="54"/>
      <c r="I177" s="55">
        <f t="shared" si="225"/>
        <v>0</v>
      </c>
      <c r="J177" s="53"/>
      <c r="K177" s="54"/>
      <c r="L177" s="55">
        <f t="shared" si="226"/>
        <v>0</v>
      </c>
      <c r="M177" s="53"/>
      <c r="N177" s="54"/>
      <c r="O177" s="55">
        <f t="shared" si="227"/>
        <v>0</v>
      </c>
      <c r="P177" s="57"/>
    </row>
    <row r="178" spans="1:16" ht="24" hidden="1" customHeight="1" x14ac:dyDescent="0.25">
      <c r="A178" s="51">
        <v>3263</v>
      </c>
      <c r="B178" s="88" t="s">
        <v>195</v>
      </c>
      <c r="C178" s="89">
        <f t="shared" si="192"/>
        <v>0</v>
      </c>
      <c r="D178" s="194"/>
      <c r="E178" s="195"/>
      <c r="F178" s="55">
        <f t="shared" si="224"/>
        <v>0</v>
      </c>
      <c r="G178" s="53"/>
      <c r="H178" s="54"/>
      <c r="I178" s="55">
        <f t="shared" si="225"/>
        <v>0</v>
      </c>
      <c r="J178" s="53"/>
      <c r="K178" s="54"/>
      <c r="L178" s="55">
        <f t="shared" si="226"/>
        <v>0</v>
      </c>
      <c r="M178" s="53"/>
      <c r="N178" s="54"/>
      <c r="O178" s="55">
        <f t="shared" si="227"/>
        <v>0</v>
      </c>
      <c r="P178" s="57"/>
    </row>
    <row r="179" spans="1:16" ht="84" hidden="1" x14ac:dyDescent="0.25">
      <c r="A179" s="191">
        <v>3290</v>
      </c>
      <c r="B179" s="81" t="s">
        <v>196</v>
      </c>
      <c r="C179" s="208">
        <f t="shared" si="192"/>
        <v>0</v>
      </c>
      <c r="D179" s="192">
        <f>SUM(D180:D183)</f>
        <v>0</v>
      </c>
      <c r="E179" s="193">
        <f t="shared" ref="E179:O179" si="228">SUM(E180:E183)</f>
        <v>0</v>
      </c>
      <c r="F179" s="133">
        <f t="shared" si="228"/>
        <v>0</v>
      </c>
      <c r="G179" s="192">
        <f t="shared" si="228"/>
        <v>0</v>
      </c>
      <c r="H179" s="193">
        <f t="shared" si="228"/>
        <v>0</v>
      </c>
      <c r="I179" s="133">
        <f t="shared" si="228"/>
        <v>0</v>
      </c>
      <c r="J179" s="192">
        <f t="shared" si="228"/>
        <v>0</v>
      </c>
      <c r="K179" s="193">
        <f t="shared" si="228"/>
        <v>0</v>
      </c>
      <c r="L179" s="133">
        <f t="shared" si="228"/>
        <v>0</v>
      </c>
      <c r="M179" s="192">
        <f t="shared" si="228"/>
        <v>0</v>
      </c>
      <c r="N179" s="193">
        <f t="shared" si="228"/>
        <v>0</v>
      </c>
      <c r="O179" s="133">
        <f t="shared" si="228"/>
        <v>0</v>
      </c>
      <c r="P179" s="49"/>
    </row>
    <row r="180" spans="1:16" ht="72" hidden="1" customHeight="1" x14ac:dyDescent="0.25">
      <c r="A180" s="51">
        <v>3291</v>
      </c>
      <c r="B180" s="88" t="s">
        <v>197</v>
      </c>
      <c r="C180" s="89">
        <f t="shared" si="192"/>
        <v>0</v>
      </c>
      <c r="D180" s="194"/>
      <c r="E180" s="195"/>
      <c r="F180" s="55">
        <f t="shared" ref="F180:F183" si="229">D180+E180</f>
        <v>0</v>
      </c>
      <c r="G180" s="53"/>
      <c r="H180" s="54"/>
      <c r="I180" s="55">
        <f t="shared" ref="I180:I183" si="230">G180+H180</f>
        <v>0</v>
      </c>
      <c r="J180" s="53"/>
      <c r="K180" s="54"/>
      <c r="L180" s="55">
        <f t="shared" ref="L180:L183" si="231">K180+J180</f>
        <v>0</v>
      </c>
      <c r="M180" s="53"/>
      <c r="N180" s="54"/>
      <c r="O180" s="55">
        <f t="shared" ref="O180:O183" si="232">N180+M180</f>
        <v>0</v>
      </c>
      <c r="P180" s="57"/>
    </row>
    <row r="181" spans="1:16" ht="72" hidden="1" customHeight="1" x14ac:dyDescent="0.25">
      <c r="A181" s="51">
        <v>3292</v>
      </c>
      <c r="B181" s="88" t="s">
        <v>198</v>
      </c>
      <c r="C181" s="89">
        <f t="shared" si="192"/>
        <v>0</v>
      </c>
      <c r="D181" s="194"/>
      <c r="E181" s="195"/>
      <c r="F181" s="55">
        <f t="shared" si="229"/>
        <v>0</v>
      </c>
      <c r="G181" s="53"/>
      <c r="H181" s="54"/>
      <c r="I181" s="55">
        <f t="shared" si="230"/>
        <v>0</v>
      </c>
      <c r="J181" s="53"/>
      <c r="K181" s="54"/>
      <c r="L181" s="55">
        <f t="shared" si="231"/>
        <v>0</v>
      </c>
      <c r="M181" s="53"/>
      <c r="N181" s="54"/>
      <c r="O181" s="55">
        <f t="shared" si="232"/>
        <v>0</v>
      </c>
      <c r="P181" s="57"/>
    </row>
    <row r="182" spans="1:16" ht="72" hidden="1" customHeight="1" x14ac:dyDescent="0.25">
      <c r="A182" s="51">
        <v>3293</v>
      </c>
      <c r="B182" s="88" t="s">
        <v>199</v>
      </c>
      <c r="C182" s="89">
        <f t="shared" si="192"/>
        <v>0</v>
      </c>
      <c r="D182" s="194"/>
      <c r="E182" s="195"/>
      <c r="F182" s="55">
        <f t="shared" si="229"/>
        <v>0</v>
      </c>
      <c r="G182" s="53"/>
      <c r="H182" s="54"/>
      <c r="I182" s="55">
        <f t="shared" si="230"/>
        <v>0</v>
      </c>
      <c r="J182" s="53"/>
      <c r="K182" s="54"/>
      <c r="L182" s="55">
        <f t="shared" si="231"/>
        <v>0</v>
      </c>
      <c r="M182" s="53"/>
      <c r="N182" s="54"/>
      <c r="O182" s="55">
        <f t="shared" si="232"/>
        <v>0</v>
      </c>
      <c r="P182" s="57"/>
    </row>
    <row r="183" spans="1:16" ht="60" hidden="1" customHeight="1" x14ac:dyDescent="0.25">
      <c r="A183" s="209">
        <v>3294</v>
      </c>
      <c r="B183" s="88" t="s">
        <v>200</v>
      </c>
      <c r="C183" s="208">
        <f t="shared" si="192"/>
        <v>0</v>
      </c>
      <c r="D183" s="210"/>
      <c r="E183" s="211"/>
      <c r="F183" s="212">
        <f t="shared" si="229"/>
        <v>0</v>
      </c>
      <c r="G183" s="213"/>
      <c r="H183" s="214"/>
      <c r="I183" s="212">
        <f t="shared" si="230"/>
        <v>0</v>
      </c>
      <c r="J183" s="213"/>
      <c r="K183" s="214"/>
      <c r="L183" s="212">
        <f t="shared" si="231"/>
        <v>0</v>
      </c>
      <c r="M183" s="213"/>
      <c r="N183" s="214"/>
      <c r="O183" s="212">
        <f t="shared" si="232"/>
        <v>0</v>
      </c>
      <c r="P183" s="215"/>
    </row>
    <row r="184" spans="1:16" ht="48" hidden="1" x14ac:dyDescent="0.25">
      <c r="A184" s="216">
        <v>3300</v>
      </c>
      <c r="B184" s="207" t="s">
        <v>201</v>
      </c>
      <c r="C184" s="217">
        <f t="shared" si="192"/>
        <v>0</v>
      </c>
      <c r="D184" s="218">
        <f>SUM(D185:D186)</f>
        <v>0</v>
      </c>
      <c r="E184" s="219">
        <f t="shared" ref="E184:O184" si="233">SUM(E185:E186)</f>
        <v>0</v>
      </c>
      <c r="F184" s="220">
        <f t="shared" si="233"/>
        <v>0</v>
      </c>
      <c r="G184" s="218">
        <f t="shared" si="233"/>
        <v>0</v>
      </c>
      <c r="H184" s="219">
        <f t="shared" si="233"/>
        <v>0</v>
      </c>
      <c r="I184" s="220">
        <f t="shared" si="233"/>
        <v>0</v>
      </c>
      <c r="J184" s="218">
        <f t="shared" si="233"/>
        <v>0</v>
      </c>
      <c r="K184" s="219">
        <f t="shared" si="233"/>
        <v>0</v>
      </c>
      <c r="L184" s="220">
        <f t="shared" si="233"/>
        <v>0</v>
      </c>
      <c r="M184" s="218">
        <f t="shared" si="233"/>
        <v>0</v>
      </c>
      <c r="N184" s="219">
        <f t="shared" si="233"/>
        <v>0</v>
      </c>
      <c r="O184" s="220">
        <f t="shared" si="233"/>
        <v>0</v>
      </c>
      <c r="P184" s="221"/>
    </row>
    <row r="185" spans="1:16" ht="48" hidden="1" customHeight="1" x14ac:dyDescent="0.25">
      <c r="A185" s="136">
        <v>3310</v>
      </c>
      <c r="B185" s="137" t="s">
        <v>202</v>
      </c>
      <c r="C185" s="142">
        <f t="shared" si="192"/>
        <v>0</v>
      </c>
      <c r="D185" s="202"/>
      <c r="E185" s="203"/>
      <c r="F185" s="140">
        <f t="shared" ref="F185:F186" si="234">D185+E185</f>
        <v>0</v>
      </c>
      <c r="G185" s="143"/>
      <c r="H185" s="144"/>
      <c r="I185" s="140">
        <f t="shared" ref="I185:I186" si="235">G185+H185</f>
        <v>0</v>
      </c>
      <c r="J185" s="143"/>
      <c r="K185" s="144"/>
      <c r="L185" s="140">
        <f t="shared" ref="L185:L186" si="236">K185+J185</f>
        <v>0</v>
      </c>
      <c r="M185" s="143"/>
      <c r="N185" s="144"/>
      <c r="O185" s="140">
        <f t="shared" ref="O185:O186" si="237">N185+M185</f>
        <v>0</v>
      </c>
      <c r="P185" s="128"/>
    </row>
    <row r="186" spans="1:16" ht="48.75" hidden="1" customHeight="1" x14ac:dyDescent="0.25">
      <c r="A186" s="44">
        <v>3320</v>
      </c>
      <c r="B186" s="81" t="s">
        <v>203</v>
      </c>
      <c r="C186" s="82">
        <f t="shared" si="192"/>
        <v>0</v>
      </c>
      <c r="D186" s="196"/>
      <c r="E186" s="197"/>
      <c r="F186" s="133">
        <f t="shared" si="234"/>
        <v>0</v>
      </c>
      <c r="G186" s="46"/>
      <c r="H186" s="47"/>
      <c r="I186" s="133">
        <f t="shared" si="235"/>
        <v>0</v>
      </c>
      <c r="J186" s="46"/>
      <c r="K186" s="47"/>
      <c r="L186" s="133">
        <f t="shared" si="236"/>
        <v>0</v>
      </c>
      <c r="M186" s="46"/>
      <c r="N186" s="47"/>
      <c r="O186" s="133">
        <f t="shared" si="237"/>
        <v>0</v>
      </c>
      <c r="P186" s="49"/>
    </row>
    <row r="187" spans="1:16" hidden="1" x14ac:dyDescent="0.25">
      <c r="A187" s="222">
        <v>4000</v>
      </c>
      <c r="B187" s="176" t="s">
        <v>204</v>
      </c>
      <c r="C187" s="177">
        <f t="shared" si="192"/>
        <v>0</v>
      </c>
      <c r="D187" s="178">
        <f>SUM(D188,D191)</f>
        <v>0</v>
      </c>
      <c r="E187" s="179">
        <f t="shared" ref="E187:F187" si="238">SUM(E188,E191)</f>
        <v>0</v>
      </c>
      <c r="F187" s="180">
        <f t="shared" si="238"/>
        <v>0</v>
      </c>
      <c r="G187" s="178">
        <f>SUM(G188,G191)</f>
        <v>0</v>
      </c>
      <c r="H187" s="179">
        <f t="shared" ref="H187:I187" si="239">SUM(H188,H191)</f>
        <v>0</v>
      </c>
      <c r="I187" s="180">
        <f t="shared" si="239"/>
        <v>0</v>
      </c>
      <c r="J187" s="178">
        <f>SUM(J188,J191)</f>
        <v>0</v>
      </c>
      <c r="K187" s="179">
        <f t="shared" ref="K187:L187" si="240">SUM(K188,K191)</f>
        <v>0</v>
      </c>
      <c r="L187" s="180">
        <f t="shared" si="240"/>
        <v>0</v>
      </c>
      <c r="M187" s="178">
        <f>SUM(M188,M191)</f>
        <v>0</v>
      </c>
      <c r="N187" s="179">
        <f t="shared" ref="N187:O187" si="241">SUM(N188,N191)</f>
        <v>0</v>
      </c>
      <c r="O187" s="180">
        <f t="shared" si="241"/>
        <v>0</v>
      </c>
      <c r="P187" s="181"/>
    </row>
    <row r="188" spans="1:16" ht="24" hidden="1" x14ac:dyDescent="0.25">
      <c r="A188" s="223">
        <v>4200</v>
      </c>
      <c r="B188" s="182" t="s">
        <v>205</v>
      </c>
      <c r="C188" s="69">
        <f t="shared" si="192"/>
        <v>0</v>
      </c>
      <c r="D188" s="183">
        <f>SUM(D189,D190)</f>
        <v>0</v>
      </c>
      <c r="E188" s="184">
        <f t="shared" ref="E188:F188" si="242">SUM(E189,E190)</f>
        <v>0</v>
      </c>
      <c r="F188" s="72">
        <f t="shared" si="242"/>
        <v>0</v>
      </c>
      <c r="G188" s="183">
        <f>SUM(G189,G190)</f>
        <v>0</v>
      </c>
      <c r="H188" s="184">
        <f t="shared" ref="H188:I188" si="243">SUM(H189,H190)</f>
        <v>0</v>
      </c>
      <c r="I188" s="72">
        <f t="shared" si="243"/>
        <v>0</v>
      </c>
      <c r="J188" s="183">
        <f>SUM(J189,J190)</f>
        <v>0</v>
      </c>
      <c r="K188" s="184">
        <f t="shared" ref="K188:L188" si="244">SUM(K189,K190)</f>
        <v>0</v>
      </c>
      <c r="L188" s="72">
        <f t="shared" si="244"/>
        <v>0</v>
      </c>
      <c r="M188" s="183">
        <f>SUM(M189,M190)</f>
        <v>0</v>
      </c>
      <c r="N188" s="184">
        <f t="shared" ref="N188:O188" si="245">SUM(N189,N190)</f>
        <v>0</v>
      </c>
      <c r="O188" s="72">
        <f t="shared" si="245"/>
        <v>0</v>
      </c>
      <c r="P188" s="76"/>
    </row>
    <row r="189" spans="1:16" ht="36" hidden="1" customHeight="1" x14ac:dyDescent="0.25">
      <c r="A189" s="191">
        <v>4240</v>
      </c>
      <c r="B189" s="81" t="s">
        <v>206</v>
      </c>
      <c r="C189" s="82">
        <f t="shared" si="192"/>
        <v>0</v>
      </c>
      <c r="D189" s="196"/>
      <c r="E189" s="197"/>
      <c r="F189" s="133">
        <f t="shared" ref="F189:F190" si="246">D189+E189</f>
        <v>0</v>
      </c>
      <c r="G189" s="46"/>
      <c r="H189" s="47"/>
      <c r="I189" s="133">
        <f t="shared" ref="I189:I190" si="247">G189+H189</f>
        <v>0</v>
      </c>
      <c r="J189" s="46"/>
      <c r="K189" s="47"/>
      <c r="L189" s="133">
        <f t="shared" ref="L189:L190" si="248">K189+J189</f>
        <v>0</v>
      </c>
      <c r="M189" s="46"/>
      <c r="N189" s="47"/>
      <c r="O189" s="133">
        <f t="shared" ref="O189:O190" si="249">N189+M189</f>
        <v>0</v>
      </c>
      <c r="P189" s="49"/>
    </row>
    <row r="190" spans="1:16" ht="24" hidden="1" customHeight="1" x14ac:dyDescent="0.25">
      <c r="A190" s="188">
        <v>4250</v>
      </c>
      <c r="B190" s="88" t="s">
        <v>207</v>
      </c>
      <c r="C190" s="89">
        <f t="shared" si="192"/>
        <v>0</v>
      </c>
      <c r="D190" s="194"/>
      <c r="E190" s="195"/>
      <c r="F190" s="55">
        <f t="shared" si="246"/>
        <v>0</v>
      </c>
      <c r="G190" s="53"/>
      <c r="H190" s="54"/>
      <c r="I190" s="55">
        <f t="shared" si="247"/>
        <v>0</v>
      </c>
      <c r="J190" s="53"/>
      <c r="K190" s="54"/>
      <c r="L190" s="55">
        <f t="shared" si="248"/>
        <v>0</v>
      </c>
      <c r="M190" s="53"/>
      <c r="N190" s="54"/>
      <c r="O190" s="55">
        <f t="shared" si="249"/>
        <v>0</v>
      </c>
      <c r="P190" s="57"/>
    </row>
    <row r="191" spans="1:16" hidden="1" x14ac:dyDescent="0.25">
      <c r="A191" s="68">
        <v>4300</v>
      </c>
      <c r="B191" s="182" t="s">
        <v>208</v>
      </c>
      <c r="C191" s="69">
        <f t="shared" si="192"/>
        <v>0</v>
      </c>
      <c r="D191" s="183">
        <f>SUM(D192)</f>
        <v>0</v>
      </c>
      <c r="E191" s="184">
        <f t="shared" ref="E191:F191" si="250">SUM(E192)</f>
        <v>0</v>
      </c>
      <c r="F191" s="72">
        <f t="shared" si="250"/>
        <v>0</v>
      </c>
      <c r="G191" s="183">
        <f>SUM(G192)</f>
        <v>0</v>
      </c>
      <c r="H191" s="184">
        <f t="shared" ref="H191:I191" si="251">SUM(H192)</f>
        <v>0</v>
      </c>
      <c r="I191" s="72">
        <f t="shared" si="251"/>
        <v>0</v>
      </c>
      <c r="J191" s="183">
        <f>SUM(J192)</f>
        <v>0</v>
      </c>
      <c r="K191" s="184">
        <f t="shared" ref="K191:L191" si="252">SUM(K192)</f>
        <v>0</v>
      </c>
      <c r="L191" s="72">
        <f t="shared" si="252"/>
        <v>0</v>
      </c>
      <c r="M191" s="183">
        <f>SUM(M192)</f>
        <v>0</v>
      </c>
      <c r="N191" s="184">
        <f t="shared" ref="N191:O191" si="253">SUM(N192)</f>
        <v>0</v>
      </c>
      <c r="O191" s="72">
        <f t="shared" si="253"/>
        <v>0</v>
      </c>
      <c r="P191" s="76"/>
    </row>
    <row r="192" spans="1:16" ht="24" hidden="1" x14ac:dyDescent="0.25">
      <c r="A192" s="191">
        <v>4310</v>
      </c>
      <c r="B192" s="81" t="s">
        <v>209</v>
      </c>
      <c r="C192" s="82">
        <f t="shared" si="192"/>
        <v>0</v>
      </c>
      <c r="D192" s="192">
        <f>SUM(D193:D193)</f>
        <v>0</v>
      </c>
      <c r="E192" s="193">
        <f t="shared" ref="E192:F192" si="254">SUM(E193:E193)</f>
        <v>0</v>
      </c>
      <c r="F192" s="133">
        <f t="shared" si="254"/>
        <v>0</v>
      </c>
      <c r="G192" s="192">
        <f>SUM(G193:G193)</f>
        <v>0</v>
      </c>
      <c r="H192" s="193">
        <f t="shared" ref="H192:I192" si="255">SUM(H193:H193)</f>
        <v>0</v>
      </c>
      <c r="I192" s="133">
        <f t="shared" si="255"/>
        <v>0</v>
      </c>
      <c r="J192" s="192">
        <f>SUM(J193:J193)</f>
        <v>0</v>
      </c>
      <c r="K192" s="193">
        <f t="shared" ref="K192:L192" si="256">SUM(K193:K193)</f>
        <v>0</v>
      </c>
      <c r="L192" s="133">
        <f t="shared" si="256"/>
        <v>0</v>
      </c>
      <c r="M192" s="192">
        <f>SUM(M193:M193)</f>
        <v>0</v>
      </c>
      <c r="N192" s="193">
        <f t="shared" ref="N192:O192" si="257">SUM(N193:N193)</f>
        <v>0</v>
      </c>
      <c r="O192" s="133">
        <f t="shared" si="257"/>
        <v>0</v>
      </c>
      <c r="P192" s="49"/>
    </row>
    <row r="193" spans="1:16" ht="36" hidden="1" customHeight="1" x14ac:dyDescent="0.25">
      <c r="A193" s="51">
        <v>4311</v>
      </c>
      <c r="B193" s="88" t="s">
        <v>210</v>
      </c>
      <c r="C193" s="89">
        <f t="shared" si="192"/>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2"/>
        <v>4766</v>
      </c>
      <c r="D194" s="172">
        <f t="shared" ref="D194:O194" si="258">SUM(D195,D230,D269,D283)</f>
        <v>0</v>
      </c>
      <c r="E194" s="173">
        <f t="shared" si="258"/>
        <v>0</v>
      </c>
      <c r="F194" s="174">
        <f t="shared" si="258"/>
        <v>0</v>
      </c>
      <c r="G194" s="172">
        <f t="shared" si="258"/>
        <v>3820</v>
      </c>
      <c r="H194" s="173">
        <f t="shared" si="258"/>
        <v>946</v>
      </c>
      <c r="I194" s="174">
        <f t="shared" si="258"/>
        <v>4766</v>
      </c>
      <c r="J194" s="172">
        <f t="shared" si="258"/>
        <v>0</v>
      </c>
      <c r="K194" s="173">
        <f t="shared" si="258"/>
        <v>0</v>
      </c>
      <c r="L194" s="174">
        <f t="shared" si="258"/>
        <v>0</v>
      </c>
      <c r="M194" s="172">
        <f t="shared" si="258"/>
        <v>0</v>
      </c>
      <c r="N194" s="173">
        <f t="shared" si="258"/>
        <v>0</v>
      </c>
      <c r="O194" s="174">
        <f t="shared" si="258"/>
        <v>0</v>
      </c>
      <c r="P194" s="175"/>
    </row>
    <row r="195" spans="1:16" x14ac:dyDescent="0.25">
      <c r="A195" s="176">
        <v>5000</v>
      </c>
      <c r="B195" s="176" t="s">
        <v>212</v>
      </c>
      <c r="C195" s="177">
        <f t="shared" si="192"/>
        <v>1536</v>
      </c>
      <c r="D195" s="178">
        <f>D196+D204</f>
        <v>0</v>
      </c>
      <c r="E195" s="179">
        <f t="shared" ref="E195:F195" si="259">E196+E204</f>
        <v>0</v>
      </c>
      <c r="F195" s="180">
        <f t="shared" si="259"/>
        <v>0</v>
      </c>
      <c r="G195" s="178">
        <f>G196+G204</f>
        <v>1231</v>
      </c>
      <c r="H195" s="179">
        <f t="shared" ref="H195:I195" si="260">H196+H204</f>
        <v>305</v>
      </c>
      <c r="I195" s="180">
        <f t="shared" si="260"/>
        <v>1536</v>
      </c>
      <c r="J195" s="178">
        <f>J196+J204</f>
        <v>0</v>
      </c>
      <c r="K195" s="179">
        <f t="shared" ref="K195:L195" si="261">K196+K204</f>
        <v>0</v>
      </c>
      <c r="L195" s="180">
        <f t="shared" si="261"/>
        <v>0</v>
      </c>
      <c r="M195" s="178">
        <f>M196+M204</f>
        <v>0</v>
      </c>
      <c r="N195" s="179">
        <f t="shared" ref="N195:O195" si="262">N196+N204</f>
        <v>0</v>
      </c>
      <c r="O195" s="180">
        <f t="shared" si="262"/>
        <v>0</v>
      </c>
      <c r="P195" s="181"/>
    </row>
    <row r="196" spans="1:16" hidden="1" x14ac:dyDescent="0.25">
      <c r="A196" s="68">
        <v>5100</v>
      </c>
      <c r="B196" s="182" t="s">
        <v>213</v>
      </c>
      <c r="C196" s="69">
        <f t="shared" si="192"/>
        <v>0</v>
      </c>
      <c r="D196" s="183">
        <f>D197+D198+D201+D202+D203</f>
        <v>0</v>
      </c>
      <c r="E196" s="184">
        <f t="shared" ref="E196:F196" si="263">E197+E198+E201+E202+E203</f>
        <v>0</v>
      </c>
      <c r="F196" s="72">
        <f t="shared" si="263"/>
        <v>0</v>
      </c>
      <c r="G196" s="183">
        <f>G197+G198+G201+G202+G203</f>
        <v>0</v>
      </c>
      <c r="H196" s="184">
        <f t="shared" ref="H196:I196" si="264">H197+H198+H201+H202+H203</f>
        <v>0</v>
      </c>
      <c r="I196" s="72">
        <f t="shared" si="264"/>
        <v>0</v>
      </c>
      <c r="J196" s="183">
        <f>J197+J198+J201+J202+J203</f>
        <v>0</v>
      </c>
      <c r="K196" s="184">
        <f t="shared" ref="K196:L196" si="265">K197+K198+K201+K202+K203</f>
        <v>0</v>
      </c>
      <c r="L196" s="72">
        <f t="shared" si="265"/>
        <v>0</v>
      </c>
      <c r="M196" s="183">
        <f>M197+M198+M201+M202+M203</f>
        <v>0</v>
      </c>
      <c r="N196" s="184">
        <f t="shared" ref="N196:O196" si="266">N197+N198+N201+N202+N203</f>
        <v>0</v>
      </c>
      <c r="O196" s="72">
        <f t="shared" si="266"/>
        <v>0</v>
      </c>
      <c r="P196" s="76"/>
    </row>
    <row r="197" spans="1:16" ht="12" hidden="1" customHeight="1" x14ac:dyDescent="0.25">
      <c r="A197" s="191">
        <v>5110</v>
      </c>
      <c r="B197" s="81" t="s">
        <v>214</v>
      </c>
      <c r="C197" s="82">
        <f t="shared" si="192"/>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2"/>
        <v>0</v>
      </c>
      <c r="D198" s="189">
        <f>D199+D200</f>
        <v>0</v>
      </c>
      <c r="E198" s="190">
        <f t="shared" ref="E198:F198" si="267">E199+E200</f>
        <v>0</v>
      </c>
      <c r="F198" s="55">
        <f t="shared" si="267"/>
        <v>0</v>
      </c>
      <c r="G198" s="189">
        <f>G199+G200</f>
        <v>0</v>
      </c>
      <c r="H198" s="190">
        <f t="shared" ref="H198:I198" si="268">H199+H200</f>
        <v>0</v>
      </c>
      <c r="I198" s="55">
        <f t="shared" si="268"/>
        <v>0</v>
      </c>
      <c r="J198" s="189">
        <f>J199+J200</f>
        <v>0</v>
      </c>
      <c r="K198" s="190">
        <f t="shared" ref="K198:L198" si="269">K199+K200</f>
        <v>0</v>
      </c>
      <c r="L198" s="55">
        <f t="shared" si="269"/>
        <v>0</v>
      </c>
      <c r="M198" s="189">
        <f>M199+M200</f>
        <v>0</v>
      </c>
      <c r="N198" s="190">
        <f t="shared" ref="N198:O198" si="270">N199+N200</f>
        <v>0</v>
      </c>
      <c r="O198" s="55">
        <f t="shared" si="270"/>
        <v>0</v>
      </c>
      <c r="P198" s="57"/>
    </row>
    <row r="199" spans="1:16" ht="12" hidden="1" customHeight="1" x14ac:dyDescent="0.25">
      <c r="A199" s="51">
        <v>5121</v>
      </c>
      <c r="B199" s="88" t="s">
        <v>216</v>
      </c>
      <c r="C199" s="89">
        <f t="shared" si="192"/>
        <v>0</v>
      </c>
      <c r="D199" s="194"/>
      <c r="E199" s="195"/>
      <c r="F199" s="55">
        <f t="shared" ref="F199:F203" si="271">D199+E199</f>
        <v>0</v>
      </c>
      <c r="G199" s="53"/>
      <c r="H199" s="54"/>
      <c r="I199" s="55">
        <f t="shared" ref="I199:I203" si="272">G199+H199</f>
        <v>0</v>
      </c>
      <c r="J199" s="53"/>
      <c r="K199" s="54"/>
      <c r="L199" s="55">
        <f t="shared" ref="L199:L203" si="273">K199+J199</f>
        <v>0</v>
      </c>
      <c r="M199" s="53"/>
      <c r="N199" s="54"/>
      <c r="O199" s="55">
        <f t="shared" ref="O199:O203" si="274">N199+M199</f>
        <v>0</v>
      </c>
      <c r="P199" s="57"/>
    </row>
    <row r="200" spans="1:16" ht="24" hidden="1" customHeight="1" x14ac:dyDescent="0.25">
      <c r="A200" s="51">
        <v>5129</v>
      </c>
      <c r="B200" s="88" t="s">
        <v>217</v>
      </c>
      <c r="C200" s="89">
        <f t="shared" si="192"/>
        <v>0</v>
      </c>
      <c r="D200" s="194"/>
      <c r="E200" s="195"/>
      <c r="F200" s="55">
        <f t="shared" si="271"/>
        <v>0</v>
      </c>
      <c r="G200" s="53"/>
      <c r="H200" s="54"/>
      <c r="I200" s="55">
        <f t="shared" si="272"/>
        <v>0</v>
      </c>
      <c r="J200" s="53"/>
      <c r="K200" s="54"/>
      <c r="L200" s="55">
        <f t="shared" si="273"/>
        <v>0</v>
      </c>
      <c r="M200" s="53"/>
      <c r="N200" s="54"/>
      <c r="O200" s="55">
        <f t="shared" si="274"/>
        <v>0</v>
      </c>
      <c r="P200" s="57"/>
    </row>
    <row r="201" spans="1:16" ht="12" hidden="1" customHeight="1" x14ac:dyDescent="0.25">
      <c r="A201" s="188">
        <v>5130</v>
      </c>
      <c r="B201" s="88" t="s">
        <v>218</v>
      </c>
      <c r="C201" s="89">
        <f t="shared" si="192"/>
        <v>0</v>
      </c>
      <c r="D201" s="194"/>
      <c r="E201" s="195"/>
      <c r="F201" s="55">
        <f t="shared" si="271"/>
        <v>0</v>
      </c>
      <c r="G201" s="53"/>
      <c r="H201" s="54"/>
      <c r="I201" s="55">
        <f t="shared" si="272"/>
        <v>0</v>
      </c>
      <c r="J201" s="53"/>
      <c r="K201" s="54"/>
      <c r="L201" s="55">
        <f t="shared" si="273"/>
        <v>0</v>
      </c>
      <c r="M201" s="53"/>
      <c r="N201" s="54"/>
      <c r="O201" s="55">
        <f t="shared" si="274"/>
        <v>0</v>
      </c>
      <c r="P201" s="57"/>
    </row>
    <row r="202" spans="1:16" ht="12" hidden="1" customHeight="1" x14ac:dyDescent="0.25">
      <c r="A202" s="188">
        <v>5140</v>
      </c>
      <c r="B202" s="88" t="s">
        <v>219</v>
      </c>
      <c r="C202" s="89">
        <f t="shared" si="192"/>
        <v>0</v>
      </c>
      <c r="D202" s="194"/>
      <c r="E202" s="195"/>
      <c r="F202" s="55">
        <f t="shared" si="271"/>
        <v>0</v>
      </c>
      <c r="G202" s="53"/>
      <c r="H202" s="54"/>
      <c r="I202" s="55">
        <f t="shared" si="272"/>
        <v>0</v>
      </c>
      <c r="J202" s="53"/>
      <c r="K202" s="54"/>
      <c r="L202" s="55">
        <f t="shared" si="273"/>
        <v>0</v>
      </c>
      <c r="M202" s="53"/>
      <c r="N202" s="54"/>
      <c r="O202" s="55">
        <f t="shared" si="274"/>
        <v>0</v>
      </c>
      <c r="P202" s="57"/>
    </row>
    <row r="203" spans="1:16" ht="24" hidden="1" customHeight="1" x14ac:dyDescent="0.25">
      <c r="A203" s="188">
        <v>5170</v>
      </c>
      <c r="B203" s="88" t="s">
        <v>220</v>
      </c>
      <c r="C203" s="89">
        <f t="shared" si="192"/>
        <v>0</v>
      </c>
      <c r="D203" s="194"/>
      <c r="E203" s="195"/>
      <c r="F203" s="55">
        <f t="shared" si="271"/>
        <v>0</v>
      </c>
      <c r="G203" s="53"/>
      <c r="H203" s="54"/>
      <c r="I203" s="55">
        <f t="shared" si="272"/>
        <v>0</v>
      </c>
      <c r="J203" s="53"/>
      <c r="K203" s="54"/>
      <c r="L203" s="55">
        <f t="shared" si="273"/>
        <v>0</v>
      </c>
      <c r="M203" s="53"/>
      <c r="N203" s="54"/>
      <c r="O203" s="55">
        <f t="shared" si="274"/>
        <v>0</v>
      </c>
      <c r="P203" s="57"/>
    </row>
    <row r="204" spans="1:16" ht="13.5" customHeight="1" x14ac:dyDescent="0.25">
      <c r="A204" s="68">
        <v>5200</v>
      </c>
      <c r="B204" s="182" t="s">
        <v>221</v>
      </c>
      <c r="C204" s="69">
        <f t="shared" si="192"/>
        <v>1536</v>
      </c>
      <c r="D204" s="183">
        <f>D205+D215+D216+D225+D226+D227+D229</f>
        <v>0</v>
      </c>
      <c r="E204" s="184">
        <f t="shared" ref="E204:F204" si="275">E205+E215+E216+E225+E226+E227+E229</f>
        <v>0</v>
      </c>
      <c r="F204" s="72">
        <f t="shared" si="275"/>
        <v>0</v>
      </c>
      <c r="G204" s="183">
        <f>G205+G215+G216+G225+G226+G227+G229</f>
        <v>1231</v>
      </c>
      <c r="H204" s="184">
        <f t="shared" ref="H204:I204" si="276">H205+H215+H216+H225+H226+H227+H229</f>
        <v>305</v>
      </c>
      <c r="I204" s="72">
        <f t="shared" si="276"/>
        <v>1536</v>
      </c>
      <c r="J204" s="183">
        <f>J205+J215+J216+J225+J226+J227+J229</f>
        <v>0</v>
      </c>
      <c r="K204" s="184">
        <f t="shared" ref="K204:L204" si="277">K205+K215+K216+K225+K226+K227+K229</f>
        <v>0</v>
      </c>
      <c r="L204" s="72">
        <f t="shared" si="277"/>
        <v>0</v>
      </c>
      <c r="M204" s="183">
        <f>M205+M215+M216+M225+M226+M227+M229</f>
        <v>0</v>
      </c>
      <c r="N204" s="184">
        <f t="shared" ref="N204:O204" si="278">N205+N215+N216+N225+N226+N227+N229</f>
        <v>0</v>
      </c>
      <c r="O204" s="72">
        <f t="shared" si="278"/>
        <v>0</v>
      </c>
      <c r="P204" s="76"/>
    </row>
    <row r="205" spans="1:16" hidden="1" x14ac:dyDescent="0.25">
      <c r="A205" s="185">
        <v>5210</v>
      </c>
      <c r="B205" s="137" t="s">
        <v>222</v>
      </c>
      <c r="C205" s="142">
        <f t="shared" si="192"/>
        <v>0</v>
      </c>
      <c r="D205" s="186">
        <f>SUM(D206:D214)</f>
        <v>0</v>
      </c>
      <c r="E205" s="187">
        <f t="shared" ref="E205:F205" si="279">SUM(E206:E214)</f>
        <v>0</v>
      </c>
      <c r="F205" s="140">
        <f t="shared" si="279"/>
        <v>0</v>
      </c>
      <c r="G205" s="186">
        <f>SUM(G206:G214)</f>
        <v>0</v>
      </c>
      <c r="H205" s="187">
        <f t="shared" ref="H205:I205" si="280">SUM(H206:H214)</f>
        <v>0</v>
      </c>
      <c r="I205" s="140">
        <f t="shared" si="280"/>
        <v>0</v>
      </c>
      <c r="J205" s="186">
        <f>SUM(J206:J214)</f>
        <v>0</v>
      </c>
      <c r="K205" s="187">
        <f t="shared" ref="K205:L205" si="281">SUM(K206:K214)</f>
        <v>0</v>
      </c>
      <c r="L205" s="140">
        <f t="shared" si="281"/>
        <v>0</v>
      </c>
      <c r="M205" s="186">
        <f>SUM(M206:M214)</f>
        <v>0</v>
      </c>
      <c r="N205" s="187">
        <f t="shared" ref="N205:O205" si="282">SUM(N206:N214)</f>
        <v>0</v>
      </c>
      <c r="O205" s="140">
        <f t="shared" si="282"/>
        <v>0</v>
      </c>
      <c r="P205" s="128"/>
    </row>
    <row r="206" spans="1:16" ht="12" hidden="1" customHeight="1" x14ac:dyDescent="0.25">
      <c r="A206" s="44">
        <v>5211</v>
      </c>
      <c r="B206" s="81" t="s">
        <v>223</v>
      </c>
      <c r="C206" s="82">
        <f t="shared" si="192"/>
        <v>0</v>
      </c>
      <c r="D206" s="196"/>
      <c r="E206" s="197"/>
      <c r="F206" s="133">
        <f t="shared" ref="F206:F215" si="283">D206+E206</f>
        <v>0</v>
      </c>
      <c r="G206" s="46"/>
      <c r="H206" s="47"/>
      <c r="I206" s="133">
        <f t="shared" ref="I206:I215" si="284">G206+H206</f>
        <v>0</v>
      </c>
      <c r="J206" s="46"/>
      <c r="K206" s="47"/>
      <c r="L206" s="133">
        <f t="shared" ref="L206:L215" si="285">K206+J206</f>
        <v>0</v>
      </c>
      <c r="M206" s="46"/>
      <c r="N206" s="47"/>
      <c r="O206" s="133">
        <f t="shared" ref="O206:O215" si="286">N206+M206</f>
        <v>0</v>
      </c>
      <c r="P206" s="49"/>
    </row>
    <row r="207" spans="1:16" ht="12" hidden="1" customHeight="1" x14ac:dyDescent="0.25">
      <c r="A207" s="51">
        <v>5212</v>
      </c>
      <c r="B207" s="88" t="s">
        <v>224</v>
      </c>
      <c r="C207" s="89">
        <f t="shared" si="192"/>
        <v>0</v>
      </c>
      <c r="D207" s="194"/>
      <c r="E207" s="195"/>
      <c r="F207" s="55">
        <f t="shared" si="283"/>
        <v>0</v>
      </c>
      <c r="G207" s="53"/>
      <c r="H207" s="54"/>
      <c r="I207" s="55">
        <f t="shared" si="284"/>
        <v>0</v>
      </c>
      <c r="J207" s="53"/>
      <c r="K207" s="54"/>
      <c r="L207" s="55">
        <f t="shared" si="285"/>
        <v>0</v>
      </c>
      <c r="M207" s="53"/>
      <c r="N207" s="54"/>
      <c r="O207" s="55">
        <f t="shared" si="286"/>
        <v>0</v>
      </c>
      <c r="P207" s="57"/>
    </row>
    <row r="208" spans="1:16" ht="12" hidden="1" customHeight="1" x14ac:dyDescent="0.25">
      <c r="A208" s="51">
        <v>5213</v>
      </c>
      <c r="B208" s="88" t="s">
        <v>225</v>
      </c>
      <c r="C208" s="89">
        <f t="shared" si="192"/>
        <v>0</v>
      </c>
      <c r="D208" s="194"/>
      <c r="E208" s="195"/>
      <c r="F208" s="55">
        <f t="shared" si="283"/>
        <v>0</v>
      </c>
      <c r="G208" s="53"/>
      <c r="H208" s="54"/>
      <c r="I208" s="55">
        <f t="shared" si="284"/>
        <v>0</v>
      </c>
      <c r="J208" s="53"/>
      <c r="K208" s="54"/>
      <c r="L208" s="55">
        <f t="shared" si="285"/>
        <v>0</v>
      </c>
      <c r="M208" s="53"/>
      <c r="N208" s="54"/>
      <c r="O208" s="55">
        <f t="shared" si="286"/>
        <v>0</v>
      </c>
      <c r="P208" s="57"/>
    </row>
    <row r="209" spans="1:16" ht="12" hidden="1" customHeight="1" x14ac:dyDescent="0.25">
      <c r="A209" s="51">
        <v>5214</v>
      </c>
      <c r="B209" s="88" t="s">
        <v>226</v>
      </c>
      <c r="C209" s="89">
        <f t="shared" si="192"/>
        <v>0</v>
      </c>
      <c r="D209" s="194"/>
      <c r="E209" s="195"/>
      <c r="F209" s="55">
        <f t="shared" si="283"/>
        <v>0</v>
      </c>
      <c r="G209" s="53"/>
      <c r="H209" s="54"/>
      <c r="I209" s="55">
        <f t="shared" si="284"/>
        <v>0</v>
      </c>
      <c r="J209" s="53"/>
      <c r="K209" s="54"/>
      <c r="L209" s="55">
        <f t="shared" si="285"/>
        <v>0</v>
      </c>
      <c r="M209" s="53"/>
      <c r="N209" s="54"/>
      <c r="O209" s="55">
        <f t="shared" si="286"/>
        <v>0</v>
      </c>
      <c r="P209" s="57"/>
    </row>
    <row r="210" spans="1:16" ht="12" hidden="1" customHeight="1" x14ac:dyDescent="0.25">
      <c r="A210" s="51">
        <v>5215</v>
      </c>
      <c r="B210" s="88" t="s">
        <v>227</v>
      </c>
      <c r="C210" s="89">
        <f t="shared" si="192"/>
        <v>0</v>
      </c>
      <c r="D210" s="194"/>
      <c r="E210" s="195"/>
      <c r="F210" s="55">
        <f t="shared" si="283"/>
        <v>0</v>
      </c>
      <c r="G210" s="53"/>
      <c r="H210" s="54"/>
      <c r="I210" s="55">
        <f t="shared" si="284"/>
        <v>0</v>
      </c>
      <c r="J210" s="53"/>
      <c r="K210" s="54"/>
      <c r="L210" s="55">
        <f t="shared" si="285"/>
        <v>0</v>
      </c>
      <c r="M210" s="53"/>
      <c r="N210" s="54"/>
      <c r="O210" s="55">
        <f t="shared" si="286"/>
        <v>0</v>
      </c>
      <c r="P210" s="57"/>
    </row>
    <row r="211" spans="1:16" ht="14.25" hidden="1" customHeight="1" x14ac:dyDescent="0.25">
      <c r="A211" s="51">
        <v>5216</v>
      </c>
      <c r="B211" s="88" t="s">
        <v>228</v>
      </c>
      <c r="C211" s="89">
        <f t="shared" si="192"/>
        <v>0</v>
      </c>
      <c r="D211" s="194"/>
      <c r="E211" s="195"/>
      <c r="F211" s="55">
        <f t="shared" si="283"/>
        <v>0</v>
      </c>
      <c r="G211" s="53"/>
      <c r="H211" s="54"/>
      <c r="I211" s="55">
        <f t="shared" si="284"/>
        <v>0</v>
      </c>
      <c r="J211" s="53"/>
      <c r="K211" s="54"/>
      <c r="L211" s="55">
        <f t="shared" si="285"/>
        <v>0</v>
      </c>
      <c r="M211" s="53"/>
      <c r="N211" s="54"/>
      <c r="O211" s="55">
        <f t="shared" si="286"/>
        <v>0</v>
      </c>
      <c r="P211" s="57"/>
    </row>
    <row r="212" spans="1:16" ht="12" hidden="1" customHeight="1" x14ac:dyDescent="0.25">
      <c r="A212" s="51">
        <v>5217</v>
      </c>
      <c r="B212" s="88" t="s">
        <v>229</v>
      </c>
      <c r="C212" s="89">
        <f t="shared" ref="C212:C275" si="287">F212+I212+L212+O212</f>
        <v>0</v>
      </c>
      <c r="D212" s="194"/>
      <c r="E212" s="195"/>
      <c r="F212" s="55">
        <f t="shared" si="283"/>
        <v>0</v>
      </c>
      <c r="G212" s="53"/>
      <c r="H212" s="54"/>
      <c r="I212" s="55">
        <f t="shared" si="284"/>
        <v>0</v>
      </c>
      <c r="J212" s="53"/>
      <c r="K212" s="54"/>
      <c r="L212" s="55">
        <f t="shared" si="285"/>
        <v>0</v>
      </c>
      <c r="M212" s="53"/>
      <c r="N212" s="54"/>
      <c r="O212" s="55">
        <f t="shared" si="286"/>
        <v>0</v>
      </c>
      <c r="P212" s="57"/>
    </row>
    <row r="213" spans="1:16" ht="12" hidden="1" customHeight="1" x14ac:dyDescent="0.25">
      <c r="A213" s="51">
        <v>5218</v>
      </c>
      <c r="B213" s="88" t="s">
        <v>230</v>
      </c>
      <c r="C213" s="89">
        <f t="shared" si="287"/>
        <v>0</v>
      </c>
      <c r="D213" s="194"/>
      <c r="E213" s="195"/>
      <c r="F213" s="55">
        <f t="shared" si="283"/>
        <v>0</v>
      </c>
      <c r="G213" s="53"/>
      <c r="H213" s="54"/>
      <c r="I213" s="55">
        <f t="shared" si="284"/>
        <v>0</v>
      </c>
      <c r="J213" s="53"/>
      <c r="K213" s="54"/>
      <c r="L213" s="55">
        <f t="shared" si="285"/>
        <v>0</v>
      </c>
      <c r="M213" s="53"/>
      <c r="N213" s="54"/>
      <c r="O213" s="55">
        <f t="shared" si="286"/>
        <v>0</v>
      </c>
      <c r="P213" s="57"/>
    </row>
    <row r="214" spans="1:16" ht="12" hidden="1" customHeight="1" x14ac:dyDescent="0.25">
      <c r="A214" s="51">
        <v>5219</v>
      </c>
      <c r="B214" s="88" t="s">
        <v>231</v>
      </c>
      <c r="C214" s="89">
        <f t="shared" si="287"/>
        <v>0</v>
      </c>
      <c r="D214" s="194"/>
      <c r="E214" s="195"/>
      <c r="F214" s="55">
        <f t="shared" si="283"/>
        <v>0</v>
      </c>
      <c r="G214" s="53"/>
      <c r="H214" s="54"/>
      <c r="I214" s="55">
        <f t="shared" si="284"/>
        <v>0</v>
      </c>
      <c r="J214" s="53"/>
      <c r="K214" s="54"/>
      <c r="L214" s="55">
        <f t="shared" si="285"/>
        <v>0</v>
      </c>
      <c r="M214" s="53"/>
      <c r="N214" s="54"/>
      <c r="O214" s="55">
        <f t="shared" si="286"/>
        <v>0</v>
      </c>
      <c r="P214" s="57"/>
    </row>
    <row r="215" spans="1:16" ht="13.5" hidden="1" customHeight="1" x14ac:dyDescent="0.25">
      <c r="A215" s="188">
        <v>5220</v>
      </c>
      <c r="B215" s="88" t="s">
        <v>232</v>
      </c>
      <c r="C215" s="89">
        <f t="shared" si="287"/>
        <v>0</v>
      </c>
      <c r="D215" s="194"/>
      <c r="E215" s="195"/>
      <c r="F215" s="55">
        <f t="shared" si="283"/>
        <v>0</v>
      </c>
      <c r="G215" s="53"/>
      <c r="H215" s="54"/>
      <c r="I215" s="55">
        <f t="shared" si="284"/>
        <v>0</v>
      </c>
      <c r="J215" s="53"/>
      <c r="K215" s="54"/>
      <c r="L215" s="55">
        <f t="shared" si="285"/>
        <v>0</v>
      </c>
      <c r="M215" s="53"/>
      <c r="N215" s="54"/>
      <c r="O215" s="55">
        <f t="shared" si="286"/>
        <v>0</v>
      </c>
      <c r="P215" s="57"/>
    </row>
    <row r="216" spans="1:16" ht="14.25" customHeight="1" x14ac:dyDescent="0.25">
      <c r="A216" s="188">
        <v>5230</v>
      </c>
      <c r="B216" s="88" t="s">
        <v>233</v>
      </c>
      <c r="C216" s="89">
        <f t="shared" si="287"/>
        <v>1536</v>
      </c>
      <c r="D216" s="189">
        <f>SUM(D217:D224)</f>
        <v>0</v>
      </c>
      <c r="E216" s="190">
        <f t="shared" ref="E216:F216" si="288">SUM(E217:E224)</f>
        <v>0</v>
      </c>
      <c r="F216" s="55">
        <f t="shared" si="288"/>
        <v>0</v>
      </c>
      <c r="G216" s="189">
        <f>SUM(G217:G224)</f>
        <v>1231</v>
      </c>
      <c r="H216" s="190">
        <f t="shared" ref="H216:I216" si="289">SUM(H217:H224)</f>
        <v>305</v>
      </c>
      <c r="I216" s="55">
        <f t="shared" si="289"/>
        <v>1536</v>
      </c>
      <c r="J216" s="189">
        <f>SUM(J217:J224)</f>
        <v>0</v>
      </c>
      <c r="K216" s="190">
        <f t="shared" ref="K216:L216" si="290">SUM(K217:K224)</f>
        <v>0</v>
      </c>
      <c r="L216" s="55">
        <f t="shared" si="290"/>
        <v>0</v>
      </c>
      <c r="M216" s="189">
        <f>SUM(M217:M224)</f>
        <v>0</v>
      </c>
      <c r="N216" s="190">
        <f t="shared" ref="N216:O216" si="291">SUM(N217:N224)</f>
        <v>0</v>
      </c>
      <c r="O216" s="55">
        <f t="shared" si="291"/>
        <v>0</v>
      </c>
      <c r="P216" s="57"/>
    </row>
    <row r="217" spans="1:16" ht="12" hidden="1" customHeight="1" x14ac:dyDescent="0.25">
      <c r="A217" s="51">
        <v>5231</v>
      </c>
      <c r="B217" s="88" t="s">
        <v>234</v>
      </c>
      <c r="C217" s="89">
        <f t="shared" si="287"/>
        <v>0</v>
      </c>
      <c r="D217" s="194"/>
      <c r="E217" s="195"/>
      <c r="F217" s="55">
        <f t="shared" ref="F217:F226" si="292">D217+E217</f>
        <v>0</v>
      </c>
      <c r="G217" s="53"/>
      <c r="H217" s="54"/>
      <c r="I217" s="55">
        <f t="shared" ref="I217:I226" si="293">G217+H217</f>
        <v>0</v>
      </c>
      <c r="J217" s="53"/>
      <c r="K217" s="54"/>
      <c r="L217" s="55">
        <f t="shared" ref="L217:L226" si="294">K217+J217</f>
        <v>0</v>
      </c>
      <c r="M217" s="53"/>
      <c r="N217" s="54"/>
      <c r="O217" s="55">
        <f t="shared" ref="O217:O226" si="295">N217+M217</f>
        <v>0</v>
      </c>
      <c r="P217" s="57"/>
    </row>
    <row r="218" spans="1:16" ht="17.25" customHeight="1" x14ac:dyDescent="0.25">
      <c r="A218" s="51">
        <v>5232</v>
      </c>
      <c r="B218" s="88" t="s">
        <v>235</v>
      </c>
      <c r="C218" s="89">
        <f t="shared" si="287"/>
        <v>1536</v>
      </c>
      <c r="D218" s="194"/>
      <c r="E218" s="195"/>
      <c r="F218" s="55">
        <f t="shared" si="292"/>
        <v>0</v>
      </c>
      <c r="G218" s="53">
        <v>1231</v>
      </c>
      <c r="H218" s="54">
        <v>305</v>
      </c>
      <c r="I218" s="55">
        <f t="shared" si="293"/>
        <v>1536</v>
      </c>
      <c r="J218" s="53"/>
      <c r="K218" s="54"/>
      <c r="L218" s="55">
        <f t="shared" si="294"/>
        <v>0</v>
      </c>
      <c r="M218" s="53"/>
      <c r="N218" s="54"/>
      <c r="O218" s="55">
        <f t="shared" si="295"/>
        <v>0</v>
      </c>
      <c r="P218" s="57" t="s">
        <v>418</v>
      </c>
    </row>
    <row r="219" spans="1:16" ht="12" hidden="1" customHeight="1" x14ac:dyDescent="0.25">
      <c r="A219" s="51">
        <v>5233</v>
      </c>
      <c r="B219" s="88" t="s">
        <v>236</v>
      </c>
      <c r="C219" s="89">
        <f t="shared" si="287"/>
        <v>0</v>
      </c>
      <c r="D219" s="194"/>
      <c r="E219" s="195"/>
      <c r="F219" s="55">
        <f t="shared" si="292"/>
        <v>0</v>
      </c>
      <c r="G219" s="53"/>
      <c r="H219" s="54"/>
      <c r="I219" s="55">
        <f t="shared" si="293"/>
        <v>0</v>
      </c>
      <c r="J219" s="53"/>
      <c r="K219" s="54"/>
      <c r="L219" s="55">
        <f t="shared" si="294"/>
        <v>0</v>
      </c>
      <c r="M219" s="53"/>
      <c r="N219" s="54"/>
      <c r="O219" s="55">
        <f t="shared" si="295"/>
        <v>0</v>
      </c>
      <c r="P219" s="57"/>
    </row>
    <row r="220" spans="1:16" ht="24" hidden="1" customHeight="1" x14ac:dyDescent="0.25">
      <c r="A220" s="51">
        <v>5234</v>
      </c>
      <c r="B220" s="88" t="s">
        <v>237</v>
      </c>
      <c r="C220" s="89">
        <f t="shared" si="287"/>
        <v>0</v>
      </c>
      <c r="D220" s="194"/>
      <c r="E220" s="195"/>
      <c r="F220" s="55">
        <f t="shared" si="292"/>
        <v>0</v>
      </c>
      <c r="G220" s="53"/>
      <c r="H220" s="54"/>
      <c r="I220" s="55">
        <f t="shared" si="293"/>
        <v>0</v>
      </c>
      <c r="J220" s="53"/>
      <c r="K220" s="54"/>
      <c r="L220" s="55">
        <f t="shared" si="294"/>
        <v>0</v>
      </c>
      <c r="M220" s="53"/>
      <c r="N220" s="54"/>
      <c r="O220" s="55">
        <f t="shared" si="295"/>
        <v>0</v>
      </c>
      <c r="P220" s="57"/>
    </row>
    <row r="221" spans="1:16" ht="14.25" hidden="1" customHeight="1" x14ac:dyDescent="0.25">
      <c r="A221" s="51">
        <v>5236</v>
      </c>
      <c r="B221" s="88" t="s">
        <v>238</v>
      </c>
      <c r="C221" s="89">
        <f t="shared" si="287"/>
        <v>0</v>
      </c>
      <c r="D221" s="194"/>
      <c r="E221" s="195"/>
      <c r="F221" s="55">
        <f t="shared" si="292"/>
        <v>0</v>
      </c>
      <c r="G221" s="53"/>
      <c r="H221" s="54"/>
      <c r="I221" s="55">
        <f t="shared" si="293"/>
        <v>0</v>
      </c>
      <c r="J221" s="53"/>
      <c r="K221" s="54"/>
      <c r="L221" s="55">
        <f t="shared" si="294"/>
        <v>0</v>
      </c>
      <c r="M221" s="53"/>
      <c r="N221" s="54"/>
      <c r="O221" s="55">
        <f t="shared" si="295"/>
        <v>0</v>
      </c>
      <c r="P221" s="57"/>
    </row>
    <row r="222" spans="1:16" ht="14.25" hidden="1" customHeight="1" x14ac:dyDescent="0.25">
      <c r="A222" s="51">
        <v>5237</v>
      </c>
      <c r="B222" s="88" t="s">
        <v>239</v>
      </c>
      <c r="C222" s="89">
        <f t="shared" si="287"/>
        <v>0</v>
      </c>
      <c r="D222" s="194"/>
      <c r="E222" s="195"/>
      <c r="F222" s="55">
        <f t="shared" si="292"/>
        <v>0</v>
      </c>
      <c r="G222" s="53"/>
      <c r="H222" s="54"/>
      <c r="I222" s="55">
        <f t="shared" si="293"/>
        <v>0</v>
      </c>
      <c r="J222" s="53"/>
      <c r="K222" s="54"/>
      <c r="L222" s="55">
        <f t="shared" si="294"/>
        <v>0</v>
      </c>
      <c r="M222" s="53"/>
      <c r="N222" s="54"/>
      <c r="O222" s="55">
        <f t="shared" si="295"/>
        <v>0</v>
      </c>
      <c r="P222" s="57"/>
    </row>
    <row r="223" spans="1:16" ht="24" hidden="1" customHeight="1" x14ac:dyDescent="0.25">
      <c r="A223" s="51">
        <v>5238</v>
      </c>
      <c r="B223" s="88" t="s">
        <v>240</v>
      </c>
      <c r="C223" s="89">
        <f t="shared" si="287"/>
        <v>0</v>
      </c>
      <c r="D223" s="194"/>
      <c r="E223" s="195"/>
      <c r="F223" s="55">
        <f t="shared" si="292"/>
        <v>0</v>
      </c>
      <c r="G223" s="53"/>
      <c r="H223" s="54"/>
      <c r="I223" s="55">
        <f t="shared" si="293"/>
        <v>0</v>
      </c>
      <c r="J223" s="53"/>
      <c r="K223" s="54"/>
      <c r="L223" s="55">
        <f t="shared" si="294"/>
        <v>0</v>
      </c>
      <c r="M223" s="53"/>
      <c r="N223" s="54"/>
      <c r="O223" s="55">
        <f t="shared" si="295"/>
        <v>0</v>
      </c>
      <c r="P223" s="57"/>
    </row>
    <row r="224" spans="1:16" ht="28.5" hidden="1" customHeight="1" x14ac:dyDescent="0.25">
      <c r="A224" s="51">
        <v>5239</v>
      </c>
      <c r="B224" s="88" t="s">
        <v>241</v>
      </c>
      <c r="C224" s="89">
        <f t="shared" si="287"/>
        <v>0</v>
      </c>
      <c r="D224" s="194"/>
      <c r="E224" s="195"/>
      <c r="F224" s="55">
        <f t="shared" si="292"/>
        <v>0</v>
      </c>
      <c r="G224" s="53"/>
      <c r="H224" s="54"/>
      <c r="I224" s="55">
        <f t="shared" si="293"/>
        <v>0</v>
      </c>
      <c r="J224" s="53"/>
      <c r="K224" s="54"/>
      <c r="L224" s="55">
        <f t="shared" si="294"/>
        <v>0</v>
      </c>
      <c r="M224" s="53"/>
      <c r="N224" s="54"/>
      <c r="O224" s="55">
        <f t="shared" si="295"/>
        <v>0</v>
      </c>
      <c r="P224" s="57"/>
    </row>
    <row r="225" spans="1:16" ht="24" hidden="1" customHeight="1" x14ac:dyDescent="0.25">
      <c r="A225" s="188">
        <v>5240</v>
      </c>
      <c r="B225" s="88" t="s">
        <v>242</v>
      </c>
      <c r="C225" s="89">
        <f t="shared" si="287"/>
        <v>0</v>
      </c>
      <c r="D225" s="194"/>
      <c r="E225" s="195"/>
      <c r="F225" s="55">
        <f t="shared" si="292"/>
        <v>0</v>
      </c>
      <c r="G225" s="53"/>
      <c r="H225" s="54"/>
      <c r="I225" s="55">
        <f t="shared" si="293"/>
        <v>0</v>
      </c>
      <c r="J225" s="53"/>
      <c r="K225" s="54"/>
      <c r="L225" s="55">
        <f t="shared" si="294"/>
        <v>0</v>
      </c>
      <c r="M225" s="53"/>
      <c r="N225" s="54"/>
      <c r="O225" s="55">
        <f t="shared" si="295"/>
        <v>0</v>
      </c>
      <c r="P225" s="57"/>
    </row>
    <row r="226" spans="1:16" ht="12" hidden="1" customHeight="1" x14ac:dyDescent="0.25">
      <c r="A226" s="188">
        <v>5250</v>
      </c>
      <c r="B226" s="88" t="s">
        <v>243</v>
      </c>
      <c r="C226" s="89">
        <f t="shared" si="287"/>
        <v>0</v>
      </c>
      <c r="D226" s="194"/>
      <c r="E226" s="195"/>
      <c r="F226" s="55">
        <f t="shared" si="292"/>
        <v>0</v>
      </c>
      <c r="G226" s="53"/>
      <c r="H226" s="54"/>
      <c r="I226" s="55">
        <f t="shared" si="293"/>
        <v>0</v>
      </c>
      <c r="J226" s="53"/>
      <c r="K226" s="54"/>
      <c r="L226" s="55">
        <f t="shared" si="294"/>
        <v>0</v>
      </c>
      <c r="M226" s="53"/>
      <c r="N226" s="54"/>
      <c r="O226" s="55">
        <f t="shared" si="295"/>
        <v>0</v>
      </c>
      <c r="P226" s="57"/>
    </row>
    <row r="227" spans="1:16" hidden="1" x14ac:dyDescent="0.25">
      <c r="A227" s="188">
        <v>5260</v>
      </c>
      <c r="B227" s="88" t="s">
        <v>244</v>
      </c>
      <c r="C227" s="89">
        <f t="shared" si="287"/>
        <v>0</v>
      </c>
      <c r="D227" s="189">
        <f>SUM(D228)</f>
        <v>0</v>
      </c>
      <c r="E227" s="190">
        <f t="shared" ref="E227:F227" si="296">SUM(E228)</f>
        <v>0</v>
      </c>
      <c r="F227" s="55">
        <f t="shared" si="296"/>
        <v>0</v>
      </c>
      <c r="G227" s="189">
        <f>SUM(G228)</f>
        <v>0</v>
      </c>
      <c r="H227" s="190">
        <f t="shared" ref="H227:I227" si="297">SUM(H228)</f>
        <v>0</v>
      </c>
      <c r="I227" s="55">
        <f t="shared" si="297"/>
        <v>0</v>
      </c>
      <c r="J227" s="189">
        <f>SUM(J228)</f>
        <v>0</v>
      </c>
      <c r="K227" s="190">
        <f t="shared" ref="K227:L227" si="298">SUM(K228)</f>
        <v>0</v>
      </c>
      <c r="L227" s="55">
        <f t="shared" si="298"/>
        <v>0</v>
      </c>
      <c r="M227" s="189">
        <f>SUM(M228)</f>
        <v>0</v>
      </c>
      <c r="N227" s="190">
        <f t="shared" ref="N227:O227" si="299">SUM(N228)</f>
        <v>0</v>
      </c>
      <c r="O227" s="55">
        <f t="shared" si="299"/>
        <v>0</v>
      </c>
      <c r="P227" s="57"/>
    </row>
    <row r="228" spans="1:16" ht="24" hidden="1" customHeight="1" x14ac:dyDescent="0.25">
      <c r="A228" s="51">
        <v>5269</v>
      </c>
      <c r="B228" s="88" t="s">
        <v>245</v>
      </c>
      <c r="C228" s="89">
        <f t="shared" si="287"/>
        <v>0</v>
      </c>
      <c r="D228" s="194"/>
      <c r="E228" s="195"/>
      <c r="F228" s="55">
        <f t="shared" ref="F228:F229" si="300">D228+E228</f>
        <v>0</v>
      </c>
      <c r="G228" s="53"/>
      <c r="H228" s="54"/>
      <c r="I228" s="55">
        <f t="shared" ref="I228:I229" si="301">G228+H228</f>
        <v>0</v>
      </c>
      <c r="J228" s="53"/>
      <c r="K228" s="54"/>
      <c r="L228" s="55">
        <f t="shared" ref="L228:L229" si="302">K228+J228</f>
        <v>0</v>
      </c>
      <c r="M228" s="53"/>
      <c r="N228" s="54"/>
      <c r="O228" s="55">
        <f t="shared" ref="O228:O229" si="303">N228+M228</f>
        <v>0</v>
      </c>
      <c r="P228" s="57"/>
    </row>
    <row r="229" spans="1:16" ht="24" hidden="1" customHeight="1" x14ac:dyDescent="0.25">
      <c r="A229" s="185">
        <v>5270</v>
      </c>
      <c r="B229" s="137" t="s">
        <v>246</v>
      </c>
      <c r="C229" s="142">
        <f t="shared" si="287"/>
        <v>0</v>
      </c>
      <c r="D229" s="202"/>
      <c r="E229" s="203"/>
      <c r="F229" s="140">
        <f t="shared" si="300"/>
        <v>0</v>
      </c>
      <c r="G229" s="143"/>
      <c r="H229" s="144"/>
      <c r="I229" s="140">
        <f t="shared" si="301"/>
        <v>0</v>
      </c>
      <c r="J229" s="143"/>
      <c r="K229" s="144"/>
      <c r="L229" s="140">
        <f t="shared" si="302"/>
        <v>0</v>
      </c>
      <c r="M229" s="143"/>
      <c r="N229" s="144"/>
      <c r="O229" s="140">
        <f t="shared" si="303"/>
        <v>0</v>
      </c>
      <c r="P229" s="128"/>
    </row>
    <row r="230" spans="1:16" x14ac:dyDescent="0.25">
      <c r="A230" s="176">
        <v>6000</v>
      </c>
      <c r="B230" s="176" t="s">
        <v>247</v>
      </c>
      <c r="C230" s="177">
        <f t="shared" si="287"/>
        <v>3230</v>
      </c>
      <c r="D230" s="178">
        <f>D231+D251+D259</f>
        <v>0</v>
      </c>
      <c r="E230" s="179">
        <f t="shared" ref="E230:F230" si="304">E231+E251+E259</f>
        <v>0</v>
      </c>
      <c r="F230" s="180">
        <f t="shared" si="304"/>
        <v>0</v>
      </c>
      <c r="G230" s="178">
        <f>G231+G251+G259</f>
        <v>2589</v>
      </c>
      <c r="H230" s="179">
        <f t="shared" ref="H230:I230" si="305">H231+H251+H259</f>
        <v>641</v>
      </c>
      <c r="I230" s="180">
        <f t="shared" si="305"/>
        <v>3230</v>
      </c>
      <c r="J230" s="178">
        <f>J231+J251+J259</f>
        <v>0</v>
      </c>
      <c r="K230" s="179">
        <f t="shared" ref="K230:L230" si="306">K231+K251+K259</f>
        <v>0</v>
      </c>
      <c r="L230" s="180">
        <f t="shared" si="306"/>
        <v>0</v>
      </c>
      <c r="M230" s="178">
        <f>M231+M251+M259</f>
        <v>0</v>
      </c>
      <c r="N230" s="179">
        <f t="shared" ref="N230:O230" si="307">N231+N251+N259</f>
        <v>0</v>
      </c>
      <c r="O230" s="180">
        <f t="shared" si="307"/>
        <v>0</v>
      </c>
      <c r="P230" s="181"/>
    </row>
    <row r="231" spans="1:16" ht="14.25" customHeight="1" x14ac:dyDescent="0.25">
      <c r="A231" s="216">
        <v>6200</v>
      </c>
      <c r="B231" s="207" t="s">
        <v>248</v>
      </c>
      <c r="C231" s="217">
        <f t="shared" si="287"/>
        <v>3230</v>
      </c>
      <c r="D231" s="218">
        <f>SUM(D232,D233,D235,D238,D244,D245,D246)</f>
        <v>0</v>
      </c>
      <c r="E231" s="219">
        <f t="shared" ref="E231:F231" si="308">SUM(E232,E233,E235,E238,E244,E245,E246)</f>
        <v>0</v>
      </c>
      <c r="F231" s="220">
        <f t="shared" si="308"/>
        <v>0</v>
      </c>
      <c r="G231" s="218">
        <f>SUM(G232,G233,G235,G238,G244,G245,G246)</f>
        <v>2589</v>
      </c>
      <c r="H231" s="219">
        <f t="shared" ref="H231:I231" si="309">SUM(H232,H233,H235,H238,H244,H245,H246)</f>
        <v>641</v>
      </c>
      <c r="I231" s="220">
        <f t="shared" si="309"/>
        <v>3230</v>
      </c>
      <c r="J231" s="218">
        <f>SUM(J232,J233,J235,J238,J244,J245,J246)</f>
        <v>0</v>
      </c>
      <c r="K231" s="219">
        <f t="shared" ref="K231:L231" si="310">SUM(K232,K233,K235,K238,K244,K245,K246)</f>
        <v>0</v>
      </c>
      <c r="L231" s="220">
        <f t="shared" si="310"/>
        <v>0</v>
      </c>
      <c r="M231" s="218">
        <f>SUM(M232,M233,M235,M238,M244,M245,M246)</f>
        <v>0</v>
      </c>
      <c r="N231" s="219">
        <f t="shared" ref="N231:O231" si="311">SUM(N232,N233,N235,N238,N244,N245,N246)</f>
        <v>0</v>
      </c>
      <c r="O231" s="220">
        <f t="shared" si="311"/>
        <v>0</v>
      </c>
      <c r="P231" s="221"/>
    </row>
    <row r="232" spans="1:16" ht="24" hidden="1" customHeight="1" x14ac:dyDescent="0.25">
      <c r="A232" s="191">
        <v>6220</v>
      </c>
      <c r="B232" s="81" t="s">
        <v>249</v>
      </c>
      <c r="C232" s="82">
        <f t="shared" si="287"/>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7"/>
        <v>0</v>
      </c>
      <c r="D233" s="189">
        <f t="shared" ref="D233:O233" si="312">SUM(D234)</f>
        <v>0</v>
      </c>
      <c r="E233" s="190">
        <f t="shared" si="312"/>
        <v>0</v>
      </c>
      <c r="F233" s="55">
        <f t="shared" si="312"/>
        <v>0</v>
      </c>
      <c r="G233" s="189">
        <f t="shared" si="312"/>
        <v>0</v>
      </c>
      <c r="H233" s="190">
        <f t="shared" si="312"/>
        <v>0</v>
      </c>
      <c r="I233" s="55">
        <f t="shared" si="312"/>
        <v>0</v>
      </c>
      <c r="J233" s="189">
        <f t="shared" si="312"/>
        <v>0</v>
      </c>
      <c r="K233" s="190">
        <f t="shared" si="312"/>
        <v>0</v>
      </c>
      <c r="L233" s="55">
        <f t="shared" si="312"/>
        <v>0</v>
      </c>
      <c r="M233" s="189">
        <f t="shared" si="312"/>
        <v>0</v>
      </c>
      <c r="N233" s="190">
        <f t="shared" si="312"/>
        <v>0</v>
      </c>
      <c r="O233" s="55">
        <f t="shared" si="312"/>
        <v>0</v>
      </c>
      <c r="P233" s="57"/>
    </row>
    <row r="234" spans="1:16" ht="24" hidden="1" customHeight="1" x14ac:dyDescent="0.25">
      <c r="A234" s="51">
        <v>6239</v>
      </c>
      <c r="B234" s="81" t="s">
        <v>251</v>
      </c>
      <c r="C234" s="89">
        <f t="shared" si="287"/>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7"/>
        <v>0</v>
      </c>
      <c r="D235" s="189">
        <f>SUM(D236:D237)</f>
        <v>0</v>
      </c>
      <c r="E235" s="190">
        <f t="shared" ref="E235:F235" si="313">SUM(E236:E237)</f>
        <v>0</v>
      </c>
      <c r="F235" s="55">
        <f t="shared" si="313"/>
        <v>0</v>
      </c>
      <c r="G235" s="189">
        <f>SUM(G236:G237)</f>
        <v>0</v>
      </c>
      <c r="H235" s="190">
        <f t="shared" ref="H235:I235" si="314">SUM(H236:H237)</f>
        <v>0</v>
      </c>
      <c r="I235" s="55">
        <f t="shared" si="314"/>
        <v>0</v>
      </c>
      <c r="J235" s="189">
        <f>SUM(J236:J237)</f>
        <v>0</v>
      </c>
      <c r="K235" s="190">
        <f t="shared" ref="K235:L235" si="315">SUM(K236:K237)</f>
        <v>0</v>
      </c>
      <c r="L235" s="55">
        <f t="shared" si="315"/>
        <v>0</v>
      </c>
      <c r="M235" s="189">
        <f>SUM(M236:M237)</f>
        <v>0</v>
      </c>
      <c r="N235" s="190">
        <f t="shared" ref="N235:O235" si="316">SUM(N236:N237)</f>
        <v>0</v>
      </c>
      <c r="O235" s="55">
        <f t="shared" si="316"/>
        <v>0</v>
      </c>
      <c r="P235" s="57"/>
    </row>
    <row r="236" spans="1:16" ht="12" hidden="1" customHeight="1" x14ac:dyDescent="0.25">
      <c r="A236" s="51">
        <v>6241</v>
      </c>
      <c r="B236" s="88" t="s">
        <v>253</v>
      </c>
      <c r="C236" s="89">
        <f t="shared" si="287"/>
        <v>0</v>
      </c>
      <c r="D236" s="194"/>
      <c r="E236" s="195"/>
      <c r="F236" s="55">
        <f t="shared" ref="F236:F237" si="317">D236+E236</f>
        <v>0</v>
      </c>
      <c r="G236" s="53"/>
      <c r="H236" s="54"/>
      <c r="I236" s="55">
        <f t="shared" ref="I236:I237" si="318">G236+H236</f>
        <v>0</v>
      </c>
      <c r="J236" s="53"/>
      <c r="K236" s="54"/>
      <c r="L236" s="55">
        <f t="shared" ref="L236:L237" si="319">K236+J236</f>
        <v>0</v>
      </c>
      <c r="M236" s="53"/>
      <c r="N236" s="54"/>
      <c r="O236" s="55">
        <f t="shared" ref="O236:O237" si="320">N236+M236</f>
        <v>0</v>
      </c>
      <c r="P236" s="57"/>
    </row>
    <row r="237" spans="1:16" ht="12" hidden="1" customHeight="1" x14ac:dyDescent="0.25">
      <c r="A237" s="51">
        <v>6242</v>
      </c>
      <c r="B237" s="88" t="s">
        <v>254</v>
      </c>
      <c r="C237" s="89">
        <f t="shared" si="287"/>
        <v>0</v>
      </c>
      <c r="D237" s="194"/>
      <c r="E237" s="195"/>
      <c r="F237" s="55">
        <f t="shared" si="317"/>
        <v>0</v>
      </c>
      <c r="G237" s="53"/>
      <c r="H237" s="54"/>
      <c r="I237" s="55">
        <f t="shared" si="318"/>
        <v>0</v>
      </c>
      <c r="J237" s="53"/>
      <c r="K237" s="54"/>
      <c r="L237" s="55">
        <f t="shared" si="319"/>
        <v>0</v>
      </c>
      <c r="M237" s="53"/>
      <c r="N237" s="54"/>
      <c r="O237" s="55">
        <f t="shared" si="320"/>
        <v>0</v>
      </c>
      <c r="P237" s="57"/>
    </row>
    <row r="238" spans="1:16" ht="25.5" hidden="1" customHeight="1" x14ac:dyDescent="0.25">
      <c r="A238" s="188">
        <v>6250</v>
      </c>
      <c r="B238" s="88" t="s">
        <v>255</v>
      </c>
      <c r="C238" s="89">
        <f t="shared" si="287"/>
        <v>0</v>
      </c>
      <c r="D238" s="189">
        <f>SUM(D239:D243)</f>
        <v>0</v>
      </c>
      <c r="E238" s="190">
        <f t="shared" ref="E238:F238" si="321">SUM(E239:E243)</f>
        <v>0</v>
      </c>
      <c r="F238" s="55">
        <f t="shared" si="321"/>
        <v>0</v>
      </c>
      <c r="G238" s="189">
        <f>SUM(G239:G243)</f>
        <v>0</v>
      </c>
      <c r="H238" s="190">
        <f t="shared" ref="H238:I238" si="322">SUM(H239:H243)</f>
        <v>0</v>
      </c>
      <c r="I238" s="55">
        <f t="shared" si="322"/>
        <v>0</v>
      </c>
      <c r="J238" s="189">
        <f>SUM(J239:J243)</f>
        <v>0</v>
      </c>
      <c r="K238" s="190">
        <f t="shared" ref="K238:L238" si="323">SUM(K239:K243)</f>
        <v>0</v>
      </c>
      <c r="L238" s="55">
        <f t="shared" si="323"/>
        <v>0</v>
      </c>
      <c r="M238" s="189">
        <f>SUM(M239:M243)</f>
        <v>0</v>
      </c>
      <c r="N238" s="190">
        <f t="shared" ref="N238:O238" si="324">SUM(N239:N243)</f>
        <v>0</v>
      </c>
      <c r="O238" s="55">
        <f t="shared" si="324"/>
        <v>0</v>
      </c>
      <c r="P238" s="57"/>
    </row>
    <row r="239" spans="1:16" ht="14.25" hidden="1" customHeight="1" x14ac:dyDescent="0.25">
      <c r="A239" s="51">
        <v>6252</v>
      </c>
      <c r="B239" s="88" t="s">
        <v>256</v>
      </c>
      <c r="C239" s="89">
        <f t="shared" si="287"/>
        <v>0</v>
      </c>
      <c r="D239" s="194"/>
      <c r="E239" s="195"/>
      <c r="F239" s="55">
        <f t="shared" ref="F239:F245" si="325">D239+E239</f>
        <v>0</v>
      </c>
      <c r="G239" s="53"/>
      <c r="H239" s="54"/>
      <c r="I239" s="55">
        <f t="shared" ref="I239:I245" si="326">G239+H239</f>
        <v>0</v>
      </c>
      <c r="J239" s="53"/>
      <c r="K239" s="54"/>
      <c r="L239" s="55">
        <f t="shared" ref="L239:L245" si="327">K239+J239</f>
        <v>0</v>
      </c>
      <c r="M239" s="53"/>
      <c r="N239" s="54"/>
      <c r="O239" s="55">
        <f t="shared" ref="O239:O245" si="328">N239+M239</f>
        <v>0</v>
      </c>
      <c r="P239" s="57"/>
    </row>
    <row r="240" spans="1:16" ht="14.25" hidden="1" customHeight="1" x14ac:dyDescent="0.25">
      <c r="A240" s="51">
        <v>6253</v>
      </c>
      <c r="B240" s="88" t="s">
        <v>257</v>
      </c>
      <c r="C240" s="89">
        <f t="shared" si="287"/>
        <v>0</v>
      </c>
      <c r="D240" s="194"/>
      <c r="E240" s="195"/>
      <c r="F240" s="55">
        <f t="shared" si="325"/>
        <v>0</v>
      </c>
      <c r="G240" s="53"/>
      <c r="H240" s="54"/>
      <c r="I240" s="55">
        <f t="shared" si="326"/>
        <v>0</v>
      </c>
      <c r="J240" s="53"/>
      <c r="K240" s="54"/>
      <c r="L240" s="55">
        <f t="shared" si="327"/>
        <v>0</v>
      </c>
      <c r="M240" s="53"/>
      <c r="N240" s="54"/>
      <c r="O240" s="55">
        <f t="shared" si="328"/>
        <v>0</v>
      </c>
      <c r="P240" s="57"/>
    </row>
    <row r="241" spans="1:16" ht="24" hidden="1" customHeight="1" x14ac:dyDescent="0.25">
      <c r="A241" s="51">
        <v>6254</v>
      </c>
      <c r="B241" s="88" t="s">
        <v>258</v>
      </c>
      <c r="C241" s="89">
        <f t="shared" si="287"/>
        <v>0</v>
      </c>
      <c r="D241" s="194"/>
      <c r="E241" s="195"/>
      <c r="F241" s="55">
        <f t="shared" si="325"/>
        <v>0</v>
      </c>
      <c r="G241" s="53"/>
      <c r="H241" s="54"/>
      <c r="I241" s="55">
        <f t="shared" si="326"/>
        <v>0</v>
      </c>
      <c r="J241" s="53"/>
      <c r="K241" s="54"/>
      <c r="L241" s="55">
        <f t="shared" si="327"/>
        <v>0</v>
      </c>
      <c r="M241" s="53"/>
      <c r="N241" s="54"/>
      <c r="O241" s="55">
        <f t="shared" si="328"/>
        <v>0</v>
      </c>
      <c r="P241" s="57"/>
    </row>
    <row r="242" spans="1:16" ht="24" hidden="1" customHeight="1" x14ac:dyDescent="0.25">
      <c r="A242" s="51">
        <v>6255</v>
      </c>
      <c r="B242" s="88" t="s">
        <v>259</v>
      </c>
      <c r="C242" s="89">
        <f t="shared" si="287"/>
        <v>0</v>
      </c>
      <c r="D242" s="194"/>
      <c r="E242" s="195"/>
      <c r="F242" s="55">
        <f t="shared" si="325"/>
        <v>0</v>
      </c>
      <c r="G242" s="53"/>
      <c r="H242" s="54"/>
      <c r="I242" s="55">
        <f t="shared" si="326"/>
        <v>0</v>
      </c>
      <c r="J242" s="53"/>
      <c r="K242" s="54"/>
      <c r="L242" s="55">
        <f t="shared" si="327"/>
        <v>0</v>
      </c>
      <c r="M242" s="53"/>
      <c r="N242" s="54"/>
      <c r="O242" s="55">
        <f t="shared" si="328"/>
        <v>0</v>
      </c>
      <c r="P242" s="57"/>
    </row>
    <row r="243" spans="1:16" ht="12" hidden="1" customHeight="1" x14ac:dyDescent="0.25">
      <c r="A243" s="51">
        <v>6259</v>
      </c>
      <c r="B243" s="88" t="s">
        <v>260</v>
      </c>
      <c r="C243" s="89">
        <f t="shared" si="287"/>
        <v>0</v>
      </c>
      <c r="D243" s="194"/>
      <c r="E243" s="195"/>
      <c r="F243" s="55">
        <f t="shared" si="325"/>
        <v>0</v>
      </c>
      <c r="G243" s="53"/>
      <c r="H243" s="54"/>
      <c r="I243" s="55">
        <f t="shared" si="326"/>
        <v>0</v>
      </c>
      <c r="J243" s="53"/>
      <c r="K243" s="54"/>
      <c r="L243" s="55">
        <f t="shared" si="327"/>
        <v>0</v>
      </c>
      <c r="M243" s="53"/>
      <c r="N243" s="54"/>
      <c r="O243" s="55">
        <f t="shared" si="328"/>
        <v>0</v>
      </c>
      <c r="P243" s="57"/>
    </row>
    <row r="244" spans="1:16" ht="24" hidden="1" customHeight="1" x14ac:dyDescent="0.25">
      <c r="A244" s="188">
        <v>6260</v>
      </c>
      <c r="B244" s="88" t="s">
        <v>261</v>
      </c>
      <c r="C244" s="89">
        <f t="shared" si="287"/>
        <v>0</v>
      </c>
      <c r="D244" s="194"/>
      <c r="E244" s="195"/>
      <c r="F244" s="55">
        <f t="shared" si="325"/>
        <v>0</v>
      </c>
      <c r="G244" s="53"/>
      <c r="H244" s="54"/>
      <c r="I244" s="55">
        <f t="shared" si="326"/>
        <v>0</v>
      </c>
      <c r="J244" s="53"/>
      <c r="K244" s="54"/>
      <c r="L244" s="55">
        <f t="shared" si="327"/>
        <v>0</v>
      </c>
      <c r="M244" s="53"/>
      <c r="N244" s="54"/>
      <c r="O244" s="55">
        <f t="shared" si="328"/>
        <v>0</v>
      </c>
      <c r="P244" s="57"/>
    </row>
    <row r="245" spans="1:16" ht="12" hidden="1" customHeight="1" x14ac:dyDescent="0.25">
      <c r="A245" s="188">
        <v>6270</v>
      </c>
      <c r="B245" s="88" t="s">
        <v>262</v>
      </c>
      <c r="C245" s="89">
        <f t="shared" si="287"/>
        <v>0</v>
      </c>
      <c r="D245" s="194"/>
      <c r="E245" s="195"/>
      <c r="F245" s="55">
        <f t="shared" si="325"/>
        <v>0</v>
      </c>
      <c r="G245" s="53"/>
      <c r="H245" s="54"/>
      <c r="I245" s="55">
        <f t="shared" si="326"/>
        <v>0</v>
      </c>
      <c r="J245" s="53"/>
      <c r="K245" s="54"/>
      <c r="L245" s="55">
        <f t="shared" si="327"/>
        <v>0</v>
      </c>
      <c r="M245" s="53"/>
      <c r="N245" s="54"/>
      <c r="O245" s="55">
        <f t="shared" si="328"/>
        <v>0</v>
      </c>
      <c r="P245" s="57"/>
    </row>
    <row r="246" spans="1:16" ht="24" x14ac:dyDescent="0.25">
      <c r="A246" s="191">
        <v>6290</v>
      </c>
      <c r="B246" s="81" t="s">
        <v>263</v>
      </c>
      <c r="C246" s="208">
        <f t="shared" si="287"/>
        <v>3230</v>
      </c>
      <c r="D246" s="192">
        <f>SUM(D247:D250)</f>
        <v>0</v>
      </c>
      <c r="E246" s="193">
        <f t="shared" ref="E246:O246" si="329">SUM(E247:E250)</f>
        <v>0</v>
      </c>
      <c r="F246" s="133">
        <f t="shared" si="329"/>
        <v>0</v>
      </c>
      <c r="G246" s="192">
        <f t="shared" si="329"/>
        <v>2589</v>
      </c>
      <c r="H246" s="193">
        <f t="shared" si="329"/>
        <v>641</v>
      </c>
      <c r="I246" s="133">
        <f t="shared" si="329"/>
        <v>3230</v>
      </c>
      <c r="J246" s="192">
        <f t="shared" si="329"/>
        <v>0</v>
      </c>
      <c r="K246" s="193">
        <f t="shared" si="329"/>
        <v>0</v>
      </c>
      <c r="L246" s="133">
        <f t="shared" si="329"/>
        <v>0</v>
      </c>
      <c r="M246" s="192">
        <f t="shared" si="329"/>
        <v>0</v>
      </c>
      <c r="N246" s="193">
        <f t="shared" si="329"/>
        <v>0</v>
      </c>
      <c r="O246" s="133">
        <f t="shared" si="329"/>
        <v>0</v>
      </c>
      <c r="P246" s="49"/>
    </row>
    <row r="247" spans="1:16" ht="12" hidden="1" customHeight="1" x14ac:dyDescent="0.25">
      <c r="A247" s="51">
        <v>6291</v>
      </c>
      <c r="B247" s="88" t="s">
        <v>264</v>
      </c>
      <c r="C247" s="89">
        <f t="shared" si="287"/>
        <v>0</v>
      </c>
      <c r="D247" s="194"/>
      <c r="E247" s="195"/>
      <c r="F247" s="55">
        <f t="shared" ref="F247:F250" si="330">D247+E247</f>
        <v>0</v>
      </c>
      <c r="G247" s="53"/>
      <c r="H247" s="54"/>
      <c r="I247" s="55">
        <f t="shared" ref="I247:I250" si="331">G247+H247</f>
        <v>0</v>
      </c>
      <c r="J247" s="53"/>
      <c r="K247" s="54"/>
      <c r="L247" s="55">
        <f t="shared" ref="L247:L250" si="332">K247+J247</f>
        <v>0</v>
      </c>
      <c r="M247" s="53"/>
      <c r="N247" s="54"/>
      <c r="O247" s="55">
        <f t="shared" ref="O247:O250" si="333">N247+M247</f>
        <v>0</v>
      </c>
      <c r="P247" s="57"/>
    </row>
    <row r="248" spans="1:16" ht="12" hidden="1" customHeight="1" x14ac:dyDescent="0.25">
      <c r="A248" s="51">
        <v>6292</v>
      </c>
      <c r="B248" s="88" t="s">
        <v>265</v>
      </c>
      <c r="C248" s="89">
        <f t="shared" si="287"/>
        <v>0</v>
      </c>
      <c r="D248" s="194"/>
      <c r="E248" s="195"/>
      <c r="F248" s="55">
        <f t="shared" si="330"/>
        <v>0</v>
      </c>
      <c r="G248" s="53"/>
      <c r="H248" s="54"/>
      <c r="I248" s="55">
        <f t="shared" si="331"/>
        <v>0</v>
      </c>
      <c r="J248" s="53"/>
      <c r="K248" s="54"/>
      <c r="L248" s="55">
        <f t="shared" si="332"/>
        <v>0</v>
      </c>
      <c r="M248" s="53"/>
      <c r="N248" s="54"/>
      <c r="O248" s="55">
        <f t="shared" si="333"/>
        <v>0</v>
      </c>
      <c r="P248" s="57"/>
    </row>
    <row r="249" spans="1:16" ht="72" customHeight="1" x14ac:dyDescent="0.25">
      <c r="A249" s="51">
        <v>6296</v>
      </c>
      <c r="B249" s="88" t="s">
        <v>266</v>
      </c>
      <c r="C249" s="89">
        <f t="shared" si="287"/>
        <v>3230</v>
      </c>
      <c r="D249" s="194"/>
      <c r="E249" s="195"/>
      <c r="F249" s="55">
        <f t="shared" si="330"/>
        <v>0</v>
      </c>
      <c r="G249" s="53">
        <v>2589</v>
      </c>
      <c r="H249" s="54">
        <v>641</v>
      </c>
      <c r="I249" s="55">
        <f t="shared" si="331"/>
        <v>3230</v>
      </c>
      <c r="J249" s="53"/>
      <c r="K249" s="54"/>
      <c r="L249" s="55">
        <f t="shared" si="332"/>
        <v>0</v>
      </c>
      <c r="M249" s="53"/>
      <c r="N249" s="54"/>
      <c r="O249" s="55">
        <f t="shared" si="333"/>
        <v>0</v>
      </c>
      <c r="P249" s="57" t="s">
        <v>419</v>
      </c>
    </row>
    <row r="250" spans="1:16" ht="39.75" hidden="1" customHeight="1" x14ac:dyDescent="0.25">
      <c r="A250" s="51">
        <v>6299</v>
      </c>
      <c r="B250" s="88" t="s">
        <v>267</v>
      </c>
      <c r="C250" s="89">
        <f t="shared" si="287"/>
        <v>0</v>
      </c>
      <c r="D250" s="194"/>
      <c r="E250" s="195"/>
      <c r="F250" s="55">
        <f t="shared" si="330"/>
        <v>0</v>
      </c>
      <c r="G250" s="53"/>
      <c r="H250" s="54"/>
      <c r="I250" s="55">
        <f t="shared" si="331"/>
        <v>0</v>
      </c>
      <c r="J250" s="53"/>
      <c r="K250" s="54"/>
      <c r="L250" s="55">
        <f t="shared" si="332"/>
        <v>0</v>
      </c>
      <c r="M250" s="53"/>
      <c r="N250" s="54"/>
      <c r="O250" s="55">
        <f t="shared" si="333"/>
        <v>0</v>
      </c>
      <c r="P250" s="57"/>
    </row>
    <row r="251" spans="1:16" hidden="1" x14ac:dyDescent="0.25">
      <c r="A251" s="68">
        <v>6300</v>
      </c>
      <c r="B251" s="182" t="s">
        <v>268</v>
      </c>
      <c r="C251" s="69">
        <f t="shared" si="287"/>
        <v>0</v>
      </c>
      <c r="D251" s="183">
        <f>SUM(D252,D257,D258)</f>
        <v>0</v>
      </c>
      <c r="E251" s="184">
        <f t="shared" ref="E251:O251" si="334">SUM(E252,E257,E258)</f>
        <v>0</v>
      </c>
      <c r="F251" s="72">
        <f t="shared" si="334"/>
        <v>0</v>
      </c>
      <c r="G251" s="183">
        <f t="shared" si="334"/>
        <v>0</v>
      </c>
      <c r="H251" s="184">
        <f t="shared" si="334"/>
        <v>0</v>
      </c>
      <c r="I251" s="72">
        <f t="shared" si="334"/>
        <v>0</v>
      </c>
      <c r="J251" s="183">
        <f t="shared" si="334"/>
        <v>0</v>
      </c>
      <c r="K251" s="184">
        <f t="shared" si="334"/>
        <v>0</v>
      </c>
      <c r="L251" s="72">
        <f t="shared" si="334"/>
        <v>0</v>
      </c>
      <c r="M251" s="183">
        <f t="shared" si="334"/>
        <v>0</v>
      </c>
      <c r="N251" s="184">
        <f t="shared" si="334"/>
        <v>0</v>
      </c>
      <c r="O251" s="72">
        <f t="shared" si="334"/>
        <v>0</v>
      </c>
      <c r="P251" s="76"/>
    </row>
    <row r="252" spans="1:16" ht="24" hidden="1" x14ac:dyDescent="0.25">
      <c r="A252" s="191">
        <v>6320</v>
      </c>
      <c r="B252" s="81" t="s">
        <v>269</v>
      </c>
      <c r="C252" s="208">
        <f t="shared" si="287"/>
        <v>0</v>
      </c>
      <c r="D252" s="192">
        <f>SUM(D253:D256)</f>
        <v>0</v>
      </c>
      <c r="E252" s="193">
        <f t="shared" ref="E252:O252" si="335">SUM(E253:E256)</f>
        <v>0</v>
      </c>
      <c r="F252" s="133">
        <f t="shared" si="335"/>
        <v>0</v>
      </c>
      <c r="G252" s="192">
        <f t="shared" si="335"/>
        <v>0</v>
      </c>
      <c r="H252" s="193">
        <f t="shared" si="335"/>
        <v>0</v>
      </c>
      <c r="I252" s="133">
        <f t="shared" si="335"/>
        <v>0</v>
      </c>
      <c r="J252" s="192">
        <f t="shared" si="335"/>
        <v>0</v>
      </c>
      <c r="K252" s="193">
        <f t="shared" si="335"/>
        <v>0</v>
      </c>
      <c r="L252" s="133">
        <f t="shared" si="335"/>
        <v>0</v>
      </c>
      <c r="M252" s="192">
        <f t="shared" si="335"/>
        <v>0</v>
      </c>
      <c r="N252" s="193">
        <f t="shared" si="335"/>
        <v>0</v>
      </c>
      <c r="O252" s="133">
        <f t="shared" si="335"/>
        <v>0</v>
      </c>
      <c r="P252" s="49"/>
    </row>
    <row r="253" spans="1:16" ht="12" hidden="1" customHeight="1" x14ac:dyDescent="0.25">
      <c r="A253" s="51">
        <v>6322</v>
      </c>
      <c r="B253" s="88" t="s">
        <v>270</v>
      </c>
      <c r="C253" s="89">
        <f t="shared" si="287"/>
        <v>0</v>
      </c>
      <c r="D253" s="194"/>
      <c r="E253" s="195"/>
      <c r="F253" s="55">
        <f t="shared" ref="F253:F258" si="336">D253+E253</f>
        <v>0</v>
      </c>
      <c r="G253" s="53"/>
      <c r="H253" s="54"/>
      <c r="I253" s="55">
        <f t="shared" ref="I253:I258" si="337">G253+H253</f>
        <v>0</v>
      </c>
      <c r="J253" s="53"/>
      <c r="K253" s="54"/>
      <c r="L253" s="55">
        <f t="shared" ref="L253:L258" si="338">K253+J253</f>
        <v>0</v>
      </c>
      <c r="M253" s="53"/>
      <c r="N253" s="54"/>
      <c r="O253" s="55">
        <f t="shared" ref="O253:O258" si="339">N253+M253</f>
        <v>0</v>
      </c>
      <c r="P253" s="57"/>
    </row>
    <row r="254" spans="1:16" ht="24" hidden="1" customHeight="1" x14ac:dyDescent="0.25">
      <c r="A254" s="51">
        <v>6323</v>
      </c>
      <c r="B254" s="88" t="s">
        <v>271</v>
      </c>
      <c r="C254" s="89">
        <f t="shared" si="287"/>
        <v>0</v>
      </c>
      <c r="D254" s="194"/>
      <c r="E254" s="195"/>
      <c r="F254" s="55">
        <f t="shared" si="336"/>
        <v>0</v>
      </c>
      <c r="G254" s="53"/>
      <c r="H254" s="54"/>
      <c r="I254" s="55">
        <f t="shared" si="337"/>
        <v>0</v>
      </c>
      <c r="J254" s="53"/>
      <c r="K254" s="54"/>
      <c r="L254" s="55">
        <f t="shared" si="338"/>
        <v>0</v>
      </c>
      <c r="M254" s="53"/>
      <c r="N254" s="54"/>
      <c r="O254" s="55">
        <f t="shared" si="339"/>
        <v>0</v>
      </c>
      <c r="P254" s="57"/>
    </row>
    <row r="255" spans="1:16" ht="24" hidden="1" customHeight="1" x14ac:dyDescent="0.25">
      <c r="A255" s="51">
        <v>6324</v>
      </c>
      <c r="B255" s="88" t="s">
        <v>272</v>
      </c>
      <c r="C255" s="89">
        <f t="shared" si="287"/>
        <v>0</v>
      </c>
      <c r="D255" s="194"/>
      <c r="E255" s="195"/>
      <c r="F255" s="55">
        <f t="shared" si="336"/>
        <v>0</v>
      </c>
      <c r="G255" s="53"/>
      <c r="H255" s="54"/>
      <c r="I255" s="55">
        <f t="shared" si="337"/>
        <v>0</v>
      </c>
      <c r="J255" s="53"/>
      <c r="K255" s="54"/>
      <c r="L255" s="55">
        <f t="shared" si="338"/>
        <v>0</v>
      </c>
      <c r="M255" s="53"/>
      <c r="N255" s="54"/>
      <c r="O255" s="55">
        <f t="shared" si="339"/>
        <v>0</v>
      </c>
      <c r="P255" s="57"/>
    </row>
    <row r="256" spans="1:16" ht="12" hidden="1" customHeight="1" x14ac:dyDescent="0.25">
      <c r="A256" s="44">
        <v>6329</v>
      </c>
      <c r="B256" s="81" t="s">
        <v>273</v>
      </c>
      <c r="C256" s="82">
        <f t="shared" si="287"/>
        <v>0</v>
      </c>
      <c r="D256" s="196"/>
      <c r="E256" s="197"/>
      <c r="F256" s="133">
        <f t="shared" si="336"/>
        <v>0</v>
      </c>
      <c r="G256" s="46"/>
      <c r="H256" s="47"/>
      <c r="I256" s="133">
        <f t="shared" si="337"/>
        <v>0</v>
      </c>
      <c r="J256" s="46"/>
      <c r="K256" s="47"/>
      <c r="L256" s="133">
        <f t="shared" si="338"/>
        <v>0</v>
      </c>
      <c r="M256" s="46"/>
      <c r="N256" s="47"/>
      <c r="O256" s="133">
        <f t="shared" si="339"/>
        <v>0</v>
      </c>
      <c r="P256" s="49"/>
    </row>
    <row r="257" spans="1:16" ht="24" hidden="1" customHeight="1" x14ac:dyDescent="0.25">
      <c r="A257" s="225">
        <v>6330</v>
      </c>
      <c r="B257" s="226" t="s">
        <v>274</v>
      </c>
      <c r="C257" s="208">
        <f t="shared" si="287"/>
        <v>0</v>
      </c>
      <c r="D257" s="210"/>
      <c r="E257" s="211"/>
      <c r="F257" s="212">
        <f t="shared" si="336"/>
        <v>0</v>
      </c>
      <c r="G257" s="213"/>
      <c r="H257" s="214"/>
      <c r="I257" s="212">
        <f t="shared" si="337"/>
        <v>0</v>
      </c>
      <c r="J257" s="213"/>
      <c r="K257" s="214"/>
      <c r="L257" s="212">
        <f t="shared" si="338"/>
        <v>0</v>
      </c>
      <c r="M257" s="213"/>
      <c r="N257" s="214"/>
      <c r="O257" s="212">
        <f t="shared" si="339"/>
        <v>0</v>
      </c>
      <c r="P257" s="215"/>
    </row>
    <row r="258" spans="1:16" ht="12" hidden="1" customHeight="1" x14ac:dyDescent="0.25">
      <c r="A258" s="188">
        <v>6360</v>
      </c>
      <c r="B258" s="88" t="s">
        <v>275</v>
      </c>
      <c r="C258" s="89">
        <f t="shared" si="287"/>
        <v>0</v>
      </c>
      <c r="D258" s="194"/>
      <c r="E258" s="195"/>
      <c r="F258" s="55">
        <f t="shared" si="336"/>
        <v>0</v>
      </c>
      <c r="G258" s="53"/>
      <c r="H258" s="54"/>
      <c r="I258" s="55">
        <f t="shared" si="337"/>
        <v>0</v>
      </c>
      <c r="J258" s="53"/>
      <c r="K258" s="54"/>
      <c r="L258" s="55">
        <f t="shared" si="338"/>
        <v>0</v>
      </c>
      <c r="M258" s="53"/>
      <c r="N258" s="54"/>
      <c r="O258" s="55">
        <f t="shared" si="339"/>
        <v>0</v>
      </c>
      <c r="P258" s="57"/>
    </row>
    <row r="259" spans="1:16" ht="36" hidden="1" x14ac:dyDescent="0.25">
      <c r="A259" s="68">
        <v>6400</v>
      </c>
      <c r="B259" s="182" t="s">
        <v>276</v>
      </c>
      <c r="C259" s="69">
        <f t="shared" si="287"/>
        <v>0</v>
      </c>
      <c r="D259" s="183">
        <f>SUM(D260,D264)</f>
        <v>0</v>
      </c>
      <c r="E259" s="184">
        <f t="shared" ref="E259:O259" si="340">SUM(E260,E264)</f>
        <v>0</v>
      </c>
      <c r="F259" s="72">
        <f t="shared" si="340"/>
        <v>0</v>
      </c>
      <c r="G259" s="183">
        <f t="shared" si="340"/>
        <v>0</v>
      </c>
      <c r="H259" s="184">
        <f t="shared" si="340"/>
        <v>0</v>
      </c>
      <c r="I259" s="72">
        <f t="shared" si="340"/>
        <v>0</v>
      </c>
      <c r="J259" s="183">
        <f t="shared" si="340"/>
        <v>0</v>
      </c>
      <c r="K259" s="184">
        <f t="shared" si="340"/>
        <v>0</v>
      </c>
      <c r="L259" s="72">
        <f t="shared" si="340"/>
        <v>0</v>
      </c>
      <c r="M259" s="183">
        <f t="shared" si="340"/>
        <v>0</v>
      </c>
      <c r="N259" s="184">
        <f t="shared" si="340"/>
        <v>0</v>
      </c>
      <c r="O259" s="72">
        <f t="shared" si="340"/>
        <v>0</v>
      </c>
      <c r="P259" s="76"/>
    </row>
    <row r="260" spans="1:16" ht="24" hidden="1" x14ac:dyDescent="0.25">
      <c r="A260" s="191">
        <v>6410</v>
      </c>
      <c r="B260" s="81" t="s">
        <v>277</v>
      </c>
      <c r="C260" s="82">
        <f t="shared" si="287"/>
        <v>0</v>
      </c>
      <c r="D260" s="192">
        <f>SUM(D261:D263)</f>
        <v>0</v>
      </c>
      <c r="E260" s="193">
        <f t="shared" ref="E260:O260" si="341">SUM(E261:E263)</f>
        <v>0</v>
      </c>
      <c r="F260" s="133">
        <f t="shared" si="341"/>
        <v>0</v>
      </c>
      <c r="G260" s="192">
        <f t="shared" si="341"/>
        <v>0</v>
      </c>
      <c r="H260" s="193">
        <f t="shared" si="341"/>
        <v>0</v>
      </c>
      <c r="I260" s="133">
        <f t="shared" si="341"/>
        <v>0</v>
      </c>
      <c r="J260" s="192">
        <f t="shared" si="341"/>
        <v>0</v>
      </c>
      <c r="K260" s="193">
        <f t="shared" si="341"/>
        <v>0</v>
      </c>
      <c r="L260" s="133">
        <f t="shared" si="341"/>
        <v>0</v>
      </c>
      <c r="M260" s="192">
        <f t="shared" si="341"/>
        <v>0</v>
      </c>
      <c r="N260" s="193">
        <f t="shared" si="341"/>
        <v>0</v>
      </c>
      <c r="O260" s="133">
        <f t="shared" si="341"/>
        <v>0</v>
      </c>
      <c r="P260" s="49"/>
    </row>
    <row r="261" spans="1:16" ht="12" hidden="1" customHeight="1" x14ac:dyDescent="0.25">
      <c r="A261" s="51">
        <v>6411</v>
      </c>
      <c r="B261" s="199" t="s">
        <v>278</v>
      </c>
      <c r="C261" s="89">
        <f t="shared" si="287"/>
        <v>0</v>
      </c>
      <c r="D261" s="194"/>
      <c r="E261" s="195"/>
      <c r="F261" s="55">
        <f t="shared" ref="F261:F263" si="342">D261+E261</f>
        <v>0</v>
      </c>
      <c r="G261" s="53"/>
      <c r="H261" s="54"/>
      <c r="I261" s="55">
        <f t="shared" ref="I261:I263" si="343">G261+H261</f>
        <v>0</v>
      </c>
      <c r="J261" s="53"/>
      <c r="K261" s="54"/>
      <c r="L261" s="55">
        <f t="shared" ref="L261:L263" si="344">K261+J261</f>
        <v>0</v>
      </c>
      <c r="M261" s="53"/>
      <c r="N261" s="54"/>
      <c r="O261" s="55">
        <f t="shared" ref="O261:O263" si="345">N261+M261</f>
        <v>0</v>
      </c>
      <c r="P261" s="57"/>
    </row>
    <row r="262" spans="1:16" ht="36" hidden="1" customHeight="1" x14ac:dyDescent="0.25">
      <c r="A262" s="51">
        <v>6412</v>
      </c>
      <c r="B262" s="88" t="s">
        <v>279</v>
      </c>
      <c r="C262" s="89">
        <f t="shared" si="287"/>
        <v>0</v>
      </c>
      <c r="D262" s="194"/>
      <c r="E262" s="195"/>
      <c r="F262" s="55">
        <f t="shared" si="342"/>
        <v>0</v>
      </c>
      <c r="G262" s="53"/>
      <c r="H262" s="54"/>
      <c r="I262" s="55">
        <f t="shared" si="343"/>
        <v>0</v>
      </c>
      <c r="J262" s="53"/>
      <c r="K262" s="54"/>
      <c r="L262" s="55">
        <f t="shared" si="344"/>
        <v>0</v>
      </c>
      <c r="M262" s="53"/>
      <c r="N262" s="54"/>
      <c r="O262" s="55">
        <f t="shared" si="345"/>
        <v>0</v>
      </c>
      <c r="P262" s="57"/>
    </row>
    <row r="263" spans="1:16" ht="36" hidden="1" customHeight="1" x14ac:dyDescent="0.25">
      <c r="A263" s="51">
        <v>6419</v>
      </c>
      <c r="B263" s="88" t="s">
        <v>280</v>
      </c>
      <c r="C263" s="89">
        <f t="shared" si="287"/>
        <v>0</v>
      </c>
      <c r="D263" s="194"/>
      <c r="E263" s="195"/>
      <c r="F263" s="55">
        <f t="shared" si="342"/>
        <v>0</v>
      </c>
      <c r="G263" s="53"/>
      <c r="H263" s="54"/>
      <c r="I263" s="55">
        <f t="shared" si="343"/>
        <v>0</v>
      </c>
      <c r="J263" s="53"/>
      <c r="K263" s="54"/>
      <c r="L263" s="55">
        <f t="shared" si="344"/>
        <v>0</v>
      </c>
      <c r="M263" s="53"/>
      <c r="N263" s="54"/>
      <c r="O263" s="55">
        <f t="shared" si="345"/>
        <v>0</v>
      </c>
      <c r="P263" s="57"/>
    </row>
    <row r="264" spans="1:16" ht="48" hidden="1" x14ac:dyDescent="0.25">
      <c r="A264" s="188">
        <v>6420</v>
      </c>
      <c r="B264" s="88" t="s">
        <v>281</v>
      </c>
      <c r="C264" s="89">
        <f t="shared" si="287"/>
        <v>0</v>
      </c>
      <c r="D264" s="189">
        <f>SUM(D265:D268)</f>
        <v>0</v>
      </c>
      <c r="E264" s="190">
        <f t="shared" ref="E264:F264" si="346">SUM(E265:E268)</f>
        <v>0</v>
      </c>
      <c r="F264" s="55">
        <f t="shared" si="346"/>
        <v>0</v>
      </c>
      <c r="G264" s="189">
        <f>SUM(G265:G268)</f>
        <v>0</v>
      </c>
      <c r="H264" s="190">
        <f t="shared" ref="H264:I264" si="347">SUM(H265:H268)</f>
        <v>0</v>
      </c>
      <c r="I264" s="55">
        <f t="shared" si="347"/>
        <v>0</v>
      </c>
      <c r="J264" s="189">
        <f>SUM(J265:J268)</f>
        <v>0</v>
      </c>
      <c r="K264" s="190">
        <f t="shared" ref="K264:L264" si="348">SUM(K265:K268)</f>
        <v>0</v>
      </c>
      <c r="L264" s="55">
        <f t="shared" si="348"/>
        <v>0</v>
      </c>
      <c r="M264" s="189">
        <f>SUM(M265:M268)</f>
        <v>0</v>
      </c>
      <c r="N264" s="190">
        <f t="shared" ref="N264:O264" si="349">SUM(N265:N268)</f>
        <v>0</v>
      </c>
      <c r="O264" s="55">
        <f t="shared" si="349"/>
        <v>0</v>
      </c>
      <c r="P264" s="57"/>
    </row>
    <row r="265" spans="1:16" ht="36" hidden="1" customHeight="1" x14ac:dyDescent="0.25">
      <c r="A265" s="51">
        <v>6421</v>
      </c>
      <c r="B265" s="88" t="s">
        <v>282</v>
      </c>
      <c r="C265" s="89">
        <f t="shared" si="287"/>
        <v>0</v>
      </c>
      <c r="D265" s="194"/>
      <c r="E265" s="195"/>
      <c r="F265" s="55">
        <f t="shared" ref="F265:F268" si="350">D265+E265</f>
        <v>0</v>
      </c>
      <c r="G265" s="53"/>
      <c r="H265" s="54"/>
      <c r="I265" s="55">
        <f t="shared" ref="I265:I268" si="351">G265+H265</f>
        <v>0</v>
      </c>
      <c r="J265" s="53"/>
      <c r="K265" s="54"/>
      <c r="L265" s="55">
        <f t="shared" ref="L265:L268" si="352">K265+J265</f>
        <v>0</v>
      </c>
      <c r="M265" s="53"/>
      <c r="N265" s="54"/>
      <c r="O265" s="55">
        <f t="shared" ref="O265:O268" si="353">N265+M265</f>
        <v>0</v>
      </c>
      <c r="P265" s="57"/>
    </row>
    <row r="266" spans="1:16" ht="12" hidden="1" customHeight="1" x14ac:dyDescent="0.25">
      <c r="A266" s="51">
        <v>6422</v>
      </c>
      <c r="B266" s="88" t="s">
        <v>283</v>
      </c>
      <c r="C266" s="89">
        <f t="shared" si="287"/>
        <v>0</v>
      </c>
      <c r="D266" s="194"/>
      <c r="E266" s="195"/>
      <c r="F266" s="55">
        <f t="shared" si="350"/>
        <v>0</v>
      </c>
      <c r="G266" s="53"/>
      <c r="H266" s="54"/>
      <c r="I266" s="55">
        <f t="shared" si="351"/>
        <v>0</v>
      </c>
      <c r="J266" s="53"/>
      <c r="K266" s="54"/>
      <c r="L266" s="55">
        <f t="shared" si="352"/>
        <v>0</v>
      </c>
      <c r="M266" s="53"/>
      <c r="N266" s="54"/>
      <c r="O266" s="55">
        <f t="shared" si="353"/>
        <v>0</v>
      </c>
      <c r="P266" s="57"/>
    </row>
    <row r="267" spans="1:16" ht="13.5" hidden="1" customHeight="1" x14ac:dyDescent="0.25">
      <c r="A267" s="51">
        <v>6423</v>
      </c>
      <c r="B267" s="88" t="s">
        <v>284</v>
      </c>
      <c r="C267" s="89">
        <f t="shared" si="287"/>
        <v>0</v>
      </c>
      <c r="D267" s="194"/>
      <c r="E267" s="195"/>
      <c r="F267" s="55">
        <f t="shared" si="350"/>
        <v>0</v>
      </c>
      <c r="G267" s="53"/>
      <c r="H267" s="54"/>
      <c r="I267" s="55">
        <f t="shared" si="351"/>
        <v>0</v>
      </c>
      <c r="J267" s="53"/>
      <c r="K267" s="54"/>
      <c r="L267" s="55">
        <f t="shared" si="352"/>
        <v>0</v>
      </c>
      <c r="M267" s="53"/>
      <c r="N267" s="54"/>
      <c r="O267" s="55">
        <f t="shared" si="353"/>
        <v>0</v>
      </c>
      <c r="P267" s="57"/>
    </row>
    <row r="268" spans="1:16" ht="36" hidden="1" customHeight="1" x14ac:dyDescent="0.25">
      <c r="A268" s="51">
        <v>6424</v>
      </c>
      <c r="B268" s="88" t="s">
        <v>285</v>
      </c>
      <c r="C268" s="89">
        <f t="shared" si="287"/>
        <v>0</v>
      </c>
      <c r="D268" s="194"/>
      <c r="E268" s="195"/>
      <c r="F268" s="55">
        <f t="shared" si="350"/>
        <v>0</v>
      </c>
      <c r="G268" s="53"/>
      <c r="H268" s="54"/>
      <c r="I268" s="55">
        <f t="shared" si="351"/>
        <v>0</v>
      </c>
      <c r="J268" s="53"/>
      <c r="K268" s="54"/>
      <c r="L268" s="55">
        <f t="shared" si="352"/>
        <v>0</v>
      </c>
      <c r="M268" s="53"/>
      <c r="N268" s="54"/>
      <c r="O268" s="55">
        <f t="shared" si="353"/>
        <v>0</v>
      </c>
      <c r="P268" s="57"/>
    </row>
    <row r="269" spans="1:16" ht="48" hidden="1" x14ac:dyDescent="0.25">
      <c r="A269" s="227">
        <v>7000</v>
      </c>
      <c r="B269" s="227" t="s">
        <v>286</v>
      </c>
      <c r="C269" s="228">
        <f t="shared" si="287"/>
        <v>0</v>
      </c>
      <c r="D269" s="229">
        <f>SUM(D270,D281)</f>
        <v>0</v>
      </c>
      <c r="E269" s="230">
        <f t="shared" ref="E269:F269" si="354">SUM(E270,E281)</f>
        <v>0</v>
      </c>
      <c r="F269" s="231">
        <f t="shared" si="354"/>
        <v>0</v>
      </c>
      <c r="G269" s="229">
        <f>SUM(G270,G281)</f>
        <v>0</v>
      </c>
      <c r="H269" s="230">
        <f t="shared" ref="H269:I269" si="355">SUM(H270,H281)</f>
        <v>0</v>
      </c>
      <c r="I269" s="231">
        <f t="shared" si="355"/>
        <v>0</v>
      </c>
      <c r="J269" s="229">
        <f>SUM(J270,J281)</f>
        <v>0</v>
      </c>
      <c r="K269" s="230">
        <f t="shared" ref="K269:L269" si="356">SUM(K270,K281)</f>
        <v>0</v>
      </c>
      <c r="L269" s="231">
        <f t="shared" si="356"/>
        <v>0</v>
      </c>
      <c r="M269" s="229">
        <f>SUM(M270,M281)</f>
        <v>0</v>
      </c>
      <c r="N269" s="230">
        <f t="shared" ref="N269:O269" si="357">SUM(N270,N281)</f>
        <v>0</v>
      </c>
      <c r="O269" s="231">
        <f t="shared" si="357"/>
        <v>0</v>
      </c>
      <c r="P269" s="232"/>
    </row>
    <row r="270" spans="1:16" ht="24" hidden="1" x14ac:dyDescent="0.25">
      <c r="A270" s="68">
        <v>7200</v>
      </c>
      <c r="B270" s="182" t="s">
        <v>287</v>
      </c>
      <c r="C270" s="69">
        <f t="shared" si="287"/>
        <v>0</v>
      </c>
      <c r="D270" s="183">
        <f>SUM(D271,D272,D275,D276,D280)</f>
        <v>0</v>
      </c>
      <c r="E270" s="184">
        <f t="shared" ref="E270:F270" si="358">SUM(E271,E272,E275,E276,E280)</f>
        <v>0</v>
      </c>
      <c r="F270" s="72">
        <f t="shared" si="358"/>
        <v>0</v>
      </c>
      <c r="G270" s="183">
        <f>SUM(G271,G272,G275,G276,G280)</f>
        <v>0</v>
      </c>
      <c r="H270" s="184">
        <f t="shared" ref="H270:I270" si="359">SUM(H271,H272,H275,H276,H280)</f>
        <v>0</v>
      </c>
      <c r="I270" s="72">
        <f t="shared" si="359"/>
        <v>0</v>
      </c>
      <c r="J270" s="183">
        <f>SUM(J271,J272,J275,J276,J280)</f>
        <v>0</v>
      </c>
      <c r="K270" s="184">
        <f t="shared" ref="K270:L270" si="360">SUM(K271,K272,K275,K276,K280)</f>
        <v>0</v>
      </c>
      <c r="L270" s="72">
        <f t="shared" si="360"/>
        <v>0</v>
      </c>
      <c r="M270" s="183">
        <f>SUM(M271,M272,M275,M276,M280)</f>
        <v>0</v>
      </c>
      <c r="N270" s="184">
        <f t="shared" ref="N270:O270" si="361">SUM(N271,N272,N275,N276,N280)</f>
        <v>0</v>
      </c>
      <c r="O270" s="72">
        <f t="shared" si="361"/>
        <v>0</v>
      </c>
      <c r="P270" s="76"/>
    </row>
    <row r="271" spans="1:16" ht="24" hidden="1" customHeight="1" x14ac:dyDescent="0.25">
      <c r="A271" s="191">
        <v>7210</v>
      </c>
      <c r="B271" s="81" t="s">
        <v>288</v>
      </c>
      <c r="C271" s="82">
        <f t="shared" si="287"/>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7"/>
        <v>0</v>
      </c>
      <c r="D272" s="189">
        <f>SUM(D273:D274)</f>
        <v>0</v>
      </c>
      <c r="E272" s="190">
        <f t="shared" ref="E272:F272" si="362">SUM(E273:E274)</f>
        <v>0</v>
      </c>
      <c r="F272" s="55">
        <f t="shared" si="362"/>
        <v>0</v>
      </c>
      <c r="G272" s="189">
        <f>SUM(G273:G274)</f>
        <v>0</v>
      </c>
      <c r="H272" s="190">
        <f t="shared" ref="H272:I272" si="363">SUM(H273:H274)</f>
        <v>0</v>
      </c>
      <c r="I272" s="55">
        <f t="shared" si="363"/>
        <v>0</v>
      </c>
      <c r="J272" s="189">
        <f>SUM(J273:J274)</f>
        <v>0</v>
      </c>
      <c r="K272" s="190">
        <f t="shared" ref="K272:L272" si="364">SUM(K273:K274)</f>
        <v>0</v>
      </c>
      <c r="L272" s="55">
        <f t="shared" si="364"/>
        <v>0</v>
      </c>
      <c r="M272" s="189">
        <f>SUM(M273:M274)</f>
        <v>0</v>
      </c>
      <c r="N272" s="190">
        <f t="shared" ref="N272:O272" si="365">SUM(N273:N274)</f>
        <v>0</v>
      </c>
      <c r="O272" s="55">
        <f t="shared" si="365"/>
        <v>0</v>
      </c>
      <c r="P272" s="57"/>
    </row>
    <row r="273" spans="1:16" s="233" customFormat="1" ht="36" hidden="1" customHeight="1" x14ac:dyDescent="0.25">
      <c r="A273" s="51">
        <v>7221</v>
      </c>
      <c r="B273" s="88" t="s">
        <v>290</v>
      </c>
      <c r="C273" s="89">
        <f t="shared" si="287"/>
        <v>0</v>
      </c>
      <c r="D273" s="194"/>
      <c r="E273" s="195"/>
      <c r="F273" s="55">
        <f t="shared" ref="F273:F275" si="366">D273+E273</f>
        <v>0</v>
      </c>
      <c r="G273" s="53"/>
      <c r="H273" s="54"/>
      <c r="I273" s="55">
        <f t="shared" ref="I273:I275" si="367">G273+H273</f>
        <v>0</v>
      </c>
      <c r="J273" s="53"/>
      <c r="K273" s="54"/>
      <c r="L273" s="55">
        <f t="shared" ref="L273:L275" si="368">K273+J273</f>
        <v>0</v>
      </c>
      <c r="M273" s="53"/>
      <c r="N273" s="54"/>
      <c r="O273" s="55">
        <f t="shared" ref="O273:O275" si="369">N273+M273</f>
        <v>0</v>
      </c>
      <c r="P273" s="57"/>
    </row>
    <row r="274" spans="1:16" s="233" customFormat="1" ht="36" hidden="1" customHeight="1" x14ac:dyDescent="0.25">
      <c r="A274" s="51">
        <v>7222</v>
      </c>
      <c r="B274" s="88" t="s">
        <v>291</v>
      </c>
      <c r="C274" s="89">
        <f t="shared" si="287"/>
        <v>0</v>
      </c>
      <c r="D274" s="194"/>
      <c r="E274" s="195"/>
      <c r="F274" s="55">
        <f t="shared" si="366"/>
        <v>0</v>
      </c>
      <c r="G274" s="53"/>
      <c r="H274" s="54"/>
      <c r="I274" s="55">
        <f t="shared" si="367"/>
        <v>0</v>
      </c>
      <c r="J274" s="53"/>
      <c r="K274" s="54"/>
      <c r="L274" s="55">
        <f t="shared" si="368"/>
        <v>0</v>
      </c>
      <c r="M274" s="53"/>
      <c r="N274" s="54"/>
      <c r="O274" s="55">
        <f t="shared" si="369"/>
        <v>0</v>
      </c>
      <c r="P274" s="57"/>
    </row>
    <row r="275" spans="1:16" ht="24" hidden="1" customHeight="1" x14ac:dyDescent="0.25">
      <c r="A275" s="188">
        <v>7230</v>
      </c>
      <c r="B275" s="88" t="s">
        <v>292</v>
      </c>
      <c r="C275" s="89">
        <f t="shared" si="287"/>
        <v>0</v>
      </c>
      <c r="D275" s="194"/>
      <c r="E275" s="195"/>
      <c r="F275" s="55">
        <f t="shared" si="366"/>
        <v>0</v>
      </c>
      <c r="G275" s="53"/>
      <c r="H275" s="54"/>
      <c r="I275" s="55">
        <f t="shared" si="367"/>
        <v>0</v>
      </c>
      <c r="J275" s="53"/>
      <c r="K275" s="54"/>
      <c r="L275" s="55">
        <f t="shared" si="368"/>
        <v>0</v>
      </c>
      <c r="M275" s="53"/>
      <c r="N275" s="54"/>
      <c r="O275" s="55">
        <f t="shared" si="369"/>
        <v>0</v>
      </c>
      <c r="P275" s="57"/>
    </row>
    <row r="276" spans="1:16" ht="24" hidden="1" x14ac:dyDescent="0.25">
      <c r="A276" s="188">
        <v>7240</v>
      </c>
      <c r="B276" s="88" t="s">
        <v>293</v>
      </c>
      <c r="C276" s="89">
        <f t="shared" ref="C276:C301" si="370">F276+I276+L276+O276</f>
        <v>0</v>
      </c>
      <c r="D276" s="189">
        <f t="shared" ref="D276:O276" si="371">SUM(D277:D279)</f>
        <v>0</v>
      </c>
      <c r="E276" s="190">
        <f t="shared" si="371"/>
        <v>0</v>
      </c>
      <c r="F276" s="55">
        <f t="shared" si="371"/>
        <v>0</v>
      </c>
      <c r="G276" s="189">
        <f t="shared" si="371"/>
        <v>0</v>
      </c>
      <c r="H276" s="190">
        <f t="shared" si="371"/>
        <v>0</v>
      </c>
      <c r="I276" s="55">
        <f t="shared" si="371"/>
        <v>0</v>
      </c>
      <c r="J276" s="189">
        <f>SUM(J277:J279)</f>
        <v>0</v>
      </c>
      <c r="K276" s="190">
        <f t="shared" ref="K276:L276" si="372">SUM(K277:K279)</f>
        <v>0</v>
      </c>
      <c r="L276" s="55">
        <f t="shared" si="372"/>
        <v>0</v>
      </c>
      <c r="M276" s="189">
        <f t="shared" si="371"/>
        <v>0</v>
      </c>
      <c r="N276" s="190">
        <f t="shared" si="371"/>
        <v>0</v>
      </c>
      <c r="O276" s="55">
        <f t="shared" si="371"/>
        <v>0</v>
      </c>
      <c r="P276" s="57"/>
    </row>
    <row r="277" spans="1:16" ht="48" hidden="1" customHeight="1" x14ac:dyDescent="0.25">
      <c r="A277" s="51">
        <v>7245</v>
      </c>
      <c r="B277" s="88" t="s">
        <v>294</v>
      </c>
      <c r="C277" s="89">
        <f t="shared" si="370"/>
        <v>0</v>
      </c>
      <c r="D277" s="194"/>
      <c r="E277" s="195"/>
      <c r="F277" s="55">
        <f t="shared" ref="F277:F280" si="373">D277+E277</f>
        <v>0</v>
      </c>
      <c r="G277" s="53"/>
      <c r="H277" s="54"/>
      <c r="I277" s="55">
        <f t="shared" ref="I277:I280" si="374">G277+H277</f>
        <v>0</v>
      </c>
      <c r="J277" s="53"/>
      <c r="K277" s="54"/>
      <c r="L277" s="55">
        <f t="shared" ref="L277:L280" si="375">K277+J277</f>
        <v>0</v>
      </c>
      <c r="M277" s="53"/>
      <c r="N277" s="54"/>
      <c r="O277" s="55">
        <f t="shared" ref="O277:O280" si="376">N277+M277</f>
        <v>0</v>
      </c>
      <c r="P277" s="57"/>
    </row>
    <row r="278" spans="1:16" ht="84.75" hidden="1" customHeight="1" x14ac:dyDescent="0.25">
      <c r="A278" s="51">
        <v>7246</v>
      </c>
      <c r="B278" s="88" t="s">
        <v>295</v>
      </c>
      <c r="C278" s="89">
        <f t="shared" si="370"/>
        <v>0</v>
      </c>
      <c r="D278" s="194"/>
      <c r="E278" s="195"/>
      <c r="F278" s="55">
        <f t="shared" si="373"/>
        <v>0</v>
      </c>
      <c r="G278" s="53"/>
      <c r="H278" s="54"/>
      <c r="I278" s="55">
        <f t="shared" si="374"/>
        <v>0</v>
      </c>
      <c r="J278" s="53"/>
      <c r="K278" s="54"/>
      <c r="L278" s="55">
        <f t="shared" si="375"/>
        <v>0</v>
      </c>
      <c r="M278" s="53"/>
      <c r="N278" s="54"/>
      <c r="O278" s="55">
        <f t="shared" si="376"/>
        <v>0</v>
      </c>
      <c r="P278" s="57"/>
    </row>
    <row r="279" spans="1:16" ht="36" hidden="1" customHeight="1" x14ac:dyDescent="0.25">
      <c r="A279" s="51">
        <v>7247</v>
      </c>
      <c r="B279" s="88" t="s">
        <v>296</v>
      </c>
      <c r="C279" s="89">
        <f t="shared" si="370"/>
        <v>0</v>
      </c>
      <c r="D279" s="194"/>
      <c r="E279" s="195"/>
      <c r="F279" s="55">
        <f t="shared" si="373"/>
        <v>0</v>
      </c>
      <c r="G279" s="53"/>
      <c r="H279" s="54"/>
      <c r="I279" s="55">
        <f t="shared" si="374"/>
        <v>0</v>
      </c>
      <c r="J279" s="53"/>
      <c r="K279" s="54"/>
      <c r="L279" s="55">
        <f t="shared" si="375"/>
        <v>0</v>
      </c>
      <c r="M279" s="53"/>
      <c r="N279" s="54"/>
      <c r="O279" s="55">
        <f t="shared" si="376"/>
        <v>0</v>
      </c>
      <c r="P279" s="57"/>
    </row>
    <row r="280" spans="1:16" ht="24" hidden="1" customHeight="1" x14ac:dyDescent="0.25">
      <c r="A280" s="191">
        <v>7260</v>
      </c>
      <c r="B280" s="81" t="s">
        <v>297</v>
      </c>
      <c r="C280" s="82">
        <f t="shared" si="370"/>
        <v>0</v>
      </c>
      <c r="D280" s="196"/>
      <c r="E280" s="197"/>
      <c r="F280" s="133">
        <f t="shared" si="373"/>
        <v>0</v>
      </c>
      <c r="G280" s="46"/>
      <c r="H280" s="47"/>
      <c r="I280" s="133">
        <f t="shared" si="374"/>
        <v>0</v>
      </c>
      <c r="J280" s="46"/>
      <c r="K280" s="47"/>
      <c r="L280" s="133">
        <f t="shared" si="375"/>
        <v>0</v>
      </c>
      <c r="M280" s="46"/>
      <c r="N280" s="47"/>
      <c r="O280" s="133">
        <f t="shared" si="376"/>
        <v>0</v>
      </c>
      <c r="P280" s="49"/>
    </row>
    <row r="281" spans="1:16" hidden="1" x14ac:dyDescent="0.25">
      <c r="A281" s="135">
        <v>7700</v>
      </c>
      <c r="B281" s="108" t="s">
        <v>298</v>
      </c>
      <c r="C281" s="109">
        <f t="shared" si="370"/>
        <v>0</v>
      </c>
      <c r="D281" s="234">
        <f t="shared" ref="D281:O281" si="377">D282</f>
        <v>0</v>
      </c>
      <c r="E281" s="235">
        <f t="shared" si="377"/>
        <v>0</v>
      </c>
      <c r="F281" s="130">
        <f t="shared" si="377"/>
        <v>0</v>
      </c>
      <c r="G281" s="234">
        <f t="shared" si="377"/>
        <v>0</v>
      </c>
      <c r="H281" s="235">
        <f t="shared" si="377"/>
        <v>0</v>
      </c>
      <c r="I281" s="130">
        <f t="shared" si="377"/>
        <v>0</v>
      </c>
      <c r="J281" s="234">
        <f t="shared" si="377"/>
        <v>0</v>
      </c>
      <c r="K281" s="235">
        <f t="shared" si="377"/>
        <v>0</v>
      </c>
      <c r="L281" s="130">
        <f t="shared" si="377"/>
        <v>0</v>
      </c>
      <c r="M281" s="234">
        <f t="shared" si="377"/>
        <v>0</v>
      </c>
      <c r="N281" s="235">
        <f t="shared" si="377"/>
        <v>0</v>
      </c>
      <c r="O281" s="130">
        <f t="shared" si="377"/>
        <v>0</v>
      </c>
      <c r="P281" s="118"/>
    </row>
    <row r="282" spans="1:16" ht="12" hidden="1" customHeight="1" x14ac:dyDescent="0.25">
      <c r="A282" s="185">
        <v>7720</v>
      </c>
      <c r="B282" s="81" t="s">
        <v>299</v>
      </c>
      <c r="C282" s="97">
        <f t="shared" si="370"/>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0"/>
        <v>0</v>
      </c>
      <c r="D283" s="242">
        <f t="shared" ref="D283:O284" si="378">D284</f>
        <v>0</v>
      </c>
      <c r="E283" s="243">
        <f t="shared" si="378"/>
        <v>0</v>
      </c>
      <c r="F283" s="244">
        <f t="shared" si="378"/>
        <v>0</v>
      </c>
      <c r="G283" s="242">
        <f>G284</f>
        <v>0</v>
      </c>
      <c r="H283" s="243">
        <f t="shared" ref="H283:I283" si="379">H284</f>
        <v>0</v>
      </c>
      <c r="I283" s="244">
        <f t="shared" si="379"/>
        <v>0</v>
      </c>
      <c r="J283" s="242">
        <f t="shared" si="378"/>
        <v>0</v>
      </c>
      <c r="K283" s="243">
        <f t="shared" si="378"/>
        <v>0</v>
      </c>
      <c r="L283" s="244">
        <f t="shared" si="378"/>
        <v>0</v>
      </c>
      <c r="M283" s="242">
        <f t="shared" si="378"/>
        <v>0</v>
      </c>
      <c r="N283" s="243">
        <f t="shared" si="378"/>
        <v>0</v>
      </c>
      <c r="O283" s="244">
        <f t="shared" si="378"/>
        <v>0</v>
      </c>
      <c r="P283" s="245"/>
    </row>
    <row r="284" spans="1:16" ht="24" hidden="1" x14ac:dyDescent="0.25">
      <c r="A284" s="246">
        <v>9200</v>
      </c>
      <c r="B284" s="88" t="s">
        <v>301</v>
      </c>
      <c r="C284" s="142">
        <f t="shared" si="370"/>
        <v>0</v>
      </c>
      <c r="D284" s="186">
        <f t="shared" si="378"/>
        <v>0</v>
      </c>
      <c r="E284" s="187">
        <f t="shared" si="378"/>
        <v>0</v>
      </c>
      <c r="F284" s="140">
        <f t="shared" si="378"/>
        <v>0</v>
      </c>
      <c r="G284" s="186">
        <f t="shared" si="378"/>
        <v>0</v>
      </c>
      <c r="H284" s="187">
        <f t="shared" si="378"/>
        <v>0</v>
      </c>
      <c r="I284" s="140">
        <f t="shared" si="378"/>
        <v>0</v>
      </c>
      <c r="J284" s="186">
        <f t="shared" si="378"/>
        <v>0</v>
      </c>
      <c r="K284" s="187">
        <f t="shared" si="378"/>
        <v>0</v>
      </c>
      <c r="L284" s="140">
        <f t="shared" si="378"/>
        <v>0</v>
      </c>
      <c r="M284" s="186">
        <f t="shared" si="378"/>
        <v>0</v>
      </c>
      <c r="N284" s="187">
        <f t="shared" si="378"/>
        <v>0</v>
      </c>
      <c r="O284" s="140">
        <f t="shared" si="378"/>
        <v>0</v>
      </c>
      <c r="P284" s="128"/>
    </row>
    <row r="285" spans="1:16" ht="24" hidden="1" customHeight="1" x14ac:dyDescent="0.25">
      <c r="A285" s="247">
        <v>9230</v>
      </c>
      <c r="B285" s="88" t="s">
        <v>302</v>
      </c>
      <c r="C285" s="142">
        <f t="shared" si="370"/>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0"/>
        <v>0</v>
      </c>
      <c r="D286" s="189">
        <f>SUM(D287:D288)</f>
        <v>0</v>
      </c>
      <c r="E286" s="190">
        <f t="shared" ref="E286:F286" si="380">SUM(E287:E288)</f>
        <v>0</v>
      </c>
      <c r="F286" s="55">
        <f t="shared" si="380"/>
        <v>0</v>
      </c>
      <c r="G286" s="189">
        <f>SUM(G287:G288)</f>
        <v>0</v>
      </c>
      <c r="H286" s="190">
        <f t="shared" ref="H286:I286" si="381">SUM(H287:H288)</f>
        <v>0</v>
      </c>
      <c r="I286" s="55">
        <f t="shared" si="381"/>
        <v>0</v>
      </c>
      <c r="J286" s="189">
        <f>SUM(J287:J288)</f>
        <v>0</v>
      </c>
      <c r="K286" s="190">
        <f t="shared" ref="K286:L286" si="382">SUM(K287:K288)</f>
        <v>0</v>
      </c>
      <c r="L286" s="55">
        <f t="shared" si="382"/>
        <v>0</v>
      </c>
      <c r="M286" s="189">
        <f>SUM(M287:M288)</f>
        <v>0</v>
      </c>
      <c r="N286" s="190">
        <f t="shared" ref="N286:O286" si="383">SUM(N287:N288)</f>
        <v>0</v>
      </c>
      <c r="O286" s="55">
        <f t="shared" si="383"/>
        <v>0</v>
      </c>
      <c r="P286" s="57"/>
    </row>
    <row r="287" spans="1:16" ht="12" hidden="1" customHeight="1" x14ac:dyDescent="0.25">
      <c r="A287" s="199" t="s">
        <v>304</v>
      </c>
      <c r="B287" s="51" t="s">
        <v>305</v>
      </c>
      <c r="C287" s="89">
        <f t="shared" si="370"/>
        <v>0</v>
      </c>
      <c r="D287" s="194"/>
      <c r="E287" s="195"/>
      <c r="F287" s="55">
        <f t="shared" ref="F287:F288" si="384">D287+E287</f>
        <v>0</v>
      </c>
      <c r="G287" s="53"/>
      <c r="H287" s="54"/>
      <c r="I287" s="55">
        <f t="shared" ref="I287:I288" si="385">G287+H287</f>
        <v>0</v>
      </c>
      <c r="J287" s="53"/>
      <c r="K287" s="54"/>
      <c r="L287" s="55">
        <f t="shared" ref="L287:L288" si="386">K287+J287</f>
        <v>0</v>
      </c>
      <c r="M287" s="53"/>
      <c r="N287" s="54"/>
      <c r="O287" s="55">
        <f t="shared" ref="O287:O288" si="387">N287+M287</f>
        <v>0</v>
      </c>
      <c r="P287" s="57"/>
    </row>
    <row r="288" spans="1:16" ht="24" hidden="1" customHeight="1" x14ac:dyDescent="0.25">
      <c r="A288" s="199" t="s">
        <v>306</v>
      </c>
      <c r="B288" s="248" t="s">
        <v>307</v>
      </c>
      <c r="C288" s="82">
        <f t="shared" si="370"/>
        <v>0</v>
      </c>
      <c r="D288" s="196"/>
      <c r="E288" s="197"/>
      <c r="F288" s="133">
        <f t="shared" si="384"/>
        <v>0</v>
      </c>
      <c r="G288" s="46"/>
      <c r="H288" s="47"/>
      <c r="I288" s="133">
        <f t="shared" si="385"/>
        <v>0</v>
      </c>
      <c r="J288" s="46"/>
      <c r="K288" s="47"/>
      <c r="L288" s="133">
        <f t="shared" si="386"/>
        <v>0</v>
      </c>
      <c r="M288" s="46"/>
      <c r="N288" s="47"/>
      <c r="O288" s="133">
        <f t="shared" si="387"/>
        <v>0</v>
      </c>
      <c r="P288" s="49"/>
    </row>
    <row r="289" spans="1:16" ht="12.75" thickBot="1" x14ac:dyDescent="0.3">
      <c r="A289" s="249"/>
      <c r="B289" s="249" t="s">
        <v>308</v>
      </c>
      <c r="C289" s="250">
        <f t="shared" si="370"/>
        <v>72602</v>
      </c>
      <c r="D289" s="251">
        <f t="shared" ref="D289:O289" si="388">SUM(D286,D269,D230,D195,D187,D173,D75,D53,D283)</f>
        <v>0</v>
      </c>
      <c r="E289" s="252">
        <f t="shared" si="388"/>
        <v>0</v>
      </c>
      <c r="F289" s="253">
        <f t="shared" si="388"/>
        <v>0</v>
      </c>
      <c r="G289" s="251">
        <f t="shared" si="388"/>
        <v>58201</v>
      </c>
      <c r="H289" s="252">
        <f t="shared" si="388"/>
        <v>14401</v>
      </c>
      <c r="I289" s="253">
        <f t="shared" si="388"/>
        <v>72602</v>
      </c>
      <c r="J289" s="251">
        <f t="shared" si="388"/>
        <v>0</v>
      </c>
      <c r="K289" s="252">
        <f t="shared" si="388"/>
        <v>0</v>
      </c>
      <c r="L289" s="253">
        <f t="shared" si="388"/>
        <v>0</v>
      </c>
      <c r="M289" s="251">
        <f t="shared" si="388"/>
        <v>0</v>
      </c>
      <c r="N289" s="252">
        <f t="shared" si="388"/>
        <v>0</v>
      </c>
      <c r="O289" s="253">
        <f t="shared" si="388"/>
        <v>0</v>
      </c>
      <c r="P289" s="254"/>
    </row>
    <row r="290" spans="1:16" s="28" customFormat="1" ht="13.5" thickTop="1" thickBot="1" x14ac:dyDescent="0.3">
      <c r="A290" s="1945" t="s">
        <v>309</v>
      </c>
      <c r="B290" s="1946"/>
      <c r="C290" s="255">
        <f t="shared" si="370"/>
        <v>-5401</v>
      </c>
      <c r="D290" s="256">
        <f>SUM(D24,D25,D41)-D51</f>
        <v>0</v>
      </c>
      <c r="E290" s="257">
        <f t="shared" ref="E290:F290" si="389">SUM(E24,E25,E41)-E51</f>
        <v>0</v>
      </c>
      <c r="F290" s="258">
        <f t="shared" si="389"/>
        <v>0</v>
      </c>
      <c r="G290" s="256">
        <f>SUM(G24,G25,G41)-G51</f>
        <v>-5401</v>
      </c>
      <c r="H290" s="257">
        <f t="shared" ref="H290:I290" si="390">SUM(H24,H25,H41)-H51</f>
        <v>0</v>
      </c>
      <c r="I290" s="258">
        <f t="shared" si="390"/>
        <v>-5401</v>
      </c>
      <c r="J290" s="256">
        <f>(J26+J43)-J51</f>
        <v>0</v>
      </c>
      <c r="K290" s="257">
        <f t="shared" ref="K290:L290" si="391">(K26+K43)-K51</f>
        <v>0</v>
      </c>
      <c r="L290" s="258">
        <f t="shared" si="391"/>
        <v>0</v>
      </c>
      <c r="M290" s="256">
        <f>M45-M51</f>
        <v>0</v>
      </c>
      <c r="N290" s="257">
        <f t="shared" ref="N290:O290" si="392">N45-N51</f>
        <v>0</v>
      </c>
      <c r="O290" s="258">
        <f t="shared" si="392"/>
        <v>0</v>
      </c>
      <c r="P290" s="259"/>
    </row>
    <row r="291" spans="1:16" s="28" customFormat="1" ht="12.75" thickTop="1" x14ac:dyDescent="0.25">
      <c r="A291" s="1947" t="s">
        <v>310</v>
      </c>
      <c r="B291" s="1948"/>
      <c r="C291" s="260">
        <f t="shared" si="370"/>
        <v>5401</v>
      </c>
      <c r="D291" s="261">
        <f t="shared" ref="D291:O291" si="393">SUM(D292,D293)-D300+D301</f>
        <v>0</v>
      </c>
      <c r="E291" s="262">
        <f t="shared" si="393"/>
        <v>0</v>
      </c>
      <c r="F291" s="263">
        <f t="shared" si="393"/>
        <v>0</v>
      </c>
      <c r="G291" s="261">
        <f t="shared" si="393"/>
        <v>5401</v>
      </c>
      <c r="H291" s="262">
        <f t="shared" si="393"/>
        <v>0</v>
      </c>
      <c r="I291" s="263">
        <f t="shared" si="393"/>
        <v>5401</v>
      </c>
      <c r="J291" s="261">
        <f t="shared" si="393"/>
        <v>0</v>
      </c>
      <c r="K291" s="262">
        <f t="shared" si="393"/>
        <v>0</v>
      </c>
      <c r="L291" s="263">
        <f t="shared" si="393"/>
        <v>0</v>
      </c>
      <c r="M291" s="261">
        <f t="shared" si="393"/>
        <v>0</v>
      </c>
      <c r="N291" s="262">
        <f t="shared" si="393"/>
        <v>0</v>
      </c>
      <c r="O291" s="263">
        <f t="shared" si="393"/>
        <v>0</v>
      </c>
      <c r="P291" s="264"/>
    </row>
    <row r="292" spans="1:16" s="28" customFormat="1" ht="12.75" thickBot="1" x14ac:dyDescent="0.3">
      <c r="A292" s="156" t="s">
        <v>311</v>
      </c>
      <c r="B292" s="156" t="s">
        <v>312</v>
      </c>
      <c r="C292" s="157">
        <f t="shared" si="370"/>
        <v>5401</v>
      </c>
      <c r="D292" s="158">
        <f t="shared" ref="D292:O292" si="394">D21-D286</f>
        <v>0</v>
      </c>
      <c r="E292" s="159">
        <f t="shared" si="394"/>
        <v>0</v>
      </c>
      <c r="F292" s="160">
        <f t="shared" si="394"/>
        <v>0</v>
      </c>
      <c r="G292" s="158">
        <f t="shared" si="394"/>
        <v>5401</v>
      </c>
      <c r="H292" s="159">
        <f t="shared" si="394"/>
        <v>0</v>
      </c>
      <c r="I292" s="160">
        <f t="shared" si="394"/>
        <v>5401</v>
      </c>
      <c r="J292" s="158">
        <f t="shared" si="394"/>
        <v>0</v>
      </c>
      <c r="K292" s="159">
        <f t="shared" si="394"/>
        <v>0</v>
      </c>
      <c r="L292" s="160">
        <f t="shared" si="394"/>
        <v>0</v>
      </c>
      <c r="M292" s="158">
        <f t="shared" si="394"/>
        <v>0</v>
      </c>
      <c r="N292" s="159">
        <f t="shared" si="394"/>
        <v>0</v>
      </c>
      <c r="O292" s="160">
        <f t="shared" si="394"/>
        <v>0</v>
      </c>
      <c r="P292" s="35"/>
    </row>
    <row r="293" spans="1:16" s="28" customFormat="1" ht="12.75" hidden="1" thickTop="1" x14ac:dyDescent="0.25">
      <c r="A293" s="265" t="s">
        <v>313</v>
      </c>
      <c r="B293" s="265" t="s">
        <v>314</v>
      </c>
      <c r="C293" s="260">
        <f t="shared" si="370"/>
        <v>0</v>
      </c>
      <c r="D293" s="261">
        <f t="shared" ref="D293:O293" si="395">SUM(D294,D296,D298)-SUM(D295,D297,D299)</f>
        <v>0</v>
      </c>
      <c r="E293" s="262">
        <f t="shared" si="395"/>
        <v>0</v>
      </c>
      <c r="F293" s="263">
        <f t="shared" si="395"/>
        <v>0</v>
      </c>
      <c r="G293" s="261">
        <f t="shared" si="395"/>
        <v>0</v>
      </c>
      <c r="H293" s="262">
        <f t="shared" si="395"/>
        <v>0</v>
      </c>
      <c r="I293" s="263">
        <f t="shared" si="395"/>
        <v>0</v>
      </c>
      <c r="J293" s="261">
        <f t="shared" si="395"/>
        <v>0</v>
      </c>
      <c r="K293" s="262">
        <f t="shared" si="395"/>
        <v>0</v>
      </c>
      <c r="L293" s="263">
        <f t="shared" si="395"/>
        <v>0</v>
      </c>
      <c r="M293" s="261">
        <f t="shared" si="395"/>
        <v>0</v>
      </c>
      <c r="N293" s="262">
        <f t="shared" si="395"/>
        <v>0</v>
      </c>
      <c r="O293" s="263">
        <f t="shared" si="395"/>
        <v>0</v>
      </c>
      <c r="P293" s="264"/>
    </row>
    <row r="294" spans="1:16" ht="12" hidden="1" customHeight="1" x14ac:dyDescent="0.25">
      <c r="A294" s="266" t="s">
        <v>315</v>
      </c>
      <c r="B294" s="141" t="s">
        <v>316</v>
      </c>
      <c r="C294" s="97">
        <f t="shared" si="370"/>
        <v>0</v>
      </c>
      <c r="D294" s="236"/>
      <c r="E294" s="237"/>
      <c r="F294" s="238">
        <f t="shared" ref="F294:F301" si="396">D294+E294</f>
        <v>0</v>
      </c>
      <c r="G294" s="101"/>
      <c r="H294" s="102"/>
      <c r="I294" s="238">
        <f t="shared" ref="I294:I301" si="397">G294+H294</f>
        <v>0</v>
      </c>
      <c r="J294" s="101"/>
      <c r="K294" s="102"/>
      <c r="L294" s="238">
        <f t="shared" ref="L294:L301" si="398">K294+J294</f>
        <v>0</v>
      </c>
      <c r="M294" s="101"/>
      <c r="N294" s="102"/>
      <c r="O294" s="238">
        <f t="shared" ref="O294:O301" si="399">N294+M294</f>
        <v>0</v>
      </c>
      <c r="P294" s="106"/>
    </row>
    <row r="295" spans="1:16" ht="24" hidden="1" customHeight="1" x14ac:dyDescent="0.25">
      <c r="A295" s="199" t="s">
        <v>317</v>
      </c>
      <c r="B295" s="50" t="s">
        <v>318</v>
      </c>
      <c r="C295" s="89">
        <f t="shared" si="370"/>
        <v>0</v>
      </c>
      <c r="D295" s="194"/>
      <c r="E295" s="195"/>
      <c r="F295" s="55">
        <f t="shared" si="396"/>
        <v>0</v>
      </c>
      <c r="G295" s="53"/>
      <c r="H295" s="54"/>
      <c r="I295" s="55">
        <f t="shared" si="397"/>
        <v>0</v>
      </c>
      <c r="J295" s="53"/>
      <c r="K295" s="54"/>
      <c r="L295" s="55">
        <f t="shared" si="398"/>
        <v>0</v>
      </c>
      <c r="M295" s="53"/>
      <c r="N295" s="54"/>
      <c r="O295" s="55">
        <f t="shared" si="399"/>
        <v>0</v>
      </c>
      <c r="P295" s="57"/>
    </row>
    <row r="296" spans="1:16" ht="12" hidden="1" customHeight="1" x14ac:dyDescent="0.25">
      <c r="A296" s="199" t="s">
        <v>319</v>
      </c>
      <c r="B296" s="50" t="s">
        <v>320</v>
      </c>
      <c r="C296" s="89">
        <f t="shared" si="370"/>
        <v>0</v>
      </c>
      <c r="D296" s="194"/>
      <c r="E296" s="195"/>
      <c r="F296" s="55">
        <f t="shared" si="396"/>
        <v>0</v>
      </c>
      <c r="G296" s="53"/>
      <c r="H296" s="54"/>
      <c r="I296" s="55">
        <f t="shared" si="397"/>
        <v>0</v>
      </c>
      <c r="J296" s="53"/>
      <c r="K296" s="54"/>
      <c r="L296" s="55">
        <f t="shared" si="398"/>
        <v>0</v>
      </c>
      <c r="M296" s="53"/>
      <c r="N296" s="54"/>
      <c r="O296" s="55">
        <f t="shared" si="399"/>
        <v>0</v>
      </c>
      <c r="P296" s="57"/>
    </row>
    <row r="297" spans="1:16" ht="24" hidden="1" customHeight="1" x14ac:dyDescent="0.25">
      <c r="A297" s="199" t="s">
        <v>321</v>
      </c>
      <c r="B297" s="50" t="s">
        <v>322</v>
      </c>
      <c r="C297" s="89">
        <f t="shared" si="370"/>
        <v>0</v>
      </c>
      <c r="D297" s="194"/>
      <c r="E297" s="195"/>
      <c r="F297" s="55">
        <f t="shared" si="396"/>
        <v>0</v>
      </c>
      <c r="G297" s="53"/>
      <c r="H297" s="54"/>
      <c r="I297" s="55">
        <f t="shared" si="397"/>
        <v>0</v>
      </c>
      <c r="J297" s="53"/>
      <c r="K297" s="54"/>
      <c r="L297" s="55">
        <f t="shared" si="398"/>
        <v>0</v>
      </c>
      <c r="M297" s="53"/>
      <c r="N297" s="54"/>
      <c r="O297" s="55">
        <f t="shared" si="399"/>
        <v>0</v>
      </c>
      <c r="P297" s="57"/>
    </row>
    <row r="298" spans="1:16" ht="12" hidden="1" customHeight="1" x14ac:dyDescent="0.25">
      <c r="A298" s="199" t="s">
        <v>323</v>
      </c>
      <c r="B298" s="50" t="s">
        <v>324</v>
      </c>
      <c r="C298" s="89">
        <f t="shared" si="370"/>
        <v>0</v>
      </c>
      <c r="D298" s="194"/>
      <c r="E298" s="195"/>
      <c r="F298" s="55">
        <f t="shared" si="396"/>
        <v>0</v>
      </c>
      <c r="G298" s="53"/>
      <c r="H298" s="54"/>
      <c r="I298" s="55">
        <f t="shared" si="397"/>
        <v>0</v>
      </c>
      <c r="J298" s="53"/>
      <c r="K298" s="54"/>
      <c r="L298" s="55">
        <f t="shared" si="398"/>
        <v>0</v>
      </c>
      <c r="M298" s="53"/>
      <c r="N298" s="54"/>
      <c r="O298" s="55">
        <f t="shared" si="399"/>
        <v>0</v>
      </c>
      <c r="P298" s="57"/>
    </row>
    <row r="299" spans="1:16" ht="24.75" hidden="1" customHeight="1" thickBot="1" x14ac:dyDescent="0.25">
      <c r="A299" s="267" t="s">
        <v>325</v>
      </c>
      <c r="B299" s="268" t="s">
        <v>326</v>
      </c>
      <c r="C299" s="208">
        <f t="shared" si="370"/>
        <v>0</v>
      </c>
      <c r="D299" s="210"/>
      <c r="E299" s="211"/>
      <c r="F299" s="212">
        <f t="shared" si="396"/>
        <v>0</v>
      </c>
      <c r="G299" s="213"/>
      <c r="H299" s="214"/>
      <c r="I299" s="212">
        <f t="shared" si="397"/>
        <v>0</v>
      </c>
      <c r="J299" s="213"/>
      <c r="K299" s="214"/>
      <c r="L299" s="212">
        <f t="shared" si="398"/>
        <v>0</v>
      </c>
      <c r="M299" s="213"/>
      <c r="N299" s="214"/>
      <c r="O299" s="212">
        <f t="shared" si="399"/>
        <v>0</v>
      </c>
      <c r="P299" s="215"/>
    </row>
    <row r="300" spans="1:16" s="28" customFormat="1" ht="13.5" hidden="1" customHeight="1" thickTop="1" thickBot="1" x14ac:dyDescent="0.3">
      <c r="A300" s="269" t="s">
        <v>327</v>
      </c>
      <c r="B300" s="269" t="s">
        <v>328</v>
      </c>
      <c r="C300" s="255">
        <f t="shared" si="370"/>
        <v>0</v>
      </c>
      <c r="D300" s="270"/>
      <c r="E300" s="271"/>
      <c r="F300" s="258">
        <f t="shared" si="396"/>
        <v>0</v>
      </c>
      <c r="G300" s="270"/>
      <c r="H300" s="271"/>
      <c r="I300" s="272">
        <f t="shared" si="397"/>
        <v>0</v>
      </c>
      <c r="J300" s="270"/>
      <c r="K300" s="271"/>
      <c r="L300" s="272">
        <f t="shared" si="398"/>
        <v>0</v>
      </c>
      <c r="M300" s="270"/>
      <c r="N300" s="271"/>
      <c r="O300" s="272">
        <f t="shared" si="399"/>
        <v>0</v>
      </c>
      <c r="P300" s="273"/>
    </row>
    <row r="301" spans="1:16" s="28" customFormat="1" ht="48.75" hidden="1" customHeight="1" thickTop="1" x14ac:dyDescent="0.25">
      <c r="A301" s="265" t="s">
        <v>329</v>
      </c>
      <c r="B301" s="274" t="s">
        <v>330</v>
      </c>
      <c r="C301" s="260">
        <f t="shared" si="370"/>
        <v>0</v>
      </c>
      <c r="D301" s="204"/>
      <c r="E301" s="205"/>
      <c r="F301" s="72">
        <f t="shared" si="396"/>
        <v>0</v>
      </c>
      <c r="G301" s="204"/>
      <c r="H301" s="205"/>
      <c r="I301" s="72">
        <f t="shared" si="397"/>
        <v>0</v>
      </c>
      <c r="J301" s="204"/>
      <c r="K301" s="205"/>
      <c r="L301" s="72">
        <f t="shared" si="398"/>
        <v>0</v>
      </c>
      <c r="M301" s="204"/>
      <c r="N301" s="205"/>
      <c r="O301" s="72">
        <f t="shared" si="399"/>
        <v>0</v>
      </c>
      <c r="P301" s="76"/>
    </row>
    <row r="302" spans="1:16" ht="12.75" thickTop="1" x14ac:dyDescent="0.25">
      <c r="A302" s="4"/>
      <c r="B302" s="4"/>
      <c r="C302" s="4"/>
      <c r="D302" s="4"/>
      <c r="E302" s="4"/>
      <c r="F302" s="4"/>
      <c r="G302" s="4"/>
      <c r="H302" s="4"/>
      <c r="I302" s="4"/>
      <c r="J302" s="4"/>
      <c r="K302" s="4"/>
      <c r="L302" s="4"/>
      <c r="M302" s="4"/>
    </row>
  </sheetData>
  <sheetProtection algorithmName="SHA-512" hashValue="jyoFKnGHvWMbZcLBkzAeEW/BSXkI+1VO3wGe7yRslYY+A1ip3miza1LaVtDTQ5RuIGDSJZ6VacQNVF1kvhEieA==" saltValue="BfahwY+2TjGsvkRUCCUGvg==" spinCount="100000" sheet="1" objects="1" scenarios="1" formatCells="0" formatColumns="0" formatRows="0" deleteColumns="0"/>
  <autoFilter ref="A18:P301">
    <filterColumn colId="2">
      <filters>
        <filter val="1 006"/>
        <filter val="1 157"/>
        <filter val="1 514"/>
        <filter val="1 536"/>
        <filter val="11 980"/>
        <filter val="12 792"/>
        <filter val="13 994"/>
        <filter val="15 533"/>
        <filter val="15 898"/>
        <filter val="16 340"/>
        <filter val="17 876"/>
        <filter val="18 831"/>
        <filter val="2 358"/>
        <filter val="2 705"/>
        <filter val="21 635"/>
        <filter val="25"/>
        <filter val="3 230"/>
        <filter val="3 599"/>
        <filter val="30 668"/>
        <filter val="343"/>
        <filter val="37 168"/>
        <filter val="4 766"/>
        <filter val="5 401"/>
        <filter val="-5 401"/>
        <filter val="575"/>
        <filter val="641"/>
        <filter val="647"/>
        <filter val="67 836"/>
        <filter val="7 347"/>
        <filter val="72 602"/>
        <filter val="812"/>
        <filter val="867"/>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65.pielikums Jūrmalas pilsētas domes
2019.gada 29.augusta saistošajiem noteikumiem Nr.31
(protokols Nr.12, 20.punkts)
 </firstHeader>
    <firstFooter>&amp;L&amp;9&amp;D; &amp;T&amp;R&amp;9&amp;P (&amp;N)</first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showGridLines="0" view="pageLayout" zoomScaleNormal="100" workbookViewId="0">
      <selection activeCell="T7" sqref="T7"/>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346</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38.25" customHeight="1" x14ac:dyDescent="0.25">
      <c r="A3" s="5" t="s">
        <v>2</v>
      </c>
      <c r="B3" s="6"/>
      <c r="C3" s="1977" t="s">
        <v>347</v>
      </c>
      <c r="D3" s="1977"/>
      <c r="E3" s="1977"/>
      <c r="F3" s="1977"/>
      <c r="G3" s="1977"/>
      <c r="H3" s="1977"/>
      <c r="I3" s="1977"/>
      <c r="J3" s="1977"/>
      <c r="K3" s="1977"/>
      <c r="L3" s="1977"/>
      <c r="M3" s="1977"/>
      <c r="N3" s="1977"/>
      <c r="O3" s="1977"/>
      <c r="P3" s="1978"/>
      <c r="Q3" s="276"/>
    </row>
    <row r="4" spans="1:17" ht="12.75" customHeight="1" x14ac:dyDescent="0.25">
      <c r="A4" s="5" t="s">
        <v>4</v>
      </c>
      <c r="B4" s="6"/>
      <c r="C4" s="1977" t="s">
        <v>348</v>
      </c>
      <c r="D4" s="1977"/>
      <c r="E4" s="1977"/>
      <c r="F4" s="1977"/>
      <c r="G4" s="1977"/>
      <c r="H4" s="1977"/>
      <c r="I4" s="1977"/>
      <c r="J4" s="1977"/>
      <c r="K4" s="1977"/>
      <c r="L4" s="1977"/>
      <c r="M4" s="1977"/>
      <c r="N4" s="1977"/>
      <c r="O4" s="1977"/>
      <c r="P4" s="1978"/>
      <c r="Q4" s="276"/>
    </row>
    <row r="5" spans="1:17" ht="12.75" customHeight="1" x14ac:dyDescent="0.25">
      <c r="A5" s="7" t="s">
        <v>6</v>
      </c>
      <c r="B5" s="8"/>
      <c r="C5" s="1972" t="s">
        <v>349</v>
      </c>
      <c r="D5" s="1972"/>
      <c r="E5" s="1972"/>
      <c r="F5" s="1972"/>
      <c r="G5" s="1972"/>
      <c r="H5" s="1972"/>
      <c r="I5" s="1972"/>
      <c r="J5" s="1972"/>
      <c r="K5" s="1972"/>
      <c r="L5" s="1972"/>
      <c r="M5" s="1972"/>
      <c r="N5" s="1972"/>
      <c r="O5" s="1972"/>
      <c r="P5" s="1973"/>
      <c r="Q5" s="276"/>
    </row>
    <row r="6" spans="1:17" ht="12.75" customHeight="1" x14ac:dyDescent="0.25">
      <c r="A6" s="7" t="s">
        <v>8</v>
      </c>
      <c r="B6" s="8"/>
      <c r="C6" s="1972" t="s">
        <v>350</v>
      </c>
      <c r="D6" s="1972"/>
      <c r="E6" s="1972"/>
      <c r="F6" s="1972"/>
      <c r="G6" s="1972"/>
      <c r="H6" s="1972"/>
      <c r="I6" s="1972"/>
      <c r="J6" s="1972"/>
      <c r="K6" s="1972"/>
      <c r="L6" s="1972"/>
      <c r="M6" s="1972"/>
      <c r="N6" s="1972"/>
      <c r="O6" s="1972"/>
      <c r="P6" s="1973"/>
      <c r="Q6" s="276"/>
    </row>
    <row r="7" spans="1:17" ht="27.75" customHeight="1" x14ac:dyDescent="0.25">
      <c r="A7" s="7" t="s">
        <v>10</v>
      </c>
      <c r="B7" s="8"/>
      <c r="C7" s="1977" t="s">
        <v>351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352</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46962</v>
      </c>
      <c r="D20" s="32">
        <f>SUM(D21,D24,D25,D41,D43)</f>
        <v>46530</v>
      </c>
      <c r="E20" s="33">
        <f t="shared" ref="E20:F20" si="1">SUM(E21,E24,E25,E41,E43)</f>
        <v>432</v>
      </c>
      <c r="F20" s="34">
        <f t="shared" si="1"/>
        <v>46962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0" customHeight="1" thickTop="1" thickBot="1" x14ac:dyDescent="0.3">
      <c r="A24" s="58">
        <v>19300</v>
      </c>
      <c r="B24" s="58" t="s">
        <v>43</v>
      </c>
      <c r="C24" s="59">
        <f>F24+I24</f>
        <v>46962</v>
      </c>
      <c r="D24" s="60">
        <v>46530</v>
      </c>
      <c r="E24" s="61">
        <v>432</v>
      </c>
      <c r="F24" s="62">
        <f t="shared" si="9"/>
        <v>46962</v>
      </c>
      <c r="G24" s="60"/>
      <c r="H24" s="61"/>
      <c r="I24" s="62">
        <f t="shared" si="10"/>
        <v>0</v>
      </c>
      <c r="J24" s="63" t="s">
        <v>44</v>
      </c>
      <c r="K24" s="64" t="s">
        <v>44</v>
      </c>
      <c r="L24" s="65" t="s">
        <v>44</v>
      </c>
      <c r="M24" s="63" t="s">
        <v>44</v>
      </c>
      <c r="N24" s="64" t="s">
        <v>44</v>
      </c>
      <c r="O24" s="65" t="s">
        <v>44</v>
      </c>
      <c r="P24" s="288" t="s">
        <v>353</v>
      </c>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46962</v>
      </c>
      <c r="D50" s="158">
        <f>SUM(D51,D286)</f>
        <v>46530</v>
      </c>
      <c r="E50" s="159">
        <f t="shared" ref="E50:F50" si="26">SUM(E51,E286)</f>
        <v>432</v>
      </c>
      <c r="F50" s="160">
        <f t="shared" si="26"/>
        <v>46962</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46962</v>
      </c>
      <c r="D51" s="164">
        <f>SUM(D52,D194)</f>
        <v>46530</v>
      </c>
      <c r="E51" s="165">
        <f t="shared" ref="E51:F51" si="30">SUM(E52,E194)</f>
        <v>432</v>
      </c>
      <c r="F51" s="166">
        <f t="shared" si="30"/>
        <v>46962</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46962</v>
      </c>
      <c r="D52" s="172">
        <f>SUM(D53,D75,D173,D187)</f>
        <v>46530</v>
      </c>
      <c r="E52" s="173">
        <f t="shared" ref="E52:F52" si="34">SUM(E53,E75,E173,E187)</f>
        <v>432</v>
      </c>
      <c r="F52" s="174">
        <f t="shared" si="34"/>
        <v>46962</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34772</v>
      </c>
      <c r="D53" s="178">
        <f>SUM(D54,D67)</f>
        <v>34772</v>
      </c>
      <c r="E53" s="179">
        <f t="shared" ref="E53:F53" si="38">SUM(E54,E67)</f>
        <v>0</v>
      </c>
      <c r="F53" s="180">
        <f t="shared" si="38"/>
        <v>34772</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25818</v>
      </c>
      <c r="D54" s="183">
        <f>SUM(D55,D58,D66)</f>
        <v>25818</v>
      </c>
      <c r="E54" s="184">
        <f t="shared" ref="E54:F54" si="42">SUM(E55,E58,E66)</f>
        <v>0</v>
      </c>
      <c r="F54" s="72">
        <f t="shared" si="42"/>
        <v>25818</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24480</v>
      </c>
      <c r="D55" s="186">
        <f>SUM(D56:D57)</f>
        <v>24480</v>
      </c>
      <c r="E55" s="187">
        <f t="shared" ref="E55:F55" si="46">SUM(E56:E57)</f>
        <v>0</v>
      </c>
      <c r="F55" s="140">
        <f t="shared" si="46"/>
        <v>24480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24480</v>
      </c>
      <c r="D57" s="53">
        <v>24480</v>
      </c>
      <c r="E57" s="54"/>
      <c r="F57" s="55">
        <f t="shared" si="50"/>
        <v>24480</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1338</v>
      </c>
      <c r="D58" s="189">
        <f>SUM(D59:D65)</f>
        <v>1338</v>
      </c>
      <c r="E58" s="190">
        <f>SUM(E59:E65)</f>
        <v>0</v>
      </c>
      <c r="F58" s="55">
        <f t="shared" ref="F58" si="54">SUM(F59:F65)</f>
        <v>1338</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98</v>
      </c>
      <c r="D63" s="53">
        <v>98</v>
      </c>
      <c r="E63" s="54"/>
      <c r="F63" s="55">
        <f t="shared" si="58"/>
        <v>98</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1240</v>
      </c>
      <c r="D64" s="53">
        <v>1240</v>
      </c>
      <c r="E64" s="54"/>
      <c r="F64" s="55">
        <f t="shared" si="58"/>
        <v>1240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8954</v>
      </c>
      <c r="D67" s="183">
        <f>SUM(D68:D69)</f>
        <v>8954</v>
      </c>
      <c r="E67" s="184">
        <f t="shared" ref="E67:F67" si="62">SUM(E68:E69)</f>
        <v>0</v>
      </c>
      <c r="F67" s="72">
        <f t="shared" si="62"/>
        <v>8954</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91">
        <v>1210</v>
      </c>
      <c r="B68" s="81" t="s">
        <v>87</v>
      </c>
      <c r="C68" s="82">
        <f t="shared" si="0"/>
        <v>6529</v>
      </c>
      <c r="D68" s="46">
        <v>6529</v>
      </c>
      <c r="E68" s="47"/>
      <c r="F68" s="133">
        <f>D68+E68</f>
        <v>6529</v>
      </c>
      <c r="G68" s="46"/>
      <c r="H68" s="47"/>
      <c r="I68" s="133">
        <f>G68+H68</f>
        <v>0</v>
      </c>
      <c r="J68" s="46"/>
      <c r="K68" s="47"/>
      <c r="L68" s="133">
        <f>K68+J68</f>
        <v>0</v>
      </c>
      <c r="M68" s="46"/>
      <c r="N68" s="47"/>
      <c r="O68" s="133">
        <f>N68+M68</f>
        <v>0</v>
      </c>
      <c r="P68" s="49"/>
    </row>
    <row r="69" spans="1:16" ht="24" x14ac:dyDescent="0.25">
      <c r="A69" s="188">
        <v>1220</v>
      </c>
      <c r="B69" s="88" t="s">
        <v>88</v>
      </c>
      <c r="C69" s="89">
        <f t="shared" si="0"/>
        <v>2425</v>
      </c>
      <c r="D69" s="189">
        <f>SUM(D70:D74)</f>
        <v>2425</v>
      </c>
      <c r="E69" s="190">
        <f t="shared" ref="E69:F69" si="66">SUM(E70:E74)</f>
        <v>0</v>
      </c>
      <c r="F69" s="55">
        <f t="shared" si="66"/>
        <v>2425</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1284</v>
      </c>
      <c r="D70" s="53">
        <v>1284</v>
      </c>
      <c r="E70" s="54"/>
      <c r="F70" s="55">
        <f t="shared" ref="F70:F74" si="70">D70+E70</f>
        <v>1284</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641</v>
      </c>
      <c r="D73" s="53">
        <v>641</v>
      </c>
      <c r="E73" s="54"/>
      <c r="F73" s="55">
        <f t="shared" si="70"/>
        <v>641</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12190</v>
      </c>
      <c r="D75" s="178">
        <f>SUM(D76,D83,D130,D164,D165,D172)</f>
        <v>11758</v>
      </c>
      <c r="E75" s="179">
        <f t="shared" ref="E75:F75" si="74">SUM(E76,E83,E130,E164,E165,E172)</f>
        <v>432</v>
      </c>
      <c r="F75" s="180">
        <f t="shared" si="74"/>
        <v>12190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91">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11028</v>
      </c>
      <c r="D83" s="183">
        <f>SUM(D84,D89,D95,D103,D112,D116,D122,D128)</f>
        <v>10596</v>
      </c>
      <c r="E83" s="184">
        <f t="shared" ref="E83:F83" si="98">SUM(E84,E89,E95,E103,E112,E116,E122,E128)</f>
        <v>432</v>
      </c>
      <c r="F83" s="72">
        <f t="shared" si="98"/>
        <v>11028</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388</v>
      </c>
      <c r="D84" s="186">
        <f>SUM(D85:D88)</f>
        <v>388</v>
      </c>
      <c r="E84" s="187">
        <f t="shared" ref="E84:F84" si="103">SUM(E85:E88)</f>
        <v>0</v>
      </c>
      <c r="F84" s="140">
        <f t="shared" si="103"/>
        <v>388</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337</v>
      </c>
      <c r="D86" s="194">
        <v>337</v>
      </c>
      <c r="E86" s="195"/>
      <c r="F86" s="55">
        <f t="shared" si="107"/>
        <v>337</v>
      </c>
      <c r="G86" s="53"/>
      <c r="H86" s="54"/>
      <c r="I86" s="55">
        <f t="shared" si="108"/>
        <v>0</v>
      </c>
      <c r="J86" s="53"/>
      <c r="K86" s="54"/>
      <c r="L86" s="55">
        <f t="shared" si="109"/>
        <v>0</v>
      </c>
      <c r="M86" s="53"/>
      <c r="N86" s="54"/>
      <c r="O86" s="55">
        <f t="shared" si="110"/>
        <v>0</v>
      </c>
      <c r="P86" s="57"/>
    </row>
    <row r="87" spans="1:16" ht="24" customHeight="1" x14ac:dyDescent="0.25">
      <c r="A87" s="51">
        <v>2214</v>
      </c>
      <c r="B87" s="88" t="s">
        <v>104</v>
      </c>
      <c r="C87" s="89">
        <f t="shared" si="102"/>
        <v>51</v>
      </c>
      <c r="D87" s="194">
        <v>51</v>
      </c>
      <c r="E87" s="195"/>
      <c r="F87" s="55">
        <f t="shared" si="107"/>
        <v>51</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2620</v>
      </c>
      <c r="D89" s="189">
        <f>SUM(D90:D94)</f>
        <v>2188</v>
      </c>
      <c r="E89" s="190">
        <f t="shared" ref="E89:F89" si="111">SUM(E90:E94)</f>
        <v>432</v>
      </c>
      <c r="F89" s="55">
        <f t="shared" si="111"/>
        <v>2620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8.5" customHeight="1" x14ac:dyDescent="0.25">
      <c r="A90" s="51">
        <v>2221</v>
      </c>
      <c r="B90" s="88" t="s">
        <v>107</v>
      </c>
      <c r="C90" s="89">
        <f t="shared" si="102"/>
        <v>1657</v>
      </c>
      <c r="D90" s="194">
        <v>1225</v>
      </c>
      <c r="E90" s="195">
        <v>432</v>
      </c>
      <c r="F90" s="55">
        <f t="shared" ref="F90:F94" si="115">D90+E90</f>
        <v>1657</v>
      </c>
      <c r="G90" s="53"/>
      <c r="H90" s="54"/>
      <c r="I90" s="55">
        <f t="shared" ref="I90:I94" si="116">G90+H90</f>
        <v>0</v>
      </c>
      <c r="J90" s="53"/>
      <c r="K90" s="54"/>
      <c r="L90" s="55">
        <f t="shared" ref="L90:L94" si="117">K90+J90</f>
        <v>0</v>
      </c>
      <c r="M90" s="53"/>
      <c r="N90" s="54"/>
      <c r="O90" s="55">
        <f t="shared" ref="O90:O94" si="118">N90+M90</f>
        <v>0</v>
      </c>
      <c r="P90" s="57" t="s">
        <v>354</v>
      </c>
    </row>
    <row r="91" spans="1:16" ht="12" customHeight="1" x14ac:dyDescent="0.25">
      <c r="A91" s="51">
        <v>2222</v>
      </c>
      <c r="B91" s="88" t="s">
        <v>108</v>
      </c>
      <c r="C91" s="89">
        <f t="shared" si="102"/>
        <v>25</v>
      </c>
      <c r="D91" s="194">
        <v>25</v>
      </c>
      <c r="E91" s="195"/>
      <c r="F91" s="55">
        <f t="shared" si="115"/>
        <v>25</v>
      </c>
      <c r="G91" s="53"/>
      <c r="H91" s="54"/>
      <c r="I91" s="55">
        <f t="shared" si="116"/>
        <v>0</v>
      </c>
      <c r="J91" s="53"/>
      <c r="K91" s="54"/>
      <c r="L91" s="55">
        <f t="shared" si="117"/>
        <v>0</v>
      </c>
      <c r="M91" s="53"/>
      <c r="N91" s="54"/>
      <c r="O91" s="55">
        <f t="shared" si="118"/>
        <v>0</v>
      </c>
      <c r="P91" s="57"/>
    </row>
    <row r="92" spans="1:16" ht="12" customHeight="1" x14ac:dyDescent="0.25">
      <c r="A92" s="51">
        <v>2223</v>
      </c>
      <c r="B92" s="88" t="s">
        <v>109</v>
      </c>
      <c r="C92" s="89">
        <f t="shared" si="102"/>
        <v>888</v>
      </c>
      <c r="D92" s="194">
        <v>888</v>
      </c>
      <c r="E92" s="195"/>
      <c r="F92" s="55">
        <f t="shared" si="115"/>
        <v>888</v>
      </c>
      <c r="G92" s="53"/>
      <c r="H92" s="54"/>
      <c r="I92" s="55">
        <f t="shared" si="116"/>
        <v>0</v>
      </c>
      <c r="J92" s="53"/>
      <c r="K92" s="54"/>
      <c r="L92" s="55">
        <f t="shared" si="117"/>
        <v>0</v>
      </c>
      <c r="M92" s="53"/>
      <c r="N92" s="54"/>
      <c r="O92" s="55">
        <f t="shared" si="118"/>
        <v>0</v>
      </c>
      <c r="P92" s="57"/>
    </row>
    <row r="93" spans="1:16" ht="48" customHeight="1" x14ac:dyDescent="0.25">
      <c r="A93" s="51">
        <v>2224</v>
      </c>
      <c r="B93" s="88" t="s">
        <v>110</v>
      </c>
      <c r="C93" s="89">
        <f t="shared" si="102"/>
        <v>50</v>
      </c>
      <c r="D93" s="194">
        <v>50</v>
      </c>
      <c r="E93" s="195"/>
      <c r="F93" s="55">
        <f t="shared" si="115"/>
        <v>50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352</v>
      </c>
      <c r="D95" s="189">
        <f>SUM(D96:D102)</f>
        <v>352</v>
      </c>
      <c r="E95" s="190">
        <f t="shared" ref="E95:F95" si="119">SUM(E96:E102)</f>
        <v>0</v>
      </c>
      <c r="F95" s="55">
        <f t="shared" si="119"/>
        <v>352</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90</v>
      </c>
      <c r="D100" s="194">
        <v>90</v>
      </c>
      <c r="E100" s="195"/>
      <c r="F100" s="55">
        <f t="shared" si="123"/>
        <v>90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262</v>
      </c>
      <c r="D102" s="194">
        <v>262</v>
      </c>
      <c r="E102" s="195"/>
      <c r="F102" s="55">
        <f t="shared" si="123"/>
        <v>262</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6348</v>
      </c>
      <c r="D103" s="189">
        <f>SUM(D104:D111)</f>
        <v>6348</v>
      </c>
      <c r="E103" s="190">
        <f t="shared" ref="E103:F103" si="127">SUM(E104:E111)</f>
        <v>0</v>
      </c>
      <c r="F103" s="55">
        <f t="shared" si="127"/>
        <v>6348</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48</v>
      </c>
      <c r="D106" s="194">
        <v>48</v>
      </c>
      <c r="E106" s="195"/>
      <c r="F106" s="55">
        <f t="shared" si="131"/>
        <v>48</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8" t="s">
        <v>124</v>
      </c>
      <c r="C107" s="89">
        <f t="shared" si="102"/>
        <v>6300</v>
      </c>
      <c r="D107" s="194">
        <v>6300</v>
      </c>
      <c r="E107" s="195"/>
      <c r="F107" s="55">
        <f t="shared" si="131"/>
        <v>6300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1320</v>
      </c>
      <c r="D116" s="189">
        <f>SUM(D117:D121)</f>
        <v>1320</v>
      </c>
      <c r="E116" s="190">
        <f t="shared" ref="E116:F116" si="143">SUM(E117:E121)</f>
        <v>0</v>
      </c>
      <c r="F116" s="55">
        <f t="shared" si="143"/>
        <v>1320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5.75" customHeight="1" x14ac:dyDescent="0.25">
      <c r="A118" s="51">
        <v>2262</v>
      </c>
      <c r="B118" s="88" t="s">
        <v>135</v>
      </c>
      <c r="C118" s="89">
        <f t="shared" si="102"/>
        <v>1320</v>
      </c>
      <c r="D118" s="194">
        <v>1320</v>
      </c>
      <c r="E118" s="195"/>
      <c r="F118" s="55">
        <f t="shared" si="147"/>
        <v>1320</v>
      </c>
      <c r="G118" s="53"/>
      <c r="H118" s="54"/>
      <c r="I118" s="55">
        <f t="shared" si="148"/>
        <v>0</v>
      </c>
      <c r="J118" s="53"/>
      <c r="K118" s="54"/>
      <c r="L118" s="55">
        <f t="shared" si="149"/>
        <v>0</v>
      </c>
      <c r="M118" s="53"/>
      <c r="N118" s="54"/>
      <c r="O118" s="55">
        <f t="shared" si="150"/>
        <v>0</v>
      </c>
      <c r="P118" s="288"/>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9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1162</v>
      </c>
      <c r="D130" s="183">
        <f>SUM(D131,D136,D140,D141,D144,D151,D159,D160,D163)</f>
        <v>1162</v>
      </c>
      <c r="E130" s="184">
        <f t="shared" ref="E130:F130" si="160">SUM(E131,E136,E140,E141,E144,E151,E159,E160,E163)</f>
        <v>0</v>
      </c>
      <c r="F130" s="72">
        <f t="shared" si="160"/>
        <v>1162</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91">
        <v>2310</v>
      </c>
      <c r="B131" s="81" t="s">
        <v>148</v>
      </c>
      <c r="C131" s="82">
        <f t="shared" si="102"/>
        <v>953</v>
      </c>
      <c r="D131" s="192">
        <f t="shared" ref="D131:O131" si="164">SUM(D132:D135)</f>
        <v>953</v>
      </c>
      <c r="E131" s="193">
        <f t="shared" si="164"/>
        <v>0</v>
      </c>
      <c r="F131" s="133">
        <f t="shared" si="164"/>
        <v>953</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108</v>
      </c>
      <c r="D132" s="194">
        <v>108</v>
      </c>
      <c r="E132" s="195"/>
      <c r="F132" s="55">
        <f t="shared" ref="F132:F135" si="165">D132+E132</f>
        <v>108</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625</v>
      </c>
      <c r="D133" s="194">
        <v>625</v>
      </c>
      <c r="E133" s="195"/>
      <c r="F133" s="55">
        <f t="shared" si="165"/>
        <v>625</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220</v>
      </c>
      <c r="D135" s="194">
        <v>220</v>
      </c>
      <c r="E135" s="195"/>
      <c r="F135" s="55">
        <f t="shared" si="165"/>
        <v>220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20</v>
      </c>
      <c r="D141" s="189">
        <f>SUM(D142:D143)</f>
        <v>20</v>
      </c>
      <c r="E141" s="190">
        <f t="shared" ref="E141:F141" si="177">SUM(E142:E143)</f>
        <v>0</v>
      </c>
      <c r="F141" s="55">
        <f t="shared" si="177"/>
        <v>20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8" t="s">
        <v>159</v>
      </c>
      <c r="C142" s="89">
        <f t="shared" si="102"/>
        <v>20</v>
      </c>
      <c r="D142" s="194">
        <v>20</v>
      </c>
      <c r="E142" s="195"/>
      <c r="F142" s="55">
        <f t="shared" ref="F142:F143" si="181">D142+E142</f>
        <v>20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174</v>
      </c>
      <c r="D144" s="186">
        <f>SUM(D145:D150)</f>
        <v>174</v>
      </c>
      <c r="E144" s="187">
        <f t="shared" ref="E144:F144" si="185">SUM(E145:E150)</f>
        <v>0</v>
      </c>
      <c r="F144" s="140">
        <f t="shared" si="185"/>
        <v>174</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174</v>
      </c>
      <c r="D146" s="194">
        <v>174</v>
      </c>
      <c r="E146" s="195"/>
      <c r="F146" s="55">
        <f t="shared" si="189"/>
        <v>174</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15</v>
      </c>
      <c r="D151" s="189">
        <f>SUM(D152:D158)</f>
        <v>15</v>
      </c>
      <c r="E151" s="190">
        <f t="shared" ref="E151:F151" si="194">SUM(E152:E158)</f>
        <v>0</v>
      </c>
      <c r="F151" s="55">
        <f t="shared" si="194"/>
        <v>15</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customHeight="1" x14ac:dyDescent="0.25">
      <c r="A152" s="50">
        <v>2361</v>
      </c>
      <c r="B152" s="88" t="s">
        <v>169</v>
      </c>
      <c r="C152" s="89">
        <f t="shared" si="193"/>
        <v>15</v>
      </c>
      <c r="D152" s="194">
        <v>15</v>
      </c>
      <c r="E152" s="195"/>
      <c r="F152" s="55">
        <f t="shared" ref="F152:F159" si="198">D152+E152</f>
        <v>15</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91">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9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91">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9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91">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5.75"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288"/>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1">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9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9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91">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1">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46962</v>
      </c>
      <c r="D289" s="251">
        <f t="shared" ref="D289:O289" si="389">SUM(D286,D269,D230,D195,D187,D173,D75,D53,D283)</f>
        <v>46530</v>
      </c>
      <c r="E289" s="252">
        <f t="shared" si="389"/>
        <v>432</v>
      </c>
      <c r="F289" s="253">
        <f t="shared" si="389"/>
        <v>46962</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sheetData>
  <sheetProtection algorithmName="SHA-512" hashValue="lH0c/mDfJ8lHP/grsHFLMo/QGAAz/YYuSPOtauHBOiieM/itKCKpL1jEO5Lc1BeThOA8wIZWHg6q4Wi8jOWGug==" saltValue="N9E0twfFGvflXc4yBH+oKQ==" spinCount="100000" sheet="1" objects="1" scenarios="1" formatCells="0" formatColumns="0" formatRows="0" deleteColumns="0"/>
  <autoFilter ref="A18:P301">
    <filterColumn colId="2">
      <filters>
        <filter val="1 162"/>
        <filter val="1 240"/>
        <filter val="1 284"/>
        <filter val="1 320"/>
        <filter val="1 338"/>
        <filter val="1 657"/>
        <filter val="108"/>
        <filter val="11 028"/>
        <filter val="12 190"/>
        <filter val="15"/>
        <filter val="174"/>
        <filter val="2 425"/>
        <filter val="2 620"/>
        <filter val="20"/>
        <filter val="220"/>
        <filter val="24 480"/>
        <filter val="25"/>
        <filter val="25 818"/>
        <filter val="262"/>
        <filter val="337"/>
        <filter val="34 772"/>
        <filter val="352"/>
        <filter val="388"/>
        <filter val="46 962"/>
        <filter val="48"/>
        <filter val="50"/>
        <filter val="500"/>
        <filter val="51"/>
        <filter val="6 300"/>
        <filter val="6 348"/>
        <filter val="6 529"/>
        <filter val="625"/>
        <filter val="641"/>
        <filter val="8 954"/>
        <filter val="888"/>
        <filter val="90"/>
        <filter val="953"/>
        <filter val="9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66.pielikums Jūrmalas pilsētas domes
2019.gada 29.augusta saistošajiem noteikumiem Nr.31
(protokols Nr.12, 20.punkts)
 </firstHeader>
    <firstFooter>&amp;L&amp;9&amp;D; &amp;T&amp;R&amp;9&amp;P (&amp;N)</first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4"/>
  <sheetViews>
    <sheetView showGridLines="0" view="pageLayout" zoomScaleNormal="100" workbookViewId="0">
      <selection activeCell="U3" sqref="U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359</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38.25" customHeight="1" x14ac:dyDescent="0.25">
      <c r="A3" s="5" t="s">
        <v>2</v>
      </c>
      <c r="B3" s="6"/>
      <c r="C3" s="1977" t="s">
        <v>347</v>
      </c>
      <c r="D3" s="1977"/>
      <c r="E3" s="1977"/>
      <c r="F3" s="1977"/>
      <c r="G3" s="1977"/>
      <c r="H3" s="1977"/>
      <c r="I3" s="1977"/>
      <c r="J3" s="1977"/>
      <c r="K3" s="1977"/>
      <c r="L3" s="1977"/>
      <c r="M3" s="1977"/>
      <c r="N3" s="1977"/>
      <c r="O3" s="1977"/>
      <c r="P3" s="1978"/>
      <c r="Q3" s="276"/>
    </row>
    <row r="4" spans="1:17" ht="12.75" customHeight="1" x14ac:dyDescent="0.25">
      <c r="A4" s="5" t="s">
        <v>4</v>
      </c>
      <c r="B4" s="6"/>
      <c r="C4" s="1977" t="s">
        <v>348</v>
      </c>
      <c r="D4" s="1977"/>
      <c r="E4" s="1977"/>
      <c r="F4" s="1977"/>
      <c r="G4" s="1977"/>
      <c r="H4" s="1977"/>
      <c r="I4" s="1977"/>
      <c r="J4" s="1977"/>
      <c r="K4" s="1977"/>
      <c r="L4" s="1977"/>
      <c r="M4" s="1977"/>
      <c r="N4" s="1977"/>
      <c r="O4" s="1977"/>
      <c r="P4" s="1978"/>
      <c r="Q4" s="276"/>
    </row>
    <row r="5" spans="1:17" ht="12.75" customHeight="1" x14ac:dyDescent="0.25">
      <c r="A5" s="7" t="s">
        <v>6</v>
      </c>
      <c r="B5" s="8"/>
      <c r="C5" s="1972" t="s">
        <v>349</v>
      </c>
      <c r="D5" s="1972"/>
      <c r="E5" s="1972"/>
      <c r="F5" s="1972"/>
      <c r="G5" s="1972"/>
      <c r="H5" s="1972"/>
      <c r="I5" s="1972"/>
      <c r="J5" s="1972"/>
      <c r="K5" s="1972"/>
      <c r="L5" s="1972"/>
      <c r="M5" s="1972"/>
      <c r="N5" s="1972"/>
      <c r="O5" s="1972"/>
      <c r="P5" s="1973"/>
      <c r="Q5" s="276"/>
    </row>
    <row r="6" spans="1:17" ht="12.75" customHeight="1" x14ac:dyDescent="0.25">
      <c r="A6" s="7" t="s">
        <v>8</v>
      </c>
      <c r="B6" s="8"/>
      <c r="C6" s="1972" t="s">
        <v>360</v>
      </c>
      <c r="D6" s="1972"/>
      <c r="E6" s="1972"/>
      <c r="F6" s="1972"/>
      <c r="G6" s="1972"/>
      <c r="H6" s="1972"/>
      <c r="I6" s="1972"/>
      <c r="J6" s="1972"/>
      <c r="K6" s="1972"/>
      <c r="L6" s="1972"/>
      <c r="M6" s="1972"/>
      <c r="N6" s="1972"/>
      <c r="O6" s="1972"/>
      <c r="P6" s="1973"/>
      <c r="Q6" s="276"/>
    </row>
    <row r="7" spans="1:17" ht="12" customHeight="1" x14ac:dyDescent="0.25">
      <c r="A7" s="7" t="s">
        <v>10</v>
      </c>
      <c r="B7" s="8"/>
      <c r="C7" s="1977" t="s">
        <v>361</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352</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125141</v>
      </c>
      <c r="D20" s="32">
        <f>SUM(D21,D24,D25,D41,D43)</f>
        <v>125141</v>
      </c>
      <c r="E20" s="33">
        <f t="shared" ref="E20:F20" si="1">SUM(E21,E24,E25,E41,E43)</f>
        <v>0</v>
      </c>
      <c r="F20" s="34">
        <f t="shared" si="1"/>
        <v>125141</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4.5" customHeight="1" thickTop="1" thickBot="1" x14ac:dyDescent="0.3">
      <c r="A24" s="58">
        <v>19300</v>
      </c>
      <c r="B24" s="58" t="s">
        <v>43</v>
      </c>
      <c r="C24" s="59">
        <f>F24+I24</f>
        <v>125141</v>
      </c>
      <c r="D24" s="60">
        <v>125141</v>
      </c>
      <c r="E24" s="61"/>
      <c r="F24" s="62">
        <f t="shared" si="9"/>
        <v>125141</v>
      </c>
      <c r="G24" s="60"/>
      <c r="H24" s="61"/>
      <c r="I24" s="62">
        <f t="shared" si="10"/>
        <v>0</v>
      </c>
      <c r="J24" s="63" t="s">
        <v>44</v>
      </c>
      <c r="K24" s="64" t="s">
        <v>44</v>
      </c>
      <c r="L24" s="65" t="s">
        <v>44</v>
      </c>
      <c r="M24" s="63" t="s">
        <v>44</v>
      </c>
      <c r="N24" s="64" t="s">
        <v>44</v>
      </c>
      <c r="O24" s="65" t="s">
        <v>44</v>
      </c>
      <c r="P24" s="288"/>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125141</v>
      </c>
      <c r="D50" s="158">
        <f>SUM(D51,D286)</f>
        <v>125141</v>
      </c>
      <c r="E50" s="159">
        <f t="shared" ref="E50:F50" si="26">SUM(E51,E286)</f>
        <v>0</v>
      </c>
      <c r="F50" s="160">
        <f t="shared" si="26"/>
        <v>125141</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125141</v>
      </c>
      <c r="D51" s="164">
        <f>SUM(D52,D194)</f>
        <v>125141</v>
      </c>
      <c r="E51" s="165">
        <f t="shared" ref="E51:F51" si="30">SUM(E52,E194)</f>
        <v>0</v>
      </c>
      <c r="F51" s="166">
        <f t="shared" si="30"/>
        <v>125141</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123091</v>
      </c>
      <c r="D52" s="172">
        <f>SUM(D53,D75,D173,D187)</f>
        <v>123091</v>
      </c>
      <c r="E52" s="173">
        <f t="shared" ref="E52:F52" si="34">SUM(E53,E75,E173,E187)</f>
        <v>0</v>
      </c>
      <c r="F52" s="174">
        <f t="shared" si="34"/>
        <v>123091</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89047</v>
      </c>
      <c r="D53" s="178">
        <f>SUM(D54,D67)</f>
        <v>88566</v>
      </c>
      <c r="E53" s="179">
        <f t="shared" ref="E53:F53" si="38">SUM(E54,E67)</f>
        <v>481</v>
      </c>
      <c r="F53" s="180">
        <f t="shared" si="38"/>
        <v>89047</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67348</v>
      </c>
      <c r="D54" s="183">
        <f>SUM(D55,D58,D66)</f>
        <v>66961</v>
      </c>
      <c r="E54" s="184">
        <f t="shared" ref="E54:F54" si="42">SUM(E55,E58,E66)</f>
        <v>387</v>
      </c>
      <c r="F54" s="72">
        <f t="shared" si="42"/>
        <v>67348</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53943</v>
      </c>
      <c r="D55" s="186">
        <f>SUM(D56:D57)</f>
        <v>53943</v>
      </c>
      <c r="E55" s="187">
        <f t="shared" ref="E55:F55" si="46">SUM(E56:E57)</f>
        <v>0</v>
      </c>
      <c r="F55" s="140">
        <f t="shared" si="46"/>
        <v>53943</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53943</v>
      </c>
      <c r="D57" s="53">
        <v>53943</v>
      </c>
      <c r="E57" s="54"/>
      <c r="F57" s="55">
        <f t="shared" si="50"/>
        <v>53943</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13018</v>
      </c>
      <c r="D58" s="189">
        <f>SUM(D59:D65)</f>
        <v>13018</v>
      </c>
      <c r="E58" s="190">
        <f>SUM(E59:E65)</f>
        <v>0</v>
      </c>
      <c r="F58" s="55">
        <f t="shared" ref="F58" si="54">SUM(F59:F65)</f>
        <v>13018</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customHeight="1" x14ac:dyDescent="0.25">
      <c r="A59" s="51">
        <v>1141</v>
      </c>
      <c r="B59" s="88" t="s">
        <v>78</v>
      </c>
      <c r="C59" s="89">
        <f t="shared" si="0"/>
        <v>8309</v>
      </c>
      <c r="D59" s="53">
        <v>8309</v>
      </c>
      <c r="E59" s="54"/>
      <c r="F59" s="55">
        <f t="shared" ref="F59:F66" si="58">D59+E59</f>
        <v>8309</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1848</v>
      </c>
      <c r="D60" s="53">
        <v>1848</v>
      </c>
      <c r="E60" s="54"/>
      <c r="F60" s="55">
        <f t="shared" si="58"/>
        <v>1848</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140</v>
      </c>
      <c r="D63" s="53">
        <v>140</v>
      </c>
      <c r="E63" s="54"/>
      <c r="F63" s="55">
        <f t="shared" si="58"/>
        <v>140</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2721</v>
      </c>
      <c r="D64" s="53">
        <v>2721</v>
      </c>
      <c r="E64" s="54"/>
      <c r="F64" s="55">
        <f t="shared" si="58"/>
        <v>2721</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42.75" customHeight="1" x14ac:dyDescent="0.25">
      <c r="A66" s="185">
        <v>1150</v>
      </c>
      <c r="B66" s="137" t="s">
        <v>85</v>
      </c>
      <c r="C66" s="142">
        <f t="shared" si="0"/>
        <v>387</v>
      </c>
      <c r="D66" s="143"/>
      <c r="E66" s="144">
        <v>387</v>
      </c>
      <c r="F66" s="140">
        <f t="shared" si="58"/>
        <v>387</v>
      </c>
      <c r="G66" s="143"/>
      <c r="H66" s="144"/>
      <c r="I66" s="140">
        <f t="shared" si="59"/>
        <v>0</v>
      </c>
      <c r="J66" s="143"/>
      <c r="K66" s="144"/>
      <c r="L66" s="140">
        <f t="shared" si="60"/>
        <v>0</v>
      </c>
      <c r="M66" s="143"/>
      <c r="N66" s="144"/>
      <c r="O66" s="140">
        <f t="shared" si="61"/>
        <v>0</v>
      </c>
      <c r="P66" s="128" t="s">
        <v>362</v>
      </c>
    </row>
    <row r="67" spans="1:16" ht="24" x14ac:dyDescent="0.25">
      <c r="A67" s="68">
        <v>1200</v>
      </c>
      <c r="B67" s="182" t="s">
        <v>86</v>
      </c>
      <c r="C67" s="69">
        <f t="shared" si="0"/>
        <v>21699</v>
      </c>
      <c r="D67" s="183">
        <f>SUM(D68:D69)</f>
        <v>21605</v>
      </c>
      <c r="E67" s="184">
        <f t="shared" ref="E67:F67" si="62">SUM(E68:E69)</f>
        <v>94</v>
      </c>
      <c r="F67" s="72">
        <f t="shared" si="62"/>
        <v>21699</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91">
        <v>1210</v>
      </c>
      <c r="B68" s="81" t="s">
        <v>87</v>
      </c>
      <c r="C68" s="82">
        <f t="shared" si="0"/>
        <v>16843</v>
      </c>
      <c r="D68" s="46">
        <v>16749</v>
      </c>
      <c r="E68" s="47">
        <v>94</v>
      </c>
      <c r="F68" s="133">
        <f>D68+E68</f>
        <v>16843</v>
      </c>
      <c r="G68" s="46"/>
      <c r="H68" s="47"/>
      <c r="I68" s="133">
        <f>G68+H68</f>
        <v>0</v>
      </c>
      <c r="J68" s="46"/>
      <c r="K68" s="47"/>
      <c r="L68" s="133">
        <f>K68+J68</f>
        <v>0</v>
      </c>
      <c r="M68" s="46"/>
      <c r="N68" s="47"/>
      <c r="O68" s="133">
        <f>N68+M68</f>
        <v>0</v>
      </c>
      <c r="P68" s="49" t="s">
        <v>363</v>
      </c>
    </row>
    <row r="69" spans="1:16" ht="24" x14ac:dyDescent="0.25">
      <c r="A69" s="188">
        <v>1220</v>
      </c>
      <c r="B69" s="88" t="s">
        <v>88</v>
      </c>
      <c r="C69" s="89">
        <f t="shared" si="0"/>
        <v>4856</v>
      </c>
      <c r="D69" s="189">
        <f>SUM(D70:D74)</f>
        <v>4856</v>
      </c>
      <c r="E69" s="190">
        <f t="shared" ref="E69:F69" si="66">SUM(E70:E74)</f>
        <v>0</v>
      </c>
      <c r="F69" s="55">
        <f t="shared" si="66"/>
        <v>4856</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2568</v>
      </c>
      <c r="D70" s="53">
        <v>2568</v>
      </c>
      <c r="E70" s="54"/>
      <c r="F70" s="55">
        <f t="shared" ref="F70:F74" si="70">D70+E70</f>
        <v>2568</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1788</v>
      </c>
      <c r="D73" s="53">
        <v>1788</v>
      </c>
      <c r="E73" s="54"/>
      <c r="F73" s="55">
        <f t="shared" si="70"/>
        <v>1788</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34044</v>
      </c>
      <c r="D75" s="178">
        <f>SUM(D76,D83,D130,D164,D165,D172)</f>
        <v>34525</v>
      </c>
      <c r="E75" s="179">
        <f t="shared" ref="E75:F75" si="74">SUM(E76,E83,E130,E164,E165,E172)</f>
        <v>-481</v>
      </c>
      <c r="F75" s="180">
        <f t="shared" si="74"/>
        <v>34044</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91">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21371</v>
      </c>
      <c r="D83" s="183">
        <f>SUM(D84,D89,D95,D103,D112,D116,D122,D128)</f>
        <v>22227</v>
      </c>
      <c r="E83" s="184">
        <f t="shared" ref="E83:F83" si="98">SUM(E84,E89,E95,E103,E112,E116,E122,E128)</f>
        <v>-856</v>
      </c>
      <c r="F83" s="72">
        <f t="shared" si="98"/>
        <v>21371</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258</v>
      </c>
      <c r="D84" s="186">
        <f>SUM(D85:D88)</f>
        <v>258</v>
      </c>
      <c r="E84" s="187">
        <f t="shared" ref="E84:F84" si="103">SUM(E85:E88)</f>
        <v>0</v>
      </c>
      <c r="F84" s="140">
        <f t="shared" si="103"/>
        <v>258</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258</v>
      </c>
      <c r="D86" s="194">
        <v>258</v>
      </c>
      <c r="E86" s="195"/>
      <c r="F86" s="55">
        <f t="shared" si="107"/>
        <v>258</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10880</v>
      </c>
      <c r="D89" s="189">
        <f>SUM(D90:D94)</f>
        <v>10381</v>
      </c>
      <c r="E89" s="190">
        <f t="shared" ref="E89:F89" si="111">SUM(E90:E94)</f>
        <v>499</v>
      </c>
      <c r="F89" s="55">
        <f t="shared" si="111"/>
        <v>10880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3.25" customHeight="1" x14ac:dyDescent="0.25">
      <c r="A90" s="51">
        <v>2221</v>
      </c>
      <c r="B90" s="88" t="s">
        <v>107</v>
      </c>
      <c r="C90" s="89">
        <f t="shared" si="102"/>
        <v>5586</v>
      </c>
      <c r="D90" s="194">
        <v>5160</v>
      </c>
      <c r="E90" s="195">
        <v>426</v>
      </c>
      <c r="F90" s="55">
        <f t="shared" ref="F90:F94" si="115">D90+E90</f>
        <v>5586</v>
      </c>
      <c r="G90" s="53"/>
      <c r="H90" s="54"/>
      <c r="I90" s="55">
        <f t="shared" ref="I90:I94" si="116">G90+H90</f>
        <v>0</v>
      </c>
      <c r="J90" s="53"/>
      <c r="K90" s="54"/>
      <c r="L90" s="55">
        <f t="shared" ref="L90:L94" si="117">K90+J90</f>
        <v>0</v>
      </c>
      <c r="M90" s="53"/>
      <c r="N90" s="54"/>
      <c r="O90" s="55">
        <f t="shared" ref="O90:O94" si="118">N90+M90</f>
        <v>0</v>
      </c>
      <c r="P90" s="57" t="s">
        <v>364</v>
      </c>
    </row>
    <row r="91" spans="1:16" ht="12" customHeight="1" x14ac:dyDescent="0.25">
      <c r="A91" s="51">
        <v>2222</v>
      </c>
      <c r="B91" s="88" t="s">
        <v>108</v>
      </c>
      <c r="C91" s="89">
        <f t="shared" si="102"/>
        <v>3127</v>
      </c>
      <c r="D91" s="194">
        <v>3127</v>
      </c>
      <c r="E91" s="195"/>
      <c r="F91" s="55">
        <f t="shared" si="115"/>
        <v>3127</v>
      </c>
      <c r="G91" s="53"/>
      <c r="H91" s="54"/>
      <c r="I91" s="55">
        <f t="shared" si="116"/>
        <v>0</v>
      </c>
      <c r="J91" s="53"/>
      <c r="K91" s="54"/>
      <c r="L91" s="55">
        <f t="shared" si="117"/>
        <v>0</v>
      </c>
      <c r="M91" s="53"/>
      <c r="N91" s="54"/>
      <c r="O91" s="55">
        <f t="shared" si="118"/>
        <v>0</v>
      </c>
      <c r="P91" s="57"/>
    </row>
    <row r="92" spans="1:16" ht="12" customHeight="1" x14ac:dyDescent="0.25">
      <c r="A92" s="51">
        <v>2223</v>
      </c>
      <c r="B92" s="88" t="s">
        <v>109</v>
      </c>
      <c r="C92" s="89">
        <f t="shared" si="102"/>
        <v>2044</v>
      </c>
      <c r="D92" s="194">
        <v>2044</v>
      </c>
      <c r="E92" s="195"/>
      <c r="F92" s="55">
        <f t="shared" si="115"/>
        <v>2044</v>
      </c>
      <c r="G92" s="53"/>
      <c r="H92" s="54"/>
      <c r="I92" s="55">
        <f t="shared" si="116"/>
        <v>0</v>
      </c>
      <c r="J92" s="53"/>
      <c r="K92" s="54"/>
      <c r="L92" s="55">
        <f t="shared" si="117"/>
        <v>0</v>
      </c>
      <c r="M92" s="53"/>
      <c r="N92" s="54"/>
      <c r="O92" s="55">
        <f t="shared" si="118"/>
        <v>0</v>
      </c>
      <c r="P92" s="57"/>
    </row>
    <row r="93" spans="1:16" ht="49.5" customHeight="1" x14ac:dyDescent="0.25">
      <c r="A93" s="51">
        <v>2224</v>
      </c>
      <c r="B93" s="88" t="s">
        <v>110</v>
      </c>
      <c r="C93" s="89">
        <f t="shared" si="102"/>
        <v>123</v>
      </c>
      <c r="D93" s="194">
        <v>50</v>
      </c>
      <c r="E93" s="195">
        <v>73</v>
      </c>
      <c r="F93" s="55">
        <f t="shared" si="115"/>
        <v>123</v>
      </c>
      <c r="G93" s="53"/>
      <c r="H93" s="54"/>
      <c r="I93" s="55">
        <f t="shared" si="116"/>
        <v>0</v>
      </c>
      <c r="J93" s="53"/>
      <c r="K93" s="54"/>
      <c r="L93" s="55">
        <f t="shared" si="117"/>
        <v>0</v>
      </c>
      <c r="M93" s="53"/>
      <c r="N93" s="54"/>
      <c r="O93" s="55">
        <f t="shared" si="118"/>
        <v>0</v>
      </c>
      <c r="P93" s="57" t="s">
        <v>365</v>
      </c>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140</v>
      </c>
      <c r="D95" s="189">
        <f>SUM(D96:D102)</f>
        <v>140</v>
      </c>
      <c r="E95" s="190">
        <f t="shared" ref="E95:F95" si="119">SUM(E96:E102)</f>
        <v>0</v>
      </c>
      <c r="F95" s="55">
        <f t="shared" si="119"/>
        <v>140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80</v>
      </c>
      <c r="D100" s="194">
        <v>80</v>
      </c>
      <c r="E100" s="195"/>
      <c r="F100" s="55">
        <f t="shared" si="123"/>
        <v>80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60</v>
      </c>
      <c r="D102" s="194">
        <v>60</v>
      </c>
      <c r="E102" s="195"/>
      <c r="F102" s="55">
        <f t="shared" si="123"/>
        <v>60</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10090</v>
      </c>
      <c r="D103" s="189">
        <f>SUM(D104:D111)</f>
        <v>11448</v>
      </c>
      <c r="E103" s="190">
        <f t="shared" ref="E103:F103" si="127">SUM(E104:E111)</f>
        <v>-1358</v>
      </c>
      <c r="F103" s="55">
        <f t="shared" si="127"/>
        <v>10090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48</v>
      </c>
      <c r="D106" s="194">
        <v>48</v>
      </c>
      <c r="E106" s="195"/>
      <c r="F106" s="55">
        <f t="shared" si="131"/>
        <v>48</v>
      </c>
      <c r="G106" s="53"/>
      <c r="H106" s="54"/>
      <c r="I106" s="55">
        <f t="shared" si="132"/>
        <v>0</v>
      </c>
      <c r="J106" s="53"/>
      <c r="K106" s="54"/>
      <c r="L106" s="55">
        <f t="shared" si="133"/>
        <v>0</v>
      </c>
      <c r="M106" s="53"/>
      <c r="N106" s="54"/>
      <c r="O106" s="55">
        <f t="shared" si="134"/>
        <v>0</v>
      </c>
      <c r="P106" s="57"/>
    </row>
    <row r="107" spans="1:16" ht="16.5" customHeight="1" x14ac:dyDescent="0.25">
      <c r="A107" s="51">
        <v>2244</v>
      </c>
      <c r="B107" s="88" t="s">
        <v>124</v>
      </c>
      <c r="C107" s="89">
        <f t="shared" si="102"/>
        <v>10042</v>
      </c>
      <c r="D107" s="194">
        <v>11400</v>
      </c>
      <c r="E107" s="195">
        <v>-1358</v>
      </c>
      <c r="F107" s="55">
        <f t="shared" si="131"/>
        <v>10042</v>
      </c>
      <c r="G107" s="53"/>
      <c r="H107" s="54"/>
      <c r="I107" s="55">
        <f t="shared" si="132"/>
        <v>0</v>
      </c>
      <c r="J107" s="53"/>
      <c r="K107" s="54"/>
      <c r="L107" s="55">
        <f t="shared" si="133"/>
        <v>0</v>
      </c>
      <c r="M107" s="53"/>
      <c r="N107" s="54"/>
      <c r="O107" s="55">
        <f t="shared" si="134"/>
        <v>0</v>
      </c>
      <c r="P107" s="57" t="s">
        <v>366</v>
      </c>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3</v>
      </c>
      <c r="D116" s="189">
        <f>SUM(D117:D121)</f>
        <v>0</v>
      </c>
      <c r="E116" s="190">
        <f t="shared" ref="E116:F116" si="143">SUM(E117:E121)</f>
        <v>3</v>
      </c>
      <c r="F116" s="55">
        <f t="shared" si="143"/>
        <v>3</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9.25"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288"/>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5.75" customHeight="1" x14ac:dyDescent="0.25">
      <c r="A121" s="51">
        <v>2269</v>
      </c>
      <c r="B121" s="88" t="s">
        <v>138</v>
      </c>
      <c r="C121" s="89">
        <f t="shared" si="102"/>
        <v>3</v>
      </c>
      <c r="D121" s="194"/>
      <c r="E121" s="195">
        <v>3</v>
      </c>
      <c r="F121" s="55">
        <f t="shared" si="147"/>
        <v>3</v>
      </c>
      <c r="G121" s="53"/>
      <c r="H121" s="54"/>
      <c r="I121" s="55">
        <f t="shared" si="148"/>
        <v>0</v>
      </c>
      <c r="J121" s="53"/>
      <c r="K121" s="54"/>
      <c r="L121" s="55">
        <f t="shared" si="149"/>
        <v>0</v>
      </c>
      <c r="M121" s="53"/>
      <c r="N121" s="54"/>
      <c r="O121" s="55">
        <f t="shared" si="150"/>
        <v>0</v>
      </c>
      <c r="P121" s="57" t="s">
        <v>367</v>
      </c>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9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12673</v>
      </c>
      <c r="D130" s="183">
        <f>SUM(D131,D136,D140,D141,D144,D151,D159,D160,D163)</f>
        <v>12298</v>
      </c>
      <c r="E130" s="184">
        <f t="shared" ref="E130:F130" si="160">SUM(E131,E136,E140,E141,E144,E151,E159,E160,E163)</f>
        <v>375</v>
      </c>
      <c r="F130" s="72">
        <f t="shared" si="160"/>
        <v>12673</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91">
        <v>2310</v>
      </c>
      <c r="B131" s="81" t="s">
        <v>148</v>
      </c>
      <c r="C131" s="82">
        <f t="shared" si="102"/>
        <v>666</v>
      </c>
      <c r="D131" s="192">
        <f t="shared" ref="D131:O131" si="164">SUM(D132:D135)</f>
        <v>495</v>
      </c>
      <c r="E131" s="193">
        <f t="shared" si="164"/>
        <v>171</v>
      </c>
      <c r="F131" s="133">
        <f t="shared" si="164"/>
        <v>666</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160</v>
      </c>
      <c r="D132" s="194">
        <v>160</v>
      </c>
      <c r="E132" s="195"/>
      <c r="F132" s="55">
        <f t="shared" ref="F132:F135" si="165">D132+E132</f>
        <v>160</v>
      </c>
      <c r="G132" s="53"/>
      <c r="H132" s="54"/>
      <c r="I132" s="55">
        <f t="shared" ref="I132:I135" si="166">G132+H132</f>
        <v>0</v>
      </c>
      <c r="J132" s="53"/>
      <c r="K132" s="54"/>
      <c r="L132" s="55">
        <f t="shared" ref="L132:L135" si="167">K132+J132</f>
        <v>0</v>
      </c>
      <c r="M132" s="53"/>
      <c r="N132" s="54"/>
      <c r="O132" s="55">
        <f t="shared" ref="O132:O135" si="168">N132+M132</f>
        <v>0</v>
      </c>
      <c r="P132" s="57"/>
    </row>
    <row r="133" spans="1:16" ht="14.25" customHeight="1" x14ac:dyDescent="0.25">
      <c r="A133" s="51">
        <v>2312</v>
      </c>
      <c r="B133" s="88" t="s">
        <v>150</v>
      </c>
      <c r="C133" s="89">
        <f t="shared" si="102"/>
        <v>381</v>
      </c>
      <c r="D133" s="194">
        <v>335</v>
      </c>
      <c r="E133" s="195">
        <v>46</v>
      </c>
      <c r="F133" s="55">
        <f t="shared" si="165"/>
        <v>381</v>
      </c>
      <c r="G133" s="53"/>
      <c r="H133" s="54"/>
      <c r="I133" s="55">
        <f t="shared" si="166"/>
        <v>0</v>
      </c>
      <c r="J133" s="53"/>
      <c r="K133" s="54"/>
      <c r="L133" s="55">
        <f t="shared" si="167"/>
        <v>0</v>
      </c>
      <c r="M133" s="53"/>
      <c r="N133" s="54"/>
      <c r="O133" s="55">
        <f t="shared" si="168"/>
        <v>0</v>
      </c>
      <c r="P133" s="57" t="s">
        <v>368</v>
      </c>
    </row>
    <row r="134" spans="1:16" ht="14.25" customHeight="1" x14ac:dyDescent="0.25">
      <c r="A134" s="51">
        <v>2313</v>
      </c>
      <c r="B134" s="88" t="s">
        <v>151</v>
      </c>
      <c r="C134" s="89">
        <f t="shared" si="102"/>
        <v>125</v>
      </c>
      <c r="D134" s="194"/>
      <c r="E134" s="195">
        <v>125</v>
      </c>
      <c r="F134" s="55">
        <f t="shared" si="165"/>
        <v>125</v>
      </c>
      <c r="G134" s="53"/>
      <c r="H134" s="54"/>
      <c r="I134" s="55">
        <f t="shared" si="166"/>
        <v>0</v>
      </c>
      <c r="J134" s="53"/>
      <c r="K134" s="54"/>
      <c r="L134" s="55">
        <f t="shared" si="167"/>
        <v>0</v>
      </c>
      <c r="M134" s="53"/>
      <c r="N134" s="54"/>
      <c r="O134" s="55">
        <f t="shared" si="168"/>
        <v>0</v>
      </c>
      <c r="P134" s="57" t="s">
        <v>369</v>
      </c>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x14ac:dyDescent="0.25">
      <c r="A141" s="188">
        <v>2340</v>
      </c>
      <c r="B141" s="88" t="s">
        <v>158</v>
      </c>
      <c r="C141" s="89">
        <f t="shared" si="102"/>
        <v>30</v>
      </c>
      <c r="D141" s="189">
        <f>SUM(D142:D143)</f>
        <v>30</v>
      </c>
      <c r="E141" s="190">
        <f t="shared" ref="E141:F141" si="177">SUM(E142:E143)</f>
        <v>0</v>
      </c>
      <c r="F141" s="55">
        <f t="shared" si="177"/>
        <v>30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customHeight="1" x14ac:dyDescent="0.25">
      <c r="A142" s="51">
        <v>2341</v>
      </c>
      <c r="B142" s="88" t="s">
        <v>159</v>
      </c>
      <c r="C142" s="89">
        <f t="shared" si="102"/>
        <v>30</v>
      </c>
      <c r="D142" s="194">
        <v>30</v>
      </c>
      <c r="E142" s="195"/>
      <c r="F142" s="55">
        <f t="shared" ref="F142:F143" si="181">D142+E142</f>
        <v>30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1332</v>
      </c>
      <c r="D144" s="186">
        <f>SUM(D145:D150)</f>
        <v>1128</v>
      </c>
      <c r="E144" s="187">
        <f t="shared" ref="E144:F144" si="185">SUM(E145:E150)</f>
        <v>204</v>
      </c>
      <c r="F144" s="140">
        <f t="shared" si="185"/>
        <v>1332</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customHeight="1" x14ac:dyDescent="0.25">
      <c r="A145" s="44">
        <v>2351</v>
      </c>
      <c r="B145" s="81" t="s">
        <v>162</v>
      </c>
      <c r="C145" s="82">
        <f t="shared" si="102"/>
        <v>50</v>
      </c>
      <c r="D145" s="196">
        <v>50</v>
      </c>
      <c r="E145" s="197"/>
      <c r="F145" s="133">
        <f t="shared" ref="F145:F150" si="189">D145+E145</f>
        <v>50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5.75" customHeight="1" x14ac:dyDescent="0.25">
      <c r="A146" s="51">
        <v>2352</v>
      </c>
      <c r="B146" s="88" t="s">
        <v>163</v>
      </c>
      <c r="C146" s="89">
        <f t="shared" si="102"/>
        <v>1282</v>
      </c>
      <c r="D146" s="194">
        <v>1078</v>
      </c>
      <c r="E146" s="195">
        <v>204</v>
      </c>
      <c r="F146" s="55">
        <f t="shared" si="189"/>
        <v>1282</v>
      </c>
      <c r="G146" s="53"/>
      <c r="H146" s="54"/>
      <c r="I146" s="55">
        <f t="shared" si="190"/>
        <v>0</v>
      </c>
      <c r="J146" s="53"/>
      <c r="K146" s="54"/>
      <c r="L146" s="55">
        <f t="shared" si="191"/>
        <v>0</v>
      </c>
      <c r="M146" s="53"/>
      <c r="N146" s="54"/>
      <c r="O146" s="55">
        <f t="shared" si="192"/>
        <v>0</v>
      </c>
      <c r="P146" s="57" t="s">
        <v>370</v>
      </c>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10645</v>
      </c>
      <c r="D151" s="189">
        <f>SUM(D152:D158)</f>
        <v>10645</v>
      </c>
      <c r="E151" s="190">
        <f t="shared" ref="E151:F151" si="194">SUM(E152:E158)</f>
        <v>0</v>
      </c>
      <c r="F151" s="55">
        <f t="shared" si="194"/>
        <v>10645</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customHeight="1" x14ac:dyDescent="0.25">
      <c r="A152" s="50">
        <v>2361</v>
      </c>
      <c r="B152" s="88" t="s">
        <v>169</v>
      </c>
      <c r="C152" s="89">
        <f t="shared" si="193"/>
        <v>890</v>
      </c>
      <c r="D152" s="194">
        <v>890</v>
      </c>
      <c r="E152" s="195"/>
      <c r="F152" s="55">
        <f t="shared" ref="F152:F159" si="198">D152+E152</f>
        <v>890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customHeight="1" x14ac:dyDescent="0.25">
      <c r="A153" s="50">
        <v>2362</v>
      </c>
      <c r="B153" s="88" t="s">
        <v>170</v>
      </c>
      <c r="C153" s="89">
        <f t="shared" si="193"/>
        <v>120</v>
      </c>
      <c r="D153" s="194">
        <v>120</v>
      </c>
      <c r="E153" s="195"/>
      <c r="F153" s="55">
        <f t="shared" si="198"/>
        <v>120</v>
      </c>
      <c r="G153" s="53"/>
      <c r="H153" s="54"/>
      <c r="I153" s="55">
        <f t="shared" si="199"/>
        <v>0</v>
      </c>
      <c r="J153" s="53"/>
      <c r="K153" s="54"/>
      <c r="L153" s="55">
        <f t="shared" si="200"/>
        <v>0</v>
      </c>
      <c r="M153" s="53"/>
      <c r="N153" s="54"/>
      <c r="O153" s="55">
        <f t="shared" si="201"/>
        <v>0</v>
      </c>
      <c r="P153" s="57"/>
    </row>
    <row r="154" spans="1:16" ht="12" customHeight="1" x14ac:dyDescent="0.25">
      <c r="A154" s="50">
        <v>2363</v>
      </c>
      <c r="B154" s="88" t="s">
        <v>171</v>
      </c>
      <c r="C154" s="89">
        <f t="shared" si="193"/>
        <v>9590</v>
      </c>
      <c r="D154" s="194">
        <v>9590</v>
      </c>
      <c r="E154" s="195"/>
      <c r="F154" s="55">
        <f t="shared" si="198"/>
        <v>9590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customHeight="1" x14ac:dyDescent="0.25">
      <c r="A158" s="50">
        <v>2369</v>
      </c>
      <c r="B158" s="88" t="s">
        <v>175</v>
      </c>
      <c r="C158" s="89">
        <f t="shared" si="193"/>
        <v>45</v>
      </c>
      <c r="D158" s="194">
        <v>45</v>
      </c>
      <c r="E158" s="195"/>
      <c r="F158" s="55">
        <f t="shared" si="198"/>
        <v>45</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91">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9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91">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9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2050</v>
      </c>
      <c r="D194" s="172">
        <f t="shared" ref="D194:O194" si="259">SUM(D195,D230,D269,D283)</f>
        <v>2050</v>
      </c>
      <c r="E194" s="173">
        <f t="shared" si="259"/>
        <v>0</v>
      </c>
      <c r="F194" s="174">
        <f t="shared" si="259"/>
        <v>2050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2050</v>
      </c>
      <c r="D195" s="178">
        <f>D196+D204</f>
        <v>2050</v>
      </c>
      <c r="E195" s="179">
        <f t="shared" ref="E195:F195" si="260">E196+E204</f>
        <v>0</v>
      </c>
      <c r="F195" s="180">
        <f t="shared" si="260"/>
        <v>2050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200</v>
      </c>
      <c r="E196" s="184">
        <f t="shared" ref="E196:F196" si="264">E197+E198+E201+E202+E203</f>
        <v>-200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91">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200</v>
      </c>
      <c r="E198" s="190">
        <f t="shared" ref="E198:F198" si="268">E199+E200</f>
        <v>-200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279">
        <v>5121</v>
      </c>
      <c r="B199" s="280" t="s">
        <v>216</v>
      </c>
      <c r="C199" s="281">
        <f t="shared" si="193"/>
        <v>0</v>
      </c>
      <c r="D199" s="282">
        <v>200</v>
      </c>
      <c r="E199" s="283">
        <v>-200</v>
      </c>
      <c r="F199" s="284">
        <f t="shared" ref="F199:F203" si="272">D199+E199</f>
        <v>0</v>
      </c>
      <c r="G199" s="285"/>
      <c r="H199" s="286"/>
      <c r="I199" s="284">
        <f t="shared" ref="I199:I203" si="273">G199+H199</f>
        <v>0</v>
      </c>
      <c r="J199" s="285"/>
      <c r="K199" s="286"/>
      <c r="L199" s="284">
        <f t="shared" ref="L199:L203" si="274">K199+J199</f>
        <v>0</v>
      </c>
      <c r="M199" s="285"/>
      <c r="N199" s="286"/>
      <c r="O199" s="284">
        <f t="shared" ref="O199:O203" si="275">N199+M199</f>
        <v>0</v>
      </c>
      <c r="P199" s="287" t="s">
        <v>371</v>
      </c>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2050</v>
      </c>
      <c r="D204" s="183">
        <f>D205+D215+D216+D225+D226+D227+D229</f>
        <v>1850</v>
      </c>
      <c r="E204" s="184">
        <f t="shared" ref="E204:F204" si="276">E205+E215+E216+E225+E226+E227+E229</f>
        <v>200</v>
      </c>
      <c r="F204" s="72">
        <f t="shared" si="276"/>
        <v>2050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2050</v>
      </c>
      <c r="D216" s="189">
        <f>SUM(D217:D224)</f>
        <v>1850</v>
      </c>
      <c r="E216" s="190">
        <f t="shared" ref="E216:F216" si="289">SUM(E217:E224)</f>
        <v>200</v>
      </c>
      <c r="F216" s="55">
        <f t="shared" si="289"/>
        <v>2050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5.75"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288"/>
    </row>
    <row r="218" spans="1:16" ht="15" customHeight="1" x14ac:dyDescent="0.25">
      <c r="A218" s="51">
        <v>5232</v>
      </c>
      <c r="B218" s="88" t="s">
        <v>235</v>
      </c>
      <c r="C218" s="89">
        <f t="shared" si="288"/>
        <v>550</v>
      </c>
      <c r="D218" s="194">
        <v>550</v>
      </c>
      <c r="E218" s="195"/>
      <c r="F218" s="55">
        <f t="shared" si="293"/>
        <v>550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1500</v>
      </c>
      <c r="D223" s="194">
        <v>1300</v>
      </c>
      <c r="E223" s="195">
        <v>200</v>
      </c>
      <c r="F223" s="55">
        <f t="shared" si="293"/>
        <v>1500</v>
      </c>
      <c r="G223" s="53"/>
      <c r="H223" s="54"/>
      <c r="I223" s="55">
        <f t="shared" si="294"/>
        <v>0</v>
      </c>
      <c r="J223" s="53"/>
      <c r="K223" s="54"/>
      <c r="L223" s="55">
        <f t="shared" si="295"/>
        <v>0</v>
      </c>
      <c r="M223" s="53"/>
      <c r="N223" s="54"/>
      <c r="O223" s="55">
        <f t="shared" si="296"/>
        <v>0</v>
      </c>
      <c r="P223" s="57" t="s">
        <v>372</v>
      </c>
    </row>
    <row r="224" spans="1:16" ht="36.75"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1">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9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9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91">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1">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125141</v>
      </c>
      <c r="D289" s="251">
        <f t="shared" ref="D289:O289" si="389">SUM(D286,D269,D230,D195,D187,D173,D75,D53,D283)</f>
        <v>125141</v>
      </c>
      <c r="E289" s="252">
        <f t="shared" si="389"/>
        <v>0</v>
      </c>
      <c r="F289" s="253">
        <f t="shared" si="389"/>
        <v>125141</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sheetData>
  <sheetProtection algorithmName="SHA-512" hashValue="GQ0GxNLOaVappR4qr1p+YXzCkdMZcvtOLcSGOgGRBU00u29RB+PzVkxQ/0FBS2tlF/RnvxofJygxEgpqdLcqDg==" saltValue="vZmcEZ9dugpPUGZ4AzZzBQ==" spinCount="100000" sheet="1" objects="1" scenarios="1" formatCells="0" formatColumns="0" formatRows="0" deleteColumns="0"/>
  <autoFilter ref="A18:P301">
    <filterColumn colId="2">
      <filters>
        <filter val="1 282"/>
        <filter val="1 332"/>
        <filter val="1 500"/>
        <filter val="1 788"/>
        <filter val="1 848"/>
        <filter val="10 042"/>
        <filter val="10 090"/>
        <filter val="10 645"/>
        <filter val="10 880"/>
        <filter val="12 673"/>
        <filter val="120"/>
        <filter val="123"/>
        <filter val="123 091"/>
        <filter val="125"/>
        <filter val="125 141"/>
        <filter val="13 018"/>
        <filter val="140"/>
        <filter val="16 843"/>
        <filter val="160"/>
        <filter val="2 044"/>
        <filter val="2 050"/>
        <filter val="2 568"/>
        <filter val="2 721"/>
        <filter val="21 371"/>
        <filter val="21 699"/>
        <filter val="258"/>
        <filter val="3"/>
        <filter val="3 127"/>
        <filter val="30"/>
        <filter val="34 044"/>
        <filter val="381"/>
        <filter val="387"/>
        <filter val="4 856"/>
        <filter val="45"/>
        <filter val="48"/>
        <filter val="5 586"/>
        <filter val="50"/>
        <filter val="500"/>
        <filter val="53 943"/>
        <filter val="550"/>
        <filter val="60"/>
        <filter val="666"/>
        <filter val="67 348"/>
        <filter val="8 309"/>
        <filter val="80"/>
        <filter val="89 047"/>
        <filter val="890"/>
        <filter val="9 590"/>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67.pielikums Jūrmalas pilsētas domes
2019.gada 29.augusta saistošajiem noteikumiem Nr.31
(protokols Nr.12, 20.punkts)
 </firstHeader>
    <firstFooter>&amp;L&amp;9&amp;D; &amp;T&amp;R&amp;9&amp;P (&amp;N)</first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zoomScaleSheetLayoutView="70" workbookViewId="0">
      <selection activeCell="T4" sqref="T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355</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39" customHeight="1" x14ac:dyDescent="0.25">
      <c r="A3" s="5" t="s">
        <v>2</v>
      </c>
      <c r="B3" s="6"/>
      <c r="C3" s="1977" t="s">
        <v>347</v>
      </c>
      <c r="D3" s="1977"/>
      <c r="E3" s="1977"/>
      <c r="F3" s="1977"/>
      <c r="G3" s="1977"/>
      <c r="H3" s="1977"/>
      <c r="I3" s="1977"/>
      <c r="J3" s="1977"/>
      <c r="K3" s="1977"/>
      <c r="L3" s="1977"/>
      <c r="M3" s="1977"/>
      <c r="N3" s="1977"/>
      <c r="O3" s="1977"/>
      <c r="P3" s="1978"/>
      <c r="Q3" s="276"/>
    </row>
    <row r="4" spans="1:17" ht="12.75" customHeight="1" x14ac:dyDescent="0.25">
      <c r="A4" s="5" t="s">
        <v>4</v>
      </c>
      <c r="B4" s="6"/>
      <c r="C4" s="1977" t="s">
        <v>348</v>
      </c>
      <c r="D4" s="1977"/>
      <c r="E4" s="1977"/>
      <c r="F4" s="1977"/>
      <c r="G4" s="1977"/>
      <c r="H4" s="1977"/>
      <c r="I4" s="1977"/>
      <c r="J4" s="1977"/>
      <c r="K4" s="1977"/>
      <c r="L4" s="1977"/>
      <c r="M4" s="1977"/>
      <c r="N4" s="1977"/>
      <c r="O4" s="1977"/>
      <c r="P4" s="1978"/>
      <c r="Q4" s="276"/>
    </row>
    <row r="5" spans="1:17" ht="12.75" customHeight="1" x14ac:dyDescent="0.25">
      <c r="A5" s="7" t="s">
        <v>6</v>
      </c>
      <c r="B5" s="8"/>
      <c r="C5" s="1972" t="s">
        <v>349</v>
      </c>
      <c r="D5" s="1972"/>
      <c r="E5" s="1972"/>
      <c r="F5" s="1972"/>
      <c r="G5" s="1972"/>
      <c r="H5" s="1972"/>
      <c r="I5" s="1972"/>
      <c r="J5" s="1972"/>
      <c r="K5" s="1972"/>
      <c r="L5" s="1972"/>
      <c r="M5" s="1972"/>
      <c r="N5" s="1972"/>
      <c r="O5" s="1972"/>
      <c r="P5" s="1973"/>
      <c r="Q5" s="276"/>
    </row>
    <row r="6" spans="1:17" ht="12.75" customHeight="1" x14ac:dyDescent="0.25">
      <c r="A6" s="7" t="s">
        <v>8</v>
      </c>
      <c r="B6" s="8"/>
      <c r="C6" s="1972" t="s">
        <v>350</v>
      </c>
      <c r="D6" s="1972"/>
      <c r="E6" s="1972"/>
      <c r="F6" s="1972"/>
      <c r="G6" s="1972"/>
      <c r="H6" s="1972"/>
      <c r="I6" s="1972"/>
      <c r="J6" s="1972"/>
      <c r="K6" s="1972"/>
      <c r="L6" s="1972"/>
      <c r="M6" s="1972"/>
      <c r="N6" s="1972"/>
      <c r="O6" s="1972"/>
      <c r="P6" s="1973"/>
      <c r="Q6" s="276"/>
    </row>
    <row r="7" spans="1:17" ht="25.5" customHeight="1" x14ac:dyDescent="0.25">
      <c r="A7" s="7" t="s">
        <v>10</v>
      </c>
      <c r="B7" s="8"/>
      <c r="C7" s="1977" t="s">
        <v>420</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352</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416568</v>
      </c>
      <c r="D20" s="32">
        <f>SUM(D21,D24,D25,D41,D43)</f>
        <v>401771</v>
      </c>
      <c r="E20" s="33">
        <f t="shared" ref="E20:F20" si="1">SUM(E21,E24,E25,E41,E43)</f>
        <v>0</v>
      </c>
      <c r="F20" s="34">
        <f t="shared" si="1"/>
        <v>401771</v>
      </c>
      <c r="G20" s="32">
        <f>SUM(G21,G24,G43)</f>
        <v>0</v>
      </c>
      <c r="H20" s="33">
        <f t="shared" ref="H20:I20" si="2">SUM(H21,H24,H43)</f>
        <v>0</v>
      </c>
      <c r="I20" s="34">
        <f t="shared" si="2"/>
        <v>0</v>
      </c>
      <c r="J20" s="32">
        <f>SUM(J21,J26,J43)</f>
        <v>14797</v>
      </c>
      <c r="K20" s="33">
        <f t="shared" ref="K20:L20" si="3">SUM(K21,K26,K43)</f>
        <v>0</v>
      </c>
      <c r="L20" s="34">
        <f t="shared" si="3"/>
        <v>14797</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4.5" customHeight="1" thickTop="1" thickBot="1" x14ac:dyDescent="0.3">
      <c r="A24" s="58">
        <v>19300</v>
      </c>
      <c r="B24" s="58" t="s">
        <v>43</v>
      </c>
      <c r="C24" s="59">
        <f>F24+I24</f>
        <v>401771</v>
      </c>
      <c r="D24" s="60">
        <v>401771</v>
      </c>
      <c r="E24" s="61"/>
      <c r="F24" s="62">
        <f t="shared" si="9"/>
        <v>401771</v>
      </c>
      <c r="G24" s="60"/>
      <c r="H24" s="61"/>
      <c r="I24" s="62">
        <f t="shared" si="10"/>
        <v>0</v>
      </c>
      <c r="J24" s="63" t="s">
        <v>44</v>
      </c>
      <c r="K24" s="64" t="s">
        <v>44</v>
      </c>
      <c r="L24" s="65" t="s">
        <v>44</v>
      </c>
      <c r="M24" s="63" t="s">
        <v>44</v>
      </c>
      <c r="N24" s="64" t="s">
        <v>44</v>
      </c>
      <c r="O24" s="65" t="s">
        <v>44</v>
      </c>
      <c r="P24" s="288"/>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14797</v>
      </c>
      <c r="D26" s="73" t="s">
        <v>44</v>
      </c>
      <c r="E26" s="74" t="s">
        <v>44</v>
      </c>
      <c r="F26" s="75" t="s">
        <v>44</v>
      </c>
      <c r="G26" s="73" t="s">
        <v>44</v>
      </c>
      <c r="H26" s="74" t="s">
        <v>44</v>
      </c>
      <c r="I26" s="75" t="s">
        <v>44</v>
      </c>
      <c r="J26" s="77">
        <f>SUM(J27,J31,J33,J36)</f>
        <v>14797</v>
      </c>
      <c r="K26" s="78">
        <f t="shared" ref="K26:L26" si="11">SUM(K27,K31,K33,K36)</f>
        <v>0</v>
      </c>
      <c r="L26" s="79">
        <f t="shared" si="11"/>
        <v>14797</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customHeight="1" x14ac:dyDescent="0.25">
      <c r="A36" s="80">
        <v>21390</v>
      </c>
      <c r="B36" s="68" t="s">
        <v>56</v>
      </c>
      <c r="C36" s="69">
        <f t="shared" si="16"/>
        <v>14797</v>
      </c>
      <c r="D36" s="73" t="s">
        <v>44</v>
      </c>
      <c r="E36" s="74" t="s">
        <v>44</v>
      </c>
      <c r="F36" s="75" t="s">
        <v>44</v>
      </c>
      <c r="G36" s="73" t="s">
        <v>44</v>
      </c>
      <c r="H36" s="74" t="s">
        <v>44</v>
      </c>
      <c r="I36" s="75" t="s">
        <v>44</v>
      </c>
      <c r="J36" s="77">
        <f>SUM(J37:J40)</f>
        <v>14797</v>
      </c>
      <c r="K36" s="78">
        <f t="shared" ref="K36:L36" si="19">SUM(K37:K40)</f>
        <v>0</v>
      </c>
      <c r="L36" s="79">
        <f t="shared" si="19"/>
        <v>14797</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14797</v>
      </c>
      <c r="D40" s="110" t="s">
        <v>44</v>
      </c>
      <c r="E40" s="111" t="s">
        <v>44</v>
      </c>
      <c r="F40" s="112" t="s">
        <v>44</v>
      </c>
      <c r="G40" s="110" t="s">
        <v>44</v>
      </c>
      <c r="H40" s="111" t="s">
        <v>44</v>
      </c>
      <c r="I40" s="112" t="s">
        <v>44</v>
      </c>
      <c r="J40" s="113">
        <v>14797</v>
      </c>
      <c r="K40" s="114"/>
      <c r="L40" s="115">
        <f t="shared" si="20"/>
        <v>14797</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416568</v>
      </c>
      <c r="D50" s="158">
        <f>SUM(D51,D286)</f>
        <v>401771</v>
      </c>
      <c r="E50" s="159">
        <f t="shared" ref="E50:F50" si="26">SUM(E51,E286)</f>
        <v>0</v>
      </c>
      <c r="F50" s="160">
        <f t="shared" si="26"/>
        <v>401771</v>
      </c>
      <c r="G50" s="158">
        <f>SUM(G51,G286)</f>
        <v>0</v>
      </c>
      <c r="H50" s="159">
        <f>SUM(H51,H286)</f>
        <v>0</v>
      </c>
      <c r="I50" s="160">
        <f t="shared" ref="I50" si="27">SUM(I51,I286)</f>
        <v>0</v>
      </c>
      <c r="J50" s="32">
        <f>SUM(J51,J286)</f>
        <v>14797</v>
      </c>
      <c r="K50" s="33">
        <f t="shared" ref="K50:L50" si="28">SUM(K51,K286)</f>
        <v>0</v>
      </c>
      <c r="L50" s="34">
        <f t="shared" si="28"/>
        <v>14797</v>
      </c>
      <c r="M50" s="32">
        <f>SUM(M51,M286)</f>
        <v>0</v>
      </c>
      <c r="N50" s="33">
        <f t="shared" ref="N50:O50" si="29">SUM(N51,N286)</f>
        <v>0</v>
      </c>
      <c r="O50" s="34">
        <f t="shared" si="29"/>
        <v>0</v>
      </c>
      <c r="P50" s="35"/>
    </row>
    <row r="51" spans="1:16" s="28" customFormat="1" ht="36.75" thickTop="1" x14ac:dyDescent="0.25">
      <c r="A51" s="161"/>
      <c r="B51" s="162" t="s">
        <v>70</v>
      </c>
      <c r="C51" s="163">
        <f t="shared" si="0"/>
        <v>415036</v>
      </c>
      <c r="D51" s="164">
        <f>SUM(D52,D194)</f>
        <v>401771</v>
      </c>
      <c r="E51" s="165">
        <f t="shared" ref="E51:F51" si="30">SUM(E52,E194)</f>
        <v>0</v>
      </c>
      <c r="F51" s="166">
        <f t="shared" si="30"/>
        <v>401771</v>
      </c>
      <c r="G51" s="164">
        <f>SUM(G52,G194)</f>
        <v>0</v>
      </c>
      <c r="H51" s="165">
        <f t="shared" ref="H51:I51" si="31">SUM(H52,H194)</f>
        <v>0</v>
      </c>
      <c r="I51" s="166">
        <f t="shared" si="31"/>
        <v>0</v>
      </c>
      <c r="J51" s="167">
        <f>SUM(J52,J194)</f>
        <v>13265</v>
      </c>
      <c r="K51" s="168">
        <f t="shared" ref="K51:L51" si="32">SUM(K52,K194)</f>
        <v>0</v>
      </c>
      <c r="L51" s="169">
        <f t="shared" si="32"/>
        <v>13265</v>
      </c>
      <c r="M51" s="167">
        <f>SUM(M52,M194)</f>
        <v>0</v>
      </c>
      <c r="N51" s="168">
        <f t="shared" ref="N51:O51" si="33">SUM(N52,N194)</f>
        <v>0</v>
      </c>
      <c r="O51" s="169">
        <f t="shared" si="33"/>
        <v>0</v>
      </c>
      <c r="P51" s="170"/>
    </row>
    <row r="52" spans="1:16" s="28" customFormat="1" ht="24" x14ac:dyDescent="0.25">
      <c r="A52" s="24"/>
      <c r="B52" s="22" t="s">
        <v>71</v>
      </c>
      <c r="C52" s="171">
        <f t="shared" si="0"/>
        <v>415036</v>
      </c>
      <c r="D52" s="172">
        <f>SUM(D53,D75,D173,D187)</f>
        <v>401771</v>
      </c>
      <c r="E52" s="173">
        <f t="shared" ref="E52:F52" si="34">SUM(E53,E75,E173,E187)</f>
        <v>0</v>
      </c>
      <c r="F52" s="174">
        <f t="shared" si="34"/>
        <v>401771</v>
      </c>
      <c r="G52" s="172">
        <f>SUM(G53,G75,G173,G187)</f>
        <v>0</v>
      </c>
      <c r="H52" s="173">
        <f t="shared" ref="H52:I52" si="35">SUM(H53,H75,H173,H187)</f>
        <v>0</v>
      </c>
      <c r="I52" s="174">
        <f t="shared" si="35"/>
        <v>0</v>
      </c>
      <c r="J52" s="172">
        <f>SUM(J53,J75,J173,J187)</f>
        <v>13265</v>
      </c>
      <c r="K52" s="173">
        <f t="shared" ref="K52:L52" si="36">SUM(K53,K75,K173,K187)</f>
        <v>0</v>
      </c>
      <c r="L52" s="174">
        <f t="shared" si="36"/>
        <v>13265</v>
      </c>
      <c r="M52" s="172">
        <f>SUM(M53,M75,M173,M187)</f>
        <v>0</v>
      </c>
      <c r="N52" s="173">
        <f t="shared" ref="N52:O52" si="37">SUM(N53,N75,N173,N187)</f>
        <v>0</v>
      </c>
      <c r="O52" s="174">
        <f t="shared" si="37"/>
        <v>0</v>
      </c>
      <c r="P52" s="175"/>
    </row>
    <row r="53" spans="1:16" s="28" customFormat="1" x14ac:dyDescent="0.25">
      <c r="A53" s="176">
        <v>1000</v>
      </c>
      <c r="B53" s="176" t="s">
        <v>72</v>
      </c>
      <c r="C53" s="177">
        <f t="shared" si="0"/>
        <v>401771</v>
      </c>
      <c r="D53" s="178">
        <f>SUM(D54,D67)</f>
        <v>401771</v>
      </c>
      <c r="E53" s="179">
        <f t="shared" ref="E53:F53" si="38">SUM(E54,E67)</f>
        <v>0</v>
      </c>
      <c r="F53" s="180">
        <f t="shared" si="38"/>
        <v>401771</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299926</v>
      </c>
      <c r="D54" s="183">
        <f>SUM(D55,D58,D66)</f>
        <v>299926</v>
      </c>
      <c r="E54" s="184">
        <f t="shared" ref="E54:F54" si="42">SUM(E55,E58,E66)</f>
        <v>0</v>
      </c>
      <c r="F54" s="72">
        <f t="shared" si="42"/>
        <v>299926</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280836</v>
      </c>
      <c r="D55" s="186">
        <f>SUM(D56:D57)</f>
        <v>280836</v>
      </c>
      <c r="E55" s="187">
        <f t="shared" ref="E55:F55" si="46">SUM(E56:E57)</f>
        <v>0</v>
      </c>
      <c r="F55" s="140">
        <f t="shared" si="46"/>
        <v>280836</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280836</v>
      </c>
      <c r="D57" s="53">
        <v>280836</v>
      </c>
      <c r="E57" s="54"/>
      <c r="F57" s="55">
        <f t="shared" si="50"/>
        <v>280836</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19090</v>
      </c>
      <c r="D58" s="189">
        <f>SUM(D59:D65)</f>
        <v>19090</v>
      </c>
      <c r="E58" s="190">
        <f>SUM(E59:E65)</f>
        <v>0</v>
      </c>
      <c r="F58" s="55">
        <f t="shared" ref="F58" si="54">SUM(F59:F65)</f>
        <v>19090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customHeight="1" x14ac:dyDescent="0.25">
      <c r="A60" s="51">
        <v>1142</v>
      </c>
      <c r="B60" s="88" t="s">
        <v>79</v>
      </c>
      <c r="C60" s="89">
        <f t="shared" si="0"/>
        <v>3079</v>
      </c>
      <c r="D60" s="53">
        <v>3079</v>
      </c>
      <c r="E60" s="54"/>
      <c r="F60" s="55">
        <f t="shared" si="58"/>
        <v>3079</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1141</v>
      </c>
      <c r="D63" s="53">
        <v>1141</v>
      </c>
      <c r="E63" s="54"/>
      <c r="F63" s="55">
        <f t="shared" si="58"/>
        <v>1141</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14870</v>
      </c>
      <c r="D64" s="53">
        <v>14870</v>
      </c>
      <c r="E64" s="54"/>
      <c r="F64" s="55">
        <f t="shared" si="58"/>
        <v>14870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101845</v>
      </c>
      <c r="D67" s="183">
        <f>SUM(D68:D69)</f>
        <v>101845</v>
      </c>
      <c r="E67" s="184">
        <f t="shared" ref="E67:F67" si="62">SUM(E68:E69)</f>
        <v>0</v>
      </c>
      <c r="F67" s="72">
        <f t="shared" si="62"/>
        <v>101845</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91">
        <v>1210</v>
      </c>
      <c r="B68" s="81" t="s">
        <v>87</v>
      </c>
      <c r="C68" s="82">
        <f t="shared" si="0"/>
        <v>76201</v>
      </c>
      <c r="D68" s="46">
        <v>76201</v>
      </c>
      <c r="E68" s="47"/>
      <c r="F68" s="133">
        <f>D68+E68</f>
        <v>76201</v>
      </c>
      <c r="G68" s="46"/>
      <c r="H68" s="47"/>
      <c r="I68" s="133">
        <f>G68+H68</f>
        <v>0</v>
      </c>
      <c r="J68" s="46"/>
      <c r="K68" s="47"/>
      <c r="L68" s="133">
        <f>K68+J68</f>
        <v>0</v>
      </c>
      <c r="M68" s="46"/>
      <c r="N68" s="47"/>
      <c r="O68" s="133">
        <f>N68+M68</f>
        <v>0</v>
      </c>
      <c r="P68" s="49"/>
    </row>
    <row r="69" spans="1:16" ht="24" x14ac:dyDescent="0.25">
      <c r="A69" s="188">
        <v>1220</v>
      </c>
      <c r="B69" s="88" t="s">
        <v>88</v>
      </c>
      <c r="C69" s="89">
        <f t="shared" si="0"/>
        <v>25644</v>
      </c>
      <c r="D69" s="189">
        <f>SUM(D70:D74)</f>
        <v>25644</v>
      </c>
      <c r="E69" s="190">
        <f t="shared" ref="E69:F69" si="66">SUM(E70:E74)</f>
        <v>0</v>
      </c>
      <c r="F69" s="55">
        <f t="shared" si="66"/>
        <v>25644</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customHeight="1" x14ac:dyDescent="0.25">
      <c r="A70" s="51">
        <v>1221</v>
      </c>
      <c r="B70" s="88" t="s">
        <v>89</v>
      </c>
      <c r="C70" s="89">
        <f t="shared" si="0"/>
        <v>16393</v>
      </c>
      <c r="D70" s="53">
        <v>16393</v>
      </c>
      <c r="E70" s="54"/>
      <c r="F70" s="55">
        <f t="shared" ref="F70:F74" si="70">D70+E70</f>
        <v>16393</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6" customHeight="1" x14ac:dyDescent="0.25">
      <c r="A73" s="51">
        <v>1227</v>
      </c>
      <c r="B73" s="88" t="s">
        <v>92</v>
      </c>
      <c r="C73" s="89">
        <f t="shared" si="0"/>
        <v>8751</v>
      </c>
      <c r="D73" s="53">
        <v>8751</v>
      </c>
      <c r="E73" s="54"/>
      <c r="F73" s="55">
        <f t="shared" si="70"/>
        <v>8751</v>
      </c>
      <c r="G73" s="53"/>
      <c r="H73" s="54"/>
      <c r="I73" s="55">
        <f t="shared" si="71"/>
        <v>0</v>
      </c>
      <c r="J73" s="53"/>
      <c r="K73" s="54"/>
      <c r="L73" s="55">
        <f t="shared" si="72"/>
        <v>0</v>
      </c>
      <c r="M73" s="53"/>
      <c r="N73" s="54"/>
      <c r="O73" s="55">
        <f t="shared" si="73"/>
        <v>0</v>
      </c>
      <c r="P73" s="57"/>
    </row>
    <row r="74" spans="1:16" ht="48" customHeight="1" x14ac:dyDescent="0.25">
      <c r="A74" s="51">
        <v>1228</v>
      </c>
      <c r="B74" s="88" t="s">
        <v>93</v>
      </c>
      <c r="C74" s="89">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13265</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13265</v>
      </c>
      <c r="K75" s="179">
        <f t="shared" ref="K75:L75" si="76">SUM(K76,K83,K130,K164,K165,K172)</f>
        <v>0</v>
      </c>
      <c r="L75" s="180">
        <f t="shared" si="76"/>
        <v>13265</v>
      </c>
      <c r="M75" s="178">
        <f>SUM(M76,M83,M130,M164,M165,M172)</f>
        <v>0</v>
      </c>
      <c r="N75" s="179">
        <f t="shared" ref="N75:O75" si="77">SUM(N76,N83,N130,N164,N165,N172)</f>
        <v>0</v>
      </c>
      <c r="O75" s="180">
        <f t="shared" si="77"/>
        <v>0</v>
      </c>
      <c r="P75" s="181"/>
    </row>
    <row r="76" spans="1:16" ht="24" x14ac:dyDescent="0.25">
      <c r="A76" s="68">
        <v>2100</v>
      </c>
      <c r="B76" s="182" t="s">
        <v>95</v>
      </c>
      <c r="C76" s="69">
        <f t="shared" si="0"/>
        <v>61</v>
      </c>
      <c r="D76" s="183">
        <f>SUM(D77,D80)</f>
        <v>0</v>
      </c>
      <c r="E76" s="184">
        <f t="shared" ref="E76:F76" si="78">SUM(E77,E80)</f>
        <v>0</v>
      </c>
      <c r="F76" s="72">
        <f t="shared" si="78"/>
        <v>0</v>
      </c>
      <c r="G76" s="183">
        <f>SUM(G77,G80)</f>
        <v>0</v>
      </c>
      <c r="H76" s="184">
        <f t="shared" ref="H76:I76" si="79">SUM(H77,H80)</f>
        <v>0</v>
      </c>
      <c r="I76" s="72">
        <f t="shared" si="79"/>
        <v>0</v>
      </c>
      <c r="J76" s="183">
        <f>SUM(J77,J80)</f>
        <v>212</v>
      </c>
      <c r="K76" s="184">
        <f t="shared" ref="K76:L76" si="80">SUM(K77,K80)</f>
        <v>-151</v>
      </c>
      <c r="L76" s="72">
        <f t="shared" si="80"/>
        <v>61</v>
      </c>
      <c r="M76" s="183">
        <f>SUM(M77,M80)</f>
        <v>0</v>
      </c>
      <c r="N76" s="184">
        <f t="shared" ref="N76:O76" si="81">SUM(N77,N80)</f>
        <v>0</v>
      </c>
      <c r="O76" s="72">
        <f t="shared" si="81"/>
        <v>0</v>
      </c>
      <c r="P76" s="76"/>
    </row>
    <row r="77" spans="1:16" ht="24" x14ac:dyDescent="0.25">
      <c r="A77" s="191">
        <v>2110</v>
      </c>
      <c r="B77" s="81" t="s">
        <v>96</v>
      </c>
      <c r="C77" s="82">
        <f t="shared" si="0"/>
        <v>61</v>
      </c>
      <c r="D77" s="192">
        <f>SUM(D78:D79)</f>
        <v>0</v>
      </c>
      <c r="E77" s="193">
        <f t="shared" ref="E77:F77" si="82">SUM(E78:E79)</f>
        <v>0</v>
      </c>
      <c r="F77" s="133">
        <f t="shared" si="82"/>
        <v>0</v>
      </c>
      <c r="G77" s="192">
        <f>SUM(G78:G79)</f>
        <v>0</v>
      </c>
      <c r="H77" s="193">
        <f t="shared" ref="H77:I77" si="83">SUM(H78:H79)</f>
        <v>0</v>
      </c>
      <c r="I77" s="133">
        <f t="shared" si="83"/>
        <v>0</v>
      </c>
      <c r="J77" s="192">
        <f>SUM(J78:J79)</f>
        <v>212</v>
      </c>
      <c r="K77" s="193">
        <f t="shared" ref="K77:L77" si="84">SUM(K78:K79)</f>
        <v>-151</v>
      </c>
      <c r="L77" s="133">
        <f t="shared" si="84"/>
        <v>61</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customHeight="1" x14ac:dyDescent="0.25">
      <c r="A79" s="51">
        <v>2112</v>
      </c>
      <c r="B79" s="88" t="s">
        <v>98</v>
      </c>
      <c r="C79" s="89">
        <f t="shared" si="0"/>
        <v>61</v>
      </c>
      <c r="D79" s="194"/>
      <c r="E79" s="195"/>
      <c r="F79" s="55">
        <f t="shared" si="86"/>
        <v>0</v>
      </c>
      <c r="G79" s="53"/>
      <c r="H79" s="54"/>
      <c r="I79" s="55">
        <f t="shared" si="87"/>
        <v>0</v>
      </c>
      <c r="J79" s="53">
        <v>212</v>
      </c>
      <c r="K79" s="54">
        <v>-151</v>
      </c>
      <c r="L79" s="55">
        <f t="shared" si="88"/>
        <v>61</v>
      </c>
      <c r="M79" s="53"/>
      <c r="N79" s="54"/>
      <c r="O79" s="55">
        <f t="shared" si="89"/>
        <v>0</v>
      </c>
      <c r="P79" s="57" t="s">
        <v>356</v>
      </c>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10499</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10499</v>
      </c>
      <c r="K83" s="184">
        <f t="shared" ref="K83:L83" si="100">SUM(K84,K89,K95,K103,K112,K116,K122,K128)</f>
        <v>0</v>
      </c>
      <c r="L83" s="72">
        <f t="shared" si="100"/>
        <v>10499</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231</v>
      </c>
      <c r="D84" s="186">
        <f>SUM(D85:D88)</f>
        <v>0</v>
      </c>
      <c r="E84" s="187">
        <f t="shared" ref="E84:F84" si="103">SUM(E85:E88)</f>
        <v>0</v>
      </c>
      <c r="F84" s="140">
        <f t="shared" si="103"/>
        <v>0</v>
      </c>
      <c r="G84" s="186">
        <f>SUM(G85:G88)</f>
        <v>0</v>
      </c>
      <c r="H84" s="187">
        <f t="shared" ref="H84:I84" si="104">SUM(H85:H88)</f>
        <v>0</v>
      </c>
      <c r="I84" s="140">
        <f t="shared" si="104"/>
        <v>0</v>
      </c>
      <c r="J84" s="186">
        <f>SUM(J85:J88)</f>
        <v>231</v>
      </c>
      <c r="K84" s="187">
        <f t="shared" ref="K84:L84" si="105">SUM(K85:K88)</f>
        <v>0</v>
      </c>
      <c r="L84" s="140">
        <f t="shared" si="105"/>
        <v>231</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78</v>
      </c>
      <c r="D86" s="194"/>
      <c r="E86" s="195"/>
      <c r="F86" s="55">
        <f t="shared" si="107"/>
        <v>0</v>
      </c>
      <c r="G86" s="53"/>
      <c r="H86" s="54"/>
      <c r="I86" s="55">
        <f t="shared" si="108"/>
        <v>0</v>
      </c>
      <c r="J86" s="53">
        <v>78</v>
      </c>
      <c r="K86" s="54"/>
      <c r="L86" s="55">
        <f t="shared" si="109"/>
        <v>78</v>
      </c>
      <c r="M86" s="53"/>
      <c r="N86" s="54"/>
      <c r="O86" s="55">
        <f t="shared" si="110"/>
        <v>0</v>
      </c>
      <c r="P86" s="57"/>
    </row>
    <row r="87" spans="1:16" ht="24" customHeight="1" x14ac:dyDescent="0.25">
      <c r="A87" s="51">
        <v>2214</v>
      </c>
      <c r="B87" s="88" t="s">
        <v>104</v>
      </c>
      <c r="C87" s="89">
        <f t="shared" si="102"/>
        <v>153</v>
      </c>
      <c r="D87" s="194"/>
      <c r="E87" s="195"/>
      <c r="F87" s="55">
        <f t="shared" si="107"/>
        <v>0</v>
      </c>
      <c r="G87" s="53"/>
      <c r="H87" s="54"/>
      <c r="I87" s="55">
        <f t="shared" si="108"/>
        <v>0</v>
      </c>
      <c r="J87" s="53">
        <v>153</v>
      </c>
      <c r="K87" s="54"/>
      <c r="L87" s="55">
        <f t="shared" si="109"/>
        <v>153</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7200</v>
      </c>
      <c r="D89" s="189">
        <f>SUM(D90:D94)</f>
        <v>0</v>
      </c>
      <c r="E89" s="190">
        <f t="shared" ref="E89:F89" si="111">SUM(E90:E94)</f>
        <v>0</v>
      </c>
      <c r="F89" s="55">
        <f t="shared" si="111"/>
        <v>0</v>
      </c>
      <c r="G89" s="189">
        <f>SUM(G90:G94)</f>
        <v>0</v>
      </c>
      <c r="H89" s="190">
        <f t="shared" ref="H89:I89" si="112">SUM(H90:H94)</f>
        <v>0</v>
      </c>
      <c r="I89" s="55">
        <f t="shared" si="112"/>
        <v>0</v>
      </c>
      <c r="J89" s="189">
        <f>SUM(J90:J94)</f>
        <v>7200</v>
      </c>
      <c r="K89" s="190">
        <f t="shared" ref="K89:L89" si="113">SUM(K90:K94)</f>
        <v>0</v>
      </c>
      <c r="L89" s="55">
        <f t="shared" si="113"/>
        <v>7200</v>
      </c>
      <c r="M89" s="189">
        <f>SUM(M90:M94)</f>
        <v>0</v>
      </c>
      <c r="N89" s="190">
        <f t="shared" ref="N89:O89" si="114">SUM(N90:N94)</f>
        <v>0</v>
      </c>
      <c r="O89" s="55">
        <f t="shared" si="114"/>
        <v>0</v>
      </c>
      <c r="P89" s="57"/>
    </row>
    <row r="90" spans="1:16" ht="25.5" customHeight="1" x14ac:dyDescent="0.25">
      <c r="A90" s="51">
        <v>2221</v>
      </c>
      <c r="B90" s="88" t="s">
        <v>107</v>
      </c>
      <c r="C90" s="89">
        <f t="shared" si="102"/>
        <v>4472</v>
      </c>
      <c r="D90" s="194"/>
      <c r="E90" s="195"/>
      <c r="F90" s="55">
        <f t="shared" ref="F90:F94" si="115">D90+E90</f>
        <v>0</v>
      </c>
      <c r="G90" s="53"/>
      <c r="H90" s="54"/>
      <c r="I90" s="55">
        <f t="shared" ref="I90:I94" si="116">G90+H90</f>
        <v>0</v>
      </c>
      <c r="J90" s="53">
        <v>4472</v>
      </c>
      <c r="K90" s="54"/>
      <c r="L90" s="55">
        <f t="shared" ref="L90:L94" si="117">K90+J90</f>
        <v>4472</v>
      </c>
      <c r="M90" s="53"/>
      <c r="N90" s="54"/>
      <c r="O90" s="55">
        <f t="shared" ref="O90:O94" si="118">N90+M90</f>
        <v>0</v>
      </c>
      <c r="P90" s="57"/>
    </row>
    <row r="91" spans="1:16" ht="12" customHeight="1" x14ac:dyDescent="0.25">
      <c r="A91" s="51">
        <v>2222</v>
      </c>
      <c r="B91" s="88" t="s">
        <v>108</v>
      </c>
      <c r="C91" s="89">
        <f t="shared" si="102"/>
        <v>915</v>
      </c>
      <c r="D91" s="194"/>
      <c r="E91" s="195"/>
      <c r="F91" s="55">
        <f t="shared" si="115"/>
        <v>0</v>
      </c>
      <c r="G91" s="53"/>
      <c r="H91" s="54"/>
      <c r="I91" s="55">
        <f t="shared" si="116"/>
        <v>0</v>
      </c>
      <c r="J91" s="53">
        <v>915</v>
      </c>
      <c r="K91" s="54"/>
      <c r="L91" s="55">
        <f t="shared" si="117"/>
        <v>915</v>
      </c>
      <c r="M91" s="53"/>
      <c r="N91" s="54"/>
      <c r="O91" s="55">
        <f t="shared" si="118"/>
        <v>0</v>
      </c>
      <c r="P91" s="57"/>
    </row>
    <row r="92" spans="1:16" ht="12" customHeight="1" x14ac:dyDescent="0.25">
      <c r="A92" s="51">
        <v>2223</v>
      </c>
      <c r="B92" s="88" t="s">
        <v>109</v>
      </c>
      <c r="C92" s="89">
        <f t="shared" si="102"/>
        <v>1813</v>
      </c>
      <c r="D92" s="194"/>
      <c r="E92" s="195"/>
      <c r="F92" s="55">
        <f t="shared" si="115"/>
        <v>0</v>
      </c>
      <c r="G92" s="53"/>
      <c r="H92" s="54"/>
      <c r="I92" s="55">
        <f t="shared" si="116"/>
        <v>0</v>
      </c>
      <c r="J92" s="53">
        <v>1813</v>
      </c>
      <c r="K92" s="54"/>
      <c r="L92" s="55">
        <f t="shared" si="117"/>
        <v>1813</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445</v>
      </c>
      <c r="D95" s="189">
        <f>SUM(D96:D102)</f>
        <v>0</v>
      </c>
      <c r="E95" s="190">
        <f t="shared" ref="E95:F95" si="119">SUM(E96:E102)</f>
        <v>0</v>
      </c>
      <c r="F95" s="55">
        <f t="shared" si="119"/>
        <v>0</v>
      </c>
      <c r="G95" s="189">
        <f>SUM(G96:G102)</f>
        <v>0</v>
      </c>
      <c r="H95" s="190">
        <f t="shared" ref="H95:I95" si="120">SUM(H96:H102)</f>
        <v>0</v>
      </c>
      <c r="I95" s="55">
        <f t="shared" si="120"/>
        <v>0</v>
      </c>
      <c r="J95" s="189">
        <f>SUM(J96:J102)</f>
        <v>445</v>
      </c>
      <c r="K95" s="190">
        <f t="shared" ref="K95:L95" si="121">SUM(K96:K102)</f>
        <v>0</v>
      </c>
      <c r="L95" s="55">
        <f t="shared" si="121"/>
        <v>445</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4" customHeight="1" x14ac:dyDescent="0.25">
      <c r="A100" s="51">
        <v>2235</v>
      </c>
      <c r="B100" s="88" t="s">
        <v>117</v>
      </c>
      <c r="C100" s="89">
        <f t="shared" si="102"/>
        <v>340</v>
      </c>
      <c r="D100" s="194"/>
      <c r="E100" s="195"/>
      <c r="F100" s="55">
        <f t="shared" si="123"/>
        <v>0</v>
      </c>
      <c r="G100" s="53"/>
      <c r="H100" s="54"/>
      <c r="I100" s="55">
        <f t="shared" si="124"/>
        <v>0</v>
      </c>
      <c r="J100" s="53">
        <v>340</v>
      </c>
      <c r="K100" s="54"/>
      <c r="L100" s="55">
        <f t="shared" si="125"/>
        <v>340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105</v>
      </c>
      <c r="D102" s="194"/>
      <c r="E102" s="195"/>
      <c r="F102" s="55">
        <f t="shared" si="123"/>
        <v>0</v>
      </c>
      <c r="G102" s="53"/>
      <c r="H102" s="54"/>
      <c r="I102" s="55">
        <f t="shared" si="124"/>
        <v>0</v>
      </c>
      <c r="J102" s="53">
        <v>105</v>
      </c>
      <c r="K102" s="54"/>
      <c r="L102" s="55">
        <f t="shared" si="125"/>
        <v>105</v>
      </c>
      <c r="M102" s="53"/>
      <c r="N102" s="54"/>
      <c r="O102" s="55">
        <f t="shared" si="126"/>
        <v>0</v>
      </c>
      <c r="P102" s="57"/>
    </row>
    <row r="103" spans="1:16" ht="36" x14ac:dyDescent="0.25">
      <c r="A103" s="188">
        <v>2240</v>
      </c>
      <c r="B103" s="88" t="s">
        <v>120</v>
      </c>
      <c r="C103" s="89">
        <f t="shared" si="102"/>
        <v>2623</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2623</v>
      </c>
      <c r="K103" s="190">
        <f t="shared" ref="K103:L103" si="129">SUM(K104:K111)</f>
        <v>0</v>
      </c>
      <c r="L103" s="55">
        <f t="shared" si="129"/>
        <v>2623</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customHeight="1" x14ac:dyDescent="0.25">
      <c r="A106" s="51">
        <v>2243</v>
      </c>
      <c r="B106" s="88" t="s">
        <v>123</v>
      </c>
      <c r="C106" s="89">
        <f t="shared" si="102"/>
        <v>202</v>
      </c>
      <c r="D106" s="194"/>
      <c r="E106" s="195"/>
      <c r="F106" s="55">
        <f t="shared" si="131"/>
        <v>0</v>
      </c>
      <c r="G106" s="53"/>
      <c r="H106" s="54"/>
      <c r="I106" s="55">
        <f t="shared" si="132"/>
        <v>0</v>
      </c>
      <c r="J106" s="53">
        <v>202</v>
      </c>
      <c r="K106" s="54"/>
      <c r="L106" s="55">
        <f t="shared" si="133"/>
        <v>202</v>
      </c>
      <c r="M106" s="53"/>
      <c r="N106" s="54"/>
      <c r="O106" s="55">
        <f t="shared" si="134"/>
        <v>0</v>
      </c>
      <c r="P106" s="57"/>
    </row>
    <row r="107" spans="1:16" ht="12" customHeight="1" x14ac:dyDescent="0.25">
      <c r="A107" s="51">
        <v>2244</v>
      </c>
      <c r="B107" s="88" t="s">
        <v>124</v>
      </c>
      <c r="C107" s="89">
        <f t="shared" si="102"/>
        <v>2421</v>
      </c>
      <c r="D107" s="194"/>
      <c r="E107" s="195"/>
      <c r="F107" s="55">
        <f t="shared" si="131"/>
        <v>0</v>
      </c>
      <c r="G107" s="53"/>
      <c r="H107" s="54"/>
      <c r="I107" s="55">
        <f t="shared" si="132"/>
        <v>0</v>
      </c>
      <c r="J107" s="53">
        <v>2421</v>
      </c>
      <c r="K107" s="54"/>
      <c r="L107" s="55">
        <f t="shared" si="133"/>
        <v>2421</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29.25"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288"/>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9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2705</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2554</v>
      </c>
      <c r="K130" s="184">
        <f t="shared" ref="K130:L130" si="162">SUM(K131,K136,K140,K141,K144,K151,K159,K160,K163)</f>
        <v>151</v>
      </c>
      <c r="L130" s="72">
        <f t="shared" si="162"/>
        <v>2705</v>
      </c>
      <c r="M130" s="183">
        <f>SUM(M131,M136,M140,M141,M144,M151,M159,M160,M163)</f>
        <v>0</v>
      </c>
      <c r="N130" s="184">
        <f t="shared" ref="N130:O130" si="163">SUM(N131,N136,N140,N141,N144,N151,N159,N160,N163)</f>
        <v>0</v>
      </c>
      <c r="O130" s="72">
        <f t="shared" si="163"/>
        <v>0</v>
      </c>
      <c r="P130" s="76"/>
    </row>
    <row r="131" spans="1:16" ht="24" x14ac:dyDescent="0.25">
      <c r="A131" s="191">
        <v>2310</v>
      </c>
      <c r="B131" s="81" t="s">
        <v>148</v>
      </c>
      <c r="C131" s="82">
        <f t="shared" si="102"/>
        <v>2128</v>
      </c>
      <c r="D131" s="192">
        <f t="shared" ref="D131:O131" si="164">SUM(D132:D135)</f>
        <v>0</v>
      </c>
      <c r="E131" s="193">
        <f t="shared" si="164"/>
        <v>0</v>
      </c>
      <c r="F131" s="133">
        <f t="shared" si="164"/>
        <v>0</v>
      </c>
      <c r="G131" s="192">
        <f t="shared" si="164"/>
        <v>0</v>
      </c>
      <c r="H131" s="193">
        <f t="shared" si="164"/>
        <v>0</v>
      </c>
      <c r="I131" s="133">
        <f t="shared" si="164"/>
        <v>0</v>
      </c>
      <c r="J131" s="192">
        <f t="shared" si="164"/>
        <v>2023</v>
      </c>
      <c r="K131" s="193">
        <f t="shared" si="164"/>
        <v>105</v>
      </c>
      <c r="L131" s="133">
        <f t="shared" si="164"/>
        <v>2128</v>
      </c>
      <c r="M131" s="192">
        <f t="shared" si="164"/>
        <v>0</v>
      </c>
      <c r="N131" s="193">
        <f t="shared" si="164"/>
        <v>0</v>
      </c>
      <c r="O131" s="133">
        <f t="shared" si="164"/>
        <v>0</v>
      </c>
      <c r="P131" s="49"/>
    </row>
    <row r="132" spans="1:16" ht="12" customHeight="1" x14ac:dyDescent="0.25">
      <c r="A132" s="51">
        <v>2311</v>
      </c>
      <c r="B132" s="88" t="s">
        <v>149</v>
      </c>
      <c r="C132" s="89">
        <f t="shared" si="102"/>
        <v>509</v>
      </c>
      <c r="D132" s="194"/>
      <c r="E132" s="195"/>
      <c r="F132" s="55">
        <f t="shared" ref="F132:F135" si="165">D132+E132</f>
        <v>0</v>
      </c>
      <c r="G132" s="53"/>
      <c r="H132" s="54"/>
      <c r="I132" s="55">
        <f t="shared" ref="I132:I135" si="166">G132+H132</f>
        <v>0</v>
      </c>
      <c r="J132" s="53">
        <v>509</v>
      </c>
      <c r="K132" s="54"/>
      <c r="L132" s="55">
        <f t="shared" ref="L132:L135" si="167">K132+J132</f>
        <v>509</v>
      </c>
      <c r="M132" s="53"/>
      <c r="N132" s="54"/>
      <c r="O132" s="55">
        <f t="shared" ref="O132:O135" si="168">N132+M132</f>
        <v>0</v>
      </c>
      <c r="P132" s="57"/>
    </row>
    <row r="133" spans="1:16" ht="13.5" customHeight="1" x14ac:dyDescent="0.25">
      <c r="A133" s="51">
        <v>2312</v>
      </c>
      <c r="B133" s="88" t="s">
        <v>150</v>
      </c>
      <c r="C133" s="89">
        <f t="shared" si="102"/>
        <v>539</v>
      </c>
      <c r="D133" s="194"/>
      <c r="E133" s="195"/>
      <c r="F133" s="55">
        <f t="shared" si="165"/>
        <v>0</v>
      </c>
      <c r="G133" s="53"/>
      <c r="H133" s="54"/>
      <c r="I133" s="55">
        <f t="shared" si="166"/>
        <v>0</v>
      </c>
      <c r="J133" s="53">
        <v>434</v>
      </c>
      <c r="K133" s="54">
        <v>105</v>
      </c>
      <c r="L133" s="55">
        <f t="shared" si="167"/>
        <v>539</v>
      </c>
      <c r="M133" s="53"/>
      <c r="N133" s="54"/>
      <c r="O133" s="55">
        <f t="shared" si="168"/>
        <v>0</v>
      </c>
      <c r="P133" s="57" t="s">
        <v>357</v>
      </c>
    </row>
    <row r="134" spans="1:16" ht="12" customHeight="1" x14ac:dyDescent="0.25">
      <c r="A134" s="51">
        <v>2313</v>
      </c>
      <c r="B134" s="88" t="s">
        <v>151</v>
      </c>
      <c r="C134" s="89">
        <f t="shared" si="102"/>
        <v>1000</v>
      </c>
      <c r="D134" s="194"/>
      <c r="E134" s="195"/>
      <c r="F134" s="55">
        <f t="shared" si="165"/>
        <v>0</v>
      </c>
      <c r="G134" s="53"/>
      <c r="H134" s="54"/>
      <c r="I134" s="55">
        <f t="shared" si="166"/>
        <v>0</v>
      </c>
      <c r="J134" s="53">
        <v>1000</v>
      </c>
      <c r="K134" s="54"/>
      <c r="L134" s="55">
        <f t="shared" si="167"/>
        <v>1000</v>
      </c>
      <c r="M134" s="53"/>
      <c r="N134" s="54"/>
      <c r="O134" s="55">
        <f t="shared" si="168"/>
        <v>0</v>
      </c>
      <c r="P134" s="57"/>
    </row>
    <row r="135" spans="1:16" ht="36" customHeight="1" x14ac:dyDescent="0.25">
      <c r="A135" s="51">
        <v>2314</v>
      </c>
      <c r="B135" s="88" t="s">
        <v>152</v>
      </c>
      <c r="C135" s="89">
        <f t="shared" si="102"/>
        <v>80</v>
      </c>
      <c r="D135" s="194"/>
      <c r="E135" s="195"/>
      <c r="F135" s="55">
        <f t="shared" si="165"/>
        <v>0</v>
      </c>
      <c r="G135" s="53"/>
      <c r="H135" s="54"/>
      <c r="I135" s="55">
        <f t="shared" si="166"/>
        <v>0</v>
      </c>
      <c r="J135" s="53">
        <v>80</v>
      </c>
      <c r="K135" s="54"/>
      <c r="L135" s="55">
        <f t="shared" si="167"/>
        <v>80</v>
      </c>
      <c r="M135" s="53"/>
      <c r="N135" s="54"/>
      <c r="O135" s="55">
        <f t="shared" si="168"/>
        <v>0</v>
      </c>
      <c r="P135" s="57"/>
    </row>
    <row r="136" spans="1:16" x14ac:dyDescent="0.25">
      <c r="A136" s="188">
        <v>2320</v>
      </c>
      <c r="B136" s="88" t="s">
        <v>153</v>
      </c>
      <c r="C136" s="89">
        <f t="shared" si="102"/>
        <v>55</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55</v>
      </c>
      <c r="K136" s="190">
        <f t="shared" ref="K136:L136" si="171">SUM(K137:K139)</f>
        <v>0</v>
      </c>
      <c r="L136" s="55">
        <f t="shared" si="171"/>
        <v>55</v>
      </c>
      <c r="M136" s="189">
        <f>SUM(M137:M139)</f>
        <v>0</v>
      </c>
      <c r="N136" s="190">
        <f t="shared" ref="N136:O136" si="172">SUM(N137:N139)</f>
        <v>0</v>
      </c>
      <c r="O136" s="55">
        <f t="shared" si="172"/>
        <v>0</v>
      </c>
      <c r="P136" s="57"/>
    </row>
    <row r="137" spans="1:16" ht="12" customHeight="1" x14ac:dyDescent="0.25">
      <c r="A137" s="51">
        <v>2321</v>
      </c>
      <c r="B137" s="88" t="s">
        <v>154</v>
      </c>
      <c r="C137" s="89">
        <f t="shared" si="102"/>
        <v>55</v>
      </c>
      <c r="D137" s="194"/>
      <c r="E137" s="195"/>
      <c r="F137" s="55">
        <f t="shared" ref="F137:F140" si="173">D137+E137</f>
        <v>0</v>
      </c>
      <c r="G137" s="53"/>
      <c r="H137" s="54"/>
      <c r="I137" s="55">
        <f t="shared" ref="I137:I140" si="174">G137+H137</f>
        <v>0</v>
      </c>
      <c r="J137" s="53">
        <v>55</v>
      </c>
      <c r="K137" s="54"/>
      <c r="L137" s="55">
        <f t="shared" ref="L137:L140" si="175">K137+J137</f>
        <v>55</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162</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116</v>
      </c>
      <c r="K144" s="187">
        <f t="shared" ref="K144:L144" si="187">SUM(K145:K150)</f>
        <v>46</v>
      </c>
      <c r="L144" s="140">
        <f t="shared" si="187"/>
        <v>162</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4.25" customHeight="1" x14ac:dyDescent="0.25">
      <c r="A146" s="51">
        <v>2352</v>
      </c>
      <c r="B146" s="88" t="s">
        <v>163</v>
      </c>
      <c r="C146" s="89">
        <f t="shared" si="102"/>
        <v>162</v>
      </c>
      <c r="D146" s="194"/>
      <c r="E146" s="195"/>
      <c r="F146" s="55">
        <f t="shared" si="189"/>
        <v>0</v>
      </c>
      <c r="G146" s="53"/>
      <c r="H146" s="54"/>
      <c r="I146" s="55">
        <f t="shared" si="190"/>
        <v>0</v>
      </c>
      <c r="J146" s="53">
        <v>116</v>
      </c>
      <c r="K146" s="54">
        <v>46</v>
      </c>
      <c r="L146" s="55">
        <f t="shared" si="191"/>
        <v>162</v>
      </c>
      <c r="M146" s="53"/>
      <c r="N146" s="54"/>
      <c r="O146" s="55">
        <f t="shared" si="192"/>
        <v>0</v>
      </c>
      <c r="P146" s="57" t="s">
        <v>358</v>
      </c>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customHeight="1" x14ac:dyDescent="0.25">
      <c r="A151" s="188">
        <v>2360</v>
      </c>
      <c r="B151" s="88" t="s">
        <v>168</v>
      </c>
      <c r="C151" s="89">
        <f t="shared" si="193"/>
        <v>360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360</v>
      </c>
      <c r="K151" s="190">
        <f t="shared" ref="K151:L151" si="196">SUM(K152:K158)</f>
        <v>0</v>
      </c>
      <c r="L151" s="55">
        <f t="shared" si="196"/>
        <v>360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customHeight="1" x14ac:dyDescent="0.25">
      <c r="A158" s="50">
        <v>2369</v>
      </c>
      <c r="B158" s="88" t="s">
        <v>175</v>
      </c>
      <c r="C158" s="89">
        <f t="shared" si="193"/>
        <v>360</v>
      </c>
      <c r="D158" s="194"/>
      <c r="E158" s="195"/>
      <c r="F158" s="55">
        <f t="shared" si="198"/>
        <v>0</v>
      </c>
      <c r="G158" s="53"/>
      <c r="H158" s="54"/>
      <c r="I158" s="55">
        <f t="shared" si="199"/>
        <v>0</v>
      </c>
      <c r="J158" s="53">
        <v>360</v>
      </c>
      <c r="K158" s="54"/>
      <c r="L158" s="55">
        <f t="shared" si="200"/>
        <v>360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91">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9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91">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9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91">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289"/>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5.75"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288"/>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24"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1">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9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9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91">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1">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1532</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1532</v>
      </c>
      <c r="K286" s="190">
        <f t="shared" ref="K286:L286" si="383">SUM(K287:K288)</f>
        <v>0</v>
      </c>
      <c r="L286" s="55">
        <f t="shared" si="383"/>
        <v>1532</v>
      </c>
      <c r="M286" s="189">
        <f>SUM(M287:M288)</f>
        <v>0</v>
      </c>
      <c r="N286" s="190">
        <f t="shared" ref="N286:O286" si="384">SUM(N287:N288)</f>
        <v>0</v>
      </c>
      <c r="O286" s="55">
        <f t="shared" si="384"/>
        <v>0</v>
      </c>
      <c r="P286" s="57"/>
    </row>
    <row r="287" spans="1:16" ht="12" customHeight="1" x14ac:dyDescent="0.25">
      <c r="A287" s="199" t="s">
        <v>304</v>
      </c>
      <c r="B287" s="51" t="s">
        <v>305</v>
      </c>
      <c r="C287" s="89">
        <f t="shared" si="371"/>
        <v>1532</v>
      </c>
      <c r="D287" s="194"/>
      <c r="E287" s="195"/>
      <c r="F287" s="55">
        <f t="shared" ref="F287:F288" si="385">D287+E287</f>
        <v>0</v>
      </c>
      <c r="G287" s="53"/>
      <c r="H287" s="54"/>
      <c r="I287" s="55">
        <f t="shared" ref="I287:I288" si="386">G287+H287</f>
        <v>0</v>
      </c>
      <c r="J287" s="53">
        <v>1532</v>
      </c>
      <c r="K287" s="54"/>
      <c r="L287" s="55">
        <f t="shared" ref="L287:L288" si="387">K287+J287</f>
        <v>1532</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416568</v>
      </c>
      <c r="D289" s="251">
        <f t="shared" ref="D289:O289" si="389">SUM(D286,D269,D230,D195,D187,D173,D75,D53,D283)</f>
        <v>401771</v>
      </c>
      <c r="E289" s="252">
        <f t="shared" si="389"/>
        <v>0</v>
      </c>
      <c r="F289" s="253">
        <f t="shared" si="389"/>
        <v>401771</v>
      </c>
      <c r="G289" s="251">
        <f t="shared" si="389"/>
        <v>0</v>
      </c>
      <c r="H289" s="252">
        <f t="shared" si="389"/>
        <v>0</v>
      </c>
      <c r="I289" s="253">
        <f t="shared" si="389"/>
        <v>0</v>
      </c>
      <c r="J289" s="251">
        <f t="shared" si="389"/>
        <v>14797</v>
      </c>
      <c r="K289" s="252">
        <f t="shared" si="389"/>
        <v>0</v>
      </c>
      <c r="L289" s="253">
        <f t="shared" si="389"/>
        <v>14797</v>
      </c>
      <c r="M289" s="251">
        <f t="shared" si="389"/>
        <v>0</v>
      </c>
      <c r="N289" s="252">
        <f t="shared" si="389"/>
        <v>0</v>
      </c>
      <c r="O289" s="253">
        <f t="shared" si="389"/>
        <v>0</v>
      </c>
      <c r="P289" s="254"/>
    </row>
    <row r="290" spans="1:16" s="28" customFormat="1" ht="13.5" thickTop="1" thickBot="1" x14ac:dyDescent="0.3">
      <c r="A290" s="1945" t="s">
        <v>309</v>
      </c>
      <c r="B290" s="1946"/>
      <c r="C290" s="255">
        <f t="shared" si="371"/>
        <v>1532</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1532</v>
      </c>
      <c r="K290" s="257">
        <f t="shared" ref="K290:L290" si="392">(K26+K43)-K51</f>
        <v>0</v>
      </c>
      <c r="L290" s="258">
        <f t="shared" si="392"/>
        <v>1532</v>
      </c>
      <c r="M290" s="256">
        <f>M45-M51</f>
        <v>0</v>
      </c>
      <c r="N290" s="257">
        <f t="shared" ref="N290:O290" si="393">N45-N51</f>
        <v>0</v>
      </c>
      <c r="O290" s="258">
        <f t="shared" si="393"/>
        <v>0</v>
      </c>
      <c r="P290" s="259"/>
    </row>
    <row r="291" spans="1:16" s="28" customFormat="1" ht="12.75" thickTop="1" x14ac:dyDescent="0.25">
      <c r="A291" s="1947" t="s">
        <v>310</v>
      </c>
      <c r="B291" s="1948"/>
      <c r="C291" s="260">
        <f t="shared" si="371"/>
        <v>-1532</v>
      </c>
      <c r="D291" s="261">
        <f t="shared" ref="D291:O291" si="394">SUM(D292,D293)-D300+D301</f>
        <v>0</v>
      </c>
      <c r="E291" s="262">
        <f t="shared" si="394"/>
        <v>0</v>
      </c>
      <c r="F291" s="263">
        <f t="shared" si="394"/>
        <v>0</v>
      </c>
      <c r="G291" s="261">
        <f t="shared" si="394"/>
        <v>0</v>
      </c>
      <c r="H291" s="262">
        <f t="shared" si="394"/>
        <v>0</v>
      </c>
      <c r="I291" s="263">
        <f t="shared" si="394"/>
        <v>0</v>
      </c>
      <c r="J291" s="261">
        <f t="shared" si="394"/>
        <v>-1532</v>
      </c>
      <c r="K291" s="262">
        <f t="shared" si="394"/>
        <v>0</v>
      </c>
      <c r="L291" s="263">
        <f t="shared" si="394"/>
        <v>-1532</v>
      </c>
      <c r="M291" s="261">
        <f t="shared" si="394"/>
        <v>0</v>
      </c>
      <c r="N291" s="262">
        <f t="shared" si="394"/>
        <v>0</v>
      </c>
      <c r="O291" s="263">
        <f t="shared" si="394"/>
        <v>0</v>
      </c>
      <c r="P291" s="264"/>
    </row>
    <row r="292" spans="1:16" s="28" customFormat="1" ht="12.75" thickBot="1" x14ac:dyDescent="0.3">
      <c r="A292" s="156" t="s">
        <v>311</v>
      </c>
      <c r="B292" s="156" t="s">
        <v>312</v>
      </c>
      <c r="C292" s="157">
        <f t="shared" si="371"/>
        <v>-1532</v>
      </c>
      <c r="D292" s="158">
        <f t="shared" ref="D292:O292" si="395">D21-D286</f>
        <v>0</v>
      </c>
      <c r="E292" s="159">
        <f t="shared" si="395"/>
        <v>0</v>
      </c>
      <c r="F292" s="160">
        <f t="shared" si="395"/>
        <v>0</v>
      </c>
      <c r="G292" s="158">
        <f t="shared" si="395"/>
        <v>0</v>
      </c>
      <c r="H292" s="159">
        <f t="shared" si="395"/>
        <v>0</v>
      </c>
      <c r="I292" s="160">
        <f t="shared" si="395"/>
        <v>0</v>
      </c>
      <c r="J292" s="158">
        <f t="shared" si="395"/>
        <v>-1532</v>
      </c>
      <c r="K292" s="159">
        <f t="shared" si="395"/>
        <v>0</v>
      </c>
      <c r="L292" s="160">
        <f t="shared" si="395"/>
        <v>-1532</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sheetData>
  <sheetProtection algorithmName="SHA-512" hashValue="O+3Zj+H4akpDw5q/H6jmUIleMldp5A0ItBYXFB3xBjWIHerTcHFTQUwHpQVpS11umlKFMB6g7uerSvA/ZXYbMw==" saltValue="gImiAnm2zyOesAt3PCw+TA==" spinCount="100000" sheet="1" objects="1" scenarios="1" formatCells="0" formatColumns="0" formatRows="0" deleteColumns="0"/>
  <autoFilter ref="A18:P301">
    <filterColumn colId="2">
      <filters>
        <filter val="1 000"/>
        <filter val="1 141"/>
        <filter val="1 532"/>
        <filter val="-1 532"/>
        <filter val="1 813"/>
        <filter val="10 499"/>
        <filter val="101 845"/>
        <filter val="105"/>
        <filter val="13 265"/>
        <filter val="14 797"/>
        <filter val="14 870"/>
        <filter val="153"/>
        <filter val="16 393"/>
        <filter val="162"/>
        <filter val="19 090"/>
        <filter val="2 128"/>
        <filter val="2 421"/>
        <filter val="2 623"/>
        <filter val="2 705"/>
        <filter val="202"/>
        <filter val="231"/>
        <filter val="25 644"/>
        <filter val="280 836"/>
        <filter val="299 926"/>
        <filter val="3 079"/>
        <filter val="340"/>
        <filter val="360"/>
        <filter val="4 472"/>
        <filter val="401 771"/>
        <filter val="415 036"/>
        <filter val="416 568"/>
        <filter val="445"/>
        <filter val="500"/>
        <filter val="509"/>
        <filter val="539"/>
        <filter val="55"/>
        <filter val="61"/>
        <filter val="7 200"/>
        <filter val="76 201"/>
        <filter val="78"/>
        <filter val="8 751"/>
        <filter val="80"/>
        <filter val="915"/>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68.pielikums Jūrmalas pilsētas domes
2019.gada 29.augusta saistošajiem noteikumiem Nr.31
(protokols Nr.12, 20.punkts)
 </firstHeader>
    <firstFooter>&amp;L&amp;9&amp;D; &amp;T&amp;R&amp;9&amp;P (&amp;N)</first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3"/>
  <sheetViews>
    <sheetView showGridLines="0" view="pageLayout" zoomScaleNormal="100" workbookViewId="0">
      <selection activeCell="U6" sqref="U6"/>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7.2851562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710</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711</v>
      </c>
      <c r="D3" s="1977"/>
      <c r="E3" s="1977"/>
      <c r="F3" s="1977"/>
      <c r="G3" s="1977"/>
      <c r="H3" s="1977"/>
      <c r="I3" s="1977"/>
      <c r="J3" s="1977"/>
      <c r="K3" s="1977"/>
      <c r="L3" s="1977"/>
      <c r="M3" s="1977"/>
      <c r="N3" s="1977"/>
      <c r="O3" s="1977"/>
      <c r="P3" s="1978"/>
      <c r="Q3" s="276"/>
    </row>
    <row r="4" spans="1:17" ht="12.75" customHeight="1" x14ac:dyDescent="0.25">
      <c r="A4" s="5" t="s">
        <v>4</v>
      </c>
      <c r="B4" s="6"/>
      <c r="C4" s="1977" t="s">
        <v>712</v>
      </c>
      <c r="D4" s="1977"/>
      <c r="E4" s="1977"/>
      <c r="F4" s="1977"/>
      <c r="G4" s="1977"/>
      <c r="H4" s="1977"/>
      <c r="I4" s="1977"/>
      <c r="J4" s="1977"/>
      <c r="K4" s="1977"/>
      <c r="L4" s="1977"/>
      <c r="M4" s="1977"/>
      <c r="N4" s="1977"/>
      <c r="O4" s="1977"/>
      <c r="P4" s="1978"/>
      <c r="Q4" s="276"/>
    </row>
    <row r="5" spans="1:17" ht="12.75" customHeight="1" x14ac:dyDescent="0.25">
      <c r="A5" s="7" t="s">
        <v>6</v>
      </c>
      <c r="B5" s="8"/>
      <c r="C5" s="1972" t="s">
        <v>713</v>
      </c>
      <c r="D5" s="1972"/>
      <c r="E5" s="1972"/>
      <c r="F5" s="1972"/>
      <c r="G5" s="1972"/>
      <c r="H5" s="1972"/>
      <c r="I5" s="1972"/>
      <c r="J5" s="1972"/>
      <c r="K5" s="1972"/>
      <c r="L5" s="1972"/>
      <c r="M5" s="1972"/>
      <c r="N5" s="1972"/>
      <c r="O5" s="1972"/>
      <c r="P5" s="1973"/>
      <c r="Q5" s="276"/>
    </row>
    <row r="6" spans="1:17" ht="12.75" customHeight="1" x14ac:dyDescent="0.25">
      <c r="A6" s="7" t="s">
        <v>8</v>
      </c>
      <c r="B6" s="8"/>
      <c r="C6" s="1972" t="s">
        <v>360</v>
      </c>
      <c r="D6" s="1972"/>
      <c r="E6" s="1972"/>
      <c r="F6" s="1972"/>
      <c r="G6" s="1972"/>
      <c r="H6" s="1972"/>
      <c r="I6" s="1972"/>
      <c r="J6" s="1972"/>
      <c r="K6" s="1972"/>
      <c r="L6" s="1972"/>
      <c r="M6" s="1972"/>
      <c r="N6" s="1972"/>
      <c r="O6" s="1972"/>
      <c r="P6" s="1973"/>
      <c r="Q6" s="276"/>
    </row>
    <row r="7" spans="1:17" x14ac:dyDescent="0.25">
      <c r="A7" s="7" t="s">
        <v>10</v>
      </c>
      <c r="B7" s="8"/>
      <c r="C7" s="1977" t="s">
        <v>714</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1025</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715</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t="s">
        <v>716</v>
      </c>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585077</v>
      </c>
      <c r="D20" s="32">
        <f>SUM(D21,D24,D25,D41,D43)</f>
        <v>581435</v>
      </c>
      <c r="E20" s="33">
        <f t="shared" ref="E20:F20" si="1">SUM(E21,E24,E25,E41,E43)</f>
        <v>1484</v>
      </c>
      <c r="F20" s="34">
        <f t="shared" si="1"/>
        <v>582919</v>
      </c>
      <c r="G20" s="32">
        <f>SUM(G21,G24,G43)</f>
        <v>0</v>
      </c>
      <c r="H20" s="33">
        <f>SUM(H21,H24,H43)</f>
        <v>0</v>
      </c>
      <c r="I20" s="34">
        <f t="shared" ref="I20" si="2">SUM(I21,I24,I43)</f>
        <v>0</v>
      </c>
      <c r="J20" s="32">
        <f>SUM(J21,J26,J43)</f>
        <v>1620</v>
      </c>
      <c r="K20" s="33">
        <f t="shared" ref="K20:L20" si="3">SUM(K21,K26,K43)</f>
        <v>0</v>
      </c>
      <c r="L20" s="34">
        <f t="shared" si="3"/>
        <v>1620</v>
      </c>
      <c r="M20" s="32">
        <f>SUM(M21,M24,M45)</f>
        <v>538</v>
      </c>
      <c r="N20" s="33">
        <f>SUM(N21,N24,N45)</f>
        <v>0</v>
      </c>
      <c r="O20" s="34">
        <f>SUM(O21,O24,O45)</f>
        <v>538</v>
      </c>
      <c r="P20" s="35"/>
    </row>
    <row r="21" spans="1:16" ht="12.75" hidden="1" thickTop="1" x14ac:dyDescent="0.25">
      <c r="A21" s="36"/>
      <c r="B21" s="37" t="s">
        <v>40</v>
      </c>
      <c r="C21" s="38">
        <f t="shared" si="0"/>
        <v>0</v>
      </c>
      <c r="D21" s="39">
        <f>SUM(D22:D23)</f>
        <v>0</v>
      </c>
      <c r="E21" s="40">
        <f t="shared" ref="E21:F21" si="4">SUM(E22:E23)</f>
        <v>0</v>
      </c>
      <c r="F21" s="41">
        <f t="shared" si="4"/>
        <v>0</v>
      </c>
      <c r="G21" s="39">
        <f>SUM(G22:G23)</f>
        <v>0</v>
      </c>
      <c r="H21" s="40">
        <f t="shared" ref="H21:I21" si="5">SUM(H22:H23)</f>
        <v>0</v>
      </c>
      <c r="I21" s="41">
        <f t="shared" si="5"/>
        <v>0</v>
      </c>
      <c r="J21" s="39">
        <f>SUM(J22:J23)</f>
        <v>0</v>
      </c>
      <c r="K21" s="40">
        <f t="shared" ref="K21:L21" si="6">SUM(K22:K23)</f>
        <v>0</v>
      </c>
      <c r="L21" s="41">
        <f t="shared" si="6"/>
        <v>0</v>
      </c>
      <c r="M21" s="539">
        <f>SUM(M22:M23)</f>
        <v>0</v>
      </c>
      <c r="N21" s="40">
        <f t="shared" ref="N21:O21" si="7">SUM(N22:N23)</f>
        <v>0</v>
      </c>
      <c r="O21" s="41">
        <f t="shared" si="7"/>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8">D23+E23</f>
        <v>0</v>
      </c>
      <c r="G23" s="53"/>
      <c r="H23" s="54"/>
      <c r="I23" s="55">
        <f t="shared" ref="I23:I24" si="9">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582919</v>
      </c>
      <c r="D24" s="60">
        <v>581435</v>
      </c>
      <c r="E24" s="61">
        <v>1484</v>
      </c>
      <c r="F24" s="62">
        <f t="shared" si="8"/>
        <v>582919</v>
      </c>
      <c r="G24" s="60"/>
      <c r="H24" s="61"/>
      <c r="I24" s="62">
        <f t="shared" si="9"/>
        <v>0</v>
      </c>
      <c r="J24" s="63" t="s">
        <v>44</v>
      </c>
      <c r="K24" s="64" t="s">
        <v>44</v>
      </c>
      <c r="L24" s="65" t="s">
        <v>44</v>
      </c>
      <c r="M24" s="540">
        <v>538</v>
      </c>
      <c r="N24" s="541">
        <v>0</v>
      </c>
      <c r="O24" s="65">
        <f>M24+N24</f>
        <v>538</v>
      </c>
      <c r="P24" s="66"/>
    </row>
    <row r="25" spans="1:16" s="28" customFormat="1" ht="24.75" hidden="1" customHeight="1" thickTop="1" x14ac:dyDescent="0.25">
      <c r="A25" s="67"/>
      <c r="B25" s="68" t="s">
        <v>45</v>
      </c>
      <c r="C25" s="69">
        <f>F25</f>
        <v>0</v>
      </c>
      <c r="D25" s="70"/>
      <c r="E25" s="71"/>
      <c r="F25" s="72">
        <f t="shared" si="8"/>
        <v>0</v>
      </c>
      <c r="G25" s="73" t="s">
        <v>44</v>
      </c>
      <c r="H25" s="74" t="s">
        <v>44</v>
      </c>
      <c r="I25" s="75" t="s">
        <v>44</v>
      </c>
      <c r="J25" s="73" t="s">
        <v>44</v>
      </c>
      <c r="K25" s="74" t="s">
        <v>44</v>
      </c>
      <c r="L25" s="75" t="s">
        <v>44</v>
      </c>
      <c r="M25" s="73" t="s">
        <v>44</v>
      </c>
      <c r="N25" s="74" t="s">
        <v>44</v>
      </c>
      <c r="O25" s="75" t="s">
        <v>44</v>
      </c>
      <c r="P25" s="76"/>
    </row>
    <row r="26" spans="1:16" s="28" customFormat="1" ht="36" customHeight="1" thickTop="1" x14ac:dyDescent="0.25">
      <c r="A26" s="68">
        <v>21300</v>
      </c>
      <c r="B26" s="68" t="s">
        <v>46</v>
      </c>
      <c r="C26" s="69">
        <f>L26</f>
        <v>1620</v>
      </c>
      <c r="D26" s="73" t="s">
        <v>44</v>
      </c>
      <c r="E26" s="74" t="s">
        <v>44</v>
      </c>
      <c r="F26" s="75" t="s">
        <v>44</v>
      </c>
      <c r="G26" s="73" t="s">
        <v>44</v>
      </c>
      <c r="H26" s="74" t="s">
        <v>44</v>
      </c>
      <c r="I26" s="75" t="s">
        <v>44</v>
      </c>
      <c r="J26" s="77">
        <f>SUM(J27,J31,J33,J36)</f>
        <v>1620</v>
      </c>
      <c r="K26" s="78">
        <f t="shared" ref="K26:L26" si="10">SUM(K27,K31,K33,K36)</f>
        <v>0</v>
      </c>
      <c r="L26" s="79">
        <f t="shared" si="10"/>
        <v>1620</v>
      </c>
      <c r="M26" s="77" t="s">
        <v>44</v>
      </c>
      <c r="N26" s="78" t="s">
        <v>44</v>
      </c>
      <c r="O26" s="79" t="s">
        <v>44</v>
      </c>
      <c r="P26" s="76"/>
    </row>
    <row r="27" spans="1:16" s="28" customFormat="1" ht="24" hidden="1" customHeight="1" x14ac:dyDescent="0.25">
      <c r="A27" s="80">
        <v>21350</v>
      </c>
      <c r="B27" s="68" t="s">
        <v>47</v>
      </c>
      <c r="C27" s="69">
        <f t="shared" ref="C27:C30" si="11">L27</f>
        <v>0</v>
      </c>
      <c r="D27" s="73" t="s">
        <v>44</v>
      </c>
      <c r="E27" s="74" t="s">
        <v>44</v>
      </c>
      <c r="F27" s="75" t="s">
        <v>44</v>
      </c>
      <c r="G27" s="73" t="s">
        <v>44</v>
      </c>
      <c r="H27" s="74" t="s">
        <v>44</v>
      </c>
      <c r="I27" s="75" t="s">
        <v>44</v>
      </c>
      <c r="J27" s="77">
        <f>SUM(J28:J30)</f>
        <v>0</v>
      </c>
      <c r="K27" s="78">
        <f t="shared" ref="K27:L27" si="12">SUM(K28:K30)</f>
        <v>0</v>
      </c>
      <c r="L27" s="79">
        <f t="shared" si="12"/>
        <v>0</v>
      </c>
      <c r="M27" s="77" t="s">
        <v>44</v>
      </c>
      <c r="N27" s="78" t="s">
        <v>44</v>
      </c>
      <c r="O27" s="79" t="s">
        <v>44</v>
      </c>
      <c r="P27" s="76"/>
    </row>
    <row r="28" spans="1:16" ht="12" hidden="1" customHeight="1" x14ac:dyDescent="0.25">
      <c r="A28" s="43">
        <v>21351</v>
      </c>
      <c r="B28" s="81" t="s">
        <v>48</v>
      </c>
      <c r="C28" s="82">
        <f t="shared" si="11"/>
        <v>0</v>
      </c>
      <c r="D28" s="83" t="s">
        <v>44</v>
      </c>
      <c r="E28" s="84" t="s">
        <v>44</v>
      </c>
      <c r="F28" s="85" t="s">
        <v>44</v>
      </c>
      <c r="G28" s="83" t="s">
        <v>44</v>
      </c>
      <c r="H28" s="84" t="s">
        <v>44</v>
      </c>
      <c r="I28" s="85" t="s">
        <v>44</v>
      </c>
      <c r="J28" s="46"/>
      <c r="K28" s="47"/>
      <c r="L28" s="48">
        <f t="shared" ref="L28:L30" si="13">K28+J28</f>
        <v>0</v>
      </c>
      <c r="M28" s="86" t="s">
        <v>44</v>
      </c>
      <c r="N28" s="87" t="s">
        <v>44</v>
      </c>
      <c r="O28" s="48" t="s">
        <v>44</v>
      </c>
      <c r="P28" s="49"/>
    </row>
    <row r="29" spans="1:16" ht="12" hidden="1" customHeight="1" x14ac:dyDescent="0.25">
      <c r="A29" s="50">
        <v>21352</v>
      </c>
      <c r="B29" s="88" t="s">
        <v>49</v>
      </c>
      <c r="C29" s="89">
        <f t="shared" si="11"/>
        <v>0</v>
      </c>
      <c r="D29" s="90" t="s">
        <v>44</v>
      </c>
      <c r="E29" s="91" t="s">
        <v>44</v>
      </c>
      <c r="F29" s="92" t="s">
        <v>44</v>
      </c>
      <c r="G29" s="90" t="s">
        <v>44</v>
      </c>
      <c r="H29" s="91" t="s">
        <v>44</v>
      </c>
      <c r="I29" s="92" t="s">
        <v>44</v>
      </c>
      <c r="J29" s="53"/>
      <c r="K29" s="54"/>
      <c r="L29" s="56">
        <f t="shared" si="13"/>
        <v>0</v>
      </c>
      <c r="M29" s="93" t="s">
        <v>44</v>
      </c>
      <c r="N29" s="94" t="s">
        <v>44</v>
      </c>
      <c r="O29" s="56" t="s">
        <v>44</v>
      </c>
      <c r="P29" s="57"/>
    </row>
    <row r="30" spans="1:16" ht="24" hidden="1" customHeight="1" x14ac:dyDescent="0.25">
      <c r="A30" s="50">
        <v>21359</v>
      </c>
      <c r="B30" s="88" t="s">
        <v>50</v>
      </c>
      <c r="C30" s="89">
        <f t="shared" si="11"/>
        <v>0</v>
      </c>
      <c r="D30" s="90" t="s">
        <v>44</v>
      </c>
      <c r="E30" s="91" t="s">
        <v>44</v>
      </c>
      <c r="F30" s="92" t="s">
        <v>44</v>
      </c>
      <c r="G30" s="90" t="s">
        <v>44</v>
      </c>
      <c r="H30" s="91" t="s">
        <v>44</v>
      </c>
      <c r="I30" s="92" t="s">
        <v>44</v>
      </c>
      <c r="J30" s="53"/>
      <c r="K30" s="54"/>
      <c r="L30" s="56">
        <f t="shared" si="13"/>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4">SUM(K32)</f>
        <v>0</v>
      </c>
      <c r="L31" s="79">
        <f t="shared" si="14"/>
        <v>0</v>
      </c>
      <c r="M31" s="77" t="s">
        <v>44</v>
      </c>
      <c r="N31" s="78" t="s">
        <v>44</v>
      </c>
      <c r="O31" s="79" t="s">
        <v>44</v>
      </c>
      <c r="P31" s="76"/>
    </row>
    <row r="32" spans="1:16" ht="36" hidden="1" customHeight="1" x14ac:dyDescent="0.25">
      <c r="A32" s="95">
        <v>21379</v>
      </c>
      <c r="B32" s="96" t="s">
        <v>52</v>
      </c>
      <c r="C32" s="97">
        <f t="shared" ref="C32:C40" si="15">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5"/>
        <v>0</v>
      </c>
      <c r="D33" s="73" t="s">
        <v>44</v>
      </c>
      <c r="E33" s="74" t="s">
        <v>44</v>
      </c>
      <c r="F33" s="75" t="s">
        <v>44</v>
      </c>
      <c r="G33" s="73" t="s">
        <v>44</v>
      </c>
      <c r="H33" s="74" t="s">
        <v>44</v>
      </c>
      <c r="I33" s="75" t="s">
        <v>44</v>
      </c>
      <c r="J33" s="77">
        <f>SUM(J34:J35)</f>
        <v>0</v>
      </c>
      <c r="K33" s="78">
        <f t="shared" ref="K33:L33" si="16">SUM(K34:K35)</f>
        <v>0</v>
      </c>
      <c r="L33" s="79">
        <f t="shared" si="16"/>
        <v>0</v>
      </c>
      <c r="M33" s="77" t="s">
        <v>44</v>
      </c>
      <c r="N33" s="78" t="s">
        <v>44</v>
      </c>
      <c r="O33" s="79" t="s">
        <v>44</v>
      </c>
      <c r="P33" s="76"/>
    </row>
    <row r="34" spans="1:16" ht="12" hidden="1" customHeight="1" x14ac:dyDescent="0.25">
      <c r="A34" s="44">
        <v>21381</v>
      </c>
      <c r="B34" s="81" t="s">
        <v>54</v>
      </c>
      <c r="C34" s="82">
        <f t="shared" si="15"/>
        <v>0</v>
      </c>
      <c r="D34" s="83" t="s">
        <v>44</v>
      </c>
      <c r="E34" s="84" t="s">
        <v>44</v>
      </c>
      <c r="F34" s="85" t="s">
        <v>44</v>
      </c>
      <c r="G34" s="83" t="s">
        <v>44</v>
      </c>
      <c r="H34" s="84" t="s">
        <v>44</v>
      </c>
      <c r="I34" s="85" t="s">
        <v>44</v>
      </c>
      <c r="J34" s="46"/>
      <c r="K34" s="47"/>
      <c r="L34" s="48">
        <f t="shared" ref="L34:L35" si="17">K34+J34</f>
        <v>0</v>
      </c>
      <c r="M34" s="86" t="s">
        <v>44</v>
      </c>
      <c r="N34" s="87" t="s">
        <v>44</v>
      </c>
      <c r="O34" s="48" t="s">
        <v>44</v>
      </c>
      <c r="P34" s="49"/>
    </row>
    <row r="35" spans="1:16" ht="24" hidden="1" customHeight="1" x14ac:dyDescent="0.25">
      <c r="A35" s="51">
        <v>21383</v>
      </c>
      <c r="B35" s="88" t="s">
        <v>55</v>
      </c>
      <c r="C35" s="89">
        <f t="shared" si="15"/>
        <v>0</v>
      </c>
      <c r="D35" s="90" t="s">
        <v>44</v>
      </c>
      <c r="E35" s="91" t="s">
        <v>44</v>
      </c>
      <c r="F35" s="92" t="s">
        <v>44</v>
      </c>
      <c r="G35" s="90" t="s">
        <v>44</v>
      </c>
      <c r="H35" s="91" t="s">
        <v>44</v>
      </c>
      <c r="I35" s="92" t="s">
        <v>44</v>
      </c>
      <c r="J35" s="53"/>
      <c r="K35" s="54"/>
      <c r="L35" s="56">
        <f t="shared" si="17"/>
        <v>0</v>
      </c>
      <c r="M35" s="93" t="s">
        <v>44</v>
      </c>
      <c r="N35" s="94" t="s">
        <v>44</v>
      </c>
      <c r="O35" s="56" t="s">
        <v>44</v>
      </c>
      <c r="P35" s="57"/>
    </row>
    <row r="36" spans="1:16" s="28" customFormat="1" ht="25.5" customHeight="1" x14ac:dyDescent="0.25">
      <c r="A36" s="80">
        <v>21390</v>
      </c>
      <c r="B36" s="68" t="s">
        <v>56</v>
      </c>
      <c r="C36" s="69">
        <f t="shared" si="15"/>
        <v>1620</v>
      </c>
      <c r="D36" s="73" t="s">
        <v>44</v>
      </c>
      <c r="E36" s="74" t="s">
        <v>44</v>
      </c>
      <c r="F36" s="75" t="s">
        <v>44</v>
      </c>
      <c r="G36" s="73" t="s">
        <v>44</v>
      </c>
      <c r="H36" s="74" t="s">
        <v>44</v>
      </c>
      <c r="I36" s="75" t="s">
        <v>44</v>
      </c>
      <c r="J36" s="77">
        <f>SUM(J37:J40)</f>
        <v>1620</v>
      </c>
      <c r="K36" s="78">
        <f t="shared" ref="K36:L36" si="18">SUM(K37:K40)</f>
        <v>0</v>
      </c>
      <c r="L36" s="79">
        <f t="shared" si="18"/>
        <v>1620</v>
      </c>
      <c r="M36" s="77" t="s">
        <v>44</v>
      </c>
      <c r="N36" s="78" t="s">
        <v>44</v>
      </c>
      <c r="O36" s="79" t="s">
        <v>44</v>
      </c>
      <c r="P36" s="76"/>
    </row>
    <row r="37" spans="1:16" ht="24" hidden="1" customHeight="1" x14ac:dyDescent="0.25">
      <c r="A37" s="44">
        <v>21391</v>
      </c>
      <c r="B37" s="81" t="s">
        <v>57</v>
      </c>
      <c r="C37" s="82">
        <f t="shared" si="15"/>
        <v>0</v>
      </c>
      <c r="D37" s="83" t="s">
        <v>44</v>
      </c>
      <c r="E37" s="84" t="s">
        <v>44</v>
      </c>
      <c r="F37" s="85" t="s">
        <v>44</v>
      </c>
      <c r="G37" s="83" t="s">
        <v>44</v>
      </c>
      <c r="H37" s="84" t="s">
        <v>44</v>
      </c>
      <c r="I37" s="85" t="s">
        <v>44</v>
      </c>
      <c r="J37" s="46"/>
      <c r="K37" s="47"/>
      <c r="L37" s="48">
        <f t="shared" ref="L37:L40" si="19">K37+J37</f>
        <v>0</v>
      </c>
      <c r="M37" s="86" t="s">
        <v>44</v>
      </c>
      <c r="N37" s="87" t="s">
        <v>44</v>
      </c>
      <c r="O37" s="48" t="s">
        <v>44</v>
      </c>
      <c r="P37" s="49"/>
    </row>
    <row r="38" spans="1:16" ht="12" hidden="1" customHeight="1" x14ac:dyDescent="0.25">
      <c r="A38" s="51">
        <v>21393</v>
      </c>
      <c r="B38" s="88" t="s">
        <v>58</v>
      </c>
      <c r="C38" s="89">
        <f t="shared" si="15"/>
        <v>0</v>
      </c>
      <c r="D38" s="90" t="s">
        <v>44</v>
      </c>
      <c r="E38" s="91" t="s">
        <v>44</v>
      </c>
      <c r="F38" s="92" t="s">
        <v>44</v>
      </c>
      <c r="G38" s="90" t="s">
        <v>44</v>
      </c>
      <c r="H38" s="91" t="s">
        <v>44</v>
      </c>
      <c r="I38" s="92" t="s">
        <v>44</v>
      </c>
      <c r="J38" s="53"/>
      <c r="K38" s="54"/>
      <c r="L38" s="56">
        <f t="shared" si="19"/>
        <v>0</v>
      </c>
      <c r="M38" s="93" t="s">
        <v>44</v>
      </c>
      <c r="N38" s="94" t="s">
        <v>44</v>
      </c>
      <c r="O38" s="56" t="s">
        <v>44</v>
      </c>
      <c r="P38" s="57"/>
    </row>
    <row r="39" spans="1:16" ht="12" hidden="1" customHeight="1" x14ac:dyDescent="0.25">
      <c r="A39" s="51">
        <v>21395</v>
      </c>
      <c r="B39" s="88" t="s">
        <v>59</v>
      </c>
      <c r="C39" s="89">
        <f t="shared" si="15"/>
        <v>0</v>
      </c>
      <c r="D39" s="90" t="s">
        <v>44</v>
      </c>
      <c r="E39" s="91" t="s">
        <v>44</v>
      </c>
      <c r="F39" s="92" t="s">
        <v>44</v>
      </c>
      <c r="G39" s="90" t="s">
        <v>44</v>
      </c>
      <c r="H39" s="91" t="s">
        <v>44</v>
      </c>
      <c r="I39" s="92" t="s">
        <v>44</v>
      </c>
      <c r="J39" s="53"/>
      <c r="K39" s="54"/>
      <c r="L39" s="56">
        <f t="shared" si="19"/>
        <v>0</v>
      </c>
      <c r="M39" s="93" t="s">
        <v>44</v>
      </c>
      <c r="N39" s="94" t="s">
        <v>44</v>
      </c>
      <c r="O39" s="56" t="s">
        <v>44</v>
      </c>
      <c r="P39" s="57"/>
    </row>
    <row r="40" spans="1:16" ht="24" customHeight="1" x14ac:dyDescent="0.25">
      <c r="A40" s="107">
        <v>21399</v>
      </c>
      <c r="B40" s="108" t="s">
        <v>60</v>
      </c>
      <c r="C40" s="109">
        <f t="shared" si="15"/>
        <v>1620</v>
      </c>
      <c r="D40" s="110" t="s">
        <v>44</v>
      </c>
      <c r="E40" s="111" t="s">
        <v>44</v>
      </c>
      <c r="F40" s="112" t="s">
        <v>44</v>
      </c>
      <c r="G40" s="110" t="s">
        <v>44</v>
      </c>
      <c r="H40" s="111" t="s">
        <v>44</v>
      </c>
      <c r="I40" s="112" t="s">
        <v>44</v>
      </c>
      <c r="J40" s="113">
        <v>1620</v>
      </c>
      <c r="K40" s="114"/>
      <c r="L40" s="115">
        <f t="shared" si="19"/>
        <v>1620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0">SUM(E42)</f>
        <v>0</v>
      </c>
      <c r="F41" s="124">
        <f t="shared" si="20"/>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1">E44</f>
        <v>0</v>
      </c>
      <c r="F43" s="79">
        <f t="shared" si="21"/>
        <v>0</v>
      </c>
      <c r="G43" s="77">
        <f t="shared" si="21"/>
        <v>0</v>
      </c>
      <c r="H43" s="78">
        <f t="shared" si="21"/>
        <v>0</v>
      </c>
      <c r="I43" s="79">
        <f t="shared" si="21"/>
        <v>0</v>
      </c>
      <c r="J43" s="77">
        <f t="shared" si="21"/>
        <v>0</v>
      </c>
      <c r="K43" s="78">
        <f t="shared" si="21"/>
        <v>0</v>
      </c>
      <c r="L43" s="79">
        <f t="shared" si="21"/>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2">SUM(N46:N47)</f>
        <v>0</v>
      </c>
      <c r="O45" s="115">
        <f t="shared" si="22"/>
        <v>0</v>
      </c>
      <c r="P45" s="118"/>
    </row>
    <row r="46" spans="1:16" ht="24" hidden="1" customHeight="1" x14ac:dyDescent="0.25">
      <c r="A46" s="136">
        <v>23410</v>
      </c>
      <c r="B46" s="137" t="s">
        <v>66</v>
      </c>
      <c r="C46" s="121">
        <f t="shared" ref="C46:C47" si="23">O46</f>
        <v>0</v>
      </c>
      <c r="D46" s="125" t="s">
        <v>44</v>
      </c>
      <c r="E46" s="126" t="s">
        <v>44</v>
      </c>
      <c r="F46" s="127" t="s">
        <v>44</v>
      </c>
      <c r="G46" s="125" t="s">
        <v>44</v>
      </c>
      <c r="H46" s="126" t="s">
        <v>44</v>
      </c>
      <c r="I46" s="127" t="s">
        <v>44</v>
      </c>
      <c r="J46" s="125" t="s">
        <v>44</v>
      </c>
      <c r="K46" s="126" t="s">
        <v>44</v>
      </c>
      <c r="L46" s="127" t="s">
        <v>44</v>
      </c>
      <c r="M46" s="138"/>
      <c r="N46" s="139">
        <v>0</v>
      </c>
      <c r="O46" s="140">
        <f t="shared" ref="O46:O47" si="24">N46+M46</f>
        <v>0</v>
      </c>
      <c r="P46" s="128"/>
    </row>
    <row r="47" spans="1:16" ht="24" hidden="1" customHeight="1" x14ac:dyDescent="0.25">
      <c r="A47" s="136">
        <v>23510</v>
      </c>
      <c r="B47" s="137" t="s">
        <v>67</v>
      </c>
      <c r="C47" s="121">
        <f t="shared" si="23"/>
        <v>0</v>
      </c>
      <c r="D47" s="125" t="s">
        <v>44</v>
      </c>
      <c r="E47" s="126" t="s">
        <v>44</v>
      </c>
      <c r="F47" s="127" t="s">
        <v>44</v>
      </c>
      <c r="G47" s="125" t="s">
        <v>44</v>
      </c>
      <c r="H47" s="126" t="s">
        <v>44</v>
      </c>
      <c r="I47" s="127" t="s">
        <v>44</v>
      </c>
      <c r="J47" s="125" t="s">
        <v>44</v>
      </c>
      <c r="K47" s="126" t="s">
        <v>44</v>
      </c>
      <c r="L47" s="127" t="s">
        <v>44</v>
      </c>
      <c r="M47" s="138"/>
      <c r="N47" s="139">
        <v>0</v>
      </c>
      <c r="O47" s="140">
        <f t="shared" si="24"/>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585077</v>
      </c>
      <c r="D50" s="158">
        <f>SUM(D51,D286)</f>
        <v>581435</v>
      </c>
      <c r="E50" s="159">
        <f t="shared" ref="E50:F50" si="25">SUM(E51,E286)</f>
        <v>1484</v>
      </c>
      <c r="F50" s="160">
        <f t="shared" si="25"/>
        <v>582919</v>
      </c>
      <c r="G50" s="158">
        <f>SUM(G51,G286)</f>
        <v>0</v>
      </c>
      <c r="H50" s="159">
        <f>SUM(H51,H286)</f>
        <v>0</v>
      </c>
      <c r="I50" s="160">
        <f t="shared" ref="I50" si="26">SUM(I51,I286)</f>
        <v>0</v>
      </c>
      <c r="J50" s="32">
        <f>SUM(J51,J286)</f>
        <v>1620</v>
      </c>
      <c r="K50" s="33">
        <f t="shared" ref="K50:L50" si="27">SUM(K51,K286)</f>
        <v>0</v>
      </c>
      <c r="L50" s="34">
        <f t="shared" si="27"/>
        <v>1620</v>
      </c>
      <c r="M50" s="32">
        <f>SUM(M51,M286)</f>
        <v>538</v>
      </c>
      <c r="N50" s="33">
        <f t="shared" ref="N50:O50" si="28">SUM(N51,N286)</f>
        <v>0</v>
      </c>
      <c r="O50" s="34">
        <f t="shared" si="28"/>
        <v>538</v>
      </c>
      <c r="P50" s="35"/>
    </row>
    <row r="51" spans="1:16" s="28" customFormat="1" ht="36.75" thickTop="1" x14ac:dyDescent="0.25">
      <c r="A51" s="161"/>
      <c r="B51" s="162" t="s">
        <v>70</v>
      </c>
      <c r="C51" s="163">
        <f t="shared" si="0"/>
        <v>585077</v>
      </c>
      <c r="D51" s="164">
        <f>SUM(D52,D194)</f>
        <v>581435</v>
      </c>
      <c r="E51" s="165">
        <f t="shared" ref="E51:F51" si="29">SUM(E52,E194)</f>
        <v>1484</v>
      </c>
      <c r="F51" s="166">
        <f t="shared" si="29"/>
        <v>582919</v>
      </c>
      <c r="G51" s="164">
        <f>SUM(G52,G194)</f>
        <v>0</v>
      </c>
      <c r="H51" s="165">
        <f t="shared" ref="H51:I51" si="30">SUM(H52,H194)</f>
        <v>0</v>
      </c>
      <c r="I51" s="166">
        <f t="shared" si="30"/>
        <v>0</v>
      </c>
      <c r="J51" s="167">
        <f>SUM(J52,J194)</f>
        <v>1620</v>
      </c>
      <c r="K51" s="168">
        <f t="shared" ref="K51:L51" si="31">SUM(K52,K194)</f>
        <v>0</v>
      </c>
      <c r="L51" s="169">
        <f t="shared" si="31"/>
        <v>1620</v>
      </c>
      <c r="M51" s="167">
        <f>SUM(M52,M194)</f>
        <v>538</v>
      </c>
      <c r="N51" s="168">
        <f t="shared" ref="N51:O51" si="32">SUM(N52,N194)</f>
        <v>0</v>
      </c>
      <c r="O51" s="169">
        <f t="shared" si="32"/>
        <v>538</v>
      </c>
      <c r="P51" s="170"/>
    </row>
    <row r="52" spans="1:16" s="28" customFormat="1" ht="24" x14ac:dyDescent="0.25">
      <c r="A52" s="24"/>
      <c r="B52" s="22" t="s">
        <v>71</v>
      </c>
      <c r="C52" s="171">
        <f t="shared" si="0"/>
        <v>559077</v>
      </c>
      <c r="D52" s="172">
        <f>SUM(D53,D75,D173,D187)</f>
        <v>555435</v>
      </c>
      <c r="E52" s="173">
        <f t="shared" ref="E52:F52" si="33">SUM(E53,E75,E173,E187)</f>
        <v>1484</v>
      </c>
      <c r="F52" s="174">
        <f t="shared" si="33"/>
        <v>556919</v>
      </c>
      <c r="G52" s="172">
        <f>SUM(G53,G75,G173,G187)</f>
        <v>0</v>
      </c>
      <c r="H52" s="173">
        <f t="shared" ref="H52:I52" si="34">SUM(H53,H75,H173,H187)</f>
        <v>0</v>
      </c>
      <c r="I52" s="174">
        <f t="shared" si="34"/>
        <v>0</v>
      </c>
      <c r="J52" s="172">
        <f>SUM(J53,J75,J173,J187)</f>
        <v>1620</v>
      </c>
      <c r="K52" s="173">
        <f t="shared" ref="K52:L52" si="35">SUM(K53,K75,K173,K187)</f>
        <v>0</v>
      </c>
      <c r="L52" s="174">
        <f t="shared" si="35"/>
        <v>1620</v>
      </c>
      <c r="M52" s="172">
        <f>SUM(M53,M75,M173,M187)</f>
        <v>538</v>
      </c>
      <c r="N52" s="173">
        <f t="shared" ref="N52:O52" si="36">SUM(N53,N75,N173,N187)</f>
        <v>0</v>
      </c>
      <c r="O52" s="174">
        <f t="shared" si="36"/>
        <v>538</v>
      </c>
      <c r="P52" s="175"/>
    </row>
    <row r="53" spans="1:16" s="28" customFormat="1" x14ac:dyDescent="0.25">
      <c r="A53" s="176">
        <v>1000</v>
      </c>
      <c r="B53" s="176" t="s">
        <v>72</v>
      </c>
      <c r="C53" s="177">
        <f t="shared" si="0"/>
        <v>390395</v>
      </c>
      <c r="D53" s="178">
        <f>SUM(D54,D67)</f>
        <v>390395</v>
      </c>
      <c r="E53" s="179">
        <f t="shared" ref="E53:F53" si="37">SUM(E54,E67)</f>
        <v>0</v>
      </c>
      <c r="F53" s="180">
        <f t="shared" si="37"/>
        <v>390395</v>
      </c>
      <c r="G53" s="178">
        <f>SUM(G54,G67)</f>
        <v>0</v>
      </c>
      <c r="H53" s="179">
        <f t="shared" ref="H53:I53" si="38">SUM(H54,H67)</f>
        <v>0</v>
      </c>
      <c r="I53" s="180">
        <f t="shared" si="38"/>
        <v>0</v>
      </c>
      <c r="J53" s="178">
        <f>SUM(J54,J67)</f>
        <v>0</v>
      </c>
      <c r="K53" s="179">
        <f t="shared" ref="K53:L53" si="39">SUM(K54,K67)</f>
        <v>0</v>
      </c>
      <c r="L53" s="180">
        <f t="shared" si="39"/>
        <v>0</v>
      </c>
      <c r="M53" s="178">
        <f>SUM(M54,M67)</f>
        <v>0</v>
      </c>
      <c r="N53" s="179">
        <f t="shared" ref="N53:O53" si="40">SUM(N54,N67)</f>
        <v>0</v>
      </c>
      <c r="O53" s="180">
        <f t="shared" si="40"/>
        <v>0</v>
      </c>
      <c r="P53" s="181"/>
    </row>
    <row r="54" spans="1:16" x14ac:dyDescent="0.25">
      <c r="A54" s="68">
        <v>1100</v>
      </c>
      <c r="B54" s="182" t="s">
        <v>73</v>
      </c>
      <c r="C54" s="69">
        <f t="shared" si="0"/>
        <v>290367</v>
      </c>
      <c r="D54" s="183">
        <f>SUM(D55,D58,D66)</f>
        <v>290367</v>
      </c>
      <c r="E54" s="184">
        <f t="shared" ref="E54:F54" si="41">SUM(E55,E58,E66)</f>
        <v>0</v>
      </c>
      <c r="F54" s="72">
        <f t="shared" si="41"/>
        <v>290367</v>
      </c>
      <c r="G54" s="183">
        <f>SUM(G55,G58,G66)</f>
        <v>0</v>
      </c>
      <c r="H54" s="184">
        <f t="shared" ref="H54:I54" si="42">SUM(H55,H58,H66)</f>
        <v>0</v>
      </c>
      <c r="I54" s="72">
        <f t="shared" si="42"/>
        <v>0</v>
      </c>
      <c r="J54" s="183">
        <f>SUM(J55,J58,J66)</f>
        <v>0</v>
      </c>
      <c r="K54" s="184">
        <f t="shared" ref="K54:L54" si="43">SUM(K55,K58,K66)</f>
        <v>0</v>
      </c>
      <c r="L54" s="72">
        <f t="shared" si="43"/>
        <v>0</v>
      </c>
      <c r="M54" s="183">
        <f>SUM(M55,M58,M66)</f>
        <v>0</v>
      </c>
      <c r="N54" s="184">
        <f t="shared" ref="N54:O54" si="44">SUM(N55,N58,N66)</f>
        <v>0</v>
      </c>
      <c r="O54" s="72">
        <f t="shared" si="44"/>
        <v>0</v>
      </c>
      <c r="P54" s="76"/>
    </row>
    <row r="55" spans="1:16" x14ac:dyDescent="0.25">
      <c r="A55" s="185">
        <v>1110</v>
      </c>
      <c r="B55" s="137" t="s">
        <v>74</v>
      </c>
      <c r="C55" s="142">
        <f t="shared" si="0"/>
        <v>226730</v>
      </c>
      <c r="D55" s="186">
        <f>SUM(D56:D57)</f>
        <v>226730</v>
      </c>
      <c r="E55" s="187">
        <f t="shared" ref="E55:F55" si="45">SUM(E56:E57)</f>
        <v>0</v>
      </c>
      <c r="F55" s="140">
        <f t="shared" si="45"/>
        <v>226730</v>
      </c>
      <c r="G55" s="186">
        <f>SUM(G56:G57)</f>
        <v>0</v>
      </c>
      <c r="H55" s="187">
        <f t="shared" ref="H55:I55" si="46">SUM(H56:H57)</f>
        <v>0</v>
      </c>
      <c r="I55" s="140">
        <f t="shared" si="46"/>
        <v>0</v>
      </c>
      <c r="J55" s="186">
        <f>SUM(J56:J57)</f>
        <v>0</v>
      </c>
      <c r="K55" s="187">
        <f t="shared" ref="K55:L55" si="47">SUM(K56:K57)</f>
        <v>0</v>
      </c>
      <c r="L55" s="140">
        <f t="shared" si="47"/>
        <v>0</v>
      </c>
      <c r="M55" s="186">
        <f>SUM(M56:M57)</f>
        <v>0</v>
      </c>
      <c r="N55" s="187">
        <f t="shared" ref="N55:O55" si="48">SUM(N56:N57)</f>
        <v>0</v>
      </c>
      <c r="O55" s="140">
        <f t="shared" si="48"/>
        <v>0</v>
      </c>
      <c r="P55" s="128"/>
    </row>
    <row r="56" spans="1:16" ht="12" hidden="1" customHeight="1" x14ac:dyDescent="0.25">
      <c r="A56" s="44">
        <v>1111</v>
      </c>
      <c r="B56" s="81" t="s">
        <v>75</v>
      </c>
      <c r="C56" s="82">
        <f t="shared" si="0"/>
        <v>0</v>
      </c>
      <c r="D56" s="46"/>
      <c r="E56" s="47"/>
      <c r="F56" s="133">
        <f t="shared" ref="F56:F57" si="49">D56+E56</f>
        <v>0</v>
      </c>
      <c r="G56" s="46"/>
      <c r="H56" s="47"/>
      <c r="I56" s="133">
        <f t="shared" ref="I56:I57" si="50">G56+H56</f>
        <v>0</v>
      </c>
      <c r="J56" s="46"/>
      <c r="K56" s="47"/>
      <c r="L56" s="133">
        <f t="shared" ref="L56:L57" si="51">K56+J56</f>
        <v>0</v>
      </c>
      <c r="M56" s="46"/>
      <c r="N56" s="47"/>
      <c r="O56" s="133">
        <f t="shared" ref="O56:O57" si="52">N56+M56</f>
        <v>0</v>
      </c>
      <c r="P56" s="49"/>
    </row>
    <row r="57" spans="1:16" ht="24" customHeight="1" x14ac:dyDescent="0.25">
      <c r="A57" s="51">
        <v>1119</v>
      </c>
      <c r="B57" s="88" t="s">
        <v>76</v>
      </c>
      <c r="C57" s="89">
        <f t="shared" si="0"/>
        <v>226730</v>
      </c>
      <c r="D57" s="53">
        <v>226730</v>
      </c>
      <c r="E57" s="54"/>
      <c r="F57" s="55">
        <f t="shared" si="49"/>
        <v>226730</v>
      </c>
      <c r="G57" s="53"/>
      <c r="H57" s="54"/>
      <c r="I57" s="55">
        <f t="shared" si="50"/>
        <v>0</v>
      </c>
      <c r="J57" s="53"/>
      <c r="K57" s="54"/>
      <c r="L57" s="55">
        <f t="shared" si="51"/>
        <v>0</v>
      </c>
      <c r="M57" s="53"/>
      <c r="N57" s="54"/>
      <c r="O57" s="55">
        <f t="shared" si="52"/>
        <v>0</v>
      </c>
      <c r="P57" s="57"/>
    </row>
    <row r="58" spans="1:16" x14ac:dyDescent="0.25">
      <c r="A58" s="188">
        <v>1140</v>
      </c>
      <c r="B58" s="88" t="s">
        <v>77</v>
      </c>
      <c r="C58" s="89">
        <f t="shared" si="0"/>
        <v>60909</v>
      </c>
      <c r="D58" s="189">
        <f>SUM(D59:D65)</f>
        <v>60909</v>
      </c>
      <c r="E58" s="190">
        <f>SUM(E59:E65)</f>
        <v>0</v>
      </c>
      <c r="F58" s="55">
        <f t="shared" ref="F58" si="53">SUM(F59:F65)</f>
        <v>60909</v>
      </c>
      <c r="G58" s="189">
        <f>SUM(G59:G65)</f>
        <v>0</v>
      </c>
      <c r="H58" s="190">
        <f t="shared" ref="H58:I58" si="54">SUM(H59:H65)</f>
        <v>0</v>
      </c>
      <c r="I58" s="55">
        <f t="shared" si="54"/>
        <v>0</v>
      </c>
      <c r="J58" s="189">
        <f>SUM(J59:J65)</f>
        <v>0</v>
      </c>
      <c r="K58" s="190">
        <f t="shared" ref="K58:L58" si="55">SUM(K59:K65)</f>
        <v>0</v>
      </c>
      <c r="L58" s="55">
        <f t="shared" si="55"/>
        <v>0</v>
      </c>
      <c r="M58" s="189">
        <f>SUM(M59:M65)</f>
        <v>0</v>
      </c>
      <c r="N58" s="190">
        <f t="shared" ref="N58:O58" si="56">SUM(N59:N65)</f>
        <v>0</v>
      </c>
      <c r="O58" s="55">
        <f t="shared" si="56"/>
        <v>0</v>
      </c>
      <c r="P58" s="57"/>
    </row>
    <row r="59" spans="1:16" ht="12" customHeight="1" x14ac:dyDescent="0.25">
      <c r="A59" s="51">
        <v>1141</v>
      </c>
      <c r="B59" s="88" t="s">
        <v>78</v>
      </c>
      <c r="C59" s="89">
        <f t="shared" si="0"/>
        <v>16907</v>
      </c>
      <c r="D59" s="53">
        <v>16907</v>
      </c>
      <c r="E59" s="54"/>
      <c r="F59" s="55">
        <f t="shared" ref="F59:F66" si="57">D59+E59</f>
        <v>16907</v>
      </c>
      <c r="G59" s="53"/>
      <c r="H59" s="54"/>
      <c r="I59" s="55">
        <f t="shared" ref="I59:I66" si="58">G59+H59</f>
        <v>0</v>
      </c>
      <c r="J59" s="53"/>
      <c r="K59" s="54"/>
      <c r="L59" s="55">
        <f t="shared" ref="L59:L66" si="59">K59+J59</f>
        <v>0</v>
      </c>
      <c r="M59" s="53"/>
      <c r="N59" s="54"/>
      <c r="O59" s="55">
        <f t="shared" ref="O59:O66" si="60">N59+M59</f>
        <v>0</v>
      </c>
      <c r="P59" s="57"/>
    </row>
    <row r="60" spans="1:16" ht="24.75" customHeight="1" x14ac:dyDescent="0.25">
      <c r="A60" s="51">
        <v>1142</v>
      </c>
      <c r="B60" s="88" t="s">
        <v>79</v>
      </c>
      <c r="C60" s="89">
        <f t="shared" si="0"/>
        <v>4407</v>
      </c>
      <c r="D60" s="53">
        <v>4407</v>
      </c>
      <c r="E60" s="54"/>
      <c r="F60" s="55">
        <f t="shared" si="57"/>
        <v>4407</v>
      </c>
      <c r="G60" s="53"/>
      <c r="H60" s="54"/>
      <c r="I60" s="55">
        <f t="shared" si="58"/>
        <v>0</v>
      </c>
      <c r="J60" s="53"/>
      <c r="K60" s="54"/>
      <c r="L60" s="55">
        <f t="shared" si="59"/>
        <v>0</v>
      </c>
      <c r="M60" s="53"/>
      <c r="N60" s="54"/>
      <c r="O60" s="55">
        <f t="shared" si="60"/>
        <v>0</v>
      </c>
      <c r="P60" s="57"/>
    </row>
    <row r="61" spans="1:16" ht="24" customHeight="1" x14ac:dyDescent="0.25">
      <c r="A61" s="51">
        <v>1145</v>
      </c>
      <c r="B61" s="88" t="s">
        <v>80</v>
      </c>
      <c r="C61" s="89">
        <f t="shared" si="0"/>
        <v>19186</v>
      </c>
      <c r="D61" s="53">
        <v>19186</v>
      </c>
      <c r="E61" s="54"/>
      <c r="F61" s="55">
        <f t="shared" si="57"/>
        <v>19186</v>
      </c>
      <c r="G61" s="53"/>
      <c r="H61" s="54"/>
      <c r="I61" s="55">
        <f t="shared" si="58"/>
        <v>0</v>
      </c>
      <c r="J61" s="53"/>
      <c r="K61" s="54"/>
      <c r="L61" s="55">
        <f t="shared" si="59"/>
        <v>0</v>
      </c>
      <c r="M61" s="53"/>
      <c r="N61" s="54"/>
      <c r="O61" s="55">
        <f t="shared" si="60"/>
        <v>0</v>
      </c>
      <c r="P61" s="57"/>
    </row>
    <row r="62" spans="1:16" ht="27.75" hidden="1" customHeight="1" x14ac:dyDescent="0.25">
      <c r="A62" s="51">
        <v>1146</v>
      </c>
      <c r="B62" s="88" t="s">
        <v>81</v>
      </c>
      <c r="C62" s="89">
        <f t="shared" si="0"/>
        <v>0</v>
      </c>
      <c r="D62" s="53"/>
      <c r="E62" s="54"/>
      <c r="F62" s="55">
        <f t="shared" si="57"/>
        <v>0</v>
      </c>
      <c r="G62" s="53"/>
      <c r="H62" s="54"/>
      <c r="I62" s="55">
        <f t="shared" si="58"/>
        <v>0</v>
      </c>
      <c r="J62" s="53"/>
      <c r="K62" s="54"/>
      <c r="L62" s="55">
        <f t="shared" si="59"/>
        <v>0</v>
      </c>
      <c r="M62" s="53"/>
      <c r="N62" s="54"/>
      <c r="O62" s="55">
        <f t="shared" si="60"/>
        <v>0</v>
      </c>
      <c r="P62" s="57"/>
    </row>
    <row r="63" spans="1:16" ht="12" customHeight="1" x14ac:dyDescent="0.25">
      <c r="A63" s="51">
        <v>1147</v>
      </c>
      <c r="B63" s="88" t="s">
        <v>82</v>
      </c>
      <c r="C63" s="89">
        <f t="shared" si="0"/>
        <v>5122</v>
      </c>
      <c r="D63" s="53">
        <v>5122</v>
      </c>
      <c r="E63" s="54"/>
      <c r="F63" s="55">
        <f t="shared" si="57"/>
        <v>5122</v>
      </c>
      <c r="G63" s="53"/>
      <c r="H63" s="54"/>
      <c r="I63" s="55">
        <f t="shared" si="58"/>
        <v>0</v>
      </c>
      <c r="J63" s="53"/>
      <c r="K63" s="54"/>
      <c r="L63" s="55">
        <f t="shared" si="59"/>
        <v>0</v>
      </c>
      <c r="M63" s="53"/>
      <c r="N63" s="54"/>
      <c r="O63" s="55">
        <f t="shared" si="60"/>
        <v>0</v>
      </c>
      <c r="P63" s="57"/>
    </row>
    <row r="64" spans="1:16" ht="12" customHeight="1" x14ac:dyDescent="0.25">
      <c r="A64" s="51">
        <v>1148</v>
      </c>
      <c r="B64" s="88" t="s">
        <v>83</v>
      </c>
      <c r="C64" s="89">
        <f t="shared" si="0"/>
        <v>15287</v>
      </c>
      <c r="D64" s="53">
        <v>15287</v>
      </c>
      <c r="E64" s="54"/>
      <c r="F64" s="55">
        <f t="shared" si="57"/>
        <v>15287</v>
      </c>
      <c r="G64" s="53"/>
      <c r="H64" s="54"/>
      <c r="I64" s="55">
        <f t="shared" si="58"/>
        <v>0</v>
      </c>
      <c r="J64" s="53"/>
      <c r="K64" s="54"/>
      <c r="L64" s="55">
        <f t="shared" si="59"/>
        <v>0</v>
      </c>
      <c r="M64" s="53"/>
      <c r="N64" s="54"/>
      <c r="O64" s="55">
        <f t="shared" si="60"/>
        <v>0</v>
      </c>
      <c r="P64" s="57"/>
    </row>
    <row r="65" spans="1:16" ht="24" hidden="1" customHeight="1" x14ac:dyDescent="0.25">
      <c r="A65" s="51">
        <v>1149</v>
      </c>
      <c r="B65" s="88" t="s">
        <v>84</v>
      </c>
      <c r="C65" s="89">
        <f t="shared" si="0"/>
        <v>0</v>
      </c>
      <c r="D65" s="53"/>
      <c r="E65" s="54"/>
      <c r="F65" s="55">
        <f t="shared" si="57"/>
        <v>0</v>
      </c>
      <c r="G65" s="53"/>
      <c r="H65" s="54"/>
      <c r="I65" s="55">
        <f t="shared" si="58"/>
        <v>0</v>
      </c>
      <c r="J65" s="53"/>
      <c r="K65" s="54"/>
      <c r="L65" s="55">
        <f t="shared" si="59"/>
        <v>0</v>
      </c>
      <c r="M65" s="53"/>
      <c r="N65" s="54"/>
      <c r="O65" s="55">
        <f t="shared" si="60"/>
        <v>0</v>
      </c>
      <c r="P65" s="57"/>
    </row>
    <row r="66" spans="1:16" ht="36" customHeight="1" x14ac:dyDescent="0.25">
      <c r="A66" s="185">
        <v>1150</v>
      </c>
      <c r="B66" s="137" t="s">
        <v>85</v>
      </c>
      <c r="C66" s="142">
        <f t="shared" si="0"/>
        <v>2728</v>
      </c>
      <c r="D66" s="143">
        <v>2728</v>
      </c>
      <c r="E66" s="144"/>
      <c r="F66" s="140">
        <f t="shared" si="57"/>
        <v>2728</v>
      </c>
      <c r="G66" s="143"/>
      <c r="H66" s="144"/>
      <c r="I66" s="140">
        <f t="shared" si="58"/>
        <v>0</v>
      </c>
      <c r="J66" s="143"/>
      <c r="K66" s="144"/>
      <c r="L66" s="140">
        <f t="shared" si="59"/>
        <v>0</v>
      </c>
      <c r="M66" s="143"/>
      <c r="N66" s="144"/>
      <c r="O66" s="140">
        <f t="shared" si="60"/>
        <v>0</v>
      </c>
      <c r="P66" s="128"/>
    </row>
    <row r="67" spans="1:16" ht="24" x14ac:dyDescent="0.25">
      <c r="A67" s="68">
        <v>1200</v>
      </c>
      <c r="B67" s="182" t="s">
        <v>86</v>
      </c>
      <c r="C67" s="69">
        <f t="shared" si="0"/>
        <v>100028</v>
      </c>
      <c r="D67" s="183">
        <f>SUM(D68:D69)</f>
        <v>100028</v>
      </c>
      <c r="E67" s="184">
        <f t="shared" ref="E67:F67" si="61">SUM(E68:E69)</f>
        <v>0</v>
      </c>
      <c r="F67" s="72">
        <f t="shared" si="61"/>
        <v>100028</v>
      </c>
      <c r="G67" s="183">
        <f>SUM(G68:G69)</f>
        <v>0</v>
      </c>
      <c r="H67" s="184">
        <f t="shared" ref="H67:I67" si="62">SUM(H68:H69)</f>
        <v>0</v>
      </c>
      <c r="I67" s="72">
        <f t="shared" si="62"/>
        <v>0</v>
      </c>
      <c r="J67" s="183">
        <f>SUM(J68:J69)</f>
        <v>0</v>
      </c>
      <c r="K67" s="184">
        <f t="shared" ref="K67:L67" si="63">SUM(K68:K69)</f>
        <v>0</v>
      </c>
      <c r="L67" s="72">
        <f t="shared" si="63"/>
        <v>0</v>
      </c>
      <c r="M67" s="183">
        <f>SUM(M68:M69)</f>
        <v>0</v>
      </c>
      <c r="N67" s="184">
        <f t="shared" ref="N67:O67" si="64">SUM(N68:N69)</f>
        <v>0</v>
      </c>
      <c r="O67" s="72">
        <f t="shared" si="64"/>
        <v>0</v>
      </c>
      <c r="P67" s="76"/>
    </row>
    <row r="68" spans="1:16" ht="24" customHeight="1" x14ac:dyDescent="0.25">
      <c r="A68" s="278">
        <v>1210</v>
      </c>
      <c r="B68" s="81" t="s">
        <v>87</v>
      </c>
      <c r="C68" s="82">
        <f t="shared" si="0"/>
        <v>75374</v>
      </c>
      <c r="D68" s="46">
        <v>75374</v>
      </c>
      <c r="E68" s="47"/>
      <c r="F68" s="133">
        <f>D68+E68</f>
        <v>75374</v>
      </c>
      <c r="G68" s="46"/>
      <c r="H68" s="47"/>
      <c r="I68" s="133">
        <f>G68+H68</f>
        <v>0</v>
      </c>
      <c r="J68" s="46"/>
      <c r="K68" s="47"/>
      <c r="L68" s="133">
        <f>K68+J68</f>
        <v>0</v>
      </c>
      <c r="M68" s="46"/>
      <c r="N68" s="47"/>
      <c r="O68" s="133">
        <f>N68+M68</f>
        <v>0</v>
      </c>
      <c r="P68" s="49"/>
    </row>
    <row r="69" spans="1:16" ht="24" x14ac:dyDescent="0.25">
      <c r="A69" s="188">
        <v>1220</v>
      </c>
      <c r="B69" s="88" t="s">
        <v>88</v>
      </c>
      <c r="C69" s="89">
        <f t="shared" si="0"/>
        <v>24654</v>
      </c>
      <c r="D69" s="189">
        <f>SUM(D70:D74)</f>
        <v>24654</v>
      </c>
      <c r="E69" s="190">
        <f t="shared" ref="E69:F69" si="65">SUM(E70:E74)</f>
        <v>0</v>
      </c>
      <c r="F69" s="55">
        <f t="shared" si="65"/>
        <v>24654</v>
      </c>
      <c r="G69" s="189">
        <f>SUM(G70:G74)</f>
        <v>0</v>
      </c>
      <c r="H69" s="190">
        <f t="shared" ref="H69:I69" si="66">SUM(H70:H74)</f>
        <v>0</v>
      </c>
      <c r="I69" s="55">
        <f t="shared" si="66"/>
        <v>0</v>
      </c>
      <c r="J69" s="189">
        <f>SUM(J70:J74)</f>
        <v>0</v>
      </c>
      <c r="K69" s="190">
        <f t="shared" ref="K69:L69" si="67">SUM(K70:K74)</f>
        <v>0</v>
      </c>
      <c r="L69" s="55">
        <f t="shared" si="67"/>
        <v>0</v>
      </c>
      <c r="M69" s="189">
        <f>SUM(M70:M74)</f>
        <v>0</v>
      </c>
      <c r="N69" s="190">
        <f t="shared" ref="N69:O69" si="68">SUM(N70:N74)</f>
        <v>0</v>
      </c>
      <c r="O69" s="55">
        <f t="shared" si="68"/>
        <v>0</v>
      </c>
      <c r="P69" s="57"/>
    </row>
    <row r="70" spans="1:16" ht="51.75" customHeight="1" x14ac:dyDescent="0.25">
      <c r="A70" s="51">
        <v>1221</v>
      </c>
      <c r="B70" s="88" t="s">
        <v>89</v>
      </c>
      <c r="C70" s="89">
        <f t="shared" si="0"/>
        <v>18680</v>
      </c>
      <c r="D70" s="53">
        <v>18680</v>
      </c>
      <c r="E70" s="54"/>
      <c r="F70" s="55">
        <f t="shared" ref="F70:F74" si="69">D70+E70</f>
        <v>18680</v>
      </c>
      <c r="G70" s="53"/>
      <c r="H70" s="54"/>
      <c r="I70" s="55">
        <f t="shared" ref="I70:I74" si="70">G70+H70</f>
        <v>0</v>
      </c>
      <c r="J70" s="53"/>
      <c r="K70" s="54"/>
      <c r="L70" s="55">
        <f t="shared" ref="L70:L74" si="71">K70+J70</f>
        <v>0</v>
      </c>
      <c r="M70" s="53"/>
      <c r="N70" s="54"/>
      <c r="O70" s="55">
        <f t="shared" ref="O70:O74" si="72">N70+M70</f>
        <v>0</v>
      </c>
      <c r="P70" s="57"/>
    </row>
    <row r="71" spans="1:16" ht="12" hidden="1" customHeight="1" x14ac:dyDescent="0.25">
      <c r="A71" s="51">
        <v>1223</v>
      </c>
      <c r="B71" s="88" t="s">
        <v>90</v>
      </c>
      <c r="C71" s="89">
        <f t="shared" si="0"/>
        <v>0</v>
      </c>
      <c r="D71" s="53"/>
      <c r="E71" s="54"/>
      <c r="F71" s="55">
        <f t="shared" si="69"/>
        <v>0</v>
      </c>
      <c r="G71" s="53"/>
      <c r="H71" s="54"/>
      <c r="I71" s="55">
        <f t="shared" si="70"/>
        <v>0</v>
      </c>
      <c r="J71" s="53"/>
      <c r="K71" s="54"/>
      <c r="L71" s="55">
        <f t="shared" si="71"/>
        <v>0</v>
      </c>
      <c r="M71" s="53"/>
      <c r="N71" s="54"/>
      <c r="O71" s="55">
        <f t="shared" si="72"/>
        <v>0</v>
      </c>
      <c r="P71" s="57"/>
    </row>
    <row r="72" spans="1:16" ht="24" hidden="1" customHeight="1" x14ac:dyDescent="0.25">
      <c r="A72" s="51">
        <v>1225</v>
      </c>
      <c r="B72" s="88" t="s">
        <v>91</v>
      </c>
      <c r="C72" s="89">
        <f t="shared" si="0"/>
        <v>0</v>
      </c>
      <c r="D72" s="53"/>
      <c r="E72" s="54"/>
      <c r="F72" s="55">
        <f t="shared" si="69"/>
        <v>0</v>
      </c>
      <c r="G72" s="53"/>
      <c r="H72" s="54"/>
      <c r="I72" s="55">
        <f t="shared" si="70"/>
        <v>0</v>
      </c>
      <c r="J72" s="53"/>
      <c r="K72" s="54"/>
      <c r="L72" s="55">
        <f t="shared" si="71"/>
        <v>0</v>
      </c>
      <c r="M72" s="53"/>
      <c r="N72" s="54"/>
      <c r="O72" s="55">
        <f t="shared" si="72"/>
        <v>0</v>
      </c>
      <c r="P72" s="57"/>
    </row>
    <row r="73" spans="1:16" ht="38.25" customHeight="1" x14ac:dyDescent="0.25">
      <c r="A73" s="51">
        <v>1227</v>
      </c>
      <c r="B73" s="88" t="s">
        <v>92</v>
      </c>
      <c r="C73" s="89">
        <f t="shared" si="0"/>
        <v>5547</v>
      </c>
      <c r="D73" s="53">
        <v>5547</v>
      </c>
      <c r="E73" s="54"/>
      <c r="F73" s="55">
        <f t="shared" si="69"/>
        <v>5547</v>
      </c>
      <c r="G73" s="53"/>
      <c r="H73" s="54"/>
      <c r="I73" s="55">
        <f t="shared" si="70"/>
        <v>0</v>
      </c>
      <c r="J73" s="53"/>
      <c r="K73" s="54"/>
      <c r="L73" s="55">
        <f t="shared" si="71"/>
        <v>0</v>
      </c>
      <c r="M73" s="53"/>
      <c r="N73" s="54"/>
      <c r="O73" s="55">
        <f t="shared" si="72"/>
        <v>0</v>
      </c>
      <c r="P73" s="57"/>
    </row>
    <row r="74" spans="1:16" ht="51.75" customHeight="1" x14ac:dyDescent="0.25">
      <c r="A74" s="51">
        <v>1228</v>
      </c>
      <c r="B74" s="88" t="s">
        <v>93</v>
      </c>
      <c r="C74" s="89">
        <f t="shared" si="0"/>
        <v>427</v>
      </c>
      <c r="D74" s="53">
        <v>427</v>
      </c>
      <c r="E74" s="54"/>
      <c r="F74" s="55">
        <f t="shared" si="69"/>
        <v>427</v>
      </c>
      <c r="G74" s="53"/>
      <c r="H74" s="54"/>
      <c r="I74" s="55">
        <f t="shared" si="70"/>
        <v>0</v>
      </c>
      <c r="J74" s="53"/>
      <c r="K74" s="54"/>
      <c r="L74" s="55">
        <f t="shared" si="71"/>
        <v>0</v>
      </c>
      <c r="M74" s="53"/>
      <c r="N74" s="54"/>
      <c r="O74" s="55">
        <f t="shared" si="72"/>
        <v>0</v>
      </c>
      <c r="P74" s="57"/>
    </row>
    <row r="75" spans="1:16" x14ac:dyDescent="0.25">
      <c r="A75" s="176">
        <v>2000</v>
      </c>
      <c r="B75" s="176" t="s">
        <v>94</v>
      </c>
      <c r="C75" s="177">
        <f t="shared" si="0"/>
        <v>168682</v>
      </c>
      <c r="D75" s="178">
        <f>SUM(D76,D83,D130,D164,D165,D172)</f>
        <v>165040</v>
      </c>
      <c r="E75" s="179">
        <f t="shared" ref="E75:F75" si="73">SUM(E76,E83,E130,E164,E165,E172)</f>
        <v>1484</v>
      </c>
      <c r="F75" s="180">
        <f t="shared" si="73"/>
        <v>166524</v>
      </c>
      <c r="G75" s="178">
        <f>SUM(G76,G83,G130,G164,G165,G172)</f>
        <v>0</v>
      </c>
      <c r="H75" s="179">
        <f t="shared" ref="H75:I75" si="74">SUM(H76,H83,H130,H164,H165,H172)</f>
        <v>0</v>
      </c>
      <c r="I75" s="180">
        <f t="shared" si="74"/>
        <v>0</v>
      </c>
      <c r="J75" s="178">
        <f>SUM(J76,J83,J130,J164,J165,J172)</f>
        <v>1620</v>
      </c>
      <c r="K75" s="179">
        <f t="shared" ref="K75:L75" si="75">SUM(K76,K83,K130,K164,K165,K172)</f>
        <v>0</v>
      </c>
      <c r="L75" s="180">
        <f t="shared" si="75"/>
        <v>1620</v>
      </c>
      <c r="M75" s="178">
        <f>SUM(M76,M83,M130,M164,M165,M172)</f>
        <v>538</v>
      </c>
      <c r="N75" s="179">
        <f t="shared" ref="N75:O75" si="76">SUM(N76,N83,N130,N164,N165,N172)</f>
        <v>0</v>
      </c>
      <c r="O75" s="180">
        <f t="shared" si="76"/>
        <v>538</v>
      </c>
      <c r="P75" s="181"/>
    </row>
    <row r="76" spans="1:16" ht="27" customHeight="1" x14ac:dyDescent="0.25">
      <c r="A76" s="68">
        <v>2100</v>
      </c>
      <c r="B76" s="182" t="s">
        <v>95</v>
      </c>
      <c r="C76" s="69">
        <f t="shared" si="0"/>
        <v>300</v>
      </c>
      <c r="D76" s="183">
        <f>SUM(D77,D80)</f>
        <v>300</v>
      </c>
      <c r="E76" s="184">
        <f t="shared" ref="E76:F76" si="77">SUM(E77,E80)</f>
        <v>0</v>
      </c>
      <c r="F76" s="72">
        <f t="shared" si="77"/>
        <v>300</v>
      </c>
      <c r="G76" s="183">
        <f>SUM(G77,G80)</f>
        <v>0</v>
      </c>
      <c r="H76" s="184">
        <f t="shared" ref="H76:I76" si="78">SUM(H77,H80)</f>
        <v>0</v>
      </c>
      <c r="I76" s="72">
        <f t="shared" si="78"/>
        <v>0</v>
      </c>
      <c r="J76" s="183">
        <f>SUM(J77,J80)</f>
        <v>0</v>
      </c>
      <c r="K76" s="184">
        <f t="shared" ref="K76:L76" si="79">SUM(K77,K80)</f>
        <v>0</v>
      </c>
      <c r="L76" s="72">
        <f t="shared" si="79"/>
        <v>0</v>
      </c>
      <c r="M76" s="183">
        <f>SUM(M77,M80)</f>
        <v>0</v>
      </c>
      <c r="N76" s="184">
        <f t="shared" ref="N76:O76" si="80">SUM(N77,N80)</f>
        <v>0</v>
      </c>
      <c r="O76" s="72">
        <f t="shared" si="80"/>
        <v>0</v>
      </c>
      <c r="P76" s="76"/>
    </row>
    <row r="77" spans="1:16" ht="27" customHeight="1" x14ac:dyDescent="0.25">
      <c r="A77" s="278">
        <v>2110</v>
      </c>
      <c r="B77" s="81" t="s">
        <v>96</v>
      </c>
      <c r="C77" s="82">
        <f t="shared" si="0"/>
        <v>300</v>
      </c>
      <c r="D77" s="192">
        <f>SUM(D78:D79)</f>
        <v>300</v>
      </c>
      <c r="E77" s="193">
        <f t="shared" ref="E77:F77" si="81">SUM(E78:E79)</f>
        <v>0</v>
      </c>
      <c r="F77" s="133">
        <f t="shared" si="81"/>
        <v>300</v>
      </c>
      <c r="G77" s="192">
        <f>SUM(G78:G79)</f>
        <v>0</v>
      </c>
      <c r="H77" s="193">
        <f t="shared" ref="H77:I77" si="82">SUM(H78:H79)</f>
        <v>0</v>
      </c>
      <c r="I77" s="133">
        <f t="shared" si="82"/>
        <v>0</v>
      </c>
      <c r="J77" s="192">
        <f>SUM(J78:J79)</f>
        <v>0</v>
      </c>
      <c r="K77" s="193">
        <f t="shared" ref="K77:L77" si="83">SUM(K78:K79)</f>
        <v>0</v>
      </c>
      <c r="L77" s="133">
        <f t="shared" si="83"/>
        <v>0</v>
      </c>
      <c r="M77" s="192">
        <f>SUM(M78:M79)</f>
        <v>0</v>
      </c>
      <c r="N77" s="193">
        <f t="shared" ref="N77:O77" si="84">SUM(N78:N79)</f>
        <v>0</v>
      </c>
      <c r="O77" s="133">
        <f t="shared" si="84"/>
        <v>0</v>
      </c>
      <c r="P77" s="49"/>
    </row>
    <row r="78" spans="1:16" ht="12" hidden="1" customHeight="1" x14ac:dyDescent="0.25">
      <c r="A78" s="51">
        <v>2111</v>
      </c>
      <c r="B78" s="88" t="s">
        <v>97</v>
      </c>
      <c r="C78" s="89">
        <f t="shared" si="0"/>
        <v>0</v>
      </c>
      <c r="D78" s="194"/>
      <c r="E78" s="195"/>
      <c r="F78" s="55">
        <f t="shared" ref="F78:F79" si="85">D78+E78</f>
        <v>0</v>
      </c>
      <c r="G78" s="53"/>
      <c r="H78" s="54"/>
      <c r="I78" s="55">
        <f t="shared" ref="I78:I79" si="86">G78+H78</f>
        <v>0</v>
      </c>
      <c r="J78" s="53"/>
      <c r="K78" s="54"/>
      <c r="L78" s="55">
        <f t="shared" ref="L78:L79" si="87">K78+J78</f>
        <v>0</v>
      </c>
      <c r="M78" s="53"/>
      <c r="N78" s="54"/>
      <c r="O78" s="55">
        <f t="shared" ref="O78:O79" si="88">N78+M78</f>
        <v>0</v>
      </c>
      <c r="P78" s="57"/>
    </row>
    <row r="79" spans="1:16" ht="24" customHeight="1" x14ac:dyDescent="0.25">
      <c r="A79" s="51">
        <v>2112</v>
      </c>
      <c r="B79" s="88" t="s">
        <v>98</v>
      </c>
      <c r="C79" s="89">
        <f t="shared" si="0"/>
        <v>300</v>
      </c>
      <c r="D79" s="194">
        <v>300</v>
      </c>
      <c r="E79" s="195"/>
      <c r="F79" s="55">
        <f t="shared" si="85"/>
        <v>300</v>
      </c>
      <c r="G79" s="53"/>
      <c r="H79" s="54"/>
      <c r="I79" s="55">
        <f t="shared" si="86"/>
        <v>0</v>
      </c>
      <c r="J79" s="53"/>
      <c r="K79" s="54"/>
      <c r="L79" s="55">
        <f t="shared" si="87"/>
        <v>0</v>
      </c>
      <c r="M79" s="53"/>
      <c r="N79" s="54"/>
      <c r="O79" s="55">
        <f t="shared" si="88"/>
        <v>0</v>
      </c>
      <c r="P79" s="57"/>
    </row>
    <row r="80" spans="1:16" ht="24" hidden="1" x14ac:dyDescent="0.25">
      <c r="A80" s="188">
        <v>2120</v>
      </c>
      <c r="B80" s="88" t="s">
        <v>99</v>
      </c>
      <c r="C80" s="89">
        <f t="shared" si="0"/>
        <v>0</v>
      </c>
      <c r="D80" s="189">
        <f>SUM(D81:D82)</f>
        <v>0</v>
      </c>
      <c r="E80" s="190">
        <f t="shared" ref="E80:F80" si="89">SUM(E81:E82)</f>
        <v>0</v>
      </c>
      <c r="F80" s="55">
        <f t="shared" si="89"/>
        <v>0</v>
      </c>
      <c r="G80" s="189">
        <f>SUM(G81:G82)</f>
        <v>0</v>
      </c>
      <c r="H80" s="190">
        <f t="shared" ref="H80:I80" si="90">SUM(H81:H82)</f>
        <v>0</v>
      </c>
      <c r="I80" s="55">
        <f t="shared" si="90"/>
        <v>0</v>
      </c>
      <c r="J80" s="189">
        <f>SUM(J81:J82)</f>
        <v>0</v>
      </c>
      <c r="K80" s="190">
        <f t="shared" ref="K80:L80" si="91">SUM(K81:K82)</f>
        <v>0</v>
      </c>
      <c r="L80" s="55">
        <f t="shared" si="91"/>
        <v>0</v>
      </c>
      <c r="M80" s="189">
        <f>SUM(M81:M82)</f>
        <v>0</v>
      </c>
      <c r="N80" s="190">
        <f t="shared" ref="N80:O80" si="92">SUM(N81:N82)</f>
        <v>0</v>
      </c>
      <c r="O80" s="55">
        <f t="shared" si="92"/>
        <v>0</v>
      </c>
      <c r="P80" s="57"/>
    </row>
    <row r="81" spans="1:16" ht="12" hidden="1" customHeight="1" x14ac:dyDescent="0.25">
      <c r="A81" s="51">
        <v>2121</v>
      </c>
      <c r="B81" s="88" t="s">
        <v>97</v>
      </c>
      <c r="C81" s="89">
        <f t="shared" si="0"/>
        <v>0</v>
      </c>
      <c r="D81" s="194"/>
      <c r="E81" s="195"/>
      <c r="F81" s="55">
        <f t="shared" ref="F81:F82" si="93">D81+E81</f>
        <v>0</v>
      </c>
      <c r="G81" s="53"/>
      <c r="H81" s="54"/>
      <c r="I81" s="55">
        <f t="shared" ref="I81:I82" si="94">G81+H81</f>
        <v>0</v>
      </c>
      <c r="J81" s="53"/>
      <c r="K81" s="54"/>
      <c r="L81" s="55">
        <f t="shared" ref="L81:L82" si="95">K81+J81</f>
        <v>0</v>
      </c>
      <c r="M81" s="53"/>
      <c r="N81" s="54"/>
      <c r="O81" s="55">
        <f t="shared" ref="O81:O82" si="96">N81+M81</f>
        <v>0</v>
      </c>
      <c r="P81" s="57"/>
    </row>
    <row r="82" spans="1:16" ht="24" hidden="1" customHeight="1" x14ac:dyDescent="0.25">
      <c r="A82" s="51">
        <v>2122</v>
      </c>
      <c r="B82" s="88" t="s">
        <v>98</v>
      </c>
      <c r="C82" s="89">
        <f t="shared" si="0"/>
        <v>0</v>
      </c>
      <c r="D82" s="194"/>
      <c r="E82" s="195"/>
      <c r="F82" s="55">
        <f t="shared" si="93"/>
        <v>0</v>
      </c>
      <c r="G82" s="53"/>
      <c r="H82" s="54"/>
      <c r="I82" s="55">
        <f t="shared" si="94"/>
        <v>0</v>
      </c>
      <c r="J82" s="53"/>
      <c r="K82" s="54"/>
      <c r="L82" s="55">
        <f t="shared" si="95"/>
        <v>0</v>
      </c>
      <c r="M82" s="53"/>
      <c r="N82" s="54"/>
      <c r="O82" s="55">
        <f t="shared" si="96"/>
        <v>0</v>
      </c>
      <c r="P82" s="57"/>
    </row>
    <row r="83" spans="1:16" ht="15.75" customHeight="1" x14ac:dyDescent="0.25">
      <c r="A83" s="68">
        <v>2200</v>
      </c>
      <c r="B83" s="182" t="s">
        <v>100</v>
      </c>
      <c r="C83" s="69">
        <f t="shared" si="0"/>
        <v>103750</v>
      </c>
      <c r="D83" s="183">
        <f>SUM(D84,D89,D95,D103,D112,D116,D122,D128)</f>
        <v>102084</v>
      </c>
      <c r="E83" s="184">
        <f t="shared" ref="E83:F83" si="97">SUM(E84,E89,E95,E103,E112,E116,E122,E128)</f>
        <v>1484</v>
      </c>
      <c r="F83" s="72">
        <f t="shared" si="97"/>
        <v>103568</v>
      </c>
      <c r="G83" s="183">
        <f>SUM(G84,G89,G95,G103,G112,G116,G122,G128)</f>
        <v>0</v>
      </c>
      <c r="H83" s="184">
        <f t="shared" ref="H83:I83" si="98">SUM(H84,H89,H95,H103,H112,H116,H122,H128)</f>
        <v>0</v>
      </c>
      <c r="I83" s="72">
        <f t="shared" si="98"/>
        <v>0</v>
      </c>
      <c r="J83" s="183">
        <f>SUM(J84,J89,J95,J103,J112,J116,J122,J128)</f>
        <v>120</v>
      </c>
      <c r="K83" s="184">
        <f t="shared" ref="K83:L83" si="99">SUM(K84,K89,K95,K103,K112,K116,K122,K128)</f>
        <v>0</v>
      </c>
      <c r="L83" s="72">
        <f t="shared" si="99"/>
        <v>120</v>
      </c>
      <c r="M83" s="183">
        <f>SUM(M84,M89,M95,M103,M112,M116,M122,M128)</f>
        <v>538</v>
      </c>
      <c r="N83" s="184">
        <f t="shared" ref="N83:O83" si="100">SUM(N84,N89,N95,N103,N112,N116,N122,N128)</f>
        <v>-476</v>
      </c>
      <c r="O83" s="72">
        <f t="shared" si="100"/>
        <v>62</v>
      </c>
      <c r="P83" s="76"/>
    </row>
    <row r="84" spans="1:16" ht="15.75" customHeight="1" x14ac:dyDescent="0.25">
      <c r="A84" s="185">
        <v>2210</v>
      </c>
      <c r="B84" s="137" t="s">
        <v>101</v>
      </c>
      <c r="C84" s="142">
        <f t="shared" ref="C84:C147" si="101">F84+I84+L84+O84</f>
        <v>1130</v>
      </c>
      <c r="D84" s="186">
        <f>SUM(D85:D88)</f>
        <v>1871</v>
      </c>
      <c r="E84" s="187">
        <f t="shared" ref="E84:F84" si="102">SUM(E85:E88)</f>
        <v>-741</v>
      </c>
      <c r="F84" s="140">
        <f t="shared" si="102"/>
        <v>1130</v>
      </c>
      <c r="G84" s="186">
        <f>SUM(G85:G88)</f>
        <v>0</v>
      </c>
      <c r="H84" s="187">
        <f t="shared" ref="H84:I84" si="103">SUM(H85:H88)</f>
        <v>0</v>
      </c>
      <c r="I84" s="140">
        <f t="shared" si="103"/>
        <v>0</v>
      </c>
      <c r="J84" s="186">
        <f>SUM(J85:J88)</f>
        <v>0</v>
      </c>
      <c r="K84" s="187">
        <f t="shared" ref="K84:L84" si="104">SUM(K85:K88)</f>
        <v>0</v>
      </c>
      <c r="L84" s="140">
        <f t="shared" si="104"/>
        <v>0</v>
      </c>
      <c r="M84" s="186">
        <f>SUM(M85:M88)</f>
        <v>0</v>
      </c>
      <c r="N84" s="187">
        <f t="shared" ref="N84:O84" si="105">SUM(N85:N88)</f>
        <v>0</v>
      </c>
      <c r="O84" s="140">
        <f t="shared" si="105"/>
        <v>0</v>
      </c>
      <c r="P84" s="128"/>
    </row>
    <row r="85" spans="1:16" ht="24" hidden="1" customHeight="1" x14ac:dyDescent="0.25">
      <c r="A85" s="44">
        <v>2211</v>
      </c>
      <c r="B85" s="81" t="s">
        <v>102</v>
      </c>
      <c r="C85" s="82">
        <f t="shared" si="101"/>
        <v>0</v>
      </c>
      <c r="D85" s="196"/>
      <c r="E85" s="197"/>
      <c r="F85" s="133">
        <f t="shared" ref="F85:F88" si="106">D85+E85</f>
        <v>0</v>
      </c>
      <c r="G85" s="46"/>
      <c r="H85" s="47"/>
      <c r="I85" s="133">
        <f t="shared" ref="I85:I88" si="107">G85+H85</f>
        <v>0</v>
      </c>
      <c r="J85" s="46"/>
      <c r="K85" s="47"/>
      <c r="L85" s="133">
        <f t="shared" ref="L85:L88" si="108">K85+J85</f>
        <v>0</v>
      </c>
      <c r="M85" s="46"/>
      <c r="N85" s="47"/>
      <c r="O85" s="133">
        <f t="shared" ref="O85:O88" si="109">N85+M85</f>
        <v>0</v>
      </c>
      <c r="P85" s="49"/>
    </row>
    <row r="86" spans="1:16" ht="45" customHeight="1" x14ac:dyDescent="0.25">
      <c r="A86" s="51">
        <v>2212</v>
      </c>
      <c r="B86" s="88" t="s">
        <v>103</v>
      </c>
      <c r="C86" s="89">
        <f t="shared" si="101"/>
        <v>901</v>
      </c>
      <c r="D86" s="194">
        <v>1592</v>
      </c>
      <c r="E86" s="195">
        <v>-691</v>
      </c>
      <c r="F86" s="55">
        <f t="shared" si="106"/>
        <v>901</v>
      </c>
      <c r="G86" s="53"/>
      <c r="H86" s="54"/>
      <c r="I86" s="55">
        <f t="shared" si="107"/>
        <v>0</v>
      </c>
      <c r="J86" s="53"/>
      <c r="K86" s="54"/>
      <c r="L86" s="55">
        <f t="shared" si="108"/>
        <v>0</v>
      </c>
      <c r="M86" s="53"/>
      <c r="N86" s="54"/>
      <c r="O86" s="55">
        <f t="shared" si="109"/>
        <v>0</v>
      </c>
      <c r="P86" s="57" t="s">
        <v>717</v>
      </c>
    </row>
    <row r="87" spans="1:16" ht="28.5" customHeight="1" x14ac:dyDescent="0.25">
      <c r="A87" s="51">
        <v>2214</v>
      </c>
      <c r="B87" s="88" t="s">
        <v>104</v>
      </c>
      <c r="C87" s="89">
        <f t="shared" si="101"/>
        <v>204</v>
      </c>
      <c r="D87" s="194">
        <v>204</v>
      </c>
      <c r="E87" s="195"/>
      <c r="F87" s="55">
        <f t="shared" si="106"/>
        <v>204</v>
      </c>
      <c r="G87" s="53"/>
      <c r="H87" s="54"/>
      <c r="I87" s="55">
        <f t="shared" si="107"/>
        <v>0</v>
      </c>
      <c r="J87" s="53"/>
      <c r="K87" s="54"/>
      <c r="L87" s="55">
        <f t="shared" si="108"/>
        <v>0</v>
      </c>
      <c r="M87" s="53"/>
      <c r="N87" s="54"/>
      <c r="O87" s="55">
        <f t="shared" si="109"/>
        <v>0</v>
      </c>
      <c r="P87" s="57"/>
    </row>
    <row r="88" spans="1:16" ht="16.5" customHeight="1" x14ac:dyDescent="0.25">
      <c r="A88" s="51">
        <v>2219</v>
      </c>
      <c r="B88" s="88" t="s">
        <v>105</v>
      </c>
      <c r="C88" s="89">
        <f t="shared" si="101"/>
        <v>25</v>
      </c>
      <c r="D88" s="194">
        <v>75</v>
      </c>
      <c r="E88" s="195">
        <v>-50</v>
      </c>
      <c r="F88" s="55">
        <f t="shared" si="106"/>
        <v>25</v>
      </c>
      <c r="G88" s="53"/>
      <c r="H88" s="54"/>
      <c r="I88" s="55">
        <f t="shared" si="107"/>
        <v>0</v>
      </c>
      <c r="J88" s="53"/>
      <c r="K88" s="54"/>
      <c r="L88" s="55">
        <f t="shared" si="108"/>
        <v>0</v>
      </c>
      <c r="M88" s="53"/>
      <c r="N88" s="54"/>
      <c r="O88" s="55">
        <f t="shared" si="109"/>
        <v>0</v>
      </c>
      <c r="P88" s="57" t="s">
        <v>718</v>
      </c>
    </row>
    <row r="89" spans="1:16" ht="25.5" customHeight="1" x14ac:dyDescent="0.25">
      <c r="A89" s="188">
        <v>2220</v>
      </c>
      <c r="B89" s="88" t="s">
        <v>106</v>
      </c>
      <c r="C89" s="89">
        <f t="shared" si="101"/>
        <v>15096</v>
      </c>
      <c r="D89" s="189">
        <f>SUM(D90:D94)</f>
        <v>14976</v>
      </c>
      <c r="E89" s="190">
        <f t="shared" ref="E89:F89" si="110">SUM(E90:E94)</f>
        <v>0</v>
      </c>
      <c r="F89" s="55">
        <f t="shared" si="110"/>
        <v>14976</v>
      </c>
      <c r="G89" s="189">
        <f>SUM(G90:G94)</f>
        <v>0</v>
      </c>
      <c r="H89" s="190">
        <f t="shared" ref="H89:I89" si="111">SUM(H90:H94)</f>
        <v>0</v>
      </c>
      <c r="I89" s="55">
        <f t="shared" si="111"/>
        <v>0</v>
      </c>
      <c r="J89" s="189">
        <f>SUM(J90:J94)</f>
        <v>120</v>
      </c>
      <c r="K89" s="190">
        <f t="shared" ref="K89:L89" si="112">SUM(K90:K94)</f>
        <v>0</v>
      </c>
      <c r="L89" s="55">
        <f t="shared" si="112"/>
        <v>120</v>
      </c>
      <c r="M89" s="189">
        <f>SUM(M90:M94)</f>
        <v>0</v>
      </c>
      <c r="N89" s="190">
        <f t="shared" ref="N89:O89" si="113">SUM(N90:N94)</f>
        <v>0</v>
      </c>
      <c r="O89" s="55">
        <f t="shared" si="113"/>
        <v>0</v>
      </c>
      <c r="P89" s="57"/>
    </row>
    <row r="90" spans="1:16" ht="24" hidden="1" customHeight="1" x14ac:dyDescent="0.25">
      <c r="A90" s="51">
        <v>2221</v>
      </c>
      <c r="B90" s="88" t="s">
        <v>107</v>
      </c>
      <c r="C90" s="89">
        <f t="shared" si="101"/>
        <v>0</v>
      </c>
      <c r="D90" s="194"/>
      <c r="E90" s="195"/>
      <c r="F90" s="55">
        <f t="shared" ref="F90:F94" si="114">D90+E90</f>
        <v>0</v>
      </c>
      <c r="G90" s="53"/>
      <c r="H90" s="54"/>
      <c r="I90" s="55">
        <f t="shared" ref="I90:I94" si="115">G90+H90</f>
        <v>0</v>
      </c>
      <c r="J90" s="53"/>
      <c r="K90" s="54"/>
      <c r="L90" s="55">
        <f t="shared" ref="L90:L94" si="116">K90+J90</f>
        <v>0</v>
      </c>
      <c r="M90" s="53"/>
      <c r="N90" s="54"/>
      <c r="O90" s="55">
        <f t="shared" ref="O90:O94" si="117">N90+M90</f>
        <v>0</v>
      </c>
      <c r="P90" s="57"/>
    </row>
    <row r="91" spans="1:16" ht="12" customHeight="1" x14ac:dyDescent="0.25">
      <c r="A91" s="51">
        <v>2222</v>
      </c>
      <c r="B91" s="88" t="s">
        <v>108</v>
      </c>
      <c r="C91" s="89">
        <f t="shared" si="101"/>
        <v>3792</v>
      </c>
      <c r="D91" s="194">
        <v>3742</v>
      </c>
      <c r="E91" s="195"/>
      <c r="F91" s="55">
        <f t="shared" si="114"/>
        <v>3742</v>
      </c>
      <c r="G91" s="53"/>
      <c r="H91" s="54"/>
      <c r="I91" s="55">
        <f t="shared" si="115"/>
        <v>0</v>
      </c>
      <c r="J91" s="53">
        <v>50</v>
      </c>
      <c r="K91" s="54"/>
      <c r="L91" s="55">
        <f t="shared" si="116"/>
        <v>50</v>
      </c>
      <c r="M91" s="53"/>
      <c r="N91" s="54"/>
      <c r="O91" s="55">
        <f t="shared" si="117"/>
        <v>0</v>
      </c>
      <c r="P91" s="57"/>
    </row>
    <row r="92" spans="1:16" ht="12" customHeight="1" x14ac:dyDescent="0.25">
      <c r="A92" s="51">
        <v>2223</v>
      </c>
      <c r="B92" s="88" t="s">
        <v>109</v>
      </c>
      <c r="C92" s="89">
        <f t="shared" si="101"/>
        <v>9715</v>
      </c>
      <c r="D92" s="194">
        <v>9645</v>
      </c>
      <c r="E92" s="195"/>
      <c r="F92" s="55">
        <f t="shared" si="114"/>
        <v>9645</v>
      </c>
      <c r="G92" s="53"/>
      <c r="H92" s="54"/>
      <c r="I92" s="55">
        <f t="shared" si="115"/>
        <v>0</v>
      </c>
      <c r="J92" s="53">
        <v>70</v>
      </c>
      <c r="K92" s="54"/>
      <c r="L92" s="55">
        <f t="shared" si="116"/>
        <v>70</v>
      </c>
      <c r="M92" s="53"/>
      <c r="N92" s="54"/>
      <c r="O92" s="55">
        <f t="shared" si="117"/>
        <v>0</v>
      </c>
      <c r="P92" s="57"/>
    </row>
    <row r="93" spans="1:16" ht="48" customHeight="1" x14ac:dyDescent="0.25">
      <c r="A93" s="51">
        <v>2224</v>
      </c>
      <c r="B93" s="88" t="s">
        <v>110</v>
      </c>
      <c r="C93" s="89">
        <f t="shared" si="101"/>
        <v>1589</v>
      </c>
      <c r="D93" s="194">
        <v>1589</v>
      </c>
      <c r="E93" s="195"/>
      <c r="F93" s="55">
        <f t="shared" si="114"/>
        <v>1589</v>
      </c>
      <c r="G93" s="53"/>
      <c r="H93" s="54"/>
      <c r="I93" s="55">
        <f t="shared" si="115"/>
        <v>0</v>
      </c>
      <c r="J93" s="53"/>
      <c r="K93" s="54"/>
      <c r="L93" s="55">
        <f t="shared" si="116"/>
        <v>0</v>
      </c>
      <c r="M93" s="53"/>
      <c r="N93" s="54"/>
      <c r="O93" s="55">
        <f t="shared" si="117"/>
        <v>0</v>
      </c>
      <c r="P93" s="57"/>
    </row>
    <row r="94" spans="1:16" ht="24" hidden="1" customHeight="1" x14ac:dyDescent="0.25">
      <c r="A94" s="51">
        <v>2229</v>
      </c>
      <c r="B94" s="88" t="s">
        <v>111</v>
      </c>
      <c r="C94" s="89">
        <f t="shared" si="101"/>
        <v>0</v>
      </c>
      <c r="D94" s="194"/>
      <c r="E94" s="195"/>
      <c r="F94" s="55">
        <f t="shared" si="114"/>
        <v>0</v>
      </c>
      <c r="G94" s="53"/>
      <c r="H94" s="54"/>
      <c r="I94" s="55">
        <f t="shared" si="115"/>
        <v>0</v>
      </c>
      <c r="J94" s="53"/>
      <c r="K94" s="54"/>
      <c r="L94" s="55">
        <f t="shared" si="116"/>
        <v>0</v>
      </c>
      <c r="M94" s="53"/>
      <c r="N94" s="54"/>
      <c r="O94" s="55">
        <f t="shared" si="117"/>
        <v>0</v>
      </c>
      <c r="P94" s="57"/>
    </row>
    <row r="95" spans="1:16" ht="36" x14ac:dyDescent="0.25">
      <c r="A95" s="188">
        <v>2230</v>
      </c>
      <c r="B95" s="88" t="s">
        <v>112</v>
      </c>
      <c r="C95" s="89">
        <f t="shared" si="101"/>
        <v>2501</v>
      </c>
      <c r="D95" s="189">
        <f>SUM(D96:D102)</f>
        <v>1994</v>
      </c>
      <c r="E95" s="190">
        <f t="shared" ref="E95:F95" si="118">SUM(E96:E102)</f>
        <v>507</v>
      </c>
      <c r="F95" s="55">
        <f t="shared" si="118"/>
        <v>2501</v>
      </c>
      <c r="G95" s="189">
        <f>SUM(G96:G102)</f>
        <v>0</v>
      </c>
      <c r="H95" s="190">
        <f t="shared" ref="H95:I95" si="119">SUM(H96:H102)</f>
        <v>0</v>
      </c>
      <c r="I95" s="55">
        <f t="shared" si="119"/>
        <v>0</v>
      </c>
      <c r="J95" s="189">
        <f>SUM(J96:J102)</f>
        <v>0</v>
      </c>
      <c r="K95" s="190">
        <f t="shared" ref="K95:L95" si="120">SUM(K96:K102)</f>
        <v>0</v>
      </c>
      <c r="L95" s="55">
        <f t="shared" si="120"/>
        <v>0</v>
      </c>
      <c r="M95" s="189">
        <f>SUM(M96:M102)</f>
        <v>0</v>
      </c>
      <c r="N95" s="190">
        <f t="shared" ref="N95:O95" si="121">SUM(N96:N102)</f>
        <v>0</v>
      </c>
      <c r="O95" s="55">
        <f t="shared" si="121"/>
        <v>0</v>
      </c>
      <c r="P95" s="57"/>
    </row>
    <row r="96" spans="1:16" ht="24" hidden="1" customHeight="1" x14ac:dyDescent="0.25">
      <c r="A96" s="51">
        <v>2231</v>
      </c>
      <c r="B96" s="88" t="s">
        <v>113</v>
      </c>
      <c r="C96" s="89">
        <f t="shared" si="101"/>
        <v>0</v>
      </c>
      <c r="D96" s="194"/>
      <c r="E96" s="195"/>
      <c r="F96" s="55">
        <f t="shared" ref="F96:F102" si="122">D96+E96</f>
        <v>0</v>
      </c>
      <c r="G96" s="53"/>
      <c r="H96" s="54"/>
      <c r="I96" s="55">
        <f t="shared" ref="I96:I102" si="123">G96+H96</f>
        <v>0</v>
      </c>
      <c r="J96" s="53"/>
      <c r="K96" s="54"/>
      <c r="L96" s="55">
        <f t="shared" ref="L96:L102" si="124">K96+J96</f>
        <v>0</v>
      </c>
      <c r="M96" s="53"/>
      <c r="N96" s="54"/>
      <c r="O96" s="55">
        <f t="shared" ref="O96:O102" si="125">N96+M96</f>
        <v>0</v>
      </c>
      <c r="P96" s="57"/>
    </row>
    <row r="97" spans="1:16" ht="24.75" hidden="1" customHeight="1" x14ac:dyDescent="0.25">
      <c r="A97" s="51">
        <v>2232</v>
      </c>
      <c r="B97" s="88" t="s">
        <v>114</v>
      </c>
      <c r="C97" s="89">
        <f t="shared" si="101"/>
        <v>0</v>
      </c>
      <c r="D97" s="194"/>
      <c r="E97" s="195"/>
      <c r="F97" s="55">
        <f t="shared" si="122"/>
        <v>0</v>
      </c>
      <c r="G97" s="53"/>
      <c r="H97" s="54"/>
      <c r="I97" s="55">
        <f t="shared" si="123"/>
        <v>0</v>
      </c>
      <c r="J97" s="53"/>
      <c r="K97" s="54"/>
      <c r="L97" s="55">
        <f t="shared" si="124"/>
        <v>0</v>
      </c>
      <c r="M97" s="53"/>
      <c r="N97" s="54"/>
      <c r="O97" s="55">
        <f t="shared" si="125"/>
        <v>0</v>
      </c>
      <c r="P97" s="57"/>
    </row>
    <row r="98" spans="1:16" ht="24" hidden="1" customHeight="1" x14ac:dyDescent="0.25">
      <c r="A98" s="44">
        <v>2233</v>
      </c>
      <c r="B98" s="81" t="s">
        <v>115</v>
      </c>
      <c r="C98" s="82">
        <f t="shared" si="101"/>
        <v>0</v>
      </c>
      <c r="D98" s="196"/>
      <c r="E98" s="197"/>
      <c r="F98" s="133">
        <f t="shared" si="122"/>
        <v>0</v>
      </c>
      <c r="G98" s="46"/>
      <c r="H98" s="47"/>
      <c r="I98" s="133">
        <f t="shared" si="123"/>
        <v>0</v>
      </c>
      <c r="J98" s="46"/>
      <c r="K98" s="47"/>
      <c r="L98" s="133">
        <f t="shared" si="124"/>
        <v>0</v>
      </c>
      <c r="M98" s="46"/>
      <c r="N98" s="47"/>
      <c r="O98" s="133">
        <f t="shared" si="125"/>
        <v>0</v>
      </c>
      <c r="P98" s="49"/>
    </row>
    <row r="99" spans="1:16" ht="36" hidden="1" customHeight="1" x14ac:dyDescent="0.25">
      <c r="A99" s="51">
        <v>2234</v>
      </c>
      <c r="B99" s="88" t="s">
        <v>116</v>
      </c>
      <c r="C99" s="89">
        <f t="shared" si="101"/>
        <v>0</v>
      </c>
      <c r="D99" s="194"/>
      <c r="E99" s="195"/>
      <c r="F99" s="55">
        <f t="shared" si="122"/>
        <v>0</v>
      </c>
      <c r="G99" s="53"/>
      <c r="H99" s="54"/>
      <c r="I99" s="55">
        <f t="shared" si="123"/>
        <v>0</v>
      </c>
      <c r="J99" s="53"/>
      <c r="K99" s="54"/>
      <c r="L99" s="55">
        <f t="shared" si="124"/>
        <v>0</v>
      </c>
      <c r="M99" s="53"/>
      <c r="N99" s="54"/>
      <c r="O99" s="55">
        <f t="shared" si="125"/>
        <v>0</v>
      </c>
      <c r="P99" s="57"/>
    </row>
    <row r="100" spans="1:16" ht="27.75" customHeight="1" x14ac:dyDescent="0.25">
      <c r="A100" s="51">
        <v>2235</v>
      </c>
      <c r="B100" s="88" t="s">
        <v>117</v>
      </c>
      <c r="C100" s="89">
        <f t="shared" si="101"/>
        <v>779</v>
      </c>
      <c r="D100" s="194">
        <v>291</v>
      </c>
      <c r="E100" s="195">
        <v>488</v>
      </c>
      <c r="F100" s="55">
        <f t="shared" si="122"/>
        <v>779</v>
      </c>
      <c r="G100" s="53"/>
      <c r="H100" s="54"/>
      <c r="I100" s="55">
        <f t="shared" si="123"/>
        <v>0</v>
      </c>
      <c r="J100" s="53"/>
      <c r="K100" s="54"/>
      <c r="L100" s="55">
        <f t="shared" si="124"/>
        <v>0</v>
      </c>
      <c r="M100" s="53"/>
      <c r="N100" s="54"/>
      <c r="O100" s="55">
        <f t="shared" si="125"/>
        <v>0</v>
      </c>
      <c r="P100" s="57" t="s">
        <v>719</v>
      </c>
    </row>
    <row r="101" spans="1:16" ht="18.75" customHeight="1" x14ac:dyDescent="0.25">
      <c r="A101" s="51">
        <v>2236</v>
      </c>
      <c r="B101" s="88" t="s">
        <v>118</v>
      </c>
      <c r="C101" s="89">
        <f t="shared" si="101"/>
        <v>19</v>
      </c>
      <c r="D101" s="194"/>
      <c r="E101" s="195">
        <v>19</v>
      </c>
      <c r="F101" s="55">
        <f t="shared" si="122"/>
        <v>19</v>
      </c>
      <c r="G101" s="53"/>
      <c r="H101" s="54"/>
      <c r="I101" s="55">
        <f t="shared" si="123"/>
        <v>0</v>
      </c>
      <c r="J101" s="53"/>
      <c r="K101" s="54"/>
      <c r="L101" s="55">
        <f t="shared" si="124"/>
        <v>0</v>
      </c>
      <c r="M101" s="53"/>
      <c r="N101" s="54"/>
      <c r="O101" s="55">
        <f t="shared" si="125"/>
        <v>0</v>
      </c>
      <c r="P101" s="57" t="s">
        <v>720</v>
      </c>
    </row>
    <row r="102" spans="1:16" ht="24" customHeight="1" x14ac:dyDescent="0.25">
      <c r="A102" s="51">
        <v>2239</v>
      </c>
      <c r="B102" s="88" t="s">
        <v>119</v>
      </c>
      <c r="C102" s="89">
        <f t="shared" si="101"/>
        <v>1703</v>
      </c>
      <c r="D102" s="194">
        <v>1703</v>
      </c>
      <c r="E102" s="195"/>
      <c r="F102" s="55">
        <f t="shared" si="122"/>
        <v>1703</v>
      </c>
      <c r="G102" s="53"/>
      <c r="H102" s="54"/>
      <c r="I102" s="55">
        <f t="shared" si="123"/>
        <v>0</v>
      </c>
      <c r="J102" s="53"/>
      <c r="K102" s="54"/>
      <c r="L102" s="55">
        <f t="shared" si="124"/>
        <v>0</v>
      </c>
      <c r="M102" s="53"/>
      <c r="N102" s="54"/>
      <c r="O102" s="55">
        <f t="shared" si="125"/>
        <v>0</v>
      </c>
      <c r="P102" s="57"/>
    </row>
    <row r="103" spans="1:16" ht="36" x14ac:dyDescent="0.25">
      <c r="A103" s="188">
        <v>2240</v>
      </c>
      <c r="B103" s="88" t="s">
        <v>120</v>
      </c>
      <c r="C103" s="89">
        <f t="shared" si="101"/>
        <v>14943</v>
      </c>
      <c r="D103" s="189">
        <f>SUM(D104:D111)</f>
        <v>13836</v>
      </c>
      <c r="E103" s="190">
        <f t="shared" ref="E103:F103" si="126">SUM(E104:E111)</f>
        <v>1107</v>
      </c>
      <c r="F103" s="55">
        <f t="shared" si="126"/>
        <v>14943</v>
      </c>
      <c r="G103" s="189">
        <f>SUM(G104:G111)</f>
        <v>0</v>
      </c>
      <c r="H103" s="190">
        <f t="shared" ref="H103:I103" si="127">SUM(H104:H111)</f>
        <v>0</v>
      </c>
      <c r="I103" s="55">
        <f t="shared" si="127"/>
        <v>0</v>
      </c>
      <c r="J103" s="189">
        <f>SUM(J104:J111)</f>
        <v>0</v>
      </c>
      <c r="K103" s="190">
        <f t="shared" ref="K103:L103" si="128">SUM(K104:K111)</f>
        <v>0</v>
      </c>
      <c r="L103" s="55">
        <f t="shared" si="128"/>
        <v>0</v>
      </c>
      <c r="M103" s="189">
        <f>SUM(M104:M111)</f>
        <v>0</v>
      </c>
      <c r="N103" s="190">
        <f t="shared" ref="N103:O103" si="129">SUM(N104:N111)</f>
        <v>0</v>
      </c>
      <c r="O103" s="55">
        <f t="shared" si="129"/>
        <v>0</v>
      </c>
      <c r="P103" s="57"/>
    </row>
    <row r="104" spans="1:16" ht="12" hidden="1" customHeight="1" x14ac:dyDescent="0.25">
      <c r="A104" s="51">
        <v>2241</v>
      </c>
      <c r="B104" s="88" t="s">
        <v>121</v>
      </c>
      <c r="C104" s="89">
        <f t="shared" si="101"/>
        <v>0</v>
      </c>
      <c r="D104" s="194"/>
      <c r="E104" s="195"/>
      <c r="F104" s="55">
        <f t="shared" ref="F104:F111" si="130">D104+E104</f>
        <v>0</v>
      </c>
      <c r="G104" s="53"/>
      <c r="H104" s="54"/>
      <c r="I104" s="55">
        <f t="shared" ref="I104:I111" si="131">G104+H104</f>
        <v>0</v>
      </c>
      <c r="J104" s="53"/>
      <c r="K104" s="54"/>
      <c r="L104" s="55">
        <f t="shared" ref="L104:L111" si="132">K104+J104</f>
        <v>0</v>
      </c>
      <c r="M104" s="53"/>
      <c r="N104" s="54"/>
      <c r="O104" s="55">
        <f t="shared" ref="O104:O111" si="133">N104+M104</f>
        <v>0</v>
      </c>
      <c r="P104" s="57"/>
    </row>
    <row r="105" spans="1:16" ht="27" customHeight="1" x14ac:dyDescent="0.25">
      <c r="A105" s="51">
        <v>2242</v>
      </c>
      <c r="B105" s="88" t="s">
        <v>122</v>
      </c>
      <c r="C105" s="89">
        <f t="shared" si="101"/>
        <v>1042</v>
      </c>
      <c r="D105" s="194">
        <v>449</v>
      </c>
      <c r="E105" s="195">
        <v>593</v>
      </c>
      <c r="F105" s="55">
        <f t="shared" si="130"/>
        <v>1042</v>
      </c>
      <c r="G105" s="53"/>
      <c r="H105" s="54"/>
      <c r="I105" s="55">
        <f t="shared" si="131"/>
        <v>0</v>
      </c>
      <c r="J105" s="53"/>
      <c r="K105" s="54"/>
      <c r="L105" s="55">
        <f t="shared" si="132"/>
        <v>0</v>
      </c>
      <c r="M105" s="53"/>
      <c r="N105" s="54"/>
      <c r="O105" s="55">
        <f t="shared" si="133"/>
        <v>0</v>
      </c>
      <c r="P105" s="57" t="s">
        <v>721</v>
      </c>
    </row>
    <row r="106" spans="1:16" ht="24" customHeight="1" x14ac:dyDescent="0.25">
      <c r="A106" s="51">
        <v>2243</v>
      </c>
      <c r="B106" s="88" t="s">
        <v>123</v>
      </c>
      <c r="C106" s="89">
        <f t="shared" si="101"/>
        <v>524</v>
      </c>
      <c r="D106" s="194">
        <v>524</v>
      </c>
      <c r="E106" s="195"/>
      <c r="F106" s="55">
        <f t="shared" si="130"/>
        <v>524</v>
      </c>
      <c r="G106" s="53"/>
      <c r="H106" s="54"/>
      <c r="I106" s="55">
        <f t="shared" si="131"/>
        <v>0</v>
      </c>
      <c r="J106" s="53"/>
      <c r="K106" s="54"/>
      <c r="L106" s="55">
        <f t="shared" si="132"/>
        <v>0</v>
      </c>
      <c r="M106" s="53"/>
      <c r="N106" s="54"/>
      <c r="O106" s="55">
        <f t="shared" si="133"/>
        <v>0</v>
      </c>
      <c r="P106" s="57"/>
    </row>
    <row r="107" spans="1:16" ht="16.5" customHeight="1" x14ac:dyDescent="0.25">
      <c r="A107" s="51">
        <v>2244</v>
      </c>
      <c r="B107" s="88" t="s">
        <v>124</v>
      </c>
      <c r="C107" s="89">
        <f t="shared" si="101"/>
        <v>13322</v>
      </c>
      <c r="D107" s="194">
        <v>12828</v>
      </c>
      <c r="E107" s="195">
        <v>494</v>
      </c>
      <c r="F107" s="55">
        <f t="shared" si="130"/>
        <v>13322</v>
      </c>
      <c r="G107" s="53"/>
      <c r="H107" s="54"/>
      <c r="I107" s="55">
        <f t="shared" si="131"/>
        <v>0</v>
      </c>
      <c r="J107" s="53"/>
      <c r="K107" s="54"/>
      <c r="L107" s="55">
        <f t="shared" si="132"/>
        <v>0</v>
      </c>
      <c r="M107" s="53"/>
      <c r="N107" s="54"/>
      <c r="O107" s="55">
        <f t="shared" si="133"/>
        <v>0</v>
      </c>
      <c r="P107" s="57" t="s">
        <v>722</v>
      </c>
    </row>
    <row r="108" spans="1:16" ht="24" hidden="1" customHeight="1" x14ac:dyDescent="0.25">
      <c r="A108" s="51">
        <v>2246</v>
      </c>
      <c r="B108" s="88" t="s">
        <v>125</v>
      </c>
      <c r="C108" s="89">
        <f t="shared" si="101"/>
        <v>0</v>
      </c>
      <c r="D108" s="194"/>
      <c r="E108" s="195"/>
      <c r="F108" s="55">
        <f t="shared" si="130"/>
        <v>0</v>
      </c>
      <c r="G108" s="53"/>
      <c r="H108" s="54"/>
      <c r="I108" s="55">
        <f t="shared" si="131"/>
        <v>0</v>
      </c>
      <c r="J108" s="53"/>
      <c r="K108" s="54"/>
      <c r="L108" s="55">
        <f t="shared" si="132"/>
        <v>0</v>
      </c>
      <c r="M108" s="53"/>
      <c r="N108" s="54"/>
      <c r="O108" s="55">
        <f t="shared" si="133"/>
        <v>0</v>
      </c>
      <c r="P108" s="57"/>
    </row>
    <row r="109" spans="1:16" ht="63.75" hidden="1" customHeight="1" x14ac:dyDescent="0.25">
      <c r="A109" s="51">
        <v>2247</v>
      </c>
      <c r="B109" s="88" t="s">
        <v>126</v>
      </c>
      <c r="C109" s="89">
        <f t="shared" si="101"/>
        <v>0</v>
      </c>
      <c r="D109" s="194"/>
      <c r="E109" s="195"/>
      <c r="F109" s="55">
        <f t="shared" si="130"/>
        <v>0</v>
      </c>
      <c r="G109" s="53"/>
      <c r="H109" s="54"/>
      <c r="I109" s="55">
        <f t="shared" si="131"/>
        <v>0</v>
      </c>
      <c r="J109" s="53"/>
      <c r="K109" s="54"/>
      <c r="L109" s="55">
        <f t="shared" si="132"/>
        <v>0</v>
      </c>
      <c r="M109" s="53"/>
      <c r="N109" s="54"/>
      <c r="O109" s="55">
        <f t="shared" si="133"/>
        <v>0</v>
      </c>
      <c r="P109" s="57"/>
    </row>
    <row r="110" spans="1:16" ht="24" hidden="1" customHeight="1" x14ac:dyDescent="0.25">
      <c r="A110" s="51">
        <v>2248</v>
      </c>
      <c r="B110" s="88" t="s">
        <v>127</v>
      </c>
      <c r="C110" s="89">
        <f t="shared" si="101"/>
        <v>0</v>
      </c>
      <c r="D110" s="194"/>
      <c r="E110" s="195"/>
      <c r="F110" s="55">
        <f t="shared" si="130"/>
        <v>0</v>
      </c>
      <c r="G110" s="53"/>
      <c r="H110" s="54"/>
      <c r="I110" s="55">
        <f t="shared" si="131"/>
        <v>0</v>
      </c>
      <c r="J110" s="53"/>
      <c r="K110" s="54"/>
      <c r="L110" s="55">
        <f t="shared" si="132"/>
        <v>0</v>
      </c>
      <c r="M110" s="53"/>
      <c r="N110" s="54"/>
      <c r="O110" s="55">
        <f t="shared" si="133"/>
        <v>0</v>
      </c>
      <c r="P110" s="57"/>
    </row>
    <row r="111" spans="1:16" ht="27" customHeight="1" x14ac:dyDescent="0.25">
      <c r="A111" s="51">
        <v>2249</v>
      </c>
      <c r="B111" s="88" t="s">
        <v>128</v>
      </c>
      <c r="C111" s="89">
        <f t="shared" si="101"/>
        <v>55</v>
      </c>
      <c r="D111" s="194">
        <v>35</v>
      </c>
      <c r="E111" s="195">
        <v>20</v>
      </c>
      <c r="F111" s="55">
        <f t="shared" si="130"/>
        <v>55</v>
      </c>
      <c r="G111" s="53"/>
      <c r="H111" s="54"/>
      <c r="I111" s="55">
        <f t="shared" si="131"/>
        <v>0</v>
      </c>
      <c r="J111" s="53"/>
      <c r="K111" s="54"/>
      <c r="L111" s="55">
        <f t="shared" si="132"/>
        <v>0</v>
      </c>
      <c r="M111" s="53"/>
      <c r="N111" s="54"/>
      <c r="O111" s="55">
        <f t="shared" si="133"/>
        <v>0</v>
      </c>
      <c r="P111" s="57" t="s">
        <v>723</v>
      </c>
    </row>
    <row r="112" spans="1:16" x14ac:dyDescent="0.25">
      <c r="A112" s="188">
        <v>2250</v>
      </c>
      <c r="B112" s="88" t="s">
        <v>129</v>
      </c>
      <c r="C112" s="89">
        <f t="shared" si="101"/>
        <v>166</v>
      </c>
      <c r="D112" s="189">
        <f>SUM(D113:D115)</f>
        <v>166</v>
      </c>
      <c r="E112" s="190">
        <f t="shared" ref="E112:F112" si="134">SUM(E113:E115)</f>
        <v>0</v>
      </c>
      <c r="F112" s="55">
        <f t="shared" si="134"/>
        <v>166</v>
      </c>
      <c r="G112" s="189">
        <f>SUM(G113:G115)</f>
        <v>0</v>
      </c>
      <c r="H112" s="190">
        <f t="shared" ref="H112:I112" si="135">SUM(H113:H115)</f>
        <v>0</v>
      </c>
      <c r="I112" s="55">
        <f t="shared" si="135"/>
        <v>0</v>
      </c>
      <c r="J112" s="189">
        <f>SUM(J113:J115)</f>
        <v>0</v>
      </c>
      <c r="K112" s="190">
        <f t="shared" ref="K112:L112" si="136">SUM(K113:K115)</f>
        <v>0</v>
      </c>
      <c r="L112" s="55">
        <f t="shared" si="136"/>
        <v>0</v>
      </c>
      <c r="M112" s="189">
        <f>SUM(M113:M115)</f>
        <v>0</v>
      </c>
      <c r="N112" s="190">
        <f t="shared" ref="N112:O112" si="137">SUM(N113:N115)</f>
        <v>0</v>
      </c>
      <c r="O112" s="55">
        <f t="shared" si="137"/>
        <v>0</v>
      </c>
      <c r="P112" s="57"/>
    </row>
    <row r="113" spans="1:16" ht="12" customHeight="1" x14ac:dyDescent="0.25">
      <c r="A113" s="51">
        <v>2251</v>
      </c>
      <c r="B113" s="88" t="s">
        <v>130</v>
      </c>
      <c r="C113" s="89">
        <f t="shared" si="101"/>
        <v>166</v>
      </c>
      <c r="D113" s="194">
        <v>166</v>
      </c>
      <c r="E113" s="195"/>
      <c r="F113" s="55">
        <f t="shared" ref="F113:F115" si="138">D113+E113</f>
        <v>166</v>
      </c>
      <c r="G113" s="53"/>
      <c r="H113" s="54"/>
      <c r="I113" s="55">
        <f t="shared" ref="I113:I115" si="139">G113+H113</f>
        <v>0</v>
      </c>
      <c r="J113" s="53"/>
      <c r="K113" s="54"/>
      <c r="L113" s="55">
        <f t="shared" ref="L113:L115" si="140">K113+J113</f>
        <v>0</v>
      </c>
      <c r="M113" s="53"/>
      <c r="N113" s="54"/>
      <c r="O113" s="55">
        <f t="shared" ref="O113:O115" si="141">N113+M113</f>
        <v>0</v>
      </c>
      <c r="P113" s="57"/>
    </row>
    <row r="114" spans="1:16" ht="24" hidden="1" customHeight="1" x14ac:dyDescent="0.25">
      <c r="A114" s="51">
        <v>2252</v>
      </c>
      <c r="B114" s="88" t="s">
        <v>131</v>
      </c>
      <c r="C114" s="89">
        <f t="shared" si="101"/>
        <v>0</v>
      </c>
      <c r="D114" s="194"/>
      <c r="E114" s="195"/>
      <c r="F114" s="55">
        <f t="shared" si="138"/>
        <v>0</v>
      </c>
      <c r="G114" s="53"/>
      <c r="H114" s="54"/>
      <c r="I114" s="55">
        <f t="shared" si="139"/>
        <v>0</v>
      </c>
      <c r="J114" s="53"/>
      <c r="K114" s="54"/>
      <c r="L114" s="55">
        <f t="shared" si="140"/>
        <v>0</v>
      </c>
      <c r="M114" s="53"/>
      <c r="N114" s="54"/>
      <c r="O114" s="55">
        <f t="shared" si="141"/>
        <v>0</v>
      </c>
      <c r="P114" s="57"/>
    </row>
    <row r="115" spans="1:16" ht="24" hidden="1" customHeight="1" x14ac:dyDescent="0.25">
      <c r="A115" s="51">
        <v>2259</v>
      </c>
      <c r="B115" s="88" t="s">
        <v>132</v>
      </c>
      <c r="C115" s="89">
        <f t="shared" si="101"/>
        <v>0</v>
      </c>
      <c r="D115" s="194"/>
      <c r="E115" s="195"/>
      <c r="F115" s="55">
        <f t="shared" si="138"/>
        <v>0</v>
      </c>
      <c r="G115" s="53"/>
      <c r="H115" s="54"/>
      <c r="I115" s="55">
        <f t="shared" si="139"/>
        <v>0</v>
      </c>
      <c r="J115" s="53"/>
      <c r="K115" s="54"/>
      <c r="L115" s="55">
        <f t="shared" si="140"/>
        <v>0</v>
      </c>
      <c r="M115" s="53"/>
      <c r="N115" s="54"/>
      <c r="O115" s="55">
        <f t="shared" si="141"/>
        <v>0</v>
      </c>
      <c r="P115" s="57"/>
    </row>
    <row r="116" spans="1:16" x14ac:dyDescent="0.25">
      <c r="A116" s="188">
        <v>2260</v>
      </c>
      <c r="B116" s="88" t="s">
        <v>133</v>
      </c>
      <c r="C116" s="89">
        <f t="shared" si="101"/>
        <v>68206</v>
      </c>
      <c r="D116" s="189">
        <f>SUM(D117:D121)</f>
        <v>68206</v>
      </c>
      <c r="E116" s="190">
        <f t="shared" ref="E116:F116" si="142">SUM(E117:E121)</f>
        <v>0</v>
      </c>
      <c r="F116" s="55">
        <f t="shared" si="142"/>
        <v>68206</v>
      </c>
      <c r="G116" s="189">
        <f>SUM(G117:G121)</f>
        <v>0</v>
      </c>
      <c r="H116" s="190">
        <f t="shared" ref="H116:I116" si="143">SUM(H117:H121)</f>
        <v>0</v>
      </c>
      <c r="I116" s="55">
        <f t="shared" si="143"/>
        <v>0</v>
      </c>
      <c r="J116" s="189">
        <f>SUM(J117:J121)</f>
        <v>0</v>
      </c>
      <c r="K116" s="190">
        <f t="shared" ref="K116:L116" si="144">SUM(K117:K121)</f>
        <v>0</v>
      </c>
      <c r="L116" s="55">
        <f t="shared" si="144"/>
        <v>0</v>
      </c>
      <c r="M116" s="189">
        <f>SUM(M117:M121)</f>
        <v>0</v>
      </c>
      <c r="N116" s="190">
        <f t="shared" ref="N116:O116" si="145">SUM(N117:N121)</f>
        <v>0</v>
      </c>
      <c r="O116" s="55">
        <f t="shared" si="145"/>
        <v>0</v>
      </c>
      <c r="P116" s="57"/>
    </row>
    <row r="117" spans="1:16" ht="12" customHeight="1" x14ac:dyDescent="0.25">
      <c r="A117" s="51">
        <v>2261</v>
      </c>
      <c r="B117" s="88" t="s">
        <v>134</v>
      </c>
      <c r="C117" s="89">
        <f t="shared" si="101"/>
        <v>68169</v>
      </c>
      <c r="D117" s="194">
        <v>68169</v>
      </c>
      <c r="E117" s="195"/>
      <c r="F117" s="55">
        <f t="shared" ref="F117:F121" si="146">D117+E117</f>
        <v>68169</v>
      </c>
      <c r="G117" s="53"/>
      <c r="H117" s="54"/>
      <c r="I117" s="55">
        <f t="shared" ref="I117:I121" si="147">G117+H117</f>
        <v>0</v>
      </c>
      <c r="J117" s="53"/>
      <c r="K117" s="54"/>
      <c r="L117" s="55">
        <f t="shared" ref="L117:L121" si="148">K117+J117</f>
        <v>0</v>
      </c>
      <c r="M117" s="53"/>
      <c r="N117" s="54"/>
      <c r="O117" s="55">
        <f t="shared" ref="O117:O121" si="149">N117+M117</f>
        <v>0</v>
      </c>
      <c r="P117" s="57"/>
    </row>
    <row r="118" spans="1:16" ht="12" hidden="1" customHeight="1" x14ac:dyDescent="0.25">
      <c r="A118" s="51">
        <v>2262</v>
      </c>
      <c r="B118" s="88" t="s">
        <v>135</v>
      </c>
      <c r="C118" s="89">
        <f t="shared" si="101"/>
        <v>0</v>
      </c>
      <c r="D118" s="194"/>
      <c r="E118" s="195"/>
      <c r="F118" s="55">
        <f t="shared" si="146"/>
        <v>0</v>
      </c>
      <c r="G118" s="53"/>
      <c r="H118" s="54"/>
      <c r="I118" s="55">
        <f t="shared" si="147"/>
        <v>0</v>
      </c>
      <c r="J118" s="53"/>
      <c r="K118" s="54"/>
      <c r="L118" s="55">
        <f t="shared" si="148"/>
        <v>0</v>
      </c>
      <c r="M118" s="53"/>
      <c r="N118" s="54"/>
      <c r="O118" s="55">
        <f t="shared" si="149"/>
        <v>0</v>
      </c>
      <c r="P118" s="57"/>
    </row>
    <row r="119" spans="1:16" ht="12" hidden="1" customHeight="1" x14ac:dyDescent="0.25">
      <c r="A119" s="51">
        <v>2263</v>
      </c>
      <c r="B119" s="88" t="s">
        <v>136</v>
      </c>
      <c r="C119" s="89">
        <f t="shared" si="101"/>
        <v>0</v>
      </c>
      <c r="D119" s="194"/>
      <c r="E119" s="195"/>
      <c r="F119" s="55">
        <f t="shared" si="146"/>
        <v>0</v>
      </c>
      <c r="G119" s="53"/>
      <c r="H119" s="54"/>
      <c r="I119" s="55">
        <f t="shared" si="147"/>
        <v>0</v>
      </c>
      <c r="J119" s="53"/>
      <c r="K119" s="54"/>
      <c r="L119" s="55">
        <f t="shared" si="148"/>
        <v>0</v>
      </c>
      <c r="M119" s="53"/>
      <c r="N119" s="54"/>
      <c r="O119" s="55">
        <f t="shared" si="149"/>
        <v>0</v>
      </c>
      <c r="P119" s="57"/>
    </row>
    <row r="120" spans="1:16" ht="24" customHeight="1" x14ac:dyDescent="0.25">
      <c r="A120" s="51">
        <v>2264</v>
      </c>
      <c r="B120" s="88" t="s">
        <v>137</v>
      </c>
      <c r="C120" s="89">
        <f t="shared" si="101"/>
        <v>37</v>
      </c>
      <c r="D120" s="194">
        <v>37</v>
      </c>
      <c r="E120" s="195"/>
      <c r="F120" s="55">
        <f t="shared" si="146"/>
        <v>37</v>
      </c>
      <c r="G120" s="53"/>
      <c r="H120" s="54"/>
      <c r="I120" s="55">
        <f t="shared" si="147"/>
        <v>0</v>
      </c>
      <c r="J120" s="53"/>
      <c r="K120" s="54"/>
      <c r="L120" s="55">
        <f t="shared" si="148"/>
        <v>0</v>
      </c>
      <c r="M120" s="53"/>
      <c r="N120" s="54"/>
      <c r="O120" s="55">
        <f t="shared" si="149"/>
        <v>0</v>
      </c>
      <c r="P120" s="57"/>
    </row>
    <row r="121" spans="1:16" ht="12" hidden="1" customHeight="1" x14ac:dyDescent="0.25">
      <c r="A121" s="51">
        <v>2269</v>
      </c>
      <c r="B121" s="88" t="s">
        <v>138</v>
      </c>
      <c r="C121" s="89">
        <f t="shared" si="101"/>
        <v>0</v>
      </c>
      <c r="D121" s="194"/>
      <c r="E121" s="195"/>
      <c r="F121" s="55">
        <f t="shared" si="146"/>
        <v>0</v>
      </c>
      <c r="G121" s="53"/>
      <c r="H121" s="54"/>
      <c r="I121" s="55">
        <f t="shared" si="147"/>
        <v>0</v>
      </c>
      <c r="J121" s="53"/>
      <c r="K121" s="54"/>
      <c r="L121" s="55">
        <f t="shared" si="148"/>
        <v>0</v>
      </c>
      <c r="M121" s="53"/>
      <c r="N121" s="54"/>
      <c r="O121" s="55">
        <f t="shared" si="149"/>
        <v>0</v>
      </c>
      <c r="P121" s="57"/>
    </row>
    <row r="122" spans="1:16" x14ac:dyDescent="0.25">
      <c r="A122" s="188">
        <v>2270</v>
      </c>
      <c r="B122" s="88" t="s">
        <v>139</v>
      </c>
      <c r="C122" s="89">
        <f t="shared" si="101"/>
        <v>1708</v>
      </c>
      <c r="D122" s="189">
        <f>SUM(D123:D127)</f>
        <v>1035</v>
      </c>
      <c r="E122" s="190">
        <f t="shared" ref="E122:F122" si="150">SUM(E123:E127)</f>
        <v>611</v>
      </c>
      <c r="F122" s="55">
        <f t="shared" si="150"/>
        <v>1646</v>
      </c>
      <c r="G122" s="189">
        <f>SUM(G123:G127)</f>
        <v>0</v>
      </c>
      <c r="H122" s="190">
        <f t="shared" ref="H122:I122" si="151">SUM(H123:H127)</f>
        <v>0</v>
      </c>
      <c r="I122" s="55">
        <f t="shared" si="151"/>
        <v>0</v>
      </c>
      <c r="J122" s="189">
        <f>SUM(J123:J127)</f>
        <v>0</v>
      </c>
      <c r="K122" s="190">
        <f t="shared" ref="K122:L122" si="152">SUM(K123:K127)</f>
        <v>0</v>
      </c>
      <c r="L122" s="55">
        <f t="shared" si="152"/>
        <v>0</v>
      </c>
      <c r="M122" s="189">
        <f>SUM(M123:M127)</f>
        <v>538</v>
      </c>
      <c r="N122" s="190">
        <f t="shared" ref="N122:O122" si="153">SUM(N123:N127)</f>
        <v>-476</v>
      </c>
      <c r="O122" s="55">
        <f t="shared" si="153"/>
        <v>62</v>
      </c>
      <c r="P122" s="57"/>
    </row>
    <row r="123" spans="1:16" ht="12" hidden="1" customHeight="1" x14ac:dyDescent="0.25">
      <c r="A123" s="51">
        <v>2272</v>
      </c>
      <c r="B123" s="199" t="s">
        <v>140</v>
      </c>
      <c r="C123" s="89">
        <f t="shared" si="101"/>
        <v>0</v>
      </c>
      <c r="D123" s="194"/>
      <c r="E123" s="195"/>
      <c r="F123" s="55">
        <f t="shared" ref="F123:F127" si="154">D123+E123</f>
        <v>0</v>
      </c>
      <c r="G123" s="53"/>
      <c r="H123" s="54"/>
      <c r="I123" s="55">
        <f t="shared" ref="I123:I127" si="155">G123+H123</f>
        <v>0</v>
      </c>
      <c r="J123" s="53"/>
      <c r="K123" s="54"/>
      <c r="L123" s="55">
        <f t="shared" ref="L123:L127" si="156">K123+J123</f>
        <v>0</v>
      </c>
      <c r="M123" s="53"/>
      <c r="N123" s="54"/>
      <c r="O123" s="55">
        <f t="shared" ref="O123:O127" si="157">N123+M123</f>
        <v>0</v>
      </c>
      <c r="P123" s="57"/>
    </row>
    <row r="124" spans="1:16" ht="24" hidden="1" customHeight="1" x14ac:dyDescent="0.25">
      <c r="A124" s="51">
        <v>2274</v>
      </c>
      <c r="B124" s="200" t="s">
        <v>141</v>
      </c>
      <c r="C124" s="89">
        <f t="shared" si="101"/>
        <v>0</v>
      </c>
      <c r="D124" s="194"/>
      <c r="E124" s="195"/>
      <c r="F124" s="55">
        <f t="shared" si="154"/>
        <v>0</v>
      </c>
      <c r="G124" s="53"/>
      <c r="H124" s="54"/>
      <c r="I124" s="55">
        <f t="shared" si="155"/>
        <v>0</v>
      </c>
      <c r="J124" s="53"/>
      <c r="K124" s="54"/>
      <c r="L124" s="55">
        <f t="shared" si="156"/>
        <v>0</v>
      </c>
      <c r="M124" s="53"/>
      <c r="N124" s="54"/>
      <c r="O124" s="55">
        <f t="shared" si="157"/>
        <v>0</v>
      </c>
      <c r="P124" s="57"/>
    </row>
    <row r="125" spans="1:16" ht="42.75" hidden="1" customHeight="1" x14ac:dyDescent="0.25">
      <c r="A125" s="51">
        <v>2275</v>
      </c>
      <c r="B125" s="88" t="s">
        <v>142</v>
      </c>
      <c r="C125" s="89">
        <f t="shared" si="101"/>
        <v>0</v>
      </c>
      <c r="D125" s="194"/>
      <c r="E125" s="195"/>
      <c r="F125" s="55">
        <f t="shared" si="154"/>
        <v>0</v>
      </c>
      <c r="G125" s="53"/>
      <c r="H125" s="54"/>
      <c r="I125" s="55">
        <f t="shared" si="155"/>
        <v>0</v>
      </c>
      <c r="J125" s="53"/>
      <c r="K125" s="54"/>
      <c r="L125" s="55">
        <f t="shared" si="156"/>
        <v>0</v>
      </c>
      <c r="M125" s="53">
        <v>538</v>
      </c>
      <c r="N125" s="54">
        <v>-538</v>
      </c>
      <c r="O125" s="55">
        <f t="shared" si="157"/>
        <v>0</v>
      </c>
      <c r="P125" s="57" t="s">
        <v>724</v>
      </c>
    </row>
    <row r="126" spans="1:16" ht="36" hidden="1" customHeight="1" x14ac:dyDescent="0.25">
      <c r="A126" s="51">
        <v>2276</v>
      </c>
      <c r="B126" s="88" t="s">
        <v>143</v>
      </c>
      <c r="C126" s="89">
        <f t="shared" si="101"/>
        <v>0</v>
      </c>
      <c r="D126" s="194"/>
      <c r="E126" s="195"/>
      <c r="F126" s="55">
        <f t="shared" si="154"/>
        <v>0</v>
      </c>
      <c r="G126" s="53"/>
      <c r="H126" s="54"/>
      <c r="I126" s="55">
        <f t="shared" si="155"/>
        <v>0</v>
      </c>
      <c r="J126" s="53"/>
      <c r="K126" s="54"/>
      <c r="L126" s="55">
        <f t="shared" si="156"/>
        <v>0</v>
      </c>
      <c r="M126" s="53"/>
      <c r="N126" s="54"/>
      <c r="O126" s="55">
        <f t="shared" si="157"/>
        <v>0</v>
      </c>
      <c r="P126" s="57"/>
    </row>
    <row r="127" spans="1:16" ht="24.75" customHeight="1" x14ac:dyDescent="0.25">
      <c r="A127" s="51">
        <v>2279</v>
      </c>
      <c r="B127" s="88" t="s">
        <v>144</v>
      </c>
      <c r="C127" s="89">
        <f t="shared" si="101"/>
        <v>1708</v>
      </c>
      <c r="D127" s="194">
        <v>1035</v>
      </c>
      <c r="E127" s="195">
        <v>611</v>
      </c>
      <c r="F127" s="55">
        <f t="shared" si="154"/>
        <v>1646</v>
      </c>
      <c r="G127" s="53"/>
      <c r="H127" s="54"/>
      <c r="I127" s="55">
        <f t="shared" si="155"/>
        <v>0</v>
      </c>
      <c r="J127" s="53"/>
      <c r="K127" s="54"/>
      <c r="L127" s="55">
        <f t="shared" si="156"/>
        <v>0</v>
      </c>
      <c r="M127" s="53">
        <v>0</v>
      </c>
      <c r="N127" s="54">
        <v>62</v>
      </c>
      <c r="O127" s="55">
        <f t="shared" si="157"/>
        <v>62</v>
      </c>
      <c r="P127" s="57" t="s">
        <v>725</v>
      </c>
    </row>
    <row r="128" spans="1:16" ht="48" hidden="1" x14ac:dyDescent="0.25">
      <c r="A128" s="278">
        <v>2280</v>
      </c>
      <c r="B128" s="81" t="s">
        <v>145</v>
      </c>
      <c r="C128" s="82">
        <f t="shared" si="101"/>
        <v>0</v>
      </c>
      <c r="D128" s="192">
        <f t="shared" ref="D128:O128" si="158">SUM(D129)</f>
        <v>0</v>
      </c>
      <c r="E128" s="193">
        <f t="shared" si="158"/>
        <v>0</v>
      </c>
      <c r="F128" s="133">
        <f t="shared" si="158"/>
        <v>0</v>
      </c>
      <c r="G128" s="192">
        <f t="shared" si="158"/>
        <v>0</v>
      </c>
      <c r="H128" s="193">
        <f t="shared" si="158"/>
        <v>0</v>
      </c>
      <c r="I128" s="133">
        <f t="shared" si="158"/>
        <v>0</v>
      </c>
      <c r="J128" s="192">
        <f t="shared" si="158"/>
        <v>0</v>
      </c>
      <c r="K128" s="193">
        <f t="shared" si="158"/>
        <v>0</v>
      </c>
      <c r="L128" s="133">
        <f t="shared" si="158"/>
        <v>0</v>
      </c>
      <c r="M128" s="192">
        <f t="shared" si="158"/>
        <v>0</v>
      </c>
      <c r="N128" s="193">
        <f t="shared" si="158"/>
        <v>0</v>
      </c>
      <c r="O128" s="133">
        <f t="shared" si="158"/>
        <v>0</v>
      </c>
      <c r="P128" s="49"/>
    </row>
    <row r="129" spans="1:16" ht="24" hidden="1" customHeight="1" x14ac:dyDescent="0.25">
      <c r="A129" s="51">
        <v>2283</v>
      </c>
      <c r="B129" s="88" t="s">
        <v>146</v>
      </c>
      <c r="C129" s="89">
        <f t="shared" si="101"/>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1"/>
        <v>64082</v>
      </c>
      <c r="D130" s="183">
        <f>SUM(D131,D136,D140,D141,D144,D151,D159,D160,D163)</f>
        <v>61956</v>
      </c>
      <c r="E130" s="184">
        <f t="shared" ref="E130:F130" si="159">SUM(E131,E136,E140,E141,E144,E151,E159,E160,E163)</f>
        <v>150</v>
      </c>
      <c r="F130" s="72">
        <f t="shared" si="159"/>
        <v>62106</v>
      </c>
      <c r="G130" s="183">
        <f>SUM(G131,G136,G140,G141,G144,G151,G159,G160,G163)</f>
        <v>0</v>
      </c>
      <c r="H130" s="184">
        <f t="shared" ref="H130:I130" si="160">SUM(H131,H136,H140,H141,H144,H151,H159,H160,H163)</f>
        <v>0</v>
      </c>
      <c r="I130" s="72">
        <f t="shared" si="160"/>
        <v>0</v>
      </c>
      <c r="J130" s="183">
        <f>SUM(J131,J136,J140,J141,J144,J151,J159,J160,J163)</f>
        <v>1500</v>
      </c>
      <c r="K130" s="184">
        <f t="shared" ref="K130:L130" si="161">SUM(K131,K136,K140,K141,K144,K151,K159,K160,K163)</f>
        <v>0</v>
      </c>
      <c r="L130" s="72">
        <f t="shared" si="161"/>
        <v>1500</v>
      </c>
      <c r="M130" s="183">
        <f>SUM(M131,M136,M140,M141,M144,M151,M159,M160,M163)</f>
        <v>0</v>
      </c>
      <c r="N130" s="184">
        <f t="shared" ref="N130:O130" si="162">SUM(N131,N136,N140,N141,N144,N151,N159,N160,N163)</f>
        <v>476</v>
      </c>
      <c r="O130" s="72">
        <f t="shared" si="162"/>
        <v>476</v>
      </c>
      <c r="P130" s="76"/>
    </row>
    <row r="131" spans="1:16" ht="24" x14ac:dyDescent="0.25">
      <c r="A131" s="278">
        <v>2310</v>
      </c>
      <c r="B131" s="81" t="s">
        <v>148</v>
      </c>
      <c r="C131" s="82">
        <f t="shared" si="101"/>
        <v>2409</v>
      </c>
      <c r="D131" s="192">
        <f t="shared" ref="D131:O131" si="163">SUM(D132:D135)</f>
        <v>1933</v>
      </c>
      <c r="E131" s="193">
        <f t="shared" si="163"/>
        <v>0</v>
      </c>
      <c r="F131" s="133">
        <f t="shared" si="163"/>
        <v>1933</v>
      </c>
      <c r="G131" s="192">
        <f t="shared" si="163"/>
        <v>0</v>
      </c>
      <c r="H131" s="193">
        <f t="shared" si="163"/>
        <v>0</v>
      </c>
      <c r="I131" s="133">
        <f t="shared" si="163"/>
        <v>0</v>
      </c>
      <c r="J131" s="192">
        <f t="shared" si="163"/>
        <v>0</v>
      </c>
      <c r="K131" s="193">
        <f t="shared" si="163"/>
        <v>0</v>
      </c>
      <c r="L131" s="133">
        <f t="shared" si="163"/>
        <v>0</v>
      </c>
      <c r="M131" s="192">
        <f t="shared" si="163"/>
        <v>0</v>
      </c>
      <c r="N131" s="193">
        <f t="shared" si="163"/>
        <v>476</v>
      </c>
      <c r="O131" s="133">
        <f t="shared" si="163"/>
        <v>476</v>
      </c>
      <c r="P131" s="49"/>
    </row>
    <row r="132" spans="1:16" ht="12" customHeight="1" x14ac:dyDescent="0.25">
      <c r="A132" s="51">
        <v>2311</v>
      </c>
      <c r="B132" s="88" t="s">
        <v>149</v>
      </c>
      <c r="C132" s="89">
        <f t="shared" si="101"/>
        <v>628</v>
      </c>
      <c r="D132" s="194">
        <v>628</v>
      </c>
      <c r="E132" s="195"/>
      <c r="F132" s="55">
        <f t="shared" ref="F132:F135" si="164">D132+E132</f>
        <v>628</v>
      </c>
      <c r="G132" s="53"/>
      <c r="H132" s="54"/>
      <c r="I132" s="55">
        <f t="shared" ref="I132:I135" si="165">G132+H132</f>
        <v>0</v>
      </c>
      <c r="J132" s="53"/>
      <c r="K132" s="54"/>
      <c r="L132" s="55">
        <f t="shared" ref="L132:L135" si="166">K132+J132</f>
        <v>0</v>
      </c>
      <c r="M132" s="53"/>
      <c r="N132" s="54"/>
      <c r="O132" s="55">
        <f t="shared" ref="O132:O135" si="167">N132+M132</f>
        <v>0</v>
      </c>
      <c r="P132" s="57"/>
    </row>
    <row r="133" spans="1:16" ht="15" customHeight="1" x14ac:dyDescent="0.25">
      <c r="A133" s="51">
        <v>2312</v>
      </c>
      <c r="B133" s="88" t="s">
        <v>150</v>
      </c>
      <c r="C133" s="89">
        <f t="shared" si="101"/>
        <v>1296</v>
      </c>
      <c r="D133" s="194">
        <v>820</v>
      </c>
      <c r="E133" s="195"/>
      <c r="F133" s="55">
        <f t="shared" si="164"/>
        <v>820</v>
      </c>
      <c r="G133" s="53"/>
      <c r="H133" s="54"/>
      <c r="I133" s="55">
        <f t="shared" si="165"/>
        <v>0</v>
      </c>
      <c r="J133" s="53"/>
      <c r="K133" s="54"/>
      <c r="L133" s="55">
        <f t="shared" si="166"/>
        <v>0</v>
      </c>
      <c r="M133" s="53"/>
      <c r="N133" s="54">
        <v>476</v>
      </c>
      <c r="O133" s="55">
        <f t="shared" si="167"/>
        <v>476</v>
      </c>
      <c r="P133" s="57" t="s">
        <v>726</v>
      </c>
    </row>
    <row r="134" spans="1:16" ht="12" hidden="1" customHeight="1" x14ac:dyDescent="0.25">
      <c r="A134" s="51">
        <v>2313</v>
      </c>
      <c r="B134" s="88" t="s">
        <v>151</v>
      </c>
      <c r="C134" s="89">
        <f t="shared" si="101"/>
        <v>0</v>
      </c>
      <c r="D134" s="194"/>
      <c r="E134" s="195"/>
      <c r="F134" s="55">
        <f t="shared" si="164"/>
        <v>0</v>
      </c>
      <c r="G134" s="53"/>
      <c r="H134" s="54"/>
      <c r="I134" s="55">
        <f t="shared" si="165"/>
        <v>0</v>
      </c>
      <c r="J134" s="53"/>
      <c r="K134" s="54"/>
      <c r="L134" s="55">
        <f t="shared" si="166"/>
        <v>0</v>
      </c>
      <c r="M134" s="53"/>
      <c r="N134" s="54"/>
      <c r="O134" s="55">
        <f t="shared" si="167"/>
        <v>0</v>
      </c>
      <c r="P134" s="57"/>
    </row>
    <row r="135" spans="1:16" ht="36" customHeight="1" x14ac:dyDescent="0.25">
      <c r="A135" s="51">
        <v>2314</v>
      </c>
      <c r="B135" s="88" t="s">
        <v>152</v>
      </c>
      <c r="C135" s="89">
        <f t="shared" si="101"/>
        <v>485</v>
      </c>
      <c r="D135" s="194">
        <v>485</v>
      </c>
      <c r="E135" s="195"/>
      <c r="F135" s="55">
        <f t="shared" si="164"/>
        <v>485</v>
      </c>
      <c r="G135" s="53"/>
      <c r="H135" s="54"/>
      <c r="I135" s="55">
        <f t="shared" si="165"/>
        <v>0</v>
      </c>
      <c r="J135" s="53"/>
      <c r="K135" s="54"/>
      <c r="L135" s="55">
        <f t="shared" si="166"/>
        <v>0</v>
      </c>
      <c r="M135" s="53"/>
      <c r="N135" s="54"/>
      <c r="O135" s="55">
        <f t="shared" si="167"/>
        <v>0</v>
      </c>
      <c r="P135" s="57"/>
    </row>
    <row r="136" spans="1:16" x14ac:dyDescent="0.25">
      <c r="A136" s="188">
        <v>2320</v>
      </c>
      <c r="B136" s="88" t="s">
        <v>153</v>
      </c>
      <c r="C136" s="89">
        <f t="shared" si="101"/>
        <v>15204</v>
      </c>
      <c r="D136" s="189">
        <f>SUM(D137:D139)</f>
        <v>14904</v>
      </c>
      <c r="E136" s="190">
        <f t="shared" ref="E136:F136" si="168">SUM(E137:E139)</f>
        <v>0</v>
      </c>
      <c r="F136" s="55">
        <f t="shared" si="168"/>
        <v>14904</v>
      </c>
      <c r="G136" s="189">
        <f>SUM(G137:G139)</f>
        <v>0</v>
      </c>
      <c r="H136" s="190">
        <f t="shared" ref="H136:I136" si="169">SUM(H137:H139)</f>
        <v>0</v>
      </c>
      <c r="I136" s="55">
        <f t="shared" si="169"/>
        <v>0</v>
      </c>
      <c r="J136" s="189">
        <f>SUM(J137:J139)</f>
        <v>300</v>
      </c>
      <c r="K136" s="190">
        <f t="shared" ref="K136:L136" si="170">SUM(K137:K139)</f>
        <v>0</v>
      </c>
      <c r="L136" s="55">
        <f t="shared" si="170"/>
        <v>300</v>
      </c>
      <c r="M136" s="189">
        <f>SUM(M137:M139)</f>
        <v>0</v>
      </c>
      <c r="N136" s="190">
        <f t="shared" ref="N136:O136" si="171">SUM(N137:N139)</f>
        <v>0</v>
      </c>
      <c r="O136" s="55">
        <f t="shared" si="171"/>
        <v>0</v>
      </c>
      <c r="P136" s="57"/>
    </row>
    <row r="137" spans="1:16" ht="12" customHeight="1" x14ac:dyDescent="0.25">
      <c r="A137" s="51">
        <v>2321</v>
      </c>
      <c r="B137" s="88" t="s">
        <v>154</v>
      </c>
      <c r="C137" s="89">
        <f t="shared" si="101"/>
        <v>12313</v>
      </c>
      <c r="D137" s="194">
        <v>12313</v>
      </c>
      <c r="E137" s="195"/>
      <c r="F137" s="55">
        <f t="shared" ref="F137:F140" si="172">D137+E137</f>
        <v>12313</v>
      </c>
      <c r="G137" s="53"/>
      <c r="H137" s="54"/>
      <c r="I137" s="55">
        <f t="shared" ref="I137:I140" si="173">G137+H137</f>
        <v>0</v>
      </c>
      <c r="J137" s="53"/>
      <c r="K137" s="54"/>
      <c r="L137" s="55">
        <f t="shared" ref="L137:L140" si="174">K137+J137</f>
        <v>0</v>
      </c>
      <c r="M137" s="53"/>
      <c r="N137" s="54"/>
      <c r="O137" s="55">
        <f t="shared" ref="O137:O140" si="175">N137+M137</f>
        <v>0</v>
      </c>
      <c r="P137" s="57"/>
    </row>
    <row r="138" spans="1:16" ht="15" customHeight="1" x14ac:dyDescent="0.25">
      <c r="A138" s="51">
        <v>2322</v>
      </c>
      <c r="B138" s="88" t="s">
        <v>155</v>
      </c>
      <c r="C138" s="89">
        <f t="shared" si="101"/>
        <v>2891</v>
      </c>
      <c r="D138" s="194">
        <v>2591</v>
      </c>
      <c r="E138" s="195"/>
      <c r="F138" s="55">
        <f t="shared" si="172"/>
        <v>2591</v>
      </c>
      <c r="G138" s="53"/>
      <c r="H138" s="54"/>
      <c r="I138" s="55">
        <f t="shared" si="173"/>
        <v>0</v>
      </c>
      <c r="J138" s="53">
        <v>300</v>
      </c>
      <c r="K138" s="54"/>
      <c r="L138" s="55">
        <f t="shared" si="174"/>
        <v>300</v>
      </c>
      <c r="M138" s="53"/>
      <c r="N138" s="54"/>
      <c r="O138" s="55">
        <f t="shared" si="175"/>
        <v>0</v>
      </c>
      <c r="P138" s="57"/>
    </row>
    <row r="139" spans="1:16" ht="10.5" hidden="1" customHeight="1" x14ac:dyDescent="0.25">
      <c r="A139" s="51">
        <v>2329</v>
      </c>
      <c r="B139" s="88" t="s">
        <v>156</v>
      </c>
      <c r="C139" s="89">
        <f t="shared" si="101"/>
        <v>0</v>
      </c>
      <c r="D139" s="194"/>
      <c r="E139" s="195"/>
      <c r="F139" s="55">
        <f t="shared" si="172"/>
        <v>0</v>
      </c>
      <c r="G139" s="53"/>
      <c r="H139" s="54"/>
      <c r="I139" s="55">
        <f t="shared" si="173"/>
        <v>0</v>
      </c>
      <c r="J139" s="53"/>
      <c r="K139" s="54"/>
      <c r="L139" s="55">
        <f t="shared" si="174"/>
        <v>0</v>
      </c>
      <c r="M139" s="53"/>
      <c r="N139" s="54"/>
      <c r="O139" s="55">
        <f t="shared" si="175"/>
        <v>0</v>
      </c>
      <c r="P139" s="57"/>
    </row>
    <row r="140" spans="1:16" ht="12" hidden="1" customHeight="1" x14ac:dyDescent="0.25">
      <c r="A140" s="188">
        <v>2330</v>
      </c>
      <c r="B140" s="88" t="s">
        <v>157</v>
      </c>
      <c r="C140" s="89">
        <f t="shared" si="101"/>
        <v>0</v>
      </c>
      <c r="D140" s="194"/>
      <c r="E140" s="195"/>
      <c r="F140" s="55">
        <f t="shared" si="172"/>
        <v>0</v>
      </c>
      <c r="G140" s="53"/>
      <c r="H140" s="54"/>
      <c r="I140" s="55">
        <f t="shared" si="173"/>
        <v>0</v>
      </c>
      <c r="J140" s="53"/>
      <c r="K140" s="54"/>
      <c r="L140" s="55">
        <f t="shared" si="174"/>
        <v>0</v>
      </c>
      <c r="M140" s="53"/>
      <c r="N140" s="54"/>
      <c r="O140" s="55">
        <f t="shared" si="175"/>
        <v>0</v>
      </c>
      <c r="P140" s="57"/>
    </row>
    <row r="141" spans="1:16" ht="48" x14ac:dyDescent="0.25">
      <c r="A141" s="188">
        <v>2340</v>
      </c>
      <c r="B141" s="88" t="s">
        <v>158</v>
      </c>
      <c r="C141" s="89">
        <f t="shared" si="101"/>
        <v>1100</v>
      </c>
      <c r="D141" s="189">
        <f>SUM(D142:D143)</f>
        <v>1100</v>
      </c>
      <c r="E141" s="190">
        <f t="shared" ref="E141:F141" si="176">SUM(E142:E143)</f>
        <v>0</v>
      </c>
      <c r="F141" s="55">
        <f t="shared" si="176"/>
        <v>1100</v>
      </c>
      <c r="G141" s="189">
        <f>SUM(G142:G143)</f>
        <v>0</v>
      </c>
      <c r="H141" s="190">
        <f t="shared" ref="H141:I141" si="177">SUM(H142:H143)</f>
        <v>0</v>
      </c>
      <c r="I141" s="55">
        <f t="shared" si="177"/>
        <v>0</v>
      </c>
      <c r="J141" s="189">
        <f>SUM(J142:J143)</f>
        <v>0</v>
      </c>
      <c r="K141" s="190">
        <f t="shared" ref="K141:L141" si="178">SUM(K142:K143)</f>
        <v>0</v>
      </c>
      <c r="L141" s="55">
        <f t="shared" si="178"/>
        <v>0</v>
      </c>
      <c r="M141" s="189">
        <f>SUM(M142:M143)</f>
        <v>0</v>
      </c>
      <c r="N141" s="190">
        <f t="shared" ref="N141:O141" si="179">SUM(N142:N143)</f>
        <v>0</v>
      </c>
      <c r="O141" s="55">
        <f t="shared" si="179"/>
        <v>0</v>
      </c>
      <c r="P141" s="57"/>
    </row>
    <row r="142" spans="1:16" ht="12" customHeight="1" x14ac:dyDescent="0.25">
      <c r="A142" s="51">
        <v>2341</v>
      </c>
      <c r="B142" s="88" t="s">
        <v>159</v>
      </c>
      <c r="C142" s="89">
        <f t="shared" si="101"/>
        <v>1100</v>
      </c>
      <c r="D142" s="194">
        <v>1100</v>
      </c>
      <c r="E142" s="195"/>
      <c r="F142" s="55">
        <f t="shared" ref="F142:F143" si="180">D142+E142</f>
        <v>1100</v>
      </c>
      <c r="G142" s="53"/>
      <c r="H142" s="54"/>
      <c r="I142" s="55">
        <f t="shared" ref="I142:I143" si="181">G142+H142</f>
        <v>0</v>
      </c>
      <c r="J142" s="53"/>
      <c r="K142" s="54"/>
      <c r="L142" s="55">
        <f t="shared" ref="L142:L143" si="182">K142+J142</f>
        <v>0</v>
      </c>
      <c r="M142" s="53"/>
      <c r="N142" s="54"/>
      <c r="O142" s="55">
        <f t="shared" ref="O142:O143" si="183">N142+M142</f>
        <v>0</v>
      </c>
      <c r="P142" s="57"/>
    </row>
    <row r="143" spans="1:16" ht="24" hidden="1" customHeight="1" x14ac:dyDescent="0.25">
      <c r="A143" s="51">
        <v>2344</v>
      </c>
      <c r="B143" s="88" t="s">
        <v>160</v>
      </c>
      <c r="C143" s="89">
        <f t="shared" si="101"/>
        <v>0</v>
      </c>
      <c r="D143" s="194"/>
      <c r="E143" s="195"/>
      <c r="F143" s="55">
        <f t="shared" si="180"/>
        <v>0</v>
      </c>
      <c r="G143" s="53"/>
      <c r="H143" s="54"/>
      <c r="I143" s="55">
        <f t="shared" si="181"/>
        <v>0</v>
      </c>
      <c r="J143" s="53"/>
      <c r="K143" s="54"/>
      <c r="L143" s="55">
        <f t="shared" si="182"/>
        <v>0</v>
      </c>
      <c r="M143" s="53"/>
      <c r="N143" s="54"/>
      <c r="O143" s="55">
        <f t="shared" si="183"/>
        <v>0</v>
      </c>
      <c r="P143" s="57"/>
    </row>
    <row r="144" spans="1:16" ht="24" x14ac:dyDescent="0.25">
      <c r="A144" s="185">
        <v>2350</v>
      </c>
      <c r="B144" s="137" t="s">
        <v>161</v>
      </c>
      <c r="C144" s="142">
        <f t="shared" si="101"/>
        <v>2144</v>
      </c>
      <c r="D144" s="186">
        <f>SUM(D145:D150)</f>
        <v>1744</v>
      </c>
      <c r="E144" s="187">
        <f t="shared" ref="E144:F144" si="184">SUM(E145:E150)</f>
        <v>400</v>
      </c>
      <c r="F144" s="140">
        <f t="shared" si="184"/>
        <v>2144</v>
      </c>
      <c r="G144" s="186">
        <f>SUM(G145:G150)</f>
        <v>0</v>
      </c>
      <c r="H144" s="187">
        <f t="shared" ref="H144:I144" si="185">SUM(H145:H150)</f>
        <v>0</v>
      </c>
      <c r="I144" s="140">
        <f t="shared" si="185"/>
        <v>0</v>
      </c>
      <c r="J144" s="186">
        <f>SUM(J145:J150)</f>
        <v>0</v>
      </c>
      <c r="K144" s="187">
        <f t="shared" ref="K144:L144" si="186">SUM(K145:K150)</f>
        <v>0</v>
      </c>
      <c r="L144" s="140">
        <f t="shared" si="186"/>
        <v>0</v>
      </c>
      <c r="M144" s="186">
        <f>SUM(M145:M150)</f>
        <v>0</v>
      </c>
      <c r="N144" s="187">
        <f t="shared" ref="N144:O144" si="187">SUM(N145:N150)</f>
        <v>0</v>
      </c>
      <c r="O144" s="140">
        <f t="shared" si="187"/>
        <v>0</v>
      </c>
      <c r="P144" s="128"/>
    </row>
    <row r="145" spans="1:16" ht="14.25" customHeight="1" x14ac:dyDescent="0.25">
      <c r="A145" s="44">
        <v>2351</v>
      </c>
      <c r="B145" s="81" t="s">
        <v>162</v>
      </c>
      <c r="C145" s="82">
        <f t="shared" si="101"/>
        <v>200</v>
      </c>
      <c r="D145" s="196">
        <v>300</v>
      </c>
      <c r="E145" s="197">
        <v>-100</v>
      </c>
      <c r="F145" s="133">
        <f t="shared" ref="F145:F150" si="188">D145+E145</f>
        <v>200</v>
      </c>
      <c r="G145" s="46"/>
      <c r="H145" s="47"/>
      <c r="I145" s="133">
        <f t="shared" ref="I145:I150" si="189">G145+H145</f>
        <v>0</v>
      </c>
      <c r="J145" s="46"/>
      <c r="K145" s="47"/>
      <c r="L145" s="133">
        <f t="shared" ref="L145:L150" si="190">K145+J145</f>
        <v>0</v>
      </c>
      <c r="M145" s="46"/>
      <c r="N145" s="47"/>
      <c r="O145" s="133">
        <f t="shared" ref="O145:O150" si="191">N145+M145</f>
        <v>0</v>
      </c>
      <c r="P145" s="49" t="s">
        <v>727</v>
      </c>
    </row>
    <row r="146" spans="1:16" ht="15" customHeight="1" x14ac:dyDescent="0.25">
      <c r="A146" s="51">
        <v>2352</v>
      </c>
      <c r="B146" s="88" t="s">
        <v>163</v>
      </c>
      <c r="C146" s="89">
        <f t="shared" si="101"/>
        <v>1944</v>
      </c>
      <c r="D146" s="194">
        <v>1444</v>
      </c>
      <c r="E146" s="195">
        <v>500</v>
      </c>
      <c r="F146" s="55">
        <f t="shared" si="188"/>
        <v>1944</v>
      </c>
      <c r="G146" s="53"/>
      <c r="H146" s="54"/>
      <c r="I146" s="55">
        <f t="shared" si="189"/>
        <v>0</v>
      </c>
      <c r="J146" s="53"/>
      <c r="K146" s="54"/>
      <c r="L146" s="55">
        <f t="shared" si="190"/>
        <v>0</v>
      </c>
      <c r="M146" s="53"/>
      <c r="N146" s="54"/>
      <c r="O146" s="55">
        <f t="shared" si="191"/>
        <v>0</v>
      </c>
      <c r="P146" s="57" t="s">
        <v>728</v>
      </c>
    </row>
    <row r="147" spans="1:16" ht="24" hidden="1" customHeight="1" x14ac:dyDescent="0.25">
      <c r="A147" s="51">
        <v>2353</v>
      </c>
      <c r="B147" s="88" t="s">
        <v>164</v>
      </c>
      <c r="C147" s="89">
        <f t="shared" si="101"/>
        <v>0</v>
      </c>
      <c r="D147" s="194"/>
      <c r="E147" s="195"/>
      <c r="F147" s="55">
        <f t="shared" si="188"/>
        <v>0</v>
      </c>
      <c r="G147" s="53"/>
      <c r="H147" s="54"/>
      <c r="I147" s="55">
        <f t="shared" si="189"/>
        <v>0</v>
      </c>
      <c r="J147" s="53"/>
      <c r="K147" s="54"/>
      <c r="L147" s="55">
        <f t="shared" si="190"/>
        <v>0</v>
      </c>
      <c r="M147" s="53"/>
      <c r="N147" s="54"/>
      <c r="O147" s="55">
        <f t="shared" si="191"/>
        <v>0</v>
      </c>
      <c r="P147" s="57"/>
    </row>
    <row r="148" spans="1:16" ht="24" hidden="1" customHeight="1" x14ac:dyDescent="0.25">
      <c r="A148" s="51">
        <v>2354</v>
      </c>
      <c r="B148" s="88" t="s">
        <v>165</v>
      </c>
      <c r="C148" s="89">
        <f t="shared" ref="C148:C211" si="192">F148+I148+L148+O148</f>
        <v>0</v>
      </c>
      <c r="D148" s="194"/>
      <c r="E148" s="195"/>
      <c r="F148" s="55">
        <f t="shared" si="188"/>
        <v>0</v>
      </c>
      <c r="G148" s="53"/>
      <c r="H148" s="54"/>
      <c r="I148" s="55">
        <f t="shared" si="189"/>
        <v>0</v>
      </c>
      <c r="J148" s="53"/>
      <c r="K148" s="54"/>
      <c r="L148" s="55">
        <f t="shared" si="190"/>
        <v>0</v>
      </c>
      <c r="M148" s="53"/>
      <c r="N148" s="54"/>
      <c r="O148" s="55">
        <f t="shared" si="191"/>
        <v>0</v>
      </c>
      <c r="P148" s="57"/>
    </row>
    <row r="149" spans="1:16" ht="24" hidden="1" customHeight="1" x14ac:dyDescent="0.25">
      <c r="A149" s="51">
        <v>2355</v>
      </c>
      <c r="B149" s="88" t="s">
        <v>166</v>
      </c>
      <c r="C149" s="89">
        <f t="shared" si="192"/>
        <v>0</v>
      </c>
      <c r="D149" s="194"/>
      <c r="E149" s="195"/>
      <c r="F149" s="55">
        <f t="shared" si="188"/>
        <v>0</v>
      </c>
      <c r="G149" s="53"/>
      <c r="H149" s="54"/>
      <c r="I149" s="55">
        <f t="shared" si="189"/>
        <v>0</v>
      </c>
      <c r="J149" s="53"/>
      <c r="K149" s="54"/>
      <c r="L149" s="55">
        <f t="shared" si="190"/>
        <v>0</v>
      </c>
      <c r="M149" s="53"/>
      <c r="N149" s="54"/>
      <c r="O149" s="55">
        <f t="shared" si="191"/>
        <v>0</v>
      </c>
      <c r="P149" s="57"/>
    </row>
    <row r="150" spans="1:16" ht="24" hidden="1" customHeight="1" x14ac:dyDescent="0.25">
      <c r="A150" s="51">
        <v>2359</v>
      </c>
      <c r="B150" s="88" t="s">
        <v>167</v>
      </c>
      <c r="C150" s="89">
        <f t="shared" si="192"/>
        <v>0</v>
      </c>
      <c r="D150" s="194"/>
      <c r="E150" s="195"/>
      <c r="F150" s="55">
        <f t="shared" si="188"/>
        <v>0</v>
      </c>
      <c r="G150" s="53"/>
      <c r="H150" s="54"/>
      <c r="I150" s="55">
        <f t="shared" si="189"/>
        <v>0</v>
      </c>
      <c r="J150" s="53"/>
      <c r="K150" s="54"/>
      <c r="L150" s="55">
        <f t="shared" si="190"/>
        <v>0</v>
      </c>
      <c r="M150" s="53"/>
      <c r="N150" s="54"/>
      <c r="O150" s="55">
        <f t="shared" si="191"/>
        <v>0</v>
      </c>
      <c r="P150" s="57"/>
    </row>
    <row r="151" spans="1:16" ht="24.75" customHeight="1" x14ac:dyDescent="0.25">
      <c r="A151" s="188">
        <v>2360</v>
      </c>
      <c r="B151" s="88" t="s">
        <v>168</v>
      </c>
      <c r="C151" s="89">
        <f t="shared" si="192"/>
        <v>41756</v>
      </c>
      <c r="D151" s="189">
        <f>SUM(D152:D158)</f>
        <v>40806</v>
      </c>
      <c r="E151" s="190">
        <f t="shared" ref="E151:F151" si="193">SUM(E152:E158)</f>
        <v>-250</v>
      </c>
      <c r="F151" s="55">
        <f t="shared" si="193"/>
        <v>40556</v>
      </c>
      <c r="G151" s="189">
        <f>SUM(G152:G158)</f>
        <v>0</v>
      </c>
      <c r="H151" s="190">
        <f t="shared" ref="H151:I151" si="194">SUM(H152:H158)</f>
        <v>0</v>
      </c>
      <c r="I151" s="55">
        <f t="shared" si="194"/>
        <v>0</v>
      </c>
      <c r="J151" s="189">
        <f>SUM(J152:J158)</f>
        <v>1200</v>
      </c>
      <c r="K151" s="190">
        <f t="shared" ref="K151:L151" si="195">SUM(K152:K158)</f>
        <v>0</v>
      </c>
      <c r="L151" s="55">
        <f t="shared" si="195"/>
        <v>1200</v>
      </c>
      <c r="M151" s="189">
        <f>SUM(M152:M158)</f>
        <v>0</v>
      </c>
      <c r="N151" s="190">
        <f t="shared" ref="N151:O151" si="196">SUM(N152:N158)</f>
        <v>0</v>
      </c>
      <c r="O151" s="55">
        <f t="shared" si="196"/>
        <v>0</v>
      </c>
      <c r="P151" s="57"/>
    </row>
    <row r="152" spans="1:16" ht="12" customHeight="1" x14ac:dyDescent="0.25">
      <c r="A152" s="50">
        <v>2361</v>
      </c>
      <c r="B152" s="88" t="s">
        <v>169</v>
      </c>
      <c r="C152" s="89">
        <f t="shared" si="192"/>
        <v>4850</v>
      </c>
      <c r="D152" s="194">
        <v>4850</v>
      </c>
      <c r="E152" s="195"/>
      <c r="F152" s="55">
        <f t="shared" ref="F152:F159" si="197">D152+E152</f>
        <v>4850</v>
      </c>
      <c r="G152" s="53"/>
      <c r="H152" s="54"/>
      <c r="I152" s="55">
        <f t="shared" ref="I152:I159" si="198">G152+H152</f>
        <v>0</v>
      </c>
      <c r="J152" s="53"/>
      <c r="K152" s="54"/>
      <c r="L152" s="55">
        <f t="shared" ref="L152:L159" si="199">K152+J152</f>
        <v>0</v>
      </c>
      <c r="M152" s="53"/>
      <c r="N152" s="54"/>
      <c r="O152" s="55">
        <f t="shared" ref="O152:O159" si="200">N152+M152</f>
        <v>0</v>
      </c>
      <c r="P152" s="57"/>
    </row>
    <row r="153" spans="1:16" ht="24" customHeight="1" x14ac:dyDescent="0.25">
      <c r="A153" s="50">
        <v>2362</v>
      </c>
      <c r="B153" s="88" t="s">
        <v>170</v>
      </c>
      <c r="C153" s="89">
        <f t="shared" si="192"/>
        <v>130</v>
      </c>
      <c r="D153" s="194">
        <v>130</v>
      </c>
      <c r="E153" s="195"/>
      <c r="F153" s="55">
        <f t="shared" si="197"/>
        <v>130</v>
      </c>
      <c r="G153" s="53"/>
      <c r="H153" s="54"/>
      <c r="I153" s="55">
        <f t="shared" si="198"/>
        <v>0</v>
      </c>
      <c r="J153" s="53"/>
      <c r="K153" s="54"/>
      <c r="L153" s="55">
        <f t="shared" si="199"/>
        <v>0</v>
      </c>
      <c r="M153" s="53"/>
      <c r="N153" s="54"/>
      <c r="O153" s="55">
        <f t="shared" si="200"/>
        <v>0</v>
      </c>
      <c r="P153" s="57"/>
    </row>
    <row r="154" spans="1:16" ht="12" customHeight="1" x14ac:dyDescent="0.25">
      <c r="A154" s="50">
        <v>2363</v>
      </c>
      <c r="B154" s="88" t="s">
        <v>171</v>
      </c>
      <c r="C154" s="89">
        <f t="shared" si="192"/>
        <v>33277</v>
      </c>
      <c r="D154" s="194">
        <v>32077</v>
      </c>
      <c r="E154" s="195"/>
      <c r="F154" s="55">
        <f t="shared" si="197"/>
        <v>32077</v>
      </c>
      <c r="G154" s="53"/>
      <c r="H154" s="54"/>
      <c r="I154" s="55">
        <f t="shared" si="198"/>
        <v>0</v>
      </c>
      <c r="J154" s="53">
        <v>1200</v>
      </c>
      <c r="K154" s="54"/>
      <c r="L154" s="55">
        <f t="shared" si="199"/>
        <v>1200</v>
      </c>
      <c r="M154" s="53"/>
      <c r="N154" s="54"/>
      <c r="O154" s="55">
        <f t="shared" si="200"/>
        <v>0</v>
      </c>
      <c r="P154" s="57"/>
    </row>
    <row r="155" spans="1:16" ht="12" hidden="1" customHeight="1" x14ac:dyDescent="0.25">
      <c r="A155" s="50">
        <v>2364</v>
      </c>
      <c r="B155" s="88" t="s">
        <v>172</v>
      </c>
      <c r="C155" s="89">
        <f t="shared" si="192"/>
        <v>0</v>
      </c>
      <c r="D155" s="194"/>
      <c r="E155" s="195"/>
      <c r="F155" s="55">
        <f t="shared" si="197"/>
        <v>0</v>
      </c>
      <c r="G155" s="53"/>
      <c r="H155" s="54"/>
      <c r="I155" s="55">
        <f t="shared" si="198"/>
        <v>0</v>
      </c>
      <c r="J155" s="53"/>
      <c r="K155" s="54"/>
      <c r="L155" s="55">
        <f t="shared" si="199"/>
        <v>0</v>
      </c>
      <c r="M155" s="53"/>
      <c r="N155" s="54"/>
      <c r="O155" s="55">
        <f t="shared" si="200"/>
        <v>0</v>
      </c>
      <c r="P155" s="57"/>
    </row>
    <row r="156" spans="1:16" ht="12.75" customHeight="1" x14ac:dyDescent="0.25">
      <c r="A156" s="50">
        <v>2365</v>
      </c>
      <c r="B156" s="88" t="s">
        <v>173</v>
      </c>
      <c r="C156" s="89">
        <f t="shared" si="192"/>
        <v>1824</v>
      </c>
      <c r="D156" s="194">
        <v>1824</v>
      </c>
      <c r="E156" s="195"/>
      <c r="F156" s="55">
        <f t="shared" si="197"/>
        <v>1824</v>
      </c>
      <c r="G156" s="53"/>
      <c r="H156" s="54"/>
      <c r="I156" s="55">
        <f t="shared" si="198"/>
        <v>0</v>
      </c>
      <c r="J156" s="53"/>
      <c r="K156" s="54"/>
      <c r="L156" s="55">
        <f t="shared" si="199"/>
        <v>0</v>
      </c>
      <c r="M156" s="53"/>
      <c r="N156" s="54"/>
      <c r="O156" s="55">
        <f t="shared" si="200"/>
        <v>0</v>
      </c>
      <c r="P156" s="57"/>
    </row>
    <row r="157" spans="1:16" ht="36" hidden="1" customHeight="1" x14ac:dyDescent="0.25">
      <c r="A157" s="50">
        <v>2366</v>
      </c>
      <c r="B157" s="88" t="s">
        <v>174</v>
      </c>
      <c r="C157" s="89">
        <f t="shared" si="192"/>
        <v>0</v>
      </c>
      <c r="D157" s="194"/>
      <c r="E157" s="195"/>
      <c r="F157" s="55">
        <f t="shared" si="197"/>
        <v>0</v>
      </c>
      <c r="G157" s="53"/>
      <c r="H157" s="54"/>
      <c r="I157" s="55">
        <f t="shared" si="198"/>
        <v>0</v>
      </c>
      <c r="J157" s="53"/>
      <c r="K157" s="54"/>
      <c r="L157" s="55">
        <f t="shared" si="199"/>
        <v>0</v>
      </c>
      <c r="M157" s="53"/>
      <c r="N157" s="54"/>
      <c r="O157" s="55">
        <f t="shared" si="200"/>
        <v>0</v>
      </c>
      <c r="P157" s="57"/>
    </row>
    <row r="158" spans="1:16" ht="48" customHeight="1" x14ac:dyDescent="0.25">
      <c r="A158" s="50">
        <v>2369</v>
      </c>
      <c r="B158" s="88" t="s">
        <v>175</v>
      </c>
      <c r="C158" s="89">
        <f t="shared" si="192"/>
        <v>1675</v>
      </c>
      <c r="D158" s="194">
        <v>1925</v>
      </c>
      <c r="E158" s="195">
        <v>-250</v>
      </c>
      <c r="F158" s="55">
        <f t="shared" si="197"/>
        <v>1675</v>
      </c>
      <c r="G158" s="53"/>
      <c r="H158" s="54"/>
      <c r="I158" s="55">
        <f t="shared" si="198"/>
        <v>0</v>
      </c>
      <c r="J158" s="53"/>
      <c r="K158" s="54"/>
      <c r="L158" s="55">
        <f t="shared" si="199"/>
        <v>0</v>
      </c>
      <c r="M158" s="53"/>
      <c r="N158" s="54"/>
      <c r="O158" s="55">
        <f t="shared" si="200"/>
        <v>0</v>
      </c>
      <c r="P158" s="57" t="s">
        <v>729</v>
      </c>
    </row>
    <row r="159" spans="1:16" ht="12" customHeight="1" x14ac:dyDescent="0.25">
      <c r="A159" s="185">
        <v>2370</v>
      </c>
      <c r="B159" s="137" t="s">
        <v>176</v>
      </c>
      <c r="C159" s="142">
        <f t="shared" si="192"/>
        <v>989</v>
      </c>
      <c r="D159" s="202">
        <v>989</v>
      </c>
      <c r="E159" s="203"/>
      <c r="F159" s="140">
        <f t="shared" si="197"/>
        <v>989</v>
      </c>
      <c r="G159" s="143"/>
      <c r="H159" s="144"/>
      <c r="I159" s="140">
        <f t="shared" si="198"/>
        <v>0</v>
      </c>
      <c r="J159" s="143"/>
      <c r="K159" s="144"/>
      <c r="L159" s="140">
        <f t="shared" si="199"/>
        <v>0</v>
      </c>
      <c r="M159" s="143"/>
      <c r="N159" s="144"/>
      <c r="O159" s="140">
        <f t="shared" si="200"/>
        <v>0</v>
      </c>
      <c r="P159" s="128"/>
    </row>
    <row r="160" spans="1:16" x14ac:dyDescent="0.25">
      <c r="A160" s="185">
        <v>2380</v>
      </c>
      <c r="B160" s="137" t="s">
        <v>177</v>
      </c>
      <c r="C160" s="142">
        <f t="shared" si="192"/>
        <v>480</v>
      </c>
      <c r="D160" s="186">
        <f>SUM(D161:D162)</f>
        <v>480</v>
      </c>
      <c r="E160" s="187">
        <f t="shared" ref="E160:F160" si="201">SUM(E161:E162)</f>
        <v>0</v>
      </c>
      <c r="F160" s="140">
        <f t="shared" si="201"/>
        <v>480</v>
      </c>
      <c r="G160" s="186">
        <f>SUM(G161:G162)</f>
        <v>0</v>
      </c>
      <c r="H160" s="187">
        <f t="shared" ref="H160:I160" si="202">SUM(H161:H162)</f>
        <v>0</v>
      </c>
      <c r="I160" s="140">
        <f t="shared" si="202"/>
        <v>0</v>
      </c>
      <c r="J160" s="186">
        <f>SUM(J161:J162)</f>
        <v>0</v>
      </c>
      <c r="K160" s="187">
        <f t="shared" ref="K160:L160" si="203">SUM(K161:K162)</f>
        <v>0</v>
      </c>
      <c r="L160" s="140">
        <f t="shared" si="203"/>
        <v>0</v>
      </c>
      <c r="M160" s="186">
        <f>SUM(M161:M162)</f>
        <v>0</v>
      </c>
      <c r="N160" s="187">
        <f t="shared" ref="N160:O160" si="204">SUM(N161:N162)</f>
        <v>0</v>
      </c>
      <c r="O160" s="140">
        <f t="shared" si="204"/>
        <v>0</v>
      </c>
      <c r="P160" s="128"/>
    </row>
    <row r="161" spans="1:16" ht="12" hidden="1" customHeight="1" x14ac:dyDescent="0.25">
      <c r="A161" s="43">
        <v>2381</v>
      </c>
      <c r="B161" s="81" t="s">
        <v>178</v>
      </c>
      <c r="C161" s="82">
        <f t="shared" si="192"/>
        <v>0</v>
      </c>
      <c r="D161" s="196"/>
      <c r="E161" s="197"/>
      <c r="F161" s="133">
        <f t="shared" ref="F161:F164" si="205">D161+E161</f>
        <v>0</v>
      </c>
      <c r="G161" s="46"/>
      <c r="H161" s="47"/>
      <c r="I161" s="133">
        <f t="shared" ref="I161:I164" si="206">G161+H161</f>
        <v>0</v>
      </c>
      <c r="J161" s="46"/>
      <c r="K161" s="47"/>
      <c r="L161" s="133">
        <f t="shared" ref="L161:L164" si="207">K161+J161</f>
        <v>0</v>
      </c>
      <c r="M161" s="46"/>
      <c r="N161" s="47"/>
      <c r="O161" s="133">
        <f t="shared" ref="O161:O164" si="208">N161+M161</f>
        <v>0</v>
      </c>
      <c r="P161" s="49"/>
    </row>
    <row r="162" spans="1:16" ht="24" customHeight="1" x14ac:dyDescent="0.25">
      <c r="A162" s="50">
        <v>2389</v>
      </c>
      <c r="B162" s="88" t="s">
        <v>179</v>
      </c>
      <c r="C162" s="89">
        <f t="shared" si="192"/>
        <v>480</v>
      </c>
      <c r="D162" s="194">
        <v>480</v>
      </c>
      <c r="E162" s="195"/>
      <c r="F162" s="55">
        <f t="shared" si="205"/>
        <v>480</v>
      </c>
      <c r="G162" s="53"/>
      <c r="H162" s="54"/>
      <c r="I162" s="55">
        <f t="shared" si="206"/>
        <v>0</v>
      </c>
      <c r="J162" s="53"/>
      <c r="K162" s="54"/>
      <c r="L162" s="55">
        <f t="shared" si="207"/>
        <v>0</v>
      </c>
      <c r="M162" s="53"/>
      <c r="N162" s="54"/>
      <c r="O162" s="55">
        <f t="shared" si="208"/>
        <v>0</v>
      </c>
      <c r="P162" s="57"/>
    </row>
    <row r="163" spans="1:16" ht="12" hidden="1" customHeight="1" x14ac:dyDescent="0.25">
      <c r="A163" s="185">
        <v>2390</v>
      </c>
      <c r="B163" s="137" t="s">
        <v>180</v>
      </c>
      <c r="C163" s="142">
        <f t="shared" si="192"/>
        <v>0</v>
      </c>
      <c r="D163" s="202"/>
      <c r="E163" s="203"/>
      <c r="F163" s="140">
        <f t="shared" si="205"/>
        <v>0</v>
      </c>
      <c r="G163" s="143"/>
      <c r="H163" s="144"/>
      <c r="I163" s="140">
        <f t="shared" si="206"/>
        <v>0</v>
      </c>
      <c r="J163" s="143"/>
      <c r="K163" s="144"/>
      <c r="L163" s="140">
        <f t="shared" si="207"/>
        <v>0</v>
      </c>
      <c r="M163" s="143"/>
      <c r="N163" s="144"/>
      <c r="O163" s="140">
        <f t="shared" si="208"/>
        <v>0</v>
      </c>
      <c r="P163" s="128"/>
    </row>
    <row r="164" spans="1:16" ht="12" hidden="1" customHeight="1" x14ac:dyDescent="0.25">
      <c r="A164" s="68">
        <v>2400</v>
      </c>
      <c r="B164" s="182" t="s">
        <v>181</v>
      </c>
      <c r="C164" s="69">
        <f t="shared" si="192"/>
        <v>0</v>
      </c>
      <c r="D164" s="204"/>
      <c r="E164" s="205"/>
      <c r="F164" s="72">
        <f t="shared" si="205"/>
        <v>0</v>
      </c>
      <c r="G164" s="70"/>
      <c r="H164" s="71"/>
      <c r="I164" s="72">
        <f t="shared" si="206"/>
        <v>0</v>
      </c>
      <c r="J164" s="70"/>
      <c r="K164" s="71"/>
      <c r="L164" s="72">
        <f t="shared" si="207"/>
        <v>0</v>
      </c>
      <c r="M164" s="70"/>
      <c r="N164" s="71"/>
      <c r="O164" s="72">
        <f t="shared" si="208"/>
        <v>0</v>
      </c>
      <c r="P164" s="76"/>
    </row>
    <row r="165" spans="1:16" ht="24" x14ac:dyDescent="0.25">
      <c r="A165" s="68">
        <v>2500</v>
      </c>
      <c r="B165" s="182" t="s">
        <v>182</v>
      </c>
      <c r="C165" s="69">
        <f t="shared" si="192"/>
        <v>550</v>
      </c>
      <c r="D165" s="183">
        <f>SUM(D166,D171)</f>
        <v>700</v>
      </c>
      <c r="E165" s="184">
        <f t="shared" ref="E165:O165" si="209">SUM(E166,E171)</f>
        <v>-150</v>
      </c>
      <c r="F165" s="72">
        <f t="shared" si="209"/>
        <v>550</v>
      </c>
      <c r="G165" s="183">
        <f t="shared" si="209"/>
        <v>0</v>
      </c>
      <c r="H165" s="184">
        <f t="shared" si="209"/>
        <v>0</v>
      </c>
      <c r="I165" s="72">
        <f t="shared" si="209"/>
        <v>0</v>
      </c>
      <c r="J165" s="183">
        <f t="shared" si="209"/>
        <v>0</v>
      </c>
      <c r="K165" s="184">
        <f t="shared" si="209"/>
        <v>0</v>
      </c>
      <c r="L165" s="72">
        <f t="shared" si="209"/>
        <v>0</v>
      </c>
      <c r="M165" s="183">
        <f t="shared" si="209"/>
        <v>0</v>
      </c>
      <c r="N165" s="184">
        <f t="shared" si="209"/>
        <v>0</v>
      </c>
      <c r="O165" s="72">
        <f t="shared" si="209"/>
        <v>0</v>
      </c>
      <c r="P165" s="76"/>
    </row>
    <row r="166" spans="1:16" ht="21.75" customHeight="1" x14ac:dyDescent="0.25">
      <c r="A166" s="278">
        <v>2510</v>
      </c>
      <c r="B166" s="81" t="s">
        <v>183</v>
      </c>
      <c r="C166" s="82">
        <f t="shared" si="192"/>
        <v>550</v>
      </c>
      <c r="D166" s="192">
        <f>SUM(D167:D170)</f>
        <v>700</v>
      </c>
      <c r="E166" s="193">
        <f t="shared" ref="E166:O166" si="210">SUM(E167:E170)</f>
        <v>-150</v>
      </c>
      <c r="F166" s="133">
        <f t="shared" si="210"/>
        <v>550</v>
      </c>
      <c r="G166" s="192">
        <f t="shared" si="210"/>
        <v>0</v>
      </c>
      <c r="H166" s="193">
        <f t="shared" si="210"/>
        <v>0</v>
      </c>
      <c r="I166" s="133">
        <f t="shared" si="210"/>
        <v>0</v>
      </c>
      <c r="J166" s="192">
        <f t="shared" si="210"/>
        <v>0</v>
      </c>
      <c r="K166" s="193">
        <f t="shared" si="210"/>
        <v>0</v>
      </c>
      <c r="L166" s="133">
        <f t="shared" si="210"/>
        <v>0</v>
      </c>
      <c r="M166" s="192">
        <f t="shared" si="210"/>
        <v>0</v>
      </c>
      <c r="N166" s="193">
        <f t="shared" si="210"/>
        <v>0</v>
      </c>
      <c r="O166" s="133">
        <f t="shared" si="210"/>
        <v>0</v>
      </c>
      <c r="P166" s="49"/>
    </row>
    <row r="167" spans="1:16" ht="24" hidden="1" customHeight="1" x14ac:dyDescent="0.25">
      <c r="A167" s="51">
        <v>2512</v>
      </c>
      <c r="B167" s="88" t="s">
        <v>184</v>
      </c>
      <c r="C167" s="89">
        <f t="shared" si="192"/>
        <v>0</v>
      </c>
      <c r="D167" s="194"/>
      <c r="E167" s="195"/>
      <c r="F167" s="55">
        <f t="shared" ref="F167:F172" si="211">D167+E167</f>
        <v>0</v>
      </c>
      <c r="G167" s="53"/>
      <c r="H167" s="54"/>
      <c r="I167" s="55">
        <f t="shared" ref="I167:I172" si="212">G167+H167</f>
        <v>0</v>
      </c>
      <c r="J167" s="53"/>
      <c r="K167" s="54"/>
      <c r="L167" s="55">
        <f t="shared" ref="L167:L172" si="213">K167+J167</f>
        <v>0</v>
      </c>
      <c r="M167" s="53"/>
      <c r="N167" s="54"/>
      <c r="O167" s="55">
        <f t="shared" ref="O167:O172" si="214">N167+M167</f>
        <v>0</v>
      </c>
      <c r="P167" s="57"/>
    </row>
    <row r="168" spans="1:16" ht="36" hidden="1" customHeight="1" x14ac:dyDescent="0.25">
      <c r="A168" s="51">
        <v>2513</v>
      </c>
      <c r="B168" s="88" t="s">
        <v>185</v>
      </c>
      <c r="C168" s="89">
        <f t="shared" si="192"/>
        <v>0</v>
      </c>
      <c r="D168" s="194"/>
      <c r="E168" s="195"/>
      <c r="F168" s="55">
        <f t="shared" si="211"/>
        <v>0</v>
      </c>
      <c r="G168" s="53"/>
      <c r="H168" s="54"/>
      <c r="I168" s="55">
        <f t="shared" si="212"/>
        <v>0</v>
      </c>
      <c r="J168" s="53"/>
      <c r="K168" s="54"/>
      <c r="L168" s="55">
        <f t="shared" si="213"/>
        <v>0</v>
      </c>
      <c r="M168" s="53"/>
      <c r="N168" s="54"/>
      <c r="O168" s="55">
        <f t="shared" si="214"/>
        <v>0</v>
      </c>
      <c r="P168" s="57"/>
    </row>
    <row r="169" spans="1:16" ht="24" customHeight="1" x14ac:dyDescent="0.25">
      <c r="A169" s="51">
        <v>2515</v>
      </c>
      <c r="B169" s="88" t="s">
        <v>186</v>
      </c>
      <c r="C169" s="89">
        <f t="shared" si="192"/>
        <v>420</v>
      </c>
      <c r="D169" s="194">
        <v>570</v>
      </c>
      <c r="E169" s="195">
        <v>-150</v>
      </c>
      <c r="F169" s="55">
        <f t="shared" si="211"/>
        <v>420</v>
      </c>
      <c r="G169" s="53"/>
      <c r="H169" s="54"/>
      <c r="I169" s="55">
        <f t="shared" si="212"/>
        <v>0</v>
      </c>
      <c r="J169" s="53"/>
      <c r="K169" s="54"/>
      <c r="L169" s="55">
        <f t="shared" si="213"/>
        <v>0</v>
      </c>
      <c r="M169" s="53"/>
      <c r="N169" s="54"/>
      <c r="O169" s="55">
        <f t="shared" si="214"/>
        <v>0</v>
      </c>
      <c r="P169" s="57" t="s">
        <v>730</v>
      </c>
    </row>
    <row r="170" spans="1:16" ht="24" customHeight="1" x14ac:dyDescent="0.25">
      <c r="A170" s="51">
        <v>2519</v>
      </c>
      <c r="B170" s="88" t="s">
        <v>187</v>
      </c>
      <c r="C170" s="89">
        <f t="shared" si="192"/>
        <v>130</v>
      </c>
      <c r="D170" s="194">
        <v>130</v>
      </c>
      <c r="E170" s="195"/>
      <c r="F170" s="55">
        <f t="shared" si="211"/>
        <v>130</v>
      </c>
      <c r="G170" s="53"/>
      <c r="H170" s="54"/>
      <c r="I170" s="55">
        <f t="shared" si="212"/>
        <v>0</v>
      </c>
      <c r="J170" s="53"/>
      <c r="K170" s="54"/>
      <c r="L170" s="55">
        <f t="shared" si="213"/>
        <v>0</v>
      </c>
      <c r="M170" s="53"/>
      <c r="N170" s="54"/>
      <c r="O170" s="55">
        <f t="shared" si="214"/>
        <v>0</v>
      </c>
      <c r="P170" s="57"/>
    </row>
    <row r="171" spans="1:16" ht="24" hidden="1" customHeight="1" x14ac:dyDescent="0.25">
      <c r="A171" s="188">
        <v>2520</v>
      </c>
      <c r="B171" s="88" t="s">
        <v>188</v>
      </c>
      <c r="C171" s="89">
        <f t="shared" si="192"/>
        <v>0</v>
      </c>
      <c r="D171" s="194"/>
      <c r="E171" s="195"/>
      <c r="F171" s="55">
        <f t="shared" si="211"/>
        <v>0</v>
      </c>
      <c r="G171" s="53"/>
      <c r="H171" s="54"/>
      <c r="I171" s="55">
        <f t="shared" si="212"/>
        <v>0</v>
      </c>
      <c r="J171" s="53"/>
      <c r="K171" s="54"/>
      <c r="L171" s="55">
        <f t="shared" si="213"/>
        <v>0</v>
      </c>
      <c r="M171" s="53"/>
      <c r="N171" s="54"/>
      <c r="O171" s="55">
        <f t="shared" si="214"/>
        <v>0</v>
      </c>
      <c r="P171" s="57"/>
    </row>
    <row r="172" spans="1:16" s="206" customFormat="1" ht="36" hidden="1" customHeight="1" x14ac:dyDescent="0.25">
      <c r="A172" s="23">
        <v>2800</v>
      </c>
      <c r="B172" s="81" t="s">
        <v>189</v>
      </c>
      <c r="C172" s="82">
        <f t="shared" si="192"/>
        <v>0</v>
      </c>
      <c r="D172" s="46"/>
      <c r="E172" s="47"/>
      <c r="F172" s="133">
        <f t="shared" si="211"/>
        <v>0</v>
      </c>
      <c r="G172" s="46"/>
      <c r="H172" s="47"/>
      <c r="I172" s="133">
        <f t="shared" si="212"/>
        <v>0</v>
      </c>
      <c r="J172" s="46"/>
      <c r="K172" s="47"/>
      <c r="L172" s="133">
        <f t="shared" si="213"/>
        <v>0</v>
      </c>
      <c r="M172" s="46"/>
      <c r="N172" s="47"/>
      <c r="O172" s="133">
        <f t="shared" si="214"/>
        <v>0</v>
      </c>
      <c r="P172" s="49"/>
    </row>
    <row r="173" spans="1:16" hidden="1" x14ac:dyDescent="0.25">
      <c r="A173" s="176">
        <v>3000</v>
      </c>
      <c r="B173" s="176" t="s">
        <v>190</v>
      </c>
      <c r="C173" s="177">
        <f t="shared" si="192"/>
        <v>0</v>
      </c>
      <c r="D173" s="178">
        <f>SUM(D174,D184)</f>
        <v>0</v>
      </c>
      <c r="E173" s="179">
        <f t="shared" ref="E173:F173" si="215">SUM(E174,E184)</f>
        <v>0</v>
      </c>
      <c r="F173" s="180">
        <f t="shared" si="215"/>
        <v>0</v>
      </c>
      <c r="G173" s="178">
        <f>SUM(G174,G184)</f>
        <v>0</v>
      </c>
      <c r="H173" s="179">
        <f t="shared" ref="H173:I173" si="216">SUM(H174,H184)</f>
        <v>0</v>
      </c>
      <c r="I173" s="180">
        <f t="shared" si="216"/>
        <v>0</v>
      </c>
      <c r="J173" s="178">
        <f>SUM(J174,J184)</f>
        <v>0</v>
      </c>
      <c r="K173" s="179">
        <f t="shared" ref="K173:L173" si="217">SUM(K174,K184)</f>
        <v>0</v>
      </c>
      <c r="L173" s="180">
        <f t="shared" si="217"/>
        <v>0</v>
      </c>
      <c r="M173" s="178">
        <f>SUM(M174,M184)</f>
        <v>0</v>
      </c>
      <c r="N173" s="179">
        <f t="shared" ref="N173:O173" si="218">SUM(N174,N184)</f>
        <v>0</v>
      </c>
      <c r="O173" s="180">
        <f t="shared" si="218"/>
        <v>0</v>
      </c>
      <c r="P173" s="181"/>
    </row>
    <row r="174" spans="1:16" ht="24" hidden="1" x14ac:dyDescent="0.25">
      <c r="A174" s="68">
        <v>3200</v>
      </c>
      <c r="B174" s="207" t="s">
        <v>191</v>
      </c>
      <c r="C174" s="69">
        <f t="shared" si="192"/>
        <v>0</v>
      </c>
      <c r="D174" s="183">
        <f>SUM(D175,D179)</f>
        <v>0</v>
      </c>
      <c r="E174" s="184">
        <f t="shared" ref="E174:O174" si="219">SUM(E175,E179)</f>
        <v>0</v>
      </c>
      <c r="F174" s="72">
        <f t="shared" si="219"/>
        <v>0</v>
      </c>
      <c r="G174" s="183">
        <f t="shared" si="219"/>
        <v>0</v>
      </c>
      <c r="H174" s="184">
        <f t="shared" si="219"/>
        <v>0</v>
      </c>
      <c r="I174" s="72">
        <f t="shared" si="219"/>
        <v>0</v>
      </c>
      <c r="J174" s="183">
        <f t="shared" si="219"/>
        <v>0</v>
      </c>
      <c r="K174" s="184">
        <f t="shared" si="219"/>
        <v>0</v>
      </c>
      <c r="L174" s="72">
        <f t="shared" si="219"/>
        <v>0</v>
      </c>
      <c r="M174" s="183">
        <f t="shared" si="219"/>
        <v>0</v>
      </c>
      <c r="N174" s="184">
        <f t="shared" si="219"/>
        <v>0</v>
      </c>
      <c r="O174" s="72">
        <f t="shared" si="219"/>
        <v>0</v>
      </c>
      <c r="P174" s="76"/>
    </row>
    <row r="175" spans="1:16" ht="36" hidden="1" x14ac:dyDescent="0.25">
      <c r="A175" s="278">
        <v>3260</v>
      </c>
      <c r="B175" s="81" t="s">
        <v>192</v>
      </c>
      <c r="C175" s="82">
        <f t="shared" si="192"/>
        <v>0</v>
      </c>
      <c r="D175" s="192">
        <f>SUM(D176:D178)</f>
        <v>0</v>
      </c>
      <c r="E175" s="193">
        <f t="shared" ref="E175:F175" si="220">SUM(E176:E178)</f>
        <v>0</v>
      </c>
      <c r="F175" s="133">
        <f t="shared" si="220"/>
        <v>0</v>
      </c>
      <c r="G175" s="192">
        <f>SUM(G176:G178)</f>
        <v>0</v>
      </c>
      <c r="H175" s="193">
        <f t="shared" ref="H175:I175" si="221">SUM(H176:H178)</f>
        <v>0</v>
      </c>
      <c r="I175" s="133">
        <f t="shared" si="221"/>
        <v>0</v>
      </c>
      <c r="J175" s="192">
        <f>SUM(J176:J178)</f>
        <v>0</v>
      </c>
      <c r="K175" s="193">
        <f t="shared" ref="K175:L175" si="222">SUM(K176:K178)</f>
        <v>0</v>
      </c>
      <c r="L175" s="133">
        <f t="shared" si="222"/>
        <v>0</v>
      </c>
      <c r="M175" s="192">
        <f>SUM(M176:M178)</f>
        <v>0</v>
      </c>
      <c r="N175" s="193">
        <f t="shared" ref="N175:O175" si="223">SUM(N176:N178)</f>
        <v>0</v>
      </c>
      <c r="O175" s="133">
        <f t="shared" si="223"/>
        <v>0</v>
      </c>
      <c r="P175" s="49"/>
    </row>
    <row r="176" spans="1:16" ht="24" hidden="1" customHeight="1" x14ac:dyDescent="0.25">
      <c r="A176" s="51">
        <v>3261</v>
      </c>
      <c r="B176" s="88" t="s">
        <v>193</v>
      </c>
      <c r="C176" s="89">
        <f t="shared" si="192"/>
        <v>0</v>
      </c>
      <c r="D176" s="194"/>
      <c r="E176" s="195"/>
      <c r="F176" s="55">
        <f t="shared" ref="F176:F178" si="224">D176+E176</f>
        <v>0</v>
      </c>
      <c r="G176" s="53"/>
      <c r="H176" s="54"/>
      <c r="I176" s="55">
        <f t="shared" ref="I176:I178" si="225">G176+H176</f>
        <v>0</v>
      </c>
      <c r="J176" s="53"/>
      <c r="K176" s="54"/>
      <c r="L176" s="55">
        <f t="shared" ref="L176:L178" si="226">K176+J176</f>
        <v>0</v>
      </c>
      <c r="M176" s="53"/>
      <c r="N176" s="54"/>
      <c r="O176" s="55">
        <f t="shared" ref="O176:O178" si="227">N176+M176</f>
        <v>0</v>
      </c>
      <c r="P176" s="57"/>
    </row>
    <row r="177" spans="1:16" ht="36" hidden="1" customHeight="1" x14ac:dyDescent="0.25">
      <c r="A177" s="51">
        <v>3262</v>
      </c>
      <c r="B177" s="88" t="s">
        <v>194</v>
      </c>
      <c r="C177" s="89">
        <f t="shared" si="192"/>
        <v>0</v>
      </c>
      <c r="D177" s="194"/>
      <c r="E177" s="195"/>
      <c r="F177" s="55">
        <f t="shared" si="224"/>
        <v>0</v>
      </c>
      <c r="G177" s="53"/>
      <c r="H177" s="54"/>
      <c r="I177" s="55">
        <f t="shared" si="225"/>
        <v>0</v>
      </c>
      <c r="J177" s="53"/>
      <c r="K177" s="54"/>
      <c r="L177" s="55">
        <f t="shared" si="226"/>
        <v>0</v>
      </c>
      <c r="M177" s="53"/>
      <c r="N177" s="54"/>
      <c r="O177" s="55">
        <f t="shared" si="227"/>
        <v>0</v>
      </c>
      <c r="P177" s="57"/>
    </row>
    <row r="178" spans="1:16" ht="24" hidden="1" customHeight="1" x14ac:dyDescent="0.25">
      <c r="A178" s="51">
        <v>3263</v>
      </c>
      <c r="B178" s="88" t="s">
        <v>195</v>
      </c>
      <c r="C178" s="89">
        <f t="shared" si="192"/>
        <v>0</v>
      </c>
      <c r="D178" s="194"/>
      <c r="E178" s="195"/>
      <c r="F178" s="55">
        <f t="shared" si="224"/>
        <v>0</v>
      </c>
      <c r="G178" s="53"/>
      <c r="H178" s="54"/>
      <c r="I178" s="55">
        <f t="shared" si="225"/>
        <v>0</v>
      </c>
      <c r="J178" s="53"/>
      <c r="K178" s="54"/>
      <c r="L178" s="55">
        <f t="shared" si="226"/>
        <v>0</v>
      </c>
      <c r="M178" s="53"/>
      <c r="N178" s="54"/>
      <c r="O178" s="55">
        <f t="shared" si="227"/>
        <v>0</v>
      </c>
      <c r="P178" s="57"/>
    </row>
    <row r="179" spans="1:16" ht="84" hidden="1" x14ac:dyDescent="0.25">
      <c r="A179" s="278">
        <v>3290</v>
      </c>
      <c r="B179" s="81" t="s">
        <v>196</v>
      </c>
      <c r="C179" s="208">
        <f t="shared" si="192"/>
        <v>0</v>
      </c>
      <c r="D179" s="192">
        <f>SUM(D180:D183)</f>
        <v>0</v>
      </c>
      <c r="E179" s="193">
        <f t="shared" ref="E179:O179" si="228">SUM(E180:E183)</f>
        <v>0</v>
      </c>
      <c r="F179" s="133">
        <f t="shared" si="228"/>
        <v>0</v>
      </c>
      <c r="G179" s="192">
        <f t="shared" si="228"/>
        <v>0</v>
      </c>
      <c r="H179" s="193">
        <f t="shared" si="228"/>
        <v>0</v>
      </c>
      <c r="I179" s="133">
        <f t="shared" si="228"/>
        <v>0</v>
      </c>
      <c r="J179" s="192">
        <f t="shared" si="228"/>
        <v>0</v>
      </c>
      <c r="K179" s="193">
        <f t="shared" si="228"/>
        <v>0</v>
      </c>
      <c r="L179" s="133">
        <f t="shared" si="228"/>
        <v>0</v>
      </c>
      <c r="M179" s="192">
        <f t="shared" si="228"/>
        <v>0</v>
      </c>
      <c r="N179" s="193">
        <f t="shared" si="228"/>
        <v>0</v>
      </c>
      <c r="O179" s="133">
        <f t="shared" si="228"/>
        <v>0</v>
      </c>
      <c r="P179" s="49"/>
    </row>
    <row r="180" spans="1:16" ht="72" hidden="1" customHeight="1" x14ac:dyDescent="0.25">
      <c r="A180" s="51">
        <v>3291</v>
      </c>
      <c r="B180" s="88" t="s">
        <v>197</v>
      </c>
      <c r="C180" s="89">
        <f t="shared" si="192"/>
        <v>0</v>
      </c>
      <c r="D180" s="194"/>
      <c r="E180" s="195"/>
      <c r="F180" s="55">
        <f t="shared" ref="F180:F183" si="229">D180+E180</f>
        <v>0</v>
      </c>
      <c r="G180" s="53"/>
      <c r="H180" s="54"/>
      <c r="I180" s="55">
        <f t="shared" ref="I180:I183" si="230">G180+H180</f>
        <v>0</v>
      </c>
      <c r="J180" s="53"/>
      <c r="K180" s="54"/>
      <c r="L180" s="55">
        <f t="shared" ref="L180:L183" si="231">K180+J180</f>
        <v>0</v>
      </c>
      <c r="M180" s="53"/>
      <c r="N180" s="54"/>
      <c r="O180" s="55">
        <f t="shared" ref="O180:O183" si="232">N180+M180</f>
        <v>0</v>
      </c>
      <c r="P180" s="57"/>
    </row>
    <row r="181" spans="1:16" ht="72" hidden="1" customHeight="1" x14ac:dyDescent="0.25">
      <c r="A181" s="51">
        <v>3292</v>
      </c>
      <c r="B181" s="88" t="s">
        <v>198</v>
      </c>
      <c r="C181" s="89">
        <f t="shared" si="192"/>
        <v>0</v>
      </c>
      <c r="D181" s="194"/>
      <c r="E181" s="195"/>
      <c r="F181" s="55">
        <f t="shared" si="229"/>
        <v>0</v>
      </c>
      <c r="G181" s="53"/>
      <c r="H181" s="54"/>
      <c r="I181" s="55">
        <f t="shared" si="230"/>
        <v>0</v>
      </c>
      <c r="J181" s="53"/>
      <c r="K181" s="54"/>
      <c r="L181" s="55">
        <f t="shared" si="231"/>
        <v>0</v>
      </c>
      <c r="M181" s="53"/>
      <c r="N181" s="54"/>
      <c r="O181" s="55">
        <f t="shared" si="232"/>
        <v>0</v>
      </c>
      <c r="P181" s="57"/>
    </row>
    <row r="182" spans="1:16" ht="72" hidden="1" customHeight="1" x14ac:dyDescent="0.25">
      <c r="A182" s="51">
        <v>3293</v>
      </c>
      <c r="B182" s="88" t="s">
        <v>199</v>
      </c>
      <c r="C182" s="89">
        <f t="shared" si="192"/>
        <v>0</v>
      </c>
      <c r="D182" s="194"/>
      <c r="E182" s="195"/>
      <c r="F182" s="55">
        <f t="shared" si="229"/>
        <v>0</v>
      </c>
      <c r="G182" s="53"/>
      <c r="H182" s="54"/>
      <c r="I182" s="55">
        <f t="shared" si="230"/>
        <v>0</v>
      </c>
      <c r="J182" s="53"/>
      <c r="K182" s="54"/>
      <c r="L182" s="55">
        <f t="shared" si="231"/>
        <v>0</v>
      </c>
      <c r="M182" s="53"/>
      <c r="N182" s="54"/>
      <c r="O182" s="55">
        <f t="shared" si="232"/>
        <v>0</v>
      </c>
      <c r="P182" s="57"/>
    </row>
    <row r="183" spans="1:16" ht="60" hidden="1" customHeight="1" x14ac:dyDescent="0.25">
      <c r="A183" s="209">
        <v>3294</v>
      </c>
      <c r="B183" s="88" t="s">
        <v>200</v>
      </c>
      <c r="C183" s="208">
        <f t="shared" si="192"/>
        <v>0</v>
      </c>
      <c r="D183" s="210"/>
      <c r="E183" s="211"/>
      <c r="F183" s="212">
        <f t="shared" si="229"/>
        <v>0</v>
      </c>
      <c r="G183" s="213"/>
      <c r="H183" s="214"/>
      <c r="I183" s="212">
        <f t="shared" si="230"/>
        <v>0</v>
      </c>
      <c r="J183" s="213"/>
      <c r="K183" s="214"/>
      <c r="L183" s="212">
        <f t="shared" si="231"/>
        <v>0</v>
      </c>
      <c r="M183" s="213"/>
      <c r="N183" s="214"/>
      <c r="O183" s="212">
        <f t="shared" si="232"/>
        <v>0</v>
      </c>
      <c r="P183" s="215"/>
    </row>
    <row r="184" spans="1:16" ht="48" hidden="1" x14ac:dyDescent="0.25">
      <c r="A184" s="216">
        <v>3300</v>
      </c>
      <c r="B184" s="207" t="s">
        <v>201</v>
      </c>
      <c r="C184" s="217">
        <f t="shared" si="192"/>
        <v>0</v>
      </c>
      <c r="D184" s="218">
        <f>SUM(D185:D186)</f>
        <v>0</v>
      </c>
      <c r="E184" s="219">
        <f t="shared" ref="E184:O184" si="233">SUM(E185:E186)</f>
        <v>0</v>
      </c>
      <c r="F184" s="220">
        <f t="shared" si="233"/>
        <v>0</v>
      </c>
      <c r="G184" s="218">
        <f t="shared" si="233"/>
        <v>0</v>
      </c>
      <c r="H184" s="219">
        <f t="shared" si="233"/>
        <v>0</v>
      </c>
      <c r="I184" s="220">
        <f t="shared" si="233"/>
        <v>0</v>
      </c>
      <c r="J184" s="218">
        <f t="shared" si="233"/>
        <v>0</v>
      </c>
      <c r="K184" s="219">
        <f t="shared" si="233"/>
        <v>0</v>
      </c>
      <c r="L184" s="220">
        <f t="shared" si="233"/>
        <v>0</v>
      </c>
      <c r="M184" s="218">
        <f t="shared" si="233"/>
        <v>0</v>
      </c>
      <c r="N184" s="219">
        <f t="shared" si="233"/>
        <v>0</v>
      </c>
      <c r="O184" s="220">
        <f t="shared" si="233"/>
        <v>0</v>
      </c>
      <c r="P184" s="221"/>
    </row>
    <row r="185" spans="1:16" ht="48" hidden="1" customHeight="1" x14ac:dyDescent="0.25">
      <c r="A185" s="136">
        <v>3310</v>
      </c>
      <c r="B185" s="137" t="s">
        <v>202</v>
      </c>
      <c r="C185" s="142">
        <f t="shared" si="192"/>
        <v>0</v>
      </c>
      <c r="D185" s="202"/>
      <c r="E185" s="203"/>
      <c r="F185" s="140">
        <f t="shared" ref="F185:F186" si="234">D185+E185</f>
        <v>0</v>
      </c>
      <c r="G185" s="143"/>
      <c r="H185" s="144"/>
      <c r="I185" s="140">
        <f t="shared" ref="I185:I186" si="235">G185+H185</f>
        <v>0</v>
      </c>
      <c r="J185" s="143"/>
      <c r="K185" s="144"/>
      <c r="L185" s="140">
        <f t="shared" ref="L185:L186" si="236">K185+J185</f>
        <v>0</v>
      </c>
      <c r="M185" s="143"/>
      <c r="N185" s="144"/>
      <c r="O185" s="140">
        <f t="shared" ref="O185:O186" si="237">N185+M185</f>
        <v>0</v>
      </c>
      <c r="P185" s="128"/>
    </row>
    <row r="186" spans="1:16" ht="48.75" hidden="1" customHeight="1" x14ac:dyDescent="0.25">
      <c r="A186" s="44">
        <v>3320</v>
      </c>
      <c r="B186" s="81" t="s">
        <v>203</v>
      </c>
      <c r="C186" s="82">
        <f t="shared" si="192"/>
        <v>0</v>
      </c>
      <c r="D186" s="196"/>
      <c r="E186" s="197"/>
      <c r="F186" s="133">
        <f t="shared" si="234"/>
        <v>0</v>
      </c>
      <c r="G186" s="46"/>
      <c r="H186" s="47"/>
      <c r="I186" s="133">
        <f t="shared" si="235"/>
        <v>0</v>
      </c>
      <c r="J186" s="46"/>
      <c r="K186" s="47"/>
      <c r="L186" s="133">
        <f t="shared" si="236"/>
        <v>0</v>
      </c>
      <c r="M186" s="46"/>
      <c r="N186" s="47"/>
      <c r="O186" s="133">
        <f t="shared" si="237"/>
        <v>0</v>
      </c>
      <c r="P186" s="49"/>
    </row>
    <row r="187" spans="1:16" hidden="1" x14ac:dyDescent="0.25">
      <c r="A187" s="222">
        <v>4000</v>
      </c>
      <c r="B187" s="176" t="s">
        <v>204</v>
      </c>
      <c r="C187" s="177">
        <f t="shared" si="192"/>
        <v>0</v>
      </c>
      <c r="D187" s="178">
        <f>SUM(D188,D191)</f>
        <v>0</v>
      </c>
      <c r="E187" s="179">
        <f t="shared" ref="E187:F187" si="238">SUM(E188,E191)</f>
        <v>0</v>
      </c>
      <c r="F187" s="180">
        <f t="shared" si="238"/>
        <v>0</v>
      </c>
      <c r="G187" s="178">
        <f>SUM(G188,G191)</f>
        <v>0</v>
      </c>
      <c r="H187" s="179">
        <f t="shared" ref="H187:I187" si="239">SUM(H188,H191)</f>
        <v>0</v>
      </c>
      <c r="I187" s="180">
        <f t="shared" si="239"/>
        <v>0</v>
      </c>
      <c r="J187" s="178">
        <f>SUM(J188,J191)</f>
        <v>0</v>
      </c>
      <c r="K187" s="179">
        <f t="shared" ref="K187:L187" si="240">SUM(K188,K191)</f>
        <v>0</v>
      </c>
      <c r="L187" s="180">
        <f t="shared" si="240"/>
        <v>0</v>
      </c>
      <c r="M187" s="178">
        <f>SUM(M188,M191)</f>
        <v>0</v>
      </c>
      <c r="N187" s="179">
        <f t="shared" ref="N187:O187" si="241">SUM(N188,N191)</f>
        <v>0</v>
      </c>
      <c r="O187" s="180">
        <f t="shared" si="241"/>
        <v>0</v>
      </c>
      <c r="P187" s="181"/>
    </row>
    <row r="188" spans="1:16" ht="24" hidden="1" x14ac:dyDescent="0.25">
      <c r="A188" s="223">
        <v>4200</v>
      </c>
      <c r="B188" s="182" t="s">
        <v>205</v>
      </c>
      <c r="C188" s="69">
        <f t="shared" si="192"/>
        <v>0</v>
      </c>
      <c r="D188" s="183">
        <f>SUM(D189,D190)</f>
        <v>0</v>
      </c>
      <c r="E188" s="184">
        <f t="shared" ref="E188:F188" si="242">SUM(E189,E190)</f>
        <v>0</v>
      </c>
      <c r="F188" s="72">
        <f t="shared" si="242"/>
        <v>0</v>
      </c>
      <c r="G188" s="183">
        <f>SUM(G189,G190)</f>
        <v>0</v>
      </c>
      <c r="H188" s="184">
        <f t="shared" ref="H188:I188" si="243">SUM(H189,H190)</f>
        <v>0</v>
      </c>
      <c r="I188" s="72">
        <f t="shared" si="243"/>
        <v>0</v>
      </c>
      <c r="J188" s="183">
        <f>SUM(J189,J190)</f>
        <v>0</v>
      </c>
      <c r="K188" s="184">
        <f t="shared" ref="K188:L188" si="244">SUM(K189,K190)</f>
        <v>0</v>
      </c>
      <c r="L188" s="72">
        <f t="shared" si="244"/>
        <v>0</v>
      </c>
      <c r="M188" s="183">
        <f>SUM(M189,M190)</f>
        <v>0</v>
      </c>
      <c r="N188" s="184">
        <f t="shared" ref="N188:O188" si="245">SUM(N189,N190)</f>
        <v>0</v>
      </c>
      <c r="O188" s="72">
        <f t="shared" si="245"/>
        <v>0</v>
      </c>
      <c r="P188" s="76"/>
    </row>
    <row r="189" spans="1:16" ht="36" hidden="1" customHeight="1" x14ac:dyDescent="0.25">
      <c r="A189" s="278">
        <v>4240</v>
      </c>
      <c r="B189" s="81" t="s">
        <v>206</v>
      </c>
      <c r="C189" s="82">
        <f t="shared" si="192"/>
        <v>0</v>
      </c>
      <c r="D189" s="196"/>
      <c r="E189" s="197"/>
      <c r="F189" s="133">
        <f t="shared" ref="F189:F190" si="246">D189+E189</f>
        <v>0</v>
      </c>
      <c r="G189" s="46"/>
      <c r="H189" s="47"/>
      <c r="I189" s="133">
        <f t="shared" ref="I189:I190" si="247">G189+H189</f>
        <v>0</v>
      </c>
      <c r="J189" s="46"/>
      <c r="K189" s="47"/>
      <c r="L189" s="133">
        <f t="shared" ref="L189:L190" si="248">K189+J189</f>
        <v>0</v>
      </c>
      <c r="M189" s="46"/>
      <c r="N189" s="47"/>
      <c r="O189" s="133">
        <f t="shared" ref="O189:O190" si="249">N189+M189</f>
        <v>0</v>
      </c>
      <c r="P189" s="49"/>
    </row>
    <row r="190" spans="1:16" ht="24" hidden="1" customHeight="1" x14ac:dyDescent="0.25">
      <c r="A190" s="188">
        <v>4250</v>
      </c>
      <c r="B190" s="88" t="s">
        <v>207</v>
      </c>
      <c r="C190" s="89">
        <f t="shared" si="192"/>
        <v>0</v>
      </c>
      <c r="D190" s="194"/>
      <c r="E190" s="195"/>
      <c r="F190" s="55">
        <f t="shared" si="246"/>
        <v>0</v>
      </c>
      <c r="G190" s="53"/>
      <c r="H190" s="54"/>
      <c r="I190" s="55">
        <f t="shared" si="247"/>
        <v>0</v>
      </c>
      <c r="J190" s="53"/>
      <c r="K190" s="54"/>
      <c r="L190" s="55">
        <f t="shared" si="248"/>
        <v>0</v>
      </c>
      <c r="M190" s="53"/>
      <c r="N190" s="54"/>
      <c r="O190" s="55">
        <f t="shared" si="249"/>
        <v>0</v>
      </c>
      <c r="P190" s="57"/>
    </row>
    <row r="191" spans="1:16" hidden="1" x14ac:dyDescent="0.25">
      <c r="A191" s="68">
        <v>4300</v>
      </c>
      <c r="B191" s="182" t="s">
        <v>208</v>
      </c>
      <c r="C191" s="69">
        <f t="shared" si="192"/>
        <v>0</v>
      </c>
      <c r="D191" s="183">
        <f>SUM(D192)</f>
        <v>0</v>
      </c>
      <c r="E191" s="184">
        <f t="shared" ref="E191:F191" si="250">SUM(E192)</f>
        <v>0</v>
      </c>
      <c r="F191" s="72">
        <f t="shared" si="250"/>
        <v>0</v>
      </c>
      <c r="G191" s="183">
        <f>SUM(G192)</f>
        <v>0</v>
      </c>
      <c r="H191" s="184">
        <f t="shared" ref="H191:I191" si="251">SUM(H192)</f>
        <v>0</v>
      </c>
      <c r="I191" s="72">
        <f t="shared" si="251"/>
        <v>0</v>
      </c>
      <c r="J191" s="183">
        <f>SUM(J192)</f>
        <v>0</v>
      </c>
      <c r="K191" s="184">
        <f t="shared" ref="K191:L191" si="252">SUM(K192)</f>
        <v>0</v>
      </c>
      <c r="L191" s="72">
        <f t="shared" si="252"/>
        <v>0</v>
      </c>
      <c r="M191" s="183">
        <f>SUM(M192)</f>
        <v>0</v>
      </c>
      <c r="N191" s="184">
        <f t="shared" ref="N191:O191" si="253">SUM(N192)</f>
        <v>0</v>
      </c>
      <c r="O191" s="72">
        <f t="shared" si="253"/>
        <v>0</v>
      </c>
      <c r="P191" s="76"/>
    </row>
    <row r="192" spans="1:16" ht="24" hidden="1" x14ac:dyDescent="0.25">
      <c r="A192" s="278">
        <v>4310</v>
      </c>
      <c r="B192" s="81" t="s">
        <v>209</v>
      </c>
      <c r="C192" s="82">
        <f t="shared" si="192"/>
        <v>0</v>
      </c>
      <c r="D192" s="192">
        <f>SUM(D193:D193)</f>
        <v>0</v>
      </c>
      <c r="E192" s="193">
        <f t="shared" ref="E192:F192" si="254">SUM(E193:E193)</f>
        <v>0</v>
      </c>
      <c r="F192" s="133">
        <f t="shared" si="254"/>
        <v>0</v>
      </c>
      <c r="G192" s="192">
        <f>SUM(G193:G193)</f>
        <v>0</v>
      </c>
      <c r="H192" s="193">
        <f t="shared" ref="H192:I192" si="255">SUM(H193:H193)</f>
        <v>0</v>
      </c>
      <c r="I192" s="133">
        <f t="shared" si="255"/>
        <v>0</v>
      </c>
      <c r="J192" s="192">
        <f>SUM(J193:J193)</f>
        <v>0</v>
      </c>
      <c r="K192" s="193">
        <f t="shared" ref="K192:L192" si="256">SUM(K193:K193)</f>
        <v>0</v>
      </c>
      <c r="L192" s="133">
        <f t="shared" si="256"/>
        <v>0</v>
      </c>
      <c r="M192" s="192">
        <f>SUM(M193:M193)</f>
        <v>0</v>
      </c>
      <c r="N192" s="193">
        <f t="shared" ref="N192:O192" si="257">SUM(N193:N193)</f>
        <v>0</v>
      </c>
      <c r="O192" s="133">
        <f t="shared" si="257"/>
        <v>0</v>
      </c>
      <c r="P192" s="49"/>
    </row>
    <row r="193" spans="1:16" ht="36" hidden="1" customHeight="1" x14ac:dyDescent="0.25">
      <c r="A193" s="51">
        <v>4311</v>
      </c>
      <c r="B193" s="88" t="s">
        <v>210</v>
      </c>
      <c r="C193" s="89">
        <f t="shared" si="192"/>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2"/>
        <v>26000</v>
      </c>
      <c r="D194" s="172">
        <f t="shared" ref="D194:O194" si="258">SUM(D195,D230,D269,D283)</f>
        <v>26000</v>
      </c>
      <c r="E194" s="173">
        <f t="shared" si="258"/>
        <v>0</v>
      </c>
      <c r="F194" s="174">
        <f t="shared" si="258"/>
        <v>26000</v>
      </c>
      <c r="G194" s="172">
        <f t="shared" si="258"/>
        <v>0</v>
      </c>
      <c r="H194" s="173">
        <f t="shared" si="258"/>
        <v>0</v>
      </c>
      <c r="I194" s="174">
        <f t="shared" si="258"/>
        <v>0</v>
      </c>
      <c r="J194" s="172">
        <f t="shared" si="258"/>
        <v>0</v>
      </c>
      <c r="K194" s="173">
        <f t="shared" si="258"/>
        <v>0</v>
      </c>
      <c r="L194" s="174">
        <f t="shared" si="258"/>
        <v>0</v>
      </c>
      <c r="M194" s="172">
        <f t="shared" si="258"/>
        <v>0</v>
      </c>
      <c r="N194" s="173">
        <f t="shared" si="258"/>
        <v>0</v>
      </c>
      <c r="O194" s="174">
        <f t="shared" si="258"/>
        <v>0</v>
      </c>
      <c r="P194" s="175"/>
    </row>
    <row r="195" spans="1:16" x14ac:dyDescent="0.25">
      <c r="A195" s="176">
        <v>5000</v>
      </c>
      <c r="B195" s="176" t="s">
        <v>212</v>
      </c>
      <c r="C195" s="177">
        <f t="shared" si="192"/>
        <v>26000</v>
      </c>
      <c r="D195" s="178">
        <f>D196+D204</f>
        <v>26000</v>
      </c>
      <c r="E195" s="179">
        <f t="shared" ref="E195:F195" si="259">E196+E204</f>
        <v>0</v>
      </c>
      <c r="F195" s="180">
        <f t="shared" si="259"/>
        <v>26000</v>
      </c>
      <c r="G195" s="178">
        <f>G196+G204</f>
        <v>0</v>
      </c>
      <c r="H195" s="179">
        <f t="shared" ref="H195:I195" si="260">H196+H204</f>
        <v>0</v>
      </c>
      <c r="I195" s="180">
        <f t="shared" si="260"/>
        <v>0</v>
      </c>
      <c r="J195" s="178">
        <f>J196+J204</f>
        <v>0</v>
      </c>
      <c r="K195" s="179">
        <f t="shared" ref="K195:L195" si="261">K196+K204</f>
        <v>0</v>
      </c>
      <c r="L195" s="180">
        <f t="shared" si="261"/>
        <v>0</v>
      </c>
      <c r="M195" s="178">
        <f>M196+M204</f>
        <v>0</v>
      </c>
      <c r="N195" s="179">
        <f t="shared" ref="N195:O195" si="262">N196+N204</f>
        <v>0</v>
      </c>
      <c r="O195" s="180">
        <f t="shared" si="262"/>
        <v>0</v>
      </c>
      <c r="P195" s="181"/>
    </row>
    <row r="196" spans="1:16" hidden="1" x14ac:dyDescent="0.25">
      <c r="A196" s="68">
        <v>5100</v>
      </c>
      <c r="B196" s="182" t="s">
        <v>213</v>
      </c>
      <c r="C196" s="69">
        <f t="shared" si="192"/>
        <v>0</v>
      </c>
      <c r="D196" s="183">
        <f>D197+D198+D201+D202+D203</f>
        <v>0</v>
      </c>
      <c r="E196" s="184">
        <f t="shared" ref="E196:F196" si="263">E197+E198+E201+E202+E203</f>
        <v>0</v>
      </c>
      <c r="F196" s="72">
        <f t="shared" si="263"/>
        <v>0</v>
      </c>
      <c r="G196" s="183">
        <f>G197+G198+G201+G202+G203</f>
        <v>0</v>
      </c>
      <c r="H196" s="184">
        <f t="shared" ref="H196:I196" si="264">H197+H198+H201+H202+H203</f>
        <v>0</v>
      </c>
      <c r="I196" s="72">
        <f t="shared" si="264"/>
        <v>0</v>
      </c>
      <c r="J196" s="183">
        <f>J197+J198+J201+J202+J203</f>
        <v>0</v>
      </c>
      <c r="K196" s="184">
        <f t="shared" ref="K196:L196" si="265">K197+K198+K201+K202+K203</f>
        <v>0</v>
      </c>
      <c r="L196" s="72">
        <f t="shared" si="265"/>
        <v>0</v>
      </c>
      <c r="M196" s="183">
        <f>M197+M198+M201+M202+M203</f>
        <v>0</v>
      </c>
      <c r="N196" s="184">
        <f t="shared" ref="N196:O196" si="266">N197+N198+N201+N202+N203</f>
        <v>0</v>
      </c>
      <c r="O196" s="72">
        <f t="shared" si="266"/>
        <v>0</v>
      </c>
      <c r="P196" s="76"/>
    </row>
    <row r="197" spans="1:16" ht="12" hidden="1" customHeight="1" x14ac:dyDescent="0.25">
      <c r="A197" s="278">
        <v>5110</v>
      </c>
      <c r="B197" s="81" t="s">
        <v>214</v>
      </c>
      <c r="C197" s="82">
        <f t="shared" si="192"/>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2"/>
        <v>0</v>
      </c>
      <c r="D198" s="189">
        <f>D199+D200</f>
        <v>0</v>
      </c>
      <c r="E198" s="190">
        <f t="shared" ref="E198:F198" si="267">E199+E200</f>
        <v>0</v>
      </c>
      <c r="F198" s="55">
        <f t="shared" si="267"/>
        <v>0</v>
      </c>
      <c r="G198" s="189">
        <f>G199+G200</f>
        <v>0</v>
      </c>
      <c r="H198" s="190">
        <f t="shared" ref="H198:I198" si="268">H199+H200</f>
        <v>0</v>
      </c>
      <c r="I198" s="55">
        <f t="shared" si="268"/>
        <v>0</v>
      </c>
      <c r="J198" s="189">
        <f>J199+J200</f>
        <v>0</v>
      </c>
      <c r="K198" s="190">
        <f t="shared" ref="K198:L198" si="269">K199+K200</f>
        <v>0</v>
      </c>
      <c r="L198" s="55">
        <f t="shared" si="269"/>
        <v>0</v>
      </c>
      <c r="M198" s="189">
        <f>M199+M200</f>
        <v>0</v>
      </c>
      <c r="N198" s="190">
        <f t="shared" ref="N198:O198" si="270">N199+N200</f>
        <v>0</v>
      </c>
      <c r="O198" s="55">
        <f t="shared" si="270"/>
        <v>0</v>
      </c>
      <c r="P198" s="57"/>
    </row>
    <row r="199" spans="1:16" ht="12" hidden="1" customHeight="1" x14ac:dyDescent="0.25">
      <c r="A199" s="51">
        <v>5121</v>
      </c>
      <c r="B199" s="88" t="s">
        <v>216</v>
      </c>
      <c r="C199" s="89">
        <f t="shared" si="192"/>
        <v>0</v>
      </c>
      <c r="D199" s="194"/>
      <c r="E199" s="195"/>
      <c r="F199" s="55">
        <f t="shared" ref="F199:F203" si="271">D199+E199</f>
        <v>0</v>
      </c>
      <c r="G199" s="53"/>
      <c r="H199" s="54"/>
      <c r="I199" s="55">
        <f t="shared" ref="I199:I203" si="272">G199+H199</f>
        <v>0</v>
      </c>
      <c r="J199" s="53"/>
      <c r="K199" s="54"/>
      <c r="L199" s="55">
        <f t="shared" ref="L199:L203" si="273">K199+J199</f>
        <v>0</v>
      </c>
      <c r="M199" s="53"/>
      <c r="N199" s="54"/>
      <c r="O199" s="55">
        <f t="shared" ref="O199:O203" si="274">N199+M199</f>
        <v>0</v>
      </c>
      <c r="P199" s="57"/>
    </row>
    <row r="200" spans="1:16" ht="24" hidden="1" customHeight="1" x14ac:dyDescent="0.25">
      <c r="A200" s="51">
        <v>5129</v>
      </c>
      <c r="B200" s="88" t="s">
        <v>217</v>
      </c>
      <c r="C200" s="89">
        <f t="shared" si="192"/>
        <v>0</v>
      </c>
      <c r="D200" s="194"/>
      <c r="E200" s="195"/>
      <c r="F200" s="55">
        <f t="shared" si="271"/>
        <v>0</v>
      </c>
      <c r="G200" s="53"/>
      <c r="H200" s="54"/>
      <c r="I200" s="55">
        <f t="shared" si="272"/>
        <v>0</v>
      </c>
      <c r="J200" s="53"/>
      <c r="K200" s="54"/>
      <c r="L200" s="55">
        <f t="shared" si="273"/>
        <v>0</v>
      </c>
      <c r="M200" s="53"/>
      <c r="N200" s="54"/>
      <c r="O200" s="55">
        <f t="shared" si="274"/>
        <v>0</v>
      </c>
      <c r="P200" s="57"/>
    </row>
    <row r="201" spans="1:16" ht="12" hidden="1" customHeight="1" x14ac:dyDescent="0.25">
      <c r="A201" s="188">
        <v>5130</v>
      </c>
      <c r="B201" s="88" t="s">
        <v>218</v>
      </c>
      <c r="C201" s="89">
        <f t="shared" si="192"/>
        <v>0</v>
      </c>
      <c r="D201" s="194"/>
      <c r="E201" s="195"/>
      <c r="F201" s="55">
        <f t="shared" si="271"/>
        <v>0</v>
      </c>
      <c r="G201" s="53"/>
      <c r="H201" s="54"/>
      <c r="I201" s="55">
        <f t="shared" si="272"/>
        <v>0</v>
      </c>
      <c r="J201" s="53"/>
      <c r="K201" s="54"/>
      <c r="L201" s="55">
        <f t="shared" si="273"/>
        <v>0</v>
      </c>
      <c r="M201" s="53"/>
      <c r="N201" s="54"/>
      <c r="O201" s="55">
        <f t="shared" si="274"/>
        <v>0</v>
      </c>
      <c r="P201" s="57"/>
    </row>
    <row r="202" spans="1:16" ht="12" hidden="1" customHeight="1" x14ac:dyDescent="0.25">
      <c r="A202" s="188">
        <v>5140</v>
      </c>
      <c r="B202" s="88" t="s">
        <v>219</v>
      </c>
      <c r="C202" s="89">
        <f t="shared" si="192"/>
        <v>0</v>
      </c>
      <c r="D202" s="194"/>
      <c r="E202" s="195"/>
      <c r="F202" s="55">
        <f t="shared" si="271"/>
        <v>0</v>
      </c>
      <c r="G202" s="53"/>
      <c r="H202" s="54"/>
      <c r="I202" s="55">
        <f t="shared" si="272"/>
        <v>0</v>
      </c>
      <c r="J202" s="53"/>
      <c r="K202" s="54"/>
      <c r="L202" s="55">
        <f t="shared" si="273"/>
        <v>0</v>
      </c>
      <c r="M202" s="53"/>
      <c r="N202" s="54"/>
      <c r="O202" s="55">
        <f t="shared" si="274"/>
        <v>0</v>
      </c>
      <c r="P202" s="57"/>
    </row>
    <row r="203" spans="1:16" ht="24" hidden="1" customHeight="1" x14ac:dyDescent="0.25">
      <c r="A203" s="188">
        <v>5170</v>
      </c>
      <c r="B203" s="88" t="s">
        <v>220</v>
      </c>
      <c r="C203" s="89">
        <f t="shared" si="192"/>
        <v>0</v>
      </c>
      <c r="D203" s="194"/>
      <c r="E203" s="195"/>
      <c r="F203" s="55">
        <f t="shared" si="271"/>
        <v>0</v>
      </c>
      <c r="G203" s="53"/>
      <c r="H203" s="54"/>
      <c r="I203" s="55">
        <f t="shared" si="272"/>
        <v>0</v>
      </c>
      <c r="J203" s="53"/>
      <c r="K203" s="54"/>
      <c r="L203" s="55">
        <f t="shared" si="273"/>
        <v>0</v>
      </c>
      <c r="M203" s="53"/>
      <c r="N203" s="54"/>
      <c r="O203" s="55">
        <f t="shared" si="274"/>
        <v>0</v>
      </c>
      <c r="P203" s="57"/>
    </row>
    <row r="204" spans="1:16" x14ac:dyDescent="0.25">
      <c r="A204" s="68">
        <v>5200</v>
      </c>
      <c r="B204" s="182" t="s">
        <v>221</v>
      </c>
      <c r="C204" s="69">
        <f t="shared" si="192"/>
        <v>26000</v>
      </c>
      <c r="D204" s="183">
        <f>D205+D215+D216+D225+D226+D227+D229</f>
        <v>26000</v>
      </c>
      <c r="E204" s="184">
        <f t="shared" ref="E204:F204" si="275">E205+E215+E216+E225+E226+E227+E229</f>
        <v>0</v>
      </c>
      <c r="F204" s="72">
        <f t="shared" si="275"/>
        <v>26000</v>
      </c>
      <c r="G204" s="183">
        <f>G205+G215+G216+G225+G226+G227+G229</f>
        <v>0</v>
      </c>
      <c r="H204" s="184">
        <f t="shared" ref="H204:I204" si="276">H205+H215+H216+H225+H226+H227+H229</f>
        <v>0</v>
      </c>
      <c r="I204" s="72">
        <f t="shared" si="276"/>
        <v>0</v>
      </c>
      <c r="J204" s="183">
        <f>J205+J215+J216+J225+J226+J227+J229</f>
        <v>0</v>
      </c>
      <c r="K204" s="184">
        <f t="shared" ref="K204:L204" si="277">K205+K215+K216+K225+K226+K227+K229</f>
        <v>0</v>
      </c>
      <c r="L204" s="72">
        <f t="shared" si="277"/>
        <v>0</v>
      </c>
      <c r="M204" s="183">
        <f>M205+M215+M216+M225+M226+M227+M229</f>
        <v>0</v>
      </c>
      <c r="N204" s="184">
        <f t="shared" ref="N204:O204" si="278">N205+N215+N216+N225+N226+N227+N229</f>
        <v>0</v>
      </c>
      <c r="O204" s="72">
        <f t="shared" si="278"/>
        <v>0</v>
      </c>
      <c r="P204" s="76"/>
    </row>
    <row r="205" spans="1:16" hidden="1" x14ac:dyDescent="0.25">
      <c r="A205" s="185">
        <v>5210</v>
      </c>
      <c r="B205" s="137" t="s">
        <v>222</v>
      </c>
      <c r="C205" s="142">
        <f t="shared" si="192"/>
        <v>0</v>
      </c>
      <c r="D205" s="186">
        <f>SUM(D206:D214)</f>
        <v>0</v>
      </c>
      <c r="E205" s="187">
        <f t="shared" ref="E205:F205" si="279">SUM(E206:E214)</f>
        <v>0</v>
      </c>
      <c r="F205" s="140">
        <f t="shared" si="279"/>
        <v>0</v>
      </c>
      <c r="G205" s="186">
        <f>SUM(G206:G214)</f>
        <v>0</v>
      </c>
      <c r="H205" s="187">
        <f t="shared" ref="H205:I205" si="280">SUM(H206:H214)</f>
        <v>0</v>
      </c>
      <c r="I205" s="140">
        <f t="shared" si="280"/>
        <v>0</v>
      </c>
      <c r="J205" s="186">
        <f>SUM(J206:J214)</f>
        <v>0</v>
      </c>
      <c r="K205" s="187">
        <f t="shared" ref="K205:L205" si="281">SUM(K206:K214)</f>
        <v>0</v>
      </c>
      <c r="L205" s="140">
        <f t="shared" si="281"/>
        <v>0</v>
      </c>
      <c r="M205" s="186">
        <f>SUM(M206:M214)</f>
        <v>0</v>
      </c>
      <c r="N205" s="187">
        <f t="shared" ref="N205:O205" si="282">SUM(N206:N214)</f>
        <v>0</v>
      </c>
      <c r="O205" s="140">
        <f t="shared" si="282"/>
        <v>0</v>
      </c>
      <c r="P205" s="128"/>
    </row>
    <row r="206" spans="1:16" ht="12" hidden="1" customHeight="1" x14ac:dyDescent="0.25">
      <c r="A206" s="44">
        <v>5211</v>
      </c>
      <c r="B206" s="81" t="s">
        <v>223</v>
      </c>
      <c r="C206" s="82">
        <f t="shared" si="192"/>
        <v>0</v>
      </c>
      <c r="D206" s="196"/>
      <c r="E206" s="197"/>
      <c r="F206" s="133">
        <f t="shared" ref="F206:F215" si="283">D206+E206</f>
        <v>0</v>
      </c>
      <c r="G206" s="46"/>
      <c r="H206" s="47"/>
      <c r="I206" s="133">
        <f t="shared" ref="I206:I215" si="284">G206+H206</f>
        <v>0</v>
      </c>
      <c r="J206" s="46"/>
      <c r="K206" s="47"/>
      <c r="L206" s="133">
        <f t="shared" ref="L206:L215" si="285">K206+J206</f>
        <v>0</v>
      </c>
      <c r="M206" s="46"/>
      <c r="N206" s="47"/>
      <c r="O206" s="133">
        <f t="shared" ref="O206:O215" si="286">N206+M206</f>
        <v>0</v>
      </c>
      <c r="P206" s="49"/>
    </row>
    <row r="207" spans="1:16" ht="12" hidden="1" customHeight="1" x14ac:dyDescent="0.25">
      <c r="A207" s="51">
        <v>5212</v>
      </c>
      <c r="B207" s="88" t="s">
        <v>224</v>
      </c>
      <c r="C207" s="89">
        <f t="shared" si="192"/>
        <v>0</v>
      </c>
      <c r="D207" s="194"/>
      <c r="E207" s="195"/>
      <c r="F207" s="55">
        <f t="shared" si="283"/>
        <v>0</v>
      </c>
      <c r="G207" s="53"/>
      <c r="H207" s="54"/>
      <c r="I207" s="55">
        <f t="shared" si="284"/>
        <v>0</v>
      </c>
      <c r="J207" s="53"/>
      <c r="K207" s="54"/>
      <c r="L207" s="55">
        <f t="shared" si="285"/>
        <v>0</v>
      </c>
      <c r="M207" s="53"/>
      <c r="N207" s="54"/>
      <c r="O207" s="55">
        <f t="shared" si="286"/>
        <v>0</v>
      </c>
      <c r="P207" s="57"/>
    </row>
    <row r="208" spans="1:16" ht="12" hidden="1" customHeight="1" x14ac:dyDescent="0.25">
      <c r="A208" s="51">
        <v>5213</v>
      </c>
      <c r="B208" s="88" t="s">
        <v>225</v>
      </c>
      <c r="C208" s="89">
        <f t="shared" si="192"/>
        <v>0</v>
      </c>
      <c r="D208" s="194"/>
      <c r="E208" s="195"/>
      <c r="F208" s="55">
        <f t="shared" si="283"/>
        <v>0</v>
      </c>
      <c r="G208" s="53"/>
      <c r="H208" s="54"/>
      <c r="I208" s="55">
        <f t="shared" si="284"/>
        <v>0</v>
      </c>
      <c r="J208" s="53"/>
      <c r="K208" s="54"/>
      <c r="L208" s="55">
        <f t="shared" si="285"/>
        <v>0</v>
      </c>
      <c r="M208" s="53"/>
      <c r="N208" s="54"/>
      <c r="O208" s="55">
        <f t="shared" si="286"/>
        <v>0</v>
      </c>
      <c r="P208" s="57"/>
    </row>
    <row r="209" spans="1:16" ht="12" hidden="1" customHeight="1" x14ac:dyDescent="0.25">
      <c r="A209" s="51">
        <v>5214</v>
      </c>
      <c r="B209" s="88" t="s">
        <v>226</v>
      </c>
      <c r="C209" s="89">
        <f t="shared" si="192"/>
        <v>0</v>
      </c>
      <c r="D209" s="194"/>
      <c r="E209" s="195"/>
      <c r="F209" s="55">
        <f t="shared" si="283"/>
        <v>0</v>
      </c>
      <c r="G209" s="53"/>
      <c r="H209" s="54"/>
      <c r="I209" s="55">
        <f t="shared" si="284"/>
        <v>0</v>
      </c>
      <c r="J209" s="53"/>
      <c r="K209" s="54"/>
      <c r="L209" s="55">
        <f t="shared" si="285"/>
        <v>0</v>
      </c>
      <c r="M209" s="53"/>
      <c r="N209" s="54"/>
      <c r="O209" s="55">
        <f t="shared" si="286"/>
        <v>0</v>
      </c>
      <c r="P209" s="57"/>
    </row>
    <row r="210" spans="1:16" ht="12" hidden="1" customHeight="1" x14ac:dyDescent="0.25">
      <c r="A210" s="51">
        <v>5215</v>
      </c>
      <c r="B210" s="88" t="s">
        <v>227</v>
      </c>
      <c r="C210" s="89">
        <f t="shared" si="192"/>
        <v>0</v>
      </c>
      <c r="D210" s="194"/>
      <c r="E210" s="195"/>
      <c r="F210" s="55">
        <f t="shared" si="283"/>
        <v>0</v>
      </c>
      <c r="G210" s="53"/>
      <c r="H210" s="54"/>
      <c r="I210" s="55">
        <f t="shared" si="284"/>
        <v>0</v>
      </c>
      <c r="J210" s="53"/>
      <c r="K210" s="54"/>
      <c r="L210" s="55">
        <f t="shared" si="285"/>
        <v>0</v>
      </c>
      <c r="M210" s="53"/>
      <c r="N210" s="54"/>
      <c r="O210" s="55">
        <f t="shared" si="286"/>
        <v>0</v>
      </c>
      <c r="P210" s="57"/>
    </row>
    <row r="211" spans="1:16" ht="14.25" hidden="1" customHeight="1" x14ac:dyDescent="0.25">
      <c r="A211" s="51">
        <v>5216</v>
      </c>
      <c r="B211" s="88" t="s">
        <v>228</v>
      </c>
      <c r="C211" s="89">
        <f t="shared" si="192"/>
        <v>0</v>
      </c>
      <c r="D211" s="194"/>
      <c r="E211" s="195"/>
      <c r="F211" s="55">
        <f t="shared" si="283"/>
        <v>0</v>
      </c>
      <c r="G211" s="53"/>
      <c r="H211" s="54"/>
      <c r="I211" s="55">
        <f t="shared" si="284"/>
        <v>0</v>
      </c>
      <c r="J211" s="53"/>
      <c r="K211" s="54"/>
      <c r="L211" s="55">
        <f t="shared" si="285"/>
        <v>0</v>
      </c>
      <c r="M211" s="53"/>
      <c r="N211" s="54"/>
      <c r="O211" s="55">
        <f t="shared" si="286"/>
        <v>0</v>
      </c>
      <c r="P211" s="57"/>
    </row>
    <row r="212" spans="1:16" ht="12" hidden="1" customHeight="1" x14ac:dyDescent="0.25">
      <c r="A212" s="51">
        <v>5217</v>
      </c>
      <c r="B212" s="88" t="s">
        <v>229</v>
      </c>
      <c r="C212" s="89">
        <f t="shared" ref="C212:C275" si="287">F212+I212+L212+O212</f>
        <v>0</v>
      </c>
      <c r="D212" s="194"/>
      <c r="E212" s="195"/>
      <c r="F212" s="55">
        <f t="shared" si="283"/>
        <v>0</v>
      </c>
      <c r="G212" s="53"/>
      <c r="H212" s="54"/>
      <c r="I212" s="55">
        <f t="shared" si="284"/>
        <v>0</v>
      </c>
      <c r="J212" s="53"/>
      <c r="K212" s="54"/>
      <c r="L212" s="55">
        <f t="shared" si="285"/>
        <v>0</v>
      </c>
      <c r="M212" s="53"/>
      <c r="N212" s="54"/>
      <c r="O212" s="55">
        <f t="shared" si="286"/>
        <v>0</v>
      </c>
      <c r="P212" s="57"/>
    </row>
    <row r="213" spans="1:16" ht="12" hidden="1" customHeight="1" x14ac:dyDescent="0.25">
      <c r="A213" s="51">
        <v>5218</v>
      </c>
      <c r="B213" s="88" t="s">
        <v>230</v>
      </c>
      <c r="C213" s="89">
        <f t="shared" si="287"/>
        <v>0</v>
      </c>
      <c r="D213" s="194"/>
      <c r="E213" s="195"/>
      <c r="F213" s="55">
        <f t="shared" si="283"/>
        <v>0</v>
      </c>
      <c r="G213" s="53"/>
      <c r="H213" s="54"/>
      <c r="I213" s="55">
        <f t="shared" si="284"/>
        <v>0</v>
      </c>
      <c r="J213" s="53"/>
      <c r="K213" s="54"/>
      <c r="L213" s="55">
        <f t="shared" si="285"/>
        <v>0</v>
      </c>
      <c r="M213" s="53"/>
      <c r="N213" s="54"/>
      <c r="O213" s="55">
        <f t="shared" si="286"/>
        <v>0</v>
      </c>
      <c r="P213" s="57"/>
    </row>
    <row r="214" spans="1:16" ht="12" hidden="1" customHeight="1" x14ac:dyDescent="0.25">
      <c r="A214" s="51">
        <v>5219</v>
      </c>
      <c r="B214" s="88" t="s">
        <v>231</v>
      </c>
      <c r="C214" s="89">
        <f t="shared" si="287"/>
        <v>0</v>
      </c>
      <c r="D214" s="194"/>
      <c r="E214" s="195"/>
      <c r="F214" s="55">
        <f t="shared" si="283"/>
        <v>0</v>
      </c>
      <c r="G214" s="53"/>
      <c r="H214" s="54"/>
      <c r="I214" s="55">
        <f t="shared" si="284"/>
        <v>0</v>
      </c>
      <c r="J214" s="53"/>
      <c r="K214" s="54"/>
      <c r="L214" s="55">
        <f t="shared" si="285"/>
        <v>0</v>
      </c>
      <c r="M214" s="53"/>
      <c r="N214" s="54"/>
      <c r="O214" s="55">
        <f t="shared" si="286"/>
        <v>0</v>
      </c>
      <c r="P214" s="57"/>
    </row>
    <row r="215" spans="1:16" ht="13.5" hidden="1" customHeight="1" x14ac:dyDescent="0.25">
      <c r="A215" s="188">
        <v>5220</v>
      </c>
      <c r="B215" s="88" t="s">
        <v>232</v>
      </c>
      <c r="C215" s="89">
        <f t="shared" si="287"/>
        <v>0</v>
      </c>
      <c r="D215" s="194"/>
      <c r="E215" s="195"/>
      <c r="F215" s="55">
        <f t="shared" si="283"/>
        <v>0</v>
      </c>
      <c r="G215" s="53"/>
      <c r="H215" s="54"/>
      <c r="I215" s="55">
        <f t="shared" si="284"/>
        <v>0</v>
      </c>
      <c r="J215" s="53"/>
      <c r="K215" s="54"/>
      <c r="L215" s="55">
        <f t="shared" si="285"/>
        <v>0</v>
      </c>
      <c r="M215" s="53"/>
      <c r="N215" s="54"/>
      <c r="O215" s="55">
        <f t="shared" si="286"/>
        <v>0</v>
      </c>
      <c r="P215" s="57"/>
    </row>
    <row r="216" spans="1:16" x14ac:dyDescent="0.25">
      <c r="A216" s="188">
        <v>5230</v>
      </c>
      <c r="B216" s="88" t="s">
        <v>233</v>
      </c>
      <c r="C216" s="89">
        <f t="shared" si="287"/>
        <v>26000</v>
      </c>
      <c r="D216" s="189">
        <f>SUM(D217:D224)</f>
        <v>26000</v>
      </c>
      <c r="E216" s="190">
        <f t="shared" ref="E216:F216" si="288">SUM(E217:E224)</f>
        <v>0</v>
      </c>
      <c r="F216" s="55">
        <f t="shared" si="288"/>
        <v>26000</v>
      </c>
      <c r="G216" s="189">
        <f>SUM(G217:G224)</f>
        <v>0</v>
      </c>
      <c r="H216" s="190">
        <f t="shared" ref="H216:I216" si="289">SUM(H217:H224)</f>
        <v>0</v>
      </c>
      <c r="I216" s="55">
        <f t="shared" si="289"/>
        <v>0</v>
      </c>
      <c r="J216" s="189">
        <f>SUM(J217:J224)</f>
        <v>0</v>
      </c>
      <c r="K216" s="190">
        <f t="shared" ref="K216:L216" si="290">SUM(K217:K224)</f>
        <v>0</v>
      </c>
      <c r="L216" s="55">
        <f t="shared" si="290"/>
        <v>0</v>
      </c>
      <c r="M216" s="189">
        <f>SUM(M217:M224)</f>
        <v>0</v>
      </c>
      <c r="N216" s="190">
        <f t="shared" ref="N216:O216" si="291">SUM(N217:N224)</f>
        <v>0</v>
      </c>
      <c r="O216" s="55">
        <f t="shared" si="291"/>
        <v>0</v>
      </c>
      <c r="P216" s="57"/>
    </row>
    <row r="217" spans="1:16" ht="12" customHeight="1" x14ac:dyDescent="0.25">
      <c r="A217" s="51">
        <v>5231</v>
      </c>
      <c r="B217" s="88" t="s">
        <v>234</v>
      </c>
      <c r="C217" s="89">
        <f t="shared" si="287"/>
        <v>26000</v>
      </c>
      <c r="D217" s="194">
        <v>26000</v>
      </c>
      <c r="E217" s="195"/>
      <c r="F217" s="55">
        <f t="shared" ref="F217:F226" si="292">D217+E217</f>
        <v>26000</v>
      </c>
      <c r="G217" s="53"/>
      <c r="H217" s="54"/>
      <c r="I217" s="55">
        <f t="shared" ref="I217:I226" si="293">G217+H217</f>
        <v>0</v>
      </c>
      <c r="J217" s="53"/>
      <c r="K217" s="54"/>
      <c r="L217" s="55">
        <f t="shared" ref="L217:L226" si="294">K217+J217</f>
        <v>0</v>
      </c>
      <c r="M217" s="53"/>
      <c r="N217" s="54"/>
      <c r="O217" s="55">
        <f t="shared" ref="O217:O226" si="295">N217+M217</f>
        <v>0</v>
      </c>
      <c r="P217" s="57"/>
    </row>
    <row r="218" spans="1:16" ht="12" hidden="1" customHeight="1" x14ac:dyDescent="0.25">
      <c r="A218" s="51">
        <v>5232</v>
      </c>
      <c r="B218" s="88" t="s">
        <v>235</v>
      </c>
      <c r="C218" s="89">
        <f t="shared" si="287"/>
        <v>0</v>
      </c>
      <c r="D218" s="194"/>
      <c r="E218" s="195"/>
      <c r="F218" s="55">
        <f t="shared" si="292"/>
        <v>0</v>
      </c>
      <c r="G218" s="53"/>
      <c r="H218" s="54"/>
      <c r="I218" s="55">
        <f t="shared" si="293"/>
        <v>0</v>
      </c>
      <c r="J218" s="53"/>
      <c r="K218" s="54"/>
      <c r="L218" s="55">
        <f t="shared" si="294"/>
        <v>0</v>
      </c>
      <c r="M218" s="53"/>
      <c r="N218" s="54"/>
      <c r="O218" s="55">
        <f t="shared" si="295"/>
        <v>0</v>
      </c>
      <c r="P218" s="57"/>
    </row>
    <row r="219" spans="1:16" ht="12" hidden="1" customHeight="1" x14ac:dyDescent="0.25">
      <c r="A219" s="51">
        <v>5233</v>
      </c>
      <c r="B219" s="88" t="s">
        <v>236</v>
      </c>
      <c r="C219" s="89">
        <f t="shared" si="287"/>
        <v>0</v>
      </c>
      <c r="D219" s="194"/>
      <c r="E219" s="195"/>
      <c r="F219" s="55">
        <f t="shared" si="292"/>
        <v>0</v>
      </c>
      <c r="G219" s="53"/>
      <c r="H219" s="54"/>
      <c r="I219" s="55">
        <f t="shared" si="293"/>
        <v>0</v>
      </c>
      <c r="J219" s="53"/>
      <c r="K219" s="54"/>
      <c r="L219" s="55">
        <f t="shared" si="294"/>
        <v>0</v>
      </c>
      <c r="M219" s="53"/>
      <c r="N219" s="54"/>
      <c r="O219" s="55">
        <f t="shared" si="295"/>
        <v>0</v>
      </c>
      <c r="P219" s="57"/>
    </row>
    <row r="220" spans="1:16" ht="24" hidden="1" customHeight="1" x14ac:dyDescent="0.25">
      <c r="A220" s="51">
        <v>5234</v>
      </c>
      <c r="B220" s="88" t="s">
        <v>237</v>
      </c>
      <c r="C220" s="89">
        <f t="shared" si="287"/>
        <v>0</v>
      </c>
      <c r="D220" s="194"/>
      <c r="E220" s="195"/>
      <c r="F220" s="55">
        <f t="shared" si="292"/>
        <v>0</v>
      </c>
      <c r="G220" s="53"/>
      <c r="H220" s="54"/>
      <c r="I220" s="55">
        <f t="shared" si="293"/>
        <v>0</v>
      </c>
      <c r="J220" s="53"/>
      <c r="K220" s="54"/>
      <c r="L220" s="55">
        <f t="shared" si="294"/>
        <v>0</v>
      </c>
      <c r="M220" s="53"/>
      <c r="N220" s="54"/>
      <c r="O220" s="55">
        <f t="shared" si="295"/>
        <v>0</v>
      </c>
      <c r="P220" s="57"/>
    </row>
    <row r="221" spans="1:16" ht="14.25" hidden="1" customHeight="1" x14ac:dyDescent="0.25">
      <c r="A221" s="51">
        <v>5236</v>
      </c>
      <c r="B221" s="88" t="s">
        <v>238</v>
      </c>
      <c r="C221" s="89">
        <f t="shared" si="287"/>
        <v>0</v>
      </c>
      <c r="D221" s="194"/>
      <c r="E221" s="195"/>
      <c r="F221" s="55">
        <f t="shared" si="292"/>
        <v>0</v>
      </c>
      <c r="G221" s="53"/>
      <c r="H221" s="54"/>
      <c r="I221" s="55">
        <f t="shared" si="293"/>
        <v>0</v>
      </c>
      <c r="J221" s="53"/>
      <c r="K221" s="54"/>
      <c r="L221" s="55">
        <f t="shared" si="294"/>
        <v>0</v>
      </c>
      <c r="M221" s="53"/>
      <c r="N221" s="54"/>
      <c r="O221" s="55">
        <f t="shared" si="295"/>
        <v>0</v>
      </c>
      <c r="P221" s="57"/>
    </row>
    <row r="222" spans="1:16" ht="14.25" hidden="1" customHeight="1" x14ac:dyDescent="0.25">
      <c r="A222" s="51">
        <v>5237</v>
      </c>
      <c r="B222" s="88" t="s">
        <v>239</v>
      </c>
      <c r="C222" s="89">
        <f t="shared" si="287"/>
        <v>0</v>
      </c>
      <c r="D222" s="194"/>
      <c r="E222" s="195"/>
      <c r="F222" s="55">
        <f t="shared" si="292"/>
        <v>0</v>
      </c>
      <c r="G222" s="53"/>
      <c r="H222" s="54"/>
      <c r="I222" s="55">
        <f t="shared" si="293"/>
        <v>0</v>
      </c>
      <c r="J222" s="53"/>
      <c r="K222" s="54"/>
      <c r="L222" s="55">
        <f t="shared" si="294"/>
        <v>0</v>
      </c>
      <c r="M222" s="53"/>
      <c r="N222" s="54"/>
      <c r="O222" s="55">
        <f t="shared" si="295"/>
        <v>0</v>
      </c>
      <c r="P222" s="57"/>
    </row>
    <row r="223" spans="1:16" ht="24" hidden="1" customHeight="1" x14ac:dyDescent="0.25">
      <c r="A223" s="51">
        <v>5238</v>
      </c>
      <c r="B223" s="88" t="s">
        <v>240</v>
      </c>
      <c r="C223" s="89">
        <f t="shared" si="287"/>
        <v>0</v>
      </c>
      <c r="D223" s="194"/>
      <c r="E223" s="195"/>
      <c r="F223" s="55">
        <f t="shared" si="292"/>
        <v>0</v>
      </c>
      <c r="G223" s="53"/>
      <c r="H223" s="54"/>
      <c r="I223" s="55">
        <f t="shared" si="293"/>
        <v>0</v>
      </c>
      <c r="J223" s="53"/>
      <c r="K223" s="54"/>
      <c r="L223" s="55">
        <f t="shared" si="294"/>
        <v>0</v>
      </c>
      <c r="M223" s="53"/>
      <c r="N223" s="54"/>
      <c r="O223" s="55">
        <f t="shared" si="295"/>
        <v>0</v>
      </c>
      <c r="P223" s="57"/>
    </row>
    <row r="224" spans="1:16" ht="24" hidden="1" customHeight="1" x14ac:dyDescent="0.25">
      <c r="A224" s="51">
        <v>5239</v>
      </c>
      <c r="B224" s="88" t="s">
        <v>241</v>
      </c>
      <c r="C224" s="89">
        <f t="shared" si="287"/>
        <v>0</v>
      </c>
      <c r="D224" s="194"/>
      <c r="E224" s="195"/>
      <c r="F224" s="55">
        <f t="shared" si="292"/>
        <v>0</v>
      </c>
      <c r="G224" s="53"/>
      <c r="H224" s="54"/>
      <c r="I224" s="55">
        <f t="shared" si="293"/>
        <v>0</v>
      </c>
      <c r="J224" s="53"/>
      <c r="K224" s="54"/>
      <c r="L224" s="55">
        <f t="shared" si="294"/>
        <v>0</v>
      </c>
      <c r="M224" s="53"/>
      <c r="N224" s="54"/>
      <c r="O224" s="55">
        <f t="shared" si="295"/>
        <v>0</v>
      </c>
      <c r="P224" s="57"/>
    </row>
    <row r="225" spans="1:16" ht="24" hidden="1" customHeight="1" x14ac:dyDescent="0.25">
      <c r="A225" s="188">
        <v>5240</v>
      </c>
      <c r="B225" s="88" t="s">
        <v>242</v>
      </c>
      <c r="C225" s="89">
        <f t="shared" si="287"/>
        <v>0</v>
      </c>
      <c r="D225" s="194"/>
      <c r="E225" s="195"/>
      <c r="F225" s="55">
        <f t="shared" si="292"/>
        <v>0</v>
      </c>
      <c r="G225" s="53"/>
      <c r="H225" s="54"/>
      <c r="I225" s="55">
        <f t="shared" si="293"/>
        <v>0</v>
      </c>
      <c r="J225" s="53"/>
      <c r="K225" s="54"/>
      <c r="L225" s="55">
        <f t="shared" si="294"/>
        <v>0</v>
      </c>
      <c r="M225" s="53"/>
      <c r="N225" s="54"/>
      <c r="O225" s="55">
        <f t="shared" si="295"/>
        <v>0</v>
      </c>
      <c r="P225" s="57"/>
    </row>
    <row r="226" spans="1:16" ht="12" hidden="1" customHeight="1" x14ac:dyDescent="0.25">
      <c r="A226" s="188">
        <v>5250</v>
      </c>
      <c r="B226" s="88" t="s">
        <v>243</v>
      </c>
      <c r="C226" s="89">
        <f t="shared" si="287"/>
        <v>0</v>
      </c>
      <c r="D226" s="194"/>
      <c r="E226" s="195"/>
      <c r="F226" s="55">
        <f t="shared" si="292"/>
        <v>0</v>
      </c>
      <c r="G226" s="53"/>
      <c r="H226" s="54"/>
      <c r="I226" s="55">
        <f t="shared" si="293"/>
        <v>0</v>
      </c>
      <c r="J226" s="53"/>
      <c r="K226" s="54"/>
      <c r="L226" s="55">
        <f t="shared" si="294"/>
        <v>0</v>
      </c>
      <c r="M226" s="53"/>
      <c r="N226" s="54"/>
      <c r="O226" s="55">
        <f t="shared" si="295"/>
        <v>0</v>
      </c>
      <c r="P226" s="57"/>
    </row>
    <row r="227" spans="1:16" hidden="1" x14ac:dyDescent="0.25">
      <c r="A227" s="188">
        <v>5260</v>
      </c>
      <c r="B227" s="88" t="s">
        <v>244</v>
      </c>
      <c r="C227" s="89">
        <f t="shared" si="287"/>
        <v>0</v>
      </c>
      <c r="D227" s="189">
        <f>SUM(D228)</f>
        <v>0</v>
      </c>
      <c r="E227" s="190">
        <f t="shared" ref="E227:F227" si="296">SUM(E228)</f>
        <v>0</v>
      </c>
      <c r="F227" s="55">
        <f t="shared" si="296"/>
        <v>0</v>
      </c>
      <c r="G227" s="189">
        <f>SUM(G228)</f>
        <v>0</v>
      </c>
      <c r="H227" s="190">
        <f t="shared" ref="H227:I227" si="297">SUM(H228)</f>
        <v>0</v>
      </c>
      <c r="I227" s="55">
        <f t="shared" si="297"/>
        <v>0</v>
      </c>
      <c r="J227" s="189">
        <f>SUM(J228)</f>
        <v>0</v>
      </c>
      <c r="K227" s="190">
        <f t="shared" ref="K227:L227" si="298">SUM(K228)</f>
        <v>0</v>
      </c>
      <c r="L227" s="55">
        <f t="shared" si="298"/>
        <v>0</v>
      </c>
      <c r="M227" s="189">
        <f>SUM(M228)</f>
        <v>0</v>
      </c>
      <c r="N227" s="190">
        <f t="shared" ref="N227:O227" si="299">SUM(N228)</f>
        <v>0</v>
      </c>
      <c r="O227" s="55">
        <f t="shared" si="299"/>
        <v>0</v>
      </c>
      <c r="P227" s="57"/>
    </row>
    <row r="228" spans="1:16" ht="24" hidden="1" customHeight="1" x14ac:dyDescent="0.25">
      <c r="A228" s="51">
        <v>5269</v>
      </c>
      <c r="B228" s="88" t="s">
        <v>245</v>
      </c>
      <c r="C228" s="89">
        <f t="shared" si="287"/>
        <v>0</v>
      </c>
      <c r="D228" s="194"/>
      <c r="E228" s="195"/>
      <c r="F228" s="55">
        <f t="shared" ref="F228:F229" si="300">D228+E228</f>
        <v>0</v>
      </c>
      <c r="G228" s="53"/>
      <c r="H228" s="54"/>
      <c r="I228" s="55">
        <f t="shared" ref="I228:I229" si="301">G228+H228</f>
        <v>0</v>
      </c>
      <c r="J228" s="53"/>
      <c r="K228" s="54"/>
      <c r="L228" s="55">
        <f t="shared" ref="L228:L229" si="302">K228+J228</f>
        <v>0</v>
      </c>
      <c r="M228" s="53"/>
      <c r="N228" s="54"/>
      <c r="O228" s="55">
        <f t="shared" ref="O228:O229" si="303">N228+M228</f>
        <v>0</v>
      </c>
      <c r="P228" s="57"/>
    </row>
    <row r="229" spans="1:16" ht="24" hidden="1" customHeight="1" x14ac:dyDescent="0.25">
      <c r="A229" s="185">
        <v>5270</v>
      </c>
      <c r="B229" s="137" t="s">
        <v>246</v>
      </c>
      <c r="C229" s="142">
        <f t="shared" si="287"/>
        <v>0</v>
      </c>
      <c r="D229" s="202"/>
      <c r="E229" s="203"/>
      <c r="F229" s="140">
        <f t="shared" si="300"/>
        <v>0</v>
      </c>
      <c r="G229" s="143"/>
      <c r="H229" s="144"/>
      <c r="I229" s="140">
        <f t="shared" si="301"/>
        <v>0</v>
      </c>
      <c r="J229" s="143"/>
      <c r="K229" s="144"/>
      <c r="L229" s="140">
        <f t="shared" si="302"/>
        <v>0</v>
      </c>
      <c r="M229" s="143"/>
      <c r="N229" s="144"/>
      <c r="O229" s="140">
        <f t="shared" si="303"/>
        <v>0</v>
      </c>
      <c r="P229" s="128"/>
    </row>
    <row r="230" spans="1:16" hidden="1" x14ac:dyDescent="0.25">
      <c r="A230" s="176">
        <v>6000</v>
      </c>
      <c r="B230" s="176" t="s">
        <v>247</v>
      </c>
      <c r="C230" s="177">
        <f t="shared" si="287"/>
        <v>0</v>
      </c>
      <c r="D230" s="178">
        <f>D231+D251+D259</f>
        <v>0</v>
      </c>
      <c r="E230" s="179">
        <f t="shared" ref="E230:F230" si="304">E231+E251+E259</f>
        <v>0</v>
      </c>
      <c r="F230" s="180">
        <f t="shared" si="304"/>
        <v>0</v>
      </c>
      <c r="G230" s="178">
        <f>G231+G251+G259</f>
        <v>0</v>
      </c>
      <c r="H230" s="179">
        <f t="shared" ref="H230:I230" si="305">H231+H251+H259</f>
        <v>0</v>
      </c>
      <c r="I230" s="180">
        <f t="shared" si="305"/>
        <v>0</v>
      </c>
      <c r="J230" s="178">
        <f>J231+J251+J259</f>
        <v>0</v>
      </c>
      <c r="K230" s="179">
        <f t="shared" ref="K230:L230" si="306">K231+K251+K259</f>
        <v>0</v>
      </c>
      <c r="L230" s="180">
        <f t="shared" si="306"/>
        <v>0</v>
      </c>
      <c r="M230" s="178">
        <f>M231+M251+M259</f>
        <v>0</v>
      </c>
      <c r="N230" s="179">
        <f t="shared" ref="N230:O230" si="307">N231+N251+N259</f>
        <v>0</v>
      </c>
      <c r="O230" s="180">
        <f t="shared" si="307"/>
        <v>0</v>
      </c>
      <c r="P230" s="181"/>
    </row>
    <row r="231" spans="1:16" ht="14.25" hidden="1" customHeight="1" x14ac:dyDescent="0.25">
      <c r="A231" s="216">
        <v>6200</v>
      </c>
      <c r="B231" s="207" t="s">
        <v>248</v>
      </c>
      <c r="C231" s="217">
        <f t="shared" si="287"/>
        <v>0</v>
      </c>
      <c r="D231" s="218">
        <f>SUM(D232,D233,D235,D238,D244,D245,D246)</f>
        <v>0</v>
      </c>
      <c r="E231" s="219">
        <f t="shared" ref="E231:F231" si="308">SUM(E232,E233,E235,E238,E244,E245,E246)</f>
        <v>0</v>
      </c>
      <c r="F231" s="220">
        <f t="shared" si="308"/>
        <v>0</v>
      </c>
      <c r="G231" s="218">
        <f>SUM(G232,G233,G235,G238,G244,G245,G246)</f>
        <v>0</v>
      </c>
      <c r="H231" s="219">
        <f t="shared" ref="H231:I231" si="309">SUM(H232,H233,H235,H238,H244,H245,H246)</f>
        <v>0</v>
      </c>
      <c r="I231" s="220">
        <f t="shared" si="309"/>
        <v>0</v>
      </c>
      <c r="J231" s="218">
        <f>SUM(J232,J233,J235,J238,J244,J245,J246)</f>
        <v>0</v>
      </c>
      <c r="K231" s="219">
        <f t="shared" ref="K231:L231" si="310">SUM(K232,K233,K235,K238,K244,K245,K246)</f>
        <v>0</v>
      </c>
      <c r="L231" s="220">
        <f t="shared" si="310"/>
        <v>0</v>
      </c>
      <c r="M231" s="218">
        <f>SUM(M232,M233,M235,M238,M244,M245,M246)</f>
        <v>0</v>
      </c>
      <c r="N231" s="219">
        <f t="shared" ref="N231:O231" si="311">SUM(N232,N233,N235,N238,N244,N245,N246)</f>
        <v>0</v>
      </c>
      <c r="O231" s="220">
        <f t="shared" si="311"/>
        <v>0</v>
      </c>
      <c r="P231" s="221"/>
    </row>
    <row r="232" spans="1:16" ht="24" hidden="1" customHeight="1" x14ac:dyDescent="0.25">
      <c r="A232" s="278">
        <v>6220</v>
      </c>
      <c r="B232" s="81" t="s">
        <v>249</v>
      </c>
      <c r="C232" s="82">
        <f t="shared" si="287"/>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7"/>
        <v>0</v>
      </c>
      <c r="D233" s="189">
        <f t="shared" ref="D233:O233" si="312">SUM(D234)</f>
        <v>0</v>
      </c>
      <c r="E233" s="190">
        <f t="shared" si="312"/>
        <v>0</v>
      </c>
      <c r="F233" s="55">
        <f t="shared" si="312"/>
        <v>0</v>
      </c>
      <c r="G233" s="189">
        <f t="shared" si="312"/>
        <v>0</v>
      </c>
      <c r="H233" s="190">
        <f t="shared" si="312"/>
        <v>0</v>
      </c>
      <c r="I233" s="55">
        <f t="shared" si="312"/>
        <v>0</v>
      </c>
      <c r="J233" s="189">
        <f t="shared" si="312"/>
        <v>0</v>
      </c>
      <c r="K233" s="190">
        <f t="shared" si="312"/>
        <v>0</v>
      </c>
      <c r="L233" s="55">
        <f t="shared" si="312"/>
        <v>0</v>
      </c>
      <c r="M233" s="189">
        <f t="shared" si="312"/>
        <v>0</v>
      </c>
      <c r="N233" s="190">
        <f t="shared" si="312"/>
        <v>0</v>
      </c>
      <c r="O233" s="55">
        <f t="shared" si="312"/>
        <v>0</v>
      </c>
      <c r="P233" s="57"/>
    </row>
    <row r="234" spans="1:16" ht="24" hidden="1" customHeight="1" x14ac:dyDescent="0.25">
      <c r="A234" s="51">
        <v>6239</v>
      </c>
      <c r="B234" s="81" t="s">
        <v>251</v>
      </c>
      <c r="C234" s="89">
        <f t="shared" si="287"/>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7"/>
        <v>0</v>
      </c>
      <c r="D235" s="189">
        <f>SUM(D236:D237)</f>
        <v>0</v>
      </c>
      <c r="E235" s="190">
        <f t="shared" ref="E235:F235" si="313">SUM(E236:E237)</f>
        <v>0</v>
      </c>
      <c r="F235" s="55">
        <f t="shared" si="313"/>
        <v>0</v>
      </c>
      <c r="G235" s="189">
        <f>SUM(G236:G237)</f>
        <v>0</v>
      </c>
      <c r="H235" s="190">
        <f t="shared" ref="H235:I235" si="314">SUM(H236:H237)</f>
        <v>0</v>
      </c>
      <c r="I235" s="55">
        <f t="shared" si="314"/>
        <v>0</v>
      </c>
      <c r="J235" s="189">
        <f>SUM(J236:J237)</f>
        <v>0</v>
      </c>
      <c r="K235" s="190">
        <f t="shared" ref="K235:L235" si="315">SUM(K236:K237)</f>
        <v>0</v>
      </c>
      <c r="L235" s="55">
        <f t="shared" si="315"/>
        <v>0</v>
      </c>
      <c r="M235" s="189">
        <f>SUM(M236:M237)</f>
        <v>0</v>
      </c>
      <c r="N235" s="190">
        <f t="shared" ref="N235:O235" si="316">SUM(N236:N237)</f>
        <v>0</v>
      </c>
      <c r="O235" s="55">
        <f t="shared" si="316"/>
        <v>0</v>
      </c>
      <c r="P235" s="57"/>
    </row>
    <row r="236" spans="1:16" ht="12" hidden="1" customHeight="1" x14ac:dyDescent="0.25">
      <c r="A236" s="51">
        <v>6241</v>
      </c>
      <c r="B236" s="88" t="s">
        <v>253</v>
      </c>
      <c r="C236" s="89">
        <f t="shared" si="287"/>
        <v>0</v>
      </c>
      <c r="D236" s="194"/>
      <c r="E236" s="195"/>
      <c r="F236" s="55">
        <f t="shared" ref="F236:F237" si="317">D236+E236</f>
        <v>0</v>
      </c>
      <c r="G236" s="53"/>
      <c r="H236" s="54"/>
      <c r="I236" s="55">
        <f t="shared" ref="I236:I237" si="318">G236+H236</f>
        <v>0</v>
      </c>
      <c r="J236" s="53"/>
      <c r="K236" s="54"/>
      <c r="L236" s="55">
        <f t="shared" ref="L236:L237" si="319">K236+J236</f>
        <v>0</v>
      </c>
      <c r="M236" s="53"/>
      <c r="N236" s="54"/>
      <c r="O236" s="55">
        <f t="shared" ref="O236:O237" si="320">N236+M236</f>
        <v>0</v>
      </c>
      <c r="P236" s="57"/>
    </row>
    <row r="237" spans="1:16" ht="12" hidden="1" customHeight="1" x14ac:dyDescent="0.25">
      <c r="A237" s="51">
        <v>6242</v>
      </c>
      <c r="B237" s="88" t="s">
        <v>254</v>
      </c>
      <c r="C237" s="89">
        <f t="shared" si="287"/>
        <v>0</v>
      </c>
      <c r="D237" s="194"/>
      <c r="E237" s="195"/>
      <c r="F237" s="55">
        <f t="shared" si="317"/>
        <v>0</v>
      </c>
      <c r="G237" s="53"/>
      <c r="H237" s="54"/>
      <c r="I237" s="55">
        <f t="shared" si="318"/>
        <v>0</v>
      </c>
      <c r="J237" s="53"/>
      <c r="K237" s="54"/>
      <c r="L237" s="55">
        <f t="shared" si="319"/>
        <v>0</v>
      </c>
      <c r="M237" s="53"/>
      <c r="N237" s="54"/>
      <c r="O237" s="55">
        <f t="shared" si="320"/>
        <v>0</v>
      </c>
      <c r="P237" s="57"/>
    </row>
    <row r="238" spans="1:16" ht="25.5" hidden="1" customHeight="1" x14ac:dyDescent="0.25">
      <c r="A238" s="188">
        <v>6250</v>
      </c>
      <c r="B238" s="88" t="s">
        <v>255</v>
      </c>
      <c r="C238" s="89">
        <f t="shared" si="287"/>
        <v>0</v>
      </c>
      <c r="D238" s="189">
        <f>SUM(D239:D243)</f>
        <v>0</v>
      </c>
      <c r="E238" s="190">
        <f t="shared" ref="E238:F238" si="321">SUM(E239:E243)</f>
        <v>0</v>
      </c>
      <c r="F238" s="55">
        <f t="shared" si="321"/>
        <v>0</v>
      </c>
      <c r="G238" s="189">
        <f>SUM(G239:G243)</f>
        <v>0</v>
      </c>
      <c r="H238" s="190">
        <f t="shared" ref="H238:I238" si="322">SUM(H239:H243)</f>
        <v>0</v>
      </c>
      <c r="I238" s="55">
        <f t="shared" si="322"/>
        <v>0</v>
      </c>
      <c r="J238" s="189">
        <f>SUM(J239:J243)</f>
        <v>0</v>
      </c>
      <c r="K238" s="190">
        <f t="shared" ref="K238:L238" si="323">SUM(K239:K243)</f>
        <v>0</v>
      </c>
      <c r="L238" s="55">
        <f t="shared" si="323"/>
        <v>0</v>
      </c>
      <c r="M238" s="189">
        <f>SUM(M239:M243)</f>
        <v>0</v>
      </c>
      <c r="N238" s="190">
        <f t="shared" ref="N238:O238" si="324">SUM(N239:N243)</f>
        <v>0</v>
      </c>
      <c r="O238" s="55">
        <f t="shared" si="324"/>
        <v>0</v>
      </c>
      <c r="P238" s="57"/>
    </row>
    <row r="239" spans="1:16" ht="14.25" hidden="1" customHeight="1" x14ac:dyDescent="0.25">
      <c r="A239" s="51">
        <v>6252</v>
      </c>
      <c r="B239" s="88" t="s">
        <v>256</v>
      </c>
      <c r="C239" s="89">
        <f t="shared" si="287"/>
        <v>0</v>
      </c>
      <c r="D239" s="194"/>
      <c r="E239" s="195"/>
      <c r="F239" s="55">
        <f t="shared" ref="F239:F245" si="325">D239+E239</f>
        <v>0</v>
      </c>
      <c r="G239" s="53"/>
      <c r="H239" s="54"/>
      <c r="I239" s="55">
        <f t="shared" ref="I239:I245" si="326">G239+H239</f>
        <v>0</v>
      </c>
      <c r="J239" s="53"/>
      <c r="K239" s="54"/>
      <c r="L239" s="55">
        <f t="shared" ref="L239:L245" si="327">K239+J239</f>
        <v>0</v>
      </c>
      <c r="M239" s="53"/>
      <c r="N239" s="54"/>
      <c r="O239" s="55">
        <f t="shared" ref="O239:O245" si="328">N239+M239</f>
        <v>0</v>
      </c>
      <c r="P239" s="57"/>
    </row>
    <row r="240" spans="1:16" ht="14.25" hidden="1" customHeight="1" x14ac:dyDescent="0.25">
      <c r="A240" s="51">
        <v>6253</v>
      </c>
      <c r="B240" s="88" t="s">
        <v>257</v>
      </c>
      <c r="C240" s="89">
        <f t="shared" si="287"/>
        <v>0</v>
      </c>
      <c r="D240" s="194"/>
      <c r="E240" s="195"/>
      <c r="F240" s="55">
        <f t="shared" si="325"/>
        <v>0</v>
      </c>
      <c r="G240" s="53"/>
      <c r="H240" s="54"/>
      <c r="I240" s="55">
        <f t="shared" si="326"/>
        <v>0</v>
      </c>
      <c r="J240" s="53"/>
      <c r="K240" s="54"/>
      <c r="L240" s="55">
        <f t="shared" si="327"/>
        <v>0</v>
      </c>
      <c r="M240" s="53"/>
      <c r="N240" s="54"/>
      <c r="O240" s="55">
        <f t="shared" si="328"/>
        <v>0</v>
      </c>
      <c r="P240" s="57"/>
    </row>
    <row r="241" spans="1:16" ht="24" hidden="1" customHeight="1" x14ac:dyDescent="0.25">
      <c r="A241" s="51">
        <v>6254</v>
      </c>
      <c r="B241" s="88" t="s">
        <v>258</v>
      </c>
      <c r="C241" s="89">
        <f t="shared" si="287"/>
        <v>0</v>
      </c>
      <c r="D241" s="194"/>
      <c r="E241" s="195"/>
      <c r="F241" s="55">
        <f t="shared" si="325"/>
        <v>0</v>
      </c>
      <c r="G241" s="53"/>
      <c r="H241" s="54"/>
      <c r="I241" s="55">
        <f t="shared" si="326"/>
        <v>0</v>
      </c>
      <c r="J241" s="53"/>
      <c r="K241" s="54"/>
      <c r="L241" s="55">
        <f t="shared" si="327"/>
        <v>0</v>
      </c>
      <c r="M241" s="53"/>
      <c r="N241" s="54"/>
      <c r="O241" s="55">
        <f t="shared" si="328"/>
        <v>0</v>
      </c>
      <c r="P241" s="57"/>
    </row>
    <row r="242" spans="1:16" ht="24" hidden="1" customHeight="1" x14ac:dyDescent="0.25">
      <c r="A242" s="51">
        <v>6255</v>
      </c>
      <c r="B242" s="88" t="s">
        <v>259</v>
      </c>
      <c r="C242" s="89">
        <f t="shared" si="287"/>
        <v>0</v>
      </c>
      <c r="D242" s="194"/>
      <c r="E242" s="195"/>
      <c r="F242" s="55">
        <f t="shared" si="325"/>
        <v>0</v>
      </c>
      <c r="G242" s="53"/>
      <c r="H242" s="54"/>
      <c r="I242" s="55">
        <f t="shared" si="326"/>
        <v>0</v>
      </c>
      <c r="J242" s="53"/>
      <c r="K242" s="54"/>
      <c r="L242" s="55">
        <f t="shared" si="327"/>
        <v>0</v>
      </c>
      <c r="M242" s="53"/>
      <c r="N242" s="54"/>
      <c r="O242" s="55">
        <f t="shared" si="328"/>
        <v>0</v>
      </c>
      <c r="P242" s="57"/>
    </row>
    <row r="243" spans="1:16" ht="12" hidden="1" customHeight="1" x14ac:dyDescent="0.25">
      <c r="A243" s="51">
        <v>6259</v>
      </c>
      <c r="B243" s="88" t="s">
        <v>260</v>
      </c>
      <c r="C243" s="89">
        <f t="shared" si="287"/>
        <v>0</v>
      </c>
      <c r="D243" s="194"/>
      <c r="E243" s="195"/>
      <c r="F243" s="55">
        <f t="shared" si="325"/>
        <v>0</v>
      </c>
      <c r="G243" s="53"/>
      <c r="H243" s="54"/>
      <c r="I243" s="55">
        <f t="shared" si="326"/>
        <v>0</v>
      </c>
      <c r="J243" s="53"/>
      <c r="K243" s="54"/>
      <c r="L243" s="55">
        <f t="shared" si="327"/>
        <v>0</v>
      </c>
      <c r="M243" s="53"/>
      <c r="N243" s="54"/>
      <c r="O243" s="55">
        <f t="shared" si="328"/>
        <v>0</v>
      </c>
      <c r="P243" s="57"/>
    </row>
    <row r="244" spans="1:16" ht="24" hidden="1" customHeight="1" x14ac:dyDescent="0.25">
      <c r="A244" s="188">
        <v>6260</v>
      </c>
      <c r="B244" s="88" t="s">
        <v>261</v>
      </c>
      <c r="C244" s="89">
        <f t="shared" si="287"/>
        <v>0</v>
      </c>
      <c r="D244" s="194"/>
      <c r="E244" s="195"/>
      <c r="F244" s="55">
        <f t="shared" si="325"/>
        <v>0</v>
      </c>
      <c r="G244" s="53"/>
      <c r="H244" s="54"/>
      <c r="I244" s="55">
        <f t="shared" si="326"/>
        <v>0</v>
      </c>
      <c r="J244" s="53"/>
      <c r="K244" s="54"/>
      <c r="L244" s="55">
        <f t="shared" si="327"/>
        <v>0</v>
      </c>
      <c r="M244" s="53"/>
      <c r="N244" s="54"/>
      <c r="O244" s="55">
        <f t="shared" si="328"/>
        <v>0</v>
      </c>
      <c r="P244" s="57"/>
    </row>
    <row r="245" spans="1:16" ht="12" hidden="1" customHeight="1" x14ac:dyDescent="0.25">
      <c r="A245" s="188">
        <v>6270</v>
      </c>
      <c r="B245" s="88" t="s">
        <v>262</v>
      </c>
      <c r="C245" s="89">
        <f t="shared" si="287"/>
        <v>0</v>
      </c>
      <c r="D245" s="194"/>
      <c r="E245" s="195"/>
      <c r="F245" s="55">
        <f t="shared" si="325"/>
        <v>0</v>
      </c>
      <c r="G245" s="53"/>
      <c r="H245" s="54"/>
      <c r="I245" s="55">
        <f t="shared" si="326"/>
        <v>0</v>
      </c>
      <c r="J245" s="53"/>
      <c r="K245" s="54"/>
      <c r="L245" s="55">
        <f t="shared" si="327"/>
        <v>0</v>
      </c>
      <c r="M245" s="53"/>
      <c r="N245" s="54"/>
      <c r="O245" s="55">
        <f t="shared" si="328"/>
        <v>0</v>
      </c>
      <c r="P245" s="57"/>
    </row>
    <row r="246" spans="1:16" ht="24" hidden="1" x14ac:dyDescent="0.25">
      <c r="A246" s="278">
        <v>6290</v>
      </c>
      <c r="B246" s="81" t="s">
        <v>263</v>
      </c>
      <c r="C246" s="208">
        <f t="shared" si="287"/>
        <v>0</v>
      </c>
      <c r="D246" s="192">
        <f>SUM(D247:D250)</f>
        <v>0</v>
      </c>
      <c r="E246" s="193">
        <f t="shared" ref="E246:O246" si="329">SUM(E247:E250)</f>
        <v>0</v>
      </c>
      <c r="F246" s="133">
        <f t="shared" si="329"/>
        <v>0</v>
      </c>
      <c r="G246" s="192">
        <f t="shared" si="329"/>
        <v>0</v>
      </c>
      <c r="H246" s="193">
        <f t="shared" si="329"/>
        <v>0</v>
      </c>
      <c r="I246" s="133">
        <f t="shared" si="329"/>
        <v>0</v>
      </c>
      <c r="J246" s="192">
        <f t="shared" si="329"/>
        <v>0</v>
      </c>
      <c r="K246" s="193">
        <f t="shared" si="329"/>
        <v>0</v>
      </c>
      <c r="L246" s="133">
        <f t="shared" si="329"/>
        <v>0</v>
      </c>
      <c r="M246" s="192">
        <f t="shared" si="329"/>
        <v>0</v>
      </c>
      <c r="N246" s="193">
        <f t="shared" si="329"/>
        <v>0</v>
      </c>
      <c r="O246" s="133">
        <f t="shared" si="329"/>
        <v>0</v>
      </c>
      <c r="P246" s="49"/>
    </row>
    <row r="247" spans="1:16" ht="12" hidden="1" customHeight="1" x14ac:dyDescent="0.25">
      <c r="A247" s="51">
        <v>6291</v>
      </c>
      <c r="B247" s="88" t="s">
        <v>264</v>
      </c>
      <c r="C247" s="89">
        <f t="shared" si="287"/>
        <v>0</v>
      </c>
      <c r="D247" s="194"/>
      <c r="E247" s="195"/>
      <c r="F247" s="55">
        <f t="shared" ref="F247:F250" si="330">D247+E247</f>
        <v>0</v>
      </c>
      <c r="G247" s="53"/>
      <c r="H247" s="54"/>
      <c r="I247" s="55">
        <f t="shared" ref="I247:I250" si="331">G247+H247</f>
        <v>0</v>
      </c>
      <c r="J247" s="53"/>
      <c r="K247" s="54"/>
      <c r="L247" s="55">
        <f t="shared" ref="L247:L250" si="332">K247+J247</f>
        <v>0</v>
      </c>
      <c r="M247" s="53"/>
      <c r="N247" s="54"/>
      <c r="O247" s="55">
        <f t="shared" ref="O247:O250" si="333">N247+M247</f>
        <v>0</v>
      </c>
      <c r="P247" s="57"/>
    </row>
    <row r="248" spans="1:16" ht="12" hidden="1" customHeight="1" x14ac:dyDescent="0.25">
      <c r="A248" s="51">
        <v>6292</v>
      </c>
      <c r="B248" s="88" t="s">
        <v>265</v>
      </c>
      <c r="C248" s="89">
        <f t="shared" si="287"/>
        <v>0</v>
      </c>
      <c r="D248" s="194"/>
      <c r="E248" s="195"/>
      <c r="F248" s="55">
        <f t="shared" si="330"/>
        <v>0</v>
      </c>
      <c r="G248" s="53"/>
      <c r="H248" s="54"/>
      <c r="I248" s="55">
        <f t="shared" si="331"/>
        <v>0</v>
      </c>
      <c r="J248" s="53"/>
      <c r="K248" s="54"/>
      <c r="L248" s="55">
        <f t="shared" si="332"/>
        <v>0</v>
      </c>
      <c r="M248" s="53"/>
      <c r="N248" s="54"/>
      <c r="O248" s="55">
        <f t="shared" si="333"/>
        <v>0</v>
      </c>
      <c r="P248" s="57"/>
    </row>
    <row r="249" spans="1:16" ht="72" hidden="1" customHeight="1" x14ac:dyDescent="0.25">
      <c r="A249" s="51">
        <v>6296</v>
      </c>
      <c r="B249" s="88" t="s">
        <v>266</v>
      </c>
      <c r="C249" s="89">
        <f t="shared" si="287"/>
        <v>0</v>
      </c>
      <c r="D249" s="194"/>
      <c r="E249" s="195"/>
      <c r="F249" s="55">
        <f t="shared" si="330"/>
        <v>0</v>
      </c>
      <c r="G249" s="53"/>
      <c r="H249" s="54"/>
      <c r="I249" s="55">
        <f t="shared" si="331"/>
        <v>0</v>
      </c>
      <c r="J249" s="53"/>
      <c r="K249" s="54"/>
      <c r="L249" s="55">
        <f t="shared" si="332"/>
        <v>0</v>
      </c>
      <c r="M249" s="53"/>
      <c r="N249" s="54"/>
      <c r="O249" s="55">
        <f t="shared" si="333"/>
        <v>0</v>
      </c>
      <c r="P249" s="57"/>
    </row>
    <row r="250" spans="1:16" ht="39.75" hidden="1" customHeight="1" x14ac:dyDescent="0.25">
      <c r="A250" s="51">
        <v>6299</v>
      </c>
      <c r="B250" s="88" t="s">
        <v>267</v>
      </c>
      <c r="C250" s="89">
        <f t="shared" si="287"/>
        <v>0</v>
      </c>
      <c r="D250" s="194"/>
      <c r="E250" s="195"/>
      <c r="F250" s="55">
        <f t="shared" si="330"/>
        <v>0</v>
      </c>
      <c r="G250" s="53"/>
      <c r="H250" s="54"/>
      <c r="I250" s="55">
        <f t="shared" si="331"/>
        <v>0</v>
      </c>
      <c r="J250" s="53"/>
      <c r="K250" s="54"/>
      <c r="L250" s="55">
        <f t="shared" si="332"/>
        <v>0</v>
      </c>
      <c r="M250" s="53"/>
      <c r="N250" s="54"/>
      <c r="O250" s="55">
        <f t="shared" si="333"/>
        <v>0</v>
      </c>
      <c r="P250" s="57"/>
    </row>
    <row r="251" spans="1:16" hidden="1" x14ac:dyDescent="0.25">
      <c r="A251" s="68">
        <v>6300</v>
      </c>
      <c r="B251" s="182" t="s">
        <v>268</v>
      </c>
      <c r="C251" s="69">
        <f t="shared" si="287"/>
        <v>0</v>
      </c>
      <c r="D251" s="183">
        <f>SUM(D252,D257,D258)</f>
        <v>0</v>
      </c>
      <c r="E251" s="184">
        <f t="shared" ref="E251:O251" si="334">SUM(E252,E257,E258)</f>
        <v>0</v>
      </c>
      <c r="F251" s="72">
        <f t="shared" si="334"/>
        <v>0</v>
      </c>
      <c r="G251" s="183">
        <f t="shared" si="334"/>
        <v>0</v>
      </c>
      <c r="H251" s="184">
        <f t="shared" si="334"/>
        <v>0</v>
      </c>
      <c r="I251" s="72">
        <f t="shared" si="334"/>
        <v>0</v>
      </c>
      <c r="J251" s="183">
        <f t="shared" si="334"/>
        <v>0</v>
      </c>
      <c r="K251" s="184">
        <f t="shared" si="334"/>
        <v>0</v>
      </c>
      <c r="L251" s="72">
        <f t="shared" si="334"/>
        <v>0</v>
      </c>
      <c r="M251" s="183">
        <f t="shared" si="334"/>
        <v>0</v>
      </c>
      <c r="N251" s="184">
        <f t="shared" si="334"/>
        <v>0</v>
      </c>
      <c r="O251" s="72">
        <f t="shared" si="334"/>
        <v>0</v>
      </c>
      <c r="P251" s="76"/>
    </row>
    <row r="252" spans="1:16" ht="24" hidden="1" x14ac:dyDescent="0.25">
      <c r="A252" s="278">
        <v>6320</v>
      </c>
      <c r="B252" s="81" t="s">
        <v>269</v>
      </c>
      <c r="C252" s="208">
        <f t="shared" si="287"/>
        <v>0</v>
      </c>
      <c r="D252" s="192">
        <f>SUM(D253:D256)</f>
        <v>0</v>
      </c>
      <c r="E252" s="193">
        <f t="shared" ref="E252:O252" si="335">SUM(E253:E256)</f>
        <v>0</v>
      </c>
      <c r="F252" s="133">
        <f t="shared" si="335"/>
        <v>0</v>
      </c>
      <c r="G252" s="192">
        <f t="shared" si="335"/>
        <v>0</v>
      </c>
      <c r="H252" s="193">
        <f t="shared" si="335"/>
        <v>0</v>
      </c>
      <c r="I252" s="133">
        <f t="shared" si="335"/>
        <v>0</v>
      </c>
      <c r="J252" s="192">
        <f t="shared" si="335"/>
        <v>0</v>
      </c>
      <c r="K252" s="193">
        <f t="shared" si="335"/>
        <v>0</v>
      </c>
      <c r="L252" s="133">
        <f t="shared" si="335"/>
        <v>0</v>
      </c>
      <c r="M252" s="192">
        <f t="shared" si="335"/>
        <v>0</v>
      </c>
      <c r="N252" s="193">
        <f t="shared" si="335"/>
        <v>0</v>
      </c>
      <c r="O252" s="133">
        <f t="shared" si="335"/>
        <v>0</v>
      </c>
      <c r="P252" s="49"/>
    </row>
    <row r="253" spans="1:16" ht="12" hidden="1" customHeight="1" x14ac:dyDescent="0.25">
      <c r="A253" s="51">
        <v>6322</v>
      </c>
      <c r="B253" s="88" t="s">
        <v>270</v>
      </c>
      <c r="C253" s="89">
        <f t="shared" si="287"/>
        <v>0</v>
      </c>
      <c r="D253" s="194"/>
      <c r="E253" s="195"/>
      <c r="F253" s="55">
        <f t="shared" ref="F253:F258" si="336">D253+E253</f>
        <v>0</v>
      </c>
      <c r="G253" s="53"/>
      <c r="H253" s="54"/>
      <c r="I253" s="55">
        <f t="shared" ref="I253:I258" si="337">G253+H253</f>
        <v>0</v>
      </c>
      <c r="J253" s="53"/>
      <c r="K253" s="54"/>
      <c r="L253" s="55">
        <f t="shared" ref="L253:L258" si="338">K253+J253</f>
        <v>0</v>
      </c>
      <c r="M253" s="53"/>
      <c r="N253" s="54"/>
      <c r="O253" s="55">
        <f t="shared" ref="O253:O258" si="339">N253+M253</f>
        <v>0</v>
      </c>
      <c r="P253" s="57"/>
    </row>
    <row r="254" spans="1:16" ht="24" hidden="1" customHeight="1" x14ac:dyDescent="0.25">
      <c r="A254" s="51">
        <v>6323</v>
      </c>
      <c r="B254" s="88" t="s">
        <v>271</v>
      </c>
      <c r="C254" s="89">
        <f t="shared" si="287"/>
        <v>0</v>
      </c>
      <c r="D254" s="194"/>
      <c r="E254" s="195"/>
      <c r="F254" s="55">
        <f t="shared" si="336"/>
        <v>0</v>
      </c>
      <c r="G254" s="53"/>
      <c r="H254" s="54"/>
      <c r="I254" s="55">
        <f t="shared" si="337"/>
        <v>0</v>
      </c>
      <c r="J254" s="53"/>
      <c r="K254" s="54"/>
      <c r="L254" s="55">
        <f t="shared" si="338"/>
        <v>0</v>
      </c>
      <c r="M254" s="53"/>
      <c r="N254" s="54"/>
      <c r="O254" s="55">
        <f t="shared" si="339"/>
        <v>0</v>
      </c>
      <c r="P254" s="57"/>
    </row>
    <row r="255" spans="1:16" ht="24" hidden="1" customHeight="1" x14ac:dyDescent="0.25">
      <c r="A255" s="51">
        <v>6324</v>
      </c>
      <c r="B255" s="88" t="s">
        <v>272</v>
      </c>
      <c r="C255" s="89">
        <f t="shared" si="287"/>
        <v>0</v>
      </c>
      <c r="D255" s="194"/>
      <c r="E255" s="195"/>
      <c r="F255" s="55">
        <f t="shared" si="336"/>
        <v>0</v>
      </c>
      <c r="G255" s="53"/>
      <c r="H255" s="54"/>
      <c r="I255" s="55">
        <f t="shared" si="337"/>
        <v>0</v>
      </c>
      <c r="J255" s="53"/>
      <c r="K255" s="54"/>
      <c r="L255" s="55">
        <f t="shared" si="338"/>
        <v>0</v>
      </c>
      <c r="M255" s="53"/>
      <c r="N255" s="54"/>
      <c r="O255" s="55">
        <f t="shared" si="339"/>
        <v>0</v>
      </c>
      <c r="P255" s="57"/>
    </row>
    <row r="256" spans="1:16" ht="12" hidden="1" customHeight="1" x14ac:dyDescent="0.25">
      <c r="A256" s="44">
        <v>6329</v>
      </c>
      <c r="B256" s="81" t="s">
        <v>273</v>
      </c>
      <c r="C256" s="82">
        <f t="shared" si="287"/>
        <v>0</v>
      </c>
      <c r="D256" s="196"/>
      <c r="E256" s="197"/>
      <c r="F256" s="133">
        <f t="shared" si="336"/>
        <v>0</v>
      </c>
      <c r="G256" s="46"/>
      <c r="H256" s="47"/>
      <c r="I256" s="133">
        <f t="shared" si="337"/>
        <v>0</v>
      </c>
      <c r="J256" s="46"/>
      <c r="K256" s="47"/>
      <c r="L256" s="133">
        <f t="shared" si="338"/>
        <v>0</v>
      </c>
      <c r="M256" s="46"/>
      <c r="N256" s="47"/>
      <c r="O256" s="133">
        <f t="shared" si="339"/>
        <v>0</v>
      </c>
      <c r="P256" s="49"/>
    </row>
    <row r="257" spans="1:16" ht="24" hidden="1" customHeight="1" x14ac:dyDescent="0.25">
      <c r="A257" s="225">
        <v>6330</v>
      </c>
      <c r="B257" s="226" t="s">
        <v>274</v>
      </c>
      <c r="C257" s="208">
        <f t="shared" si="287"/>
        <v>0</v>
      </c>
      <c r="D257" s="210"/>
      <c r="E257" s="211"/>
      <c r="F257" s="212">
        <f t="shared" si="336"/>
        <v>0</v>
      </c>
      <c r="G257" s="213"/>
      <c r="H257" s="214"/>
      <c r="I257" s="212">
        <f t="shared" si="337"/>
        <v>0</v>
      </c>
      <c r="J257" s="213"/>
      <c r="K257" s="214"/>
      <c r="L257" s="212">
        <f t="shared" si="338"/>
        <v>0</v>
      </c>
      <c r="M257" s="213"/>
      <c r="N257" s="214"/>
      <c r="O257" s="212">
        <f t="shared" si="339"/>
        <v>0</v>
      </c>
      <c r="P257" s="215"/>
    </row>
    <row r="258" spans="1:16" ht="12" hidden="1" customHeight="1" x14ac:dyDescent="0.25">
      <c r="A258" s="188">
        <v>6360</v>
      </c>
      <c r="B258" s="88" t="s">
        <v>275</v>
      </c>
      <c r="C258" s="89">
        <f t="shared" si="287"/>
        <v>0</v>
      </c>
      <c r="D258" s="194"/>
      <c r="E258" s="195"/>
      <c r="F258" s="55">
        <f t="shared" si="336"/>
        <v>0</v>
      </c>
      <c r="G258" s="53"/>
      <c r="H258" s="54"/>
      <c r="I258" s="55">
        <f t="shared" si="337"/>
        <v>0</v>
      </c>
      <c r="J258" s="53"/>
      <c r="K258" s="54"/>
      <c r="L258" s="55">
        <f t="shared" si="338"/>
        <v>0</v>
      </c>
      <c r="M258" s="53"/>
      <c r="N258" s="54"/>
      <c r="O258" s="55">
        <f t="shared" si="339"/>
        <v>0</v>
      </c>
      <c r="P258" s="57"/>
    </row>
    <row r="259" spans="1:16" ht="36" hidden="1" x14ac:dyDescent="0.25">
      <c r="A259" s="68">
        <v>6400</v>
      </c>
      <c r="B259" s="182" t="s">
        <v>276</v>
      </c>
      <c r="C259" s="69">
        <f t="shared" si="287"/>
        <v>0</v>
      </c>
      <c r="D259" s="183">
        <f>SUM(D260,D264)</f>
        <v>0</v>
      </c>
      <c r="E259" s="184">
        <f t="shared" ref="E259:O259" si="340">SUM(E260,E264)</f>
        <v>0</v>
      </c>
      <c r="F259" s="72">
        <f t="shared" si="340"/>
        <v>0</v>
      </c>
      <c r="G259" s="183">
        <f t="shared" si="340"/>
        <v>0</v>
      </c>
      <c r="H259" s="184">
        <f t="shared" si="340"/>
        <v>0</v>
      </c>
      <c r="I259" s="72">
        <f t="shared" si="340"/>
        <v>0</v>
      </c>
      <c r="J259" s="183">
        <f t="shared" si="340"/>
        <v>0</v>
      </c>
      <c r="K259" s="184">
        <f t="shared" si="340"/>
        <v>0</v>
      </c>
      <c r="L259" s="72">
        <f t="shared" si="340"/>
        <v>0</v>
      </c>
      <c r="M259" s="183">
        <f t="shared" si="340"/>
        <v>0</v>
      </c>
      <c r="N259" s="184">
        <f t="shared" si="340"/>
        <v>0</v>
      </c>
      <c r="O259" s="72">
        <f t="shared" si="340"/>
        <v>0</v>
      </c>
      <c r="P259" s="76"/>
    </row>
    <row r="260" spans="1:16" ht="24" hidden="1" x14ac:dyDescent="0.25">
      <c r="A260" s="278">
        <v>6410</v>
      </c>
      <c r="B260" s="81" t="s">
        <v>277</v>
      </c>
      <c r="C260" s="82">
        <f t="shared" si="287"/>
        <v>0</v>
      </c>
      <c r="D260" s="192">
        <f>SUM(D261:D263)</f>
        <v>0</v>
      </c>
      <c r="E260" s="193">
        <f t="shared" ref="E260:O260" si="341">SUM(E261:E263)</f>
        <v>0</v>
      </c>
      <c r="F260" s="133">
        <f t="shared" si="341"/>
        <v>0</v>
      </c>
      <c r="G260" s="192">
        <f t="shared" si="341"/>
        <v>0</v>
      </c>
      <c r="H260" s="193">
        <f t="shared" si="341"/>
        <v>0</v>
      </c>
      <c r="I260" s="133">
        <f t="shared" si="341"/>
        <v>0</v>
      </c>
      <c r="J260" s="192">
        <f t="shared" si="341"/>
        <v>0</v>
      </c>
      <c r="K260" s="193">
        <f t="shared" si="341"/>
        <v>0</v>
      </c>
      <c r="L260" s="133">
        <f t="shared" si="341"/>
        <v>0</v>
      </c>
      <c r="M260" s="192">
        <f t="shared" si="341"/>
        <v>0</v>
      </c>
      <c r="N260" s="193">
        <f t="shared" si="341"/>
        <v>0</v>
      </c>
      <c r="O260" s="133">
        <f t="shared" si="341"/>
        <v>0</v>
      </c>
      <c r="P260" s="49"/>
    </row>
    <row r="261" spans="1:16" ht="12" hidden="1" customHeight="1" x14ac:dyDescent="0.25">
      <c r="A261" s="51">
        <v>6411</v>
      </c>
      <c r="B261" s="199" t="s">
        <v>278</v>
      </c>
      <c r="C261" s="89">
        <f t="shared" si="287"/>
        <v>0</v>
      </c>
      <c r="D261" s="194"/>
      <c r="E261" s="195"/>
      <c r="F261" s="55">
        <f t="shared" ref="F261:F263" si="342">D261+E261</f>
        <v>0</v>
      </c>
      <c r="G261" s="53"/>
      <c r="H261" s="54"/>
      <c r="I261" s="55">
        <f t="shared" ref="I261:I263" si="343">G261+H261</f>
        <v>0</v>
      </c>
      <c r="J261" s="53"/>
      <c r="K261" s="54"/>
      <c r="L261" s="55">
        <f t="shared" ref="L261:L263" si="344">K261+J261</f>
        <v>0</v>
      </c>
      <c r="M261" s="53"/>
      <c r="N261" s="54"/>
      <c r="O261" s="55">
        <f t="shared" ref="O261:O263" si="345">N261+M261</f>
        <v>0</v>
      </c>
      <c r="P261" s="57"/>
    </row>
    <row r="262" spans="1:16" ht="36" hidden="1" customHeight="1" x14ac:dyDescent="0.25">
      <c r="A262" s="51">
        <v>6412</v>
      </c>
      <c r="B262" s="88" t="s">
        <v>279</v>
      </c>
      <c r="C262" s="89">
        <f t="shared" si="287"/>
        <v>0</v>
      </c>
      <c r="D262" s="194"/>
      <c r="E262" s="195"/>
      <c r="F262" s="55">
        <f t="shared" si="342"/>
        <v>0</v>
      </c>
      <c r="G262" s="53"/>
      <c r="H262" s="54"/>
      <c r="I262" s="55">
        <f t="shared" si="343"/>
        <v>0</v>
      </c>
      <c r="J262" s="53"/>
      <c r="K262" s="54"/>
      <c r="L262" s="55">
        <f t="shared" si="344"/>
        <v>0</v>
      </c>
      <c r="M262" s="53"/>
      <c r="N262" s="54"/>
      <c r="O262" s="55">
        <f t="shared" si="345"/>
        <v>0</v>
      </c>
      <c r="P262" s="57"/>
    </row>
    <row r="263" spans="1:16" ht="36" hidden="1" customHeight="1" x14ac:dyDescent="0.25">
      <c r="A263" s="51">
        <v>6419</v>
      </c>
      <c r="B263" s="88" t="s">
        <v>280</v>
      </c>
      <c r="C263" s="89">
        <f t="shared" si="287"/>
        <v>0</v>
      </c>
      <c r="D263" s="194"/>
      <c r="E263" s="195"/>
      <c r="F263" s="55">
        <f t="shared" si="342"/>
        <v>0</v>
      </c>
      <c r="G263" s="53"/>
      <c r="H263" s="54"/>
      <c r="I263" s="55">
        <f t="shared" si="343"/>
        <v>0</v>
      </c>
      <c r="J263" s="53"/>
      <c r="K263" s="54"/>
      <c r="L263" s="55">
        <f t="shared" si="344"/>
        <v>0</v>
      </c>
      <c r="M263" s="53"/>
      <c r="N263" s="54"/>
      <c r="O263" s="55">
        <f t="shared" si="345"/>
        <v>0</v>
      </c>
      <c r="P263" s="57"/>
    </row>
    <row r="264" spans="1:16" ht="48" hidden="1" x14ac:dyDescent="0.25">
      <c r="A264" s="188">
        <v>6420</v>
      </c>
      <c r="B264" s="88" t="s">
        <v>281</v>
      </c>
      <c r="C264" s="89">
        <f t="shared" si="287"/>
        <v>0</v>
      </c>
      <c r="D264" s="189">
        <f>SUM(D265:D268)</f>
        <v>0</v>
      </c>
      <c r="E264" s="190">
        <f t="shared" ref="E264:F264" si="346">SUM(E265:E268)</f>
        <v>0</v>
      </c>
      <c r="F264" s="55">
        <f t="shared" si="346"/>
        <v>0</v>
      </c>
      <c r="G264" s="189">
        <f>SUM(G265:G268)</f>
        <v>0</v>
      </c>
      <c r="H264" s="190">
        <f t="shared" ref="H264:I264" si="347">SUM(H265:H268)</f>
        <v>0</v>
      </c>
      <c r="I264" s="55">
        <f t="shared" si="347"/>
        <v>0</v>
      </c>
      <c r="J264" s="189">
        <f>SUM(J265:J268)</f>
        <v>0</v>
      </c>
      <c r="K264" s="190">
        <f t="shared" ref="K264:L264" si="348">SUM(K265:K268)</f>
        <v>0</v>
      </c>
      <c r="L264" s="55">
        <f t="shared" si="348"/>
        <v>0</v>
      </c>
      <c r="M264" s="189">
        <f>SUM(M265:M268)</f>
        <v>0</v>
      </c>
      <c r="N264" s="190">
        <f t="shared" ref="N264:O264" si="349">SUM(N265:N268)</f>
        <v>0</v>
      </c>
      <c r="O264" s="55">
        <f t="shared" si="349"/>
        <v>0</v>
      </c>
      <c r="P264" s="57"/>
    </row>
    <row r="265" spans="1:16" ht="36" hidden="1" customHeight="1" x14ac:dyDescent="0.25">
      <c r="A265" s="51">
        <v>6421</v>
      </c>
      <c r="B265" s="88" t="s">
        <v>282</v>
      </c>
      <c r="C265" s="89">
        <f t="shared" si="287"/>
        <v>0</v>
      </c>
      <c r="D265" s="194"/>
      <c r="E265" s="195"/>
      <c r="F265" s="55">
        <f t="shared" ref="F265:F268" si="350">D265+E265</f>
        <v>0</v>
      </c>
      <c r="G265" s="53"/>
      <c r="H265" s="54"/>
      <c r="I265" s="55">
        <f t="shared" ref="I265:I268" si="351">G265+H265</f>
        <v>0</v>
      </c>
      <c r="J265" s="53"/>
      <c r="K265" s="54"/>
      <c r="L265" s="55">
        <f t="shared" ref="L265:L268" si="352">K265+J265</f>
        <v>0</v>
      </c>
      <c r="M265" s="53"/>
      <c r="N265" s="54"/>
      <c r="O265" s="55">
        <f t="shared" ref="O265:O268" si="353">N265+M265</f>
        <v>0</v>
      </c>
      <c r="P265" s="57"/>
    </row>
    <row r="266" spans="1:16" ht="12" hidden="1" customHeight="1" x14ac:dyDescent="0.25">
      <c r="A266" s="51">
        <v>6422</v>
      </c>
      <c r="B266" s="88" t="s">
        <v>283</v>
      </c>
      <c r="C266" s="89">
        <f t="shared" si="287"/>
        <v>0</v>
      </c>
      <c r="D266" s="194"/>
      <c r="E266" s="195"/>
      <c r="F266" s="55">
        <f t="shared" si="350"/>
        <v>0</v>
      </c>
      <c r="G266" s="53"/>
      <c r="H266" s="54"/>
      <c r="I266" s="55">
        <f t="shared" si="351"/>
        <v>0</v>
      </c>
      <c r="J266" s="53"/>
      <c r="K266" s="54"/>
      <c r="L266" s="55">
        <f t="shared" si="352"/>
        <v>0</v>
      </c>
      <c r="M266" s="53"/>
      <c r="N266" s="54"/>
      <c r="O266" s="55">
        <f t="shared" si="353"/>
        <v>0</v>
      </c>
      <c r="P266" s="57"/>
    </row>
    <row r="267" spans="1:16" ht="13.5" hidden="1" customHeight="1" x14ac:dyDescent="0.25">
      <c r="A267" s="51">
        <v>6423</v>
      </c>
      <c r="B267" s="88" t="s">
        <v>284</v>
      </c>
      <c r="C267" s="89">
        <f t="shared" si="287"/>
        <v>0</v>
      </c>
      <c r="D267" s="194"/>
      <c r="E267" s="195"/>
      <c r="F267" s="55">
        <f t="shared" si="350"/>
        <v>0</v>
      </c>
      <c r="G267" s="53"/>
      <c r="H267" s="54"/>
      <c r="I267" s="55">
        <f t="shared" si="351"/>
        <v>0</v>
      </c>
      <c r="J267" s="53"/>
      <c r="K267" s="54"/>
      <c r="L267" s="55">
        <f t="shared" si="352"/>
        <v>0</v>
      </c>
      <c r="M267" s="53"/>
      <c r="N267" s="54"/>
      <c r="O267" s="55">
        <f t="shared" si="353"/>
        <v>0</v>
      </c>
      <c r="P267" s="57"/>
    </row>
    <row r="268" spans="1:16" ht="36" hidden="1" customHeight="1" x14ac:dyDescent="0.25">
      <c r="A268" s="51">
        <v>6424</v>
      </c>
      <c r="B268" s="88" t="s">
        <v>285</v>
      </c>
      <c r="C268" s="89">
        <f t="shared" si="287"/>
        <v>0</v>
      </c>
      <c r="D268" s="194"/>
      <c r="E268" s="195"/>
      <c r="F268" s="55">
        <f t="shared" si="350"/>
        <v>0</v>
      </c>
      <c r="G268" s="53"/>
      <c r="H268" s="54"/>
      <c r="I268" s="55">
        <f t="shared" si="351"/>
        <v>0</v>
      </c>
      <c r="J268" s="53"/>
      <c r="K268" s="54"/>
      <c r="L268" s="55">
        <f t="shared" si="352"/>
        <v>0</v>
      </c>
      <c r="M268" s="53"/>
      <c r="N268" s="54"/>
      <c r="O268" s="55">
        <f t="shared" si="353"/>
        <v>0</v>
      </c>
      <c r="P268" s="57"/>
    </row>
    <row r="269" spans="1:16" ht="48" hidden="1" x14ac:dyDescent="0.25">
      <c r="A269" s="227">
        <v>7000</v>
      </c>
      <c r="B269" s="227" t="s">
        <v>286</v>
      </c>
      <c r="C269" s="228">
        <f t="shared" si="287"/>
        <v>0</v>
      </c>
      <c r="D269" s="229">
        <f>SUM(D270,D281)</f>
        <v>0</v>
      </c>
      <c r="E269" s="230">
        <f t="shared" ref="E269:F269" si="354">SUM(E270,E281)</f>
        <v>0</v>
      </c>
      <c r="F269" s="231">
        <f t="shared" si="354"/>
        <v>0</v>
      </c>
      <c r="G269" s="229">
        <f>SUM(G270,G281)</f>
        <v>0</v>
      </c>
      <c r="H269" s="230">
        <f t="shared" ref="H269:I269" si="355">SUM(H270,H281)</f>
        <v>0</v>
      </c>
      <c r="I269" s="231">
        <f t="shared" si="355"/>
        <v>0</v>
      </c>
      <c r="J269" s="229">
        <f>SUM(J270,J281)</f>
        <v>0</v>
      </c>
      <c r="K269" s="230">
        <f t="shared" ref="K269:L269" si="356">SUM(K270,K281)</f>
        <v>0</v>
      </c>
      <c r="L269" s="231">
        <f t="shared" si="356"/>
        <v>0</v>
      </c>
      <c r="M269" s="229">
        <f>SUM(M270,M281)</f>
        <v>0</v>
      </c>
      <c r="N269" s="230">
        <f t="shared" ref="N269:O269" si="357">SUM(N270,N281)</f>
        <v>0</v>
      </c>
      <c r="O269" s="231">
        <f t="shared" si="357"/>
        <v>0</v>
      </c>
      <c r="P269" s="232"/>
    </row>
    <row r="270" spans="1:16" ht="24" hidden="1" x14ac:dyDescent="0.25">
      <c r="A270" s="68">
        <v>7200</v>
      </c>
      <c r="B270" s="182" t="s">
        <v>287</v>
      </c>
      <c r="C270" s="69">
        <f t="shared" si="287"/>
        <v>0</v>
      </c>
      <c r="D270" s="183">
        <f>SUM(D271,D272,D275,D276,D280)</f>
        <v>0</v>
      </c>
      <c r="E270" s="184">
        <f t="shared" ref="E270:F270" si="358">SUM(E271,E272,E275,E276,E280)</f>
        <v>0</v>
      </c>
      <c r="F270" s="72">
        <f t="shared" si="358"/>
        <v>0</v>
      </c>
      <c r="G270" s="183">
        <f>SUM(G271,G272,G275,G276,G280)</f>
        <v>0</v>
      </c>
      <c r="H270" s="184">
        <f t="shared" ref="H270:I270" si="359">SUM(H271,H272,H275,H276,H280)</f>
        <v>0</v>
      </c>
      <c r="I270" s="72">
        <f t="shared" si="359"/>
        <v>0</v>
      </c>
      <c r="J270" s="183">
        <f>SUM(J271,J272,J275,J276,J280)</f>
        <v>0</v>
      </c>
      <c r="K270" s="184">
        <f t="shared" ref="K270:L270" si="360">SUM(K271,K272,K275,K276,K280)</f>
        <v>0</v>
      </c>
      <c r="L270" s="72">
        <f t="shared" si="360"/>
        <v>0</v>
      </c>
      <c r="M270" s="183">
        <f>SUM(M271,M272,M275,M276,M280)</f>
        <v>0</v>
      </c>
      <c r="N270" s="184">
        <f t="shared" ref="N270:O270" si="361">SUM(N271,N272,N275,N276,N280)</f>
        <v>0</v>
      </c>
      <c r="O270" s="72">
        <f t="shared" si="361"/>
        <v>0</v>
      </c>
      <c r="P270" s="76"/>
    </row>
    <row r="271" spans="1:16" ht="24" hidden="1" customHeight="1" x14ac:dyDescent="0.25">
      <c r="A271" s="278">
        <v>7210</v>
      </c>
      <c r="B271" s="81" t="s">
        <v>288</v>
      </c>
      <c r="C271" s="82">
        <f t="shared" si="287"/>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7"/>
        <v>0</v>
      </c>
      <c r="D272" s="189">
        <f>SUM(D273:D274)</f>
        <v>0</v>
      </c>
      <c r="E272" s="190">
        <f t="shared" ref="E272:F272" si="362">SUM(E273:E274)</f>
        <v>0</v>
      </c>
      <c r="F272" s="55">
        <f t="shared" si="362"/>
        <v>0</v>
      </c>
      <c r="G272" s="189">
        <f>SUM(G273:G274)</f>
        <v>0</v>
      </c>
      <c r="H272" s="190">
        <f t="shared" ref="H272:I272" si="363">SUM(H273:H274)</f>
        <v>0</v>
      </c>
      <c r="I272" s="55">
        <f t="shared" si="363"/>
        <v>0</v>
      </c>
      <c r="J272" s="189">
        <f>SUM(J273:J274)</f>
        <v>0</v>
      </c>
      <c r="K272" s="190">
        <f t="shared" ref="K272:L272" si="364">SUM(K273:K274)</f>
        <v>0</v>
      </c>
      <c r="L272" s="55">
        <f t="shared" si="364"/>
        <v>0</v>
      </c>
      <c r="M272" s="189">
        <f>SUM(M273:M274)</f>
        <v>0</v>
      </c>
      <c r="N272" s="190">
        <f t="shared" ref="N272:O272" si="365">SUM(N273:N274)</f>
        <v>0</v>
      </c>
      <c r="O272" s="55">
        <f t="shared" si="365"/>
        <v>0</v>
      </c>
      <c r="P272" s="57"/>
    </row>
    <row r="273" spans="1:16" s="233" customFormat="1" ht="36" hidden="1" customHeight="1" x14ac:dyDescent="0.25">
      <c r="A273" s="51">
        <v>7221</v>
      </c>
      <c r="B273" s="88" t="s">
        <v>290</v>
      </c>
      <c r="C273" s="89">
        <f t="shared" si="287"/>
        <v>0</v>
      </c>
      <c r="D273" s="194"/>
      <c r="E273" s="195"/>
      <c r="F273" s="55">
        <f t="shared" ref="F273:F275" si="366">D273+E273</f>
        <v>0</v>
      </c>
      <c r="G273" s="53"/>
      <c r="H273" s="54"/>
      <c r="I273" s="55">
        <f t="shared" ref="I273:I275" si="367">G273+H273</f>
        <v>0</v>
      </c>
      <c r="J273" s="53"/>
      <c r="K273" s="54"/>
      <c r="L273" s="55">
        <f t="shared" ref="L273:L275" si="368">K273+J273</f>
        <v>0</v>
      </c>
      <c r="M273" s="53"/>
      <c r="N273" s="54"/>
      <c r="O273" s="55">
        <f t="shared" ref="O273:O275" si="369">N273+M273</f>
        <v>0</v>
      </c>
      <c r="P273" s="57"/>
    </row>
    <row r="274" spans="1:16" s="233" customFormat="1" ht="36" hidden="1" customHeight="1" x14ac:dyDescent="0.25">
      <c r="A274" s="51">
        <v>7222</v>
      </c>
      <c r="B274" s="88" t="s">
        <v>291</v>
      </c>
      <c r="C274" s="89">
        <f t="shared" si="287"/>
        <v>0</v>
      </c>
      <c r="D274" s="194"/>
      <c r="E274" s="195"/>
      <c r="F274" s="55">
        <f t="shared" si="366"/>
        <v>0</v>
      </c>
      <c r="G274" s="53"/>
      <c r="H274" s="54"/>
      <c r="I274" s="55">
        <f t="shared" si="367"/>
        <v>0</v>
      </c>
      <c r="J274" s="53"/>
      <c r="K274" s="54"/>
      <c r="L274" s="55">
        <f t="shared" si="368"/>
        <v>0</v>
      </c>
      <c r="M274" s="53"/>
      <c r="N274" s="54"/>
      <c r="O274" s="55">
        <f t="shared" si="369"/>
        <v>0</v>
      </c>
      <c r="P274" s="57"/>
    </row>
    <row r="275" spans="1:16" ht="24" hidden="1" customHeight="1" x14ac:dyDescent="0.25">
      <c r="A275" s="188">
        <v>7230</v>
      </c>
      <c r="B275" s="88" t="s">
        <v>292</v>
      </c>
      <c r="C275" s="89">
        <f t="shared" si="287"/>
        <v>0</v>
      </c>
      <c r="D275" s="194"/>
      <c r="E275" s="195"/>
      <c r="F275" s="55">
        <f t="shared" si="366"/>
        <v>0</v>
      </c>
      <c r="G275" s="53"/>
      <c r="H275" s="54"/>
      <c r="I275" s="55">
        <f t="shared" si="367"/>
        <v>0</v>
      </c>
      <c r="J275" s="53"/>
      <c r="K275" s="54"/>
      <c r="L275" s="55">
        <f t="shared" si="368"/>
        <v>0</v>
      </c>
      <c r="M275" s="53"/>
      <c r="N275" s="54"/>
      <c r="O275" s="55">
        <f t="shared" si="369"/>
        <v>0</v>
      </c>
      <c r="P275" s="57"/>
    </row>
    <row r="276" spans="1:16" ht="24" hidden="1" x14ac:dyDescent="0.25">
      <c r="A276" s="188">
        <v>7240</v>
      </c>
      <c r="B276" s="88" t="s">
        <v>293</v>
      </c>
      <c r="C276" s="89">
        <f t="shared" ref="C276:C301" si="370">F276+I276+L276+O276</f>
        <v>0</v>
      </c>
      <c r="D276" s="189">
        <f t="shared" ref="D276:O276" si="371">SUM(D277:D279)</f>
        <v>0</v>
      </c>
      <c r="E276" s="190">
        <f t="shared" si="371"/>
        <v>0</v>
      </c>
      <c r="F276" s="55">
        <f t="shared" si="371"/>
        <v>0</v>
      </c>
      <c r="G276" s="189">
        <f t="shared" si="371"/>
        <v>0</v>
      </c>
      <c r="H276" s="190">
        <f t="shared" si="371"/>
        <v>0</v>
      </c>
      <c r="I276" s="55">
        <f t="shared" si="371"/>
        <v>0</v>
      </c>
      <c r="J276" s="189">
        <f>SUM(J277:J279)</f>
        <v>0</v>
      </c>
      <c r="K276" s="190">
        <f t="shared" ref="K276:L276" si="372">SUM(K277:K279)</f>
        <v>0</v>
      </c>
      <c r="L276" s="55">
        <f t="shared" si="372"/>
        <v>0</v>
      </c>
      <c r="M276" s="189">
        <f t="shared" si="371"/>
        <v>0</v>
      </c>
      <c r="N276" s="190">
        <f t="shared" si="371"/>
        <v>0</v>
      </c>
      <c r="O276" s="55">
        <f t="shared" si="371"/>
        <v>0</v>
      </c>
      <c r="P276" s="57"/>
    </row>
    <row r="277" spans="1:16" ht="48" hidden="1" customHeight="1" x14ac:dyDescent="0.25">
      <c r="A277" s="51">
        <v>7245</v>
      </c>
      <c r="B277" s="88" t="s">
        <v>294</v>
      </c>
      <c r="C277" s="89">
        <f t="shared" si="370"/>
        <v>0</v>
      </c>
      <c r="D277" s="194"/>
      <c r="E277" s="195"/>
      <c r="F277" s="55">
        <f t="shared" ref="F277:F280" si="373">D277+E277</f>
        <v>0</v>
      </c>
      <c r="G277" s="53"/>
      <c r="H277" s="54"/>
      <c r="I277" s="55">
        <f t="shared" ref="I277:I280" si="374">G277+H277</f>
        <v>0</v>
      </c>
      <c r="J277" s="53"/>
      <c r="K277" s="54"/>
      <c r="L277" s="55">
        <f t="shared" ref="L277:L280" si="375">K277+J277</f>
        <v>0</v>
      </c>
      <c r="M277" s="53"/>
      <c r="N277" s="54"/>
      <c r="O277" s="55">
        <f t="shared" ref="O277:O280" si="376">N277+M277</f>
        <v>0</v>
      </c>
      <c r="P277" s="57"/>
    </row>
    <row r="278" spans="1:16" ht="84.75" hidden="1" customHeight="1" x14ac:dyDescent="0.25">
      <c r="A278" s="51">
        <v>7246</v>
      </c>
      <c r="B278" s="88" t="s">
        <v>295</v>
      </c>
      <c r="C278" s="89">
        <f t="shared" si="370"/>
        <v>0</v>
      </c>
      <c r="D278" s="194"/>
      <c r="E278" s="195"/>
      <c r="F278" s="55">
        <f t="shared" si="373"/>
        <v>0</v>
      </c>
      <c r="G278" s="53"/>
      <c r="H278" s="54"/>
      <c r="I278" s="55">
        <f t="shared" si="374"/>
        <v>0</v>
      </c>
      <c r="J278" s="53"/>
      <c r="K278" s="54"/>
      <c r="L278" s="55">
        <f t="shared" si="375"/>
        <v>0</v>
      </c>
      <c r="M278" s="53"/>
      <c r="N278" s="54"/>
      <c r="O278" s="55">
        <f t="shared" si="376"/>
        <v>0</v>
      </c>
      <c r="P278" s="57"/>
    </row>
    <row r="279" spans="1:16" ht="36" hidden="1" customHeight="1" x14ac:dyDescent="0.25">
      <c r="A279" s="51">
        <v>7247</v>
      </c>
      <c r="B279" s="88" t="s">
        <v>296</v>
      </c>
      <c r="C279" s="89">
        <f t="shared" si="370"/>
        <v>0</v>
      </c>
      <c r="D279" s="194"/>
      <c r="E279" s="195"/>
      <c r="F279" s="55">
        <f t="shared" si="373"/>
        <v>0</v>
      </c>
      <c r="G279" s="53"/>
      <c r="H279" s="54"/>
      <c r="I279" s="55">
        <f t="shared" si="374"/>
        <v>0</v>
      </c>
      <c r="J279" s="53"/>
      <c r="K279" s="54"/>
      <c r="L279" s="55">
        <f t="shared" si="375"/>
        <v>0</v>
      </c>
      <c r="M279" s="53"/>
      <c r="N279" s="54"/>
      <c r="O279" s="55">
        <f t="shared" si="376"/>
        <v>0</v>
      </c>
      <c r="P279" s="57"/>
    </row>
    <row r="280" spans="1:16" ht="24" hidden="1" customHeight="1" x14ac:dyDescent="0.25">
      <c r="A280" s="278">
        <v>7260</v>
      </c>
      <c r="B280" s="81" t="s">
        <v>297</v>
      </c>
      <c r="C280" s="82">
        <f t="shared" si="370"/>
        <v>0</v>
      </c>
      <c r="D280" s="196"/>
      <c r="E280" s="197"/>
      <c r="F280" s="133">
        <f t="shared" si="373"/>
        <v>0</v>
      </c>
      <c r="G280" s="46"/>
      <c r="H280" s="47"/>
      <c r="I280" s="133">
        <f t="shared" si="374"/>
        <v>0</v>
      </c>
      <c r="J280" s="46"/>
      <c r="K280" s="47"/>
      <c r="L280" s="133">
        <f t="shared" si="375"/>
        <v>0</v>
      </c>
      <c r="M280" s="46"/>
      <c r="N280" s="47"/>
      <c r="O280" s="133">
        <f t="shared" si="376"/>
        <v>0</v>
      </c>
      <c r="P280" s="49"/>
    </row>
    <row r="281" spans="1:16" hidden="1" x14ac:dyDescent="0.25">
      <c r="A281" s="135">
        <v>7700</v>
      </c>
      <c r="B281" s="108" t="s">
        <v>298</v>
      </c>
      <c r="C281" s="109">
        <f t="shared" si="370"/>
        <v>0</v>
      </c>
      <c r="D281" s="234">
        <f t="shared" ref="D281:O281" si="377">D282</f>
        <v>0</v>
      </c>
      <c r="E281" s="235">
        <f t="shared" si="377"/>
        <v>0</v>
      </c>
      <c r="F281" s="130">
        <f t="shared" si="377"/>
        <v>0</v>
      </c>
      <c r="G281" s="234">
        <f t="shared" si="377"/>
        <v>0</v>
      </c>
      <c r="H281" s="235">
        <f t="shared" si="377"/>
        <v>0</v>
      </c>
      <c r="I281" s="130">
        <f t="shared" si="377"/>
        <v>0</v>
      </c>
      <c r="J281" s="234">
        <f t="shared" si="377"/>
        <v>0</v>
      </c>
      <c r="K281" s="235">
        <f t="shared" si="377"/>
        <v>0</v>
      </c>
      <c r="L281" s="130">
        <f t="shared" si="377"/>
        <v>0</v>
      </c>
      <c r="M281" s="234">
        <f t="shared" si="377"/>
        <v>0</v>
      </c>
      <c r="N281" s="235">
        <f t="shared" si="377"/>
        <v>0</v>
      </c>
      <c r="O281" s="130">
        <f t="shared" si="377"/>
        <v>0</v>
      </c>
      <c r="P281" s="118"/>
    </row>
    <row r="282" spans="1:16" ht="12" hidden="1" customHeight="1" x14ac:dyDescent="0.25">
      <c r="A282" s="185">
        <v>7720</v>
      </c>
      <c r="B282" s="81" t="s">
        <v>299</v>
      </c>
      <c r="C282" s="97">
        <f t="shared" si="370"/>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0"/>
        <v>0</v>
      </c>
      <c r="D283" s="242">
        <f t="shared" ref="D283:O284" si="378">D284</f>
        <v>0</v>
      </c>
      <c r="E283" s="243">
        <f t="shared" si="378"/>
        <v>0</v>
      </c>
      <c r="F283" s="244">
        <f t="shared" si="378"/>
        <v>0</v>
      </c>
      <c r="G283" s="242">
        <f>G284</f>
        <v>0</v>
      </c>
      <c r="H283" s="243">
        <f t="shared" ref="H283:I283" si="379">H284</f>
        <v>0</v>
      </c>
      <c r="I283" s="244">
        <f t="shared" si="379"/>
        <v>0</v>
      </c>
      <c r="J283" s="242">
        <f t="shared" si="378"/>
        <v>0</v>
      </c>
      <c r="K283" s="243">
        <f t="shared" si="378"/>
        <v>0</v>
      </c>
      <c r="L283" s="244">
        <f t="shared" si="378"/>
        <v>0</v>
      </c>
      <c r="M283" s="242">
        <f t="shared" si="378"/>
        <v>0</v>
      </c>
      <c r="N283" s="243">
        <f t="shared" si="378"/>
        <v>0</v>
      </c>
      <c r="O283" s="244">
        <f t="shared" si="378"/>
        <v>0</v>
      </c>
      <c r="P283" s="245"/>
    </row>
    <row r="284" spans="1:16" ht="24" hidden="1" x14ac:dyDescent="0.25">
      <c r="A284" s="246">
        <v>9200</v>
      </c>
      <c r="B284" s="88" t="s">
        <v>301</v>
      </c>
      <c r="C284" s="142">
        <f t="shared" si="370"/>
        <v>0</v>
      </c>
      <c r="D284" s="186">
        <f t="shared" si="378"/>
        <v>0</v>
      </c>
      <c r="E284" s="187">
        <f t="shared" si="378"/>
        <v>0</v>
      </c>
      <c r="F284" s="140">
        <f t="shared" si="378"/>
        <v>0</v>
      </c>
      <c r="G284" s="186">
        <f t="shared" si="378"/>
        <v>0</v>
      </c>
      <c r="H284" s="187">
        <f t="shared" si="378"/>
        <v>0</v>
      </c>
      <c r="I284" s="140">
        <f t="shared" si="378"/>
        <v>0</v>
      </c>
      <c r="J284" s="186">
        <f t="shared" si="378"/>
        <v>0</v>
      </c>
      <c r="K284" s="187">
        <f t="shared" si="378"/>
        <v>0</v>
      </c>
      <c r="L284" s="140">
        <f t="shared" si="378"/>
        <v>0</v>
      </c>
      <c r="M284" s="186">
        <f t="shared" si="378"/>
        <v>0</v>
      </c>
      <c r="N284" s="187">
        <f t="shared" si="378"/>
        <v>0</v>
      </c>
      <c r="O284" s="140">
        <f t="shared" si="378"/>
        <v>0</v>
      </c>
      <c r="P284" s="128"/>
    </row>
    <row r="285" spans="1:16" ht="24" hidden="1" customHeight="1" x14ac:dyDescent="0.25">
      <c r="A285" s="247">
        <v>9230</v>
      </c>
      <c r="B285" s="88" t="s">
        <v>302</v>
      </c>
      <c r="C285" s="142">
        <f t="shared" si="370"/>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0"/>
        <v>0</v>
      </c>
      <c r="D286" s="189">
        <f>SUM(D287:D288)</f>
        <v>0</v>
      </c>
      <c r="E286" s="190">
        <f t="shared" ref="E286:F286" si="380">SUM(E287:E288)</f>
        <v>0</v>
      </c>
      <c r="F286" s="55">
        <f t="shared" si="380"/>
        <v>0</v>
      </c>
      <c r="G286" s="189">
        <f>SUM(G287:G288)</f>
        <v>0</v>
      </c>
      <c r="H286" s="190">
        <f t="shared" ref="H286:I286" si="381">SUM(H287:H288)</f>
        <v>0</v>
      </c>
      <c r="I286" s="55">
        <f t="shared" si="381"/>
        <v>0</v>
      </c>
      <c r="J286" s="189">
        <f>SUM(J287:J288)</f>
        <v>0</v>
      </c>
      <c r="K286" s="190">
        <f t="shared" ref="K286:L286" si="382">SUM(K287:K288)</f>
        <v>0</v>
      </c>
      <c r="L286" s="55">
        <f t="shared" si="382"/>
        <v>0</v>
      </c>
      <c r="M286" s="189">
        <f>SUM(M287:M288)</f>
        <v>0</v>
      </c>
      <c r="N286" s="190">
        <f t="shared" ref="N286:O286" si="383">SUM(N287:N288)</f>
        <v>0</v>
      </c>
      <c r="O286" s="55">
        <f t="shared" si="383"/>
        <v>0</v>
      </c>
      <c r="P286" s="57"/>
    </row>
    <row r="287" spans="1:16" ht="12" hidden="1" customHeight="1" x14ac:dyDescent="0.25">
      <c r="A287" s="199" t="s">
        <v>304</v>
      </c>
      <c r="B287" s="51" t="s">
        <v>305</v>
      </c>
      <c r="C287" s="89">
        <f t="shared" si="370"/>
        <v>0</v>
      </c>
      <c r="D287" s="194"/>
      <c r="E287" s="195"/>
      <c r="F287" s="55">
        <f t="shared" ref="F287:F288" si="384">D287+E287</f>
        <v>0</v>
      </c>
      <c r="G287" s="53"/>
      <c r="H287" s="54"/>
      <c r="I287" s="55">
        <f t="shared" ref="I287:I288" si="385">G287+H287</f>
        <v>0</v>
      </c>
      <c r="J287" s="53"/>
      <c r="K287" s="54"/>
      <c r="L287" s="55">
        <f t="shared" ref="L287:L288" si="386">K287+J287</f>
        <v>0</v>
      </c>
      <c r="M287" s="53"/>
      <c r="N287" s="54"/>
      <c r="O287" s="55">
        <f t="shared" ref="O287:O288" si="387">N287+M287</f>
        <v>0</v>
      </c>
      <c r="P287" s="57"/>
    </row>
    <row r="288" spans="1:16" ht="24" hidden="1" customHeight="1" x14ac:dyDescent="0.25">
      <c r="A288" s="199" t="s">
        <v>306</v>
      </c>
      <c r="B288" s="248" t="s">
        <v>307</v>
      </c>
      <c r="C288" s="82">
        <f t="shared" si="370"/>
        <v>0</v>
      </c>
      <c r="D288" s="196"/>
      <c r="E288" s="197"/>
      <c r="F288" s="133">
        <f t="shared" si="384"/>
        <v>0</v>
      </c>
      <c r="G288" s="46"/>
      <c r="H288" s="47"/>
      <c r="I288" s="133">
        <f t="shared" si="385"/>
        <v>0</v>
      </c>
      <c r="J288" s="46"/>
      <c r="K288" s="47"/>
      <c r="L288" s="133">
        <f t="shared" si="386"/>
        <v>0</v>
      </c>
      <c r="M288" s="46"/>
      <c r="N288" s="47"/>
      <c r="O288" s="133">
        <f t="shared" si="387"/>
        <v>0</v>
      </c>
      <c r="P288" s="49"/>
    </row>
    <row r="289" spans="1:16" ht="12.75" thickBot="1" x14ac:dyDescent="0.3">
      <c r="A289" s="249"/>
      <c r="B289" s="249" t="s">
        <v>308</v>
      </c>
      <c r="C289" s="250">
        <f t="shared" si="370"/>
        <v>585077</v>
      </c>
      <c r="D289" s="251">
        <f t="shared" ref="D289:O289" si="388">SUM(D286,D269,D230,D195,D187,D173,D75,D53,D283)</f>
        <v>581435</v>
      </c>
      <c r="E289" s="252">
        <f t="shared" si="388"/>
        <v>1484</v>
      </c>
      <c r="F289" s="253">
        <f t="shared" si="388"/>
        <v>582919</v>
      </c>
      <c r="G289" s="251">
        <f t="shared" si="388"/>
        <v>0</v>
      </c>
      <c r="H289" s="252">
        <f t="shared" si="388"/>
        <v>0</v>
      </c>
      <c r="I289" s="253">
        <f t="shared" si="388"/>
        <v>0</v>
      </c>
      <c r="J289" s="251">
        <f t="shared" si="388"/>
        <v>1620</v>
      </c>
      <c r="K289" s="252">
        <f t="shared" si="388"/>
        <v>0</v>
      </c>
      <c r="L289" s="253">
        <f t="shared" si="388"/>
        <v>1620</v>
      </c>
      <c r="M289" s="251">
        <f t="shared" si="388"/>
        <v>538</v>
      </c>
      <c r="N289" s="252">
        <f t="shared" si="388"/>
        <v>0</v>
      </c>
      <c r="O289" s="253">
        <f t="shared" si="388"/>
        <v>538</v>
      </c>
      <c r="P289" s="254"/>
    </row>
    <row r="290" spans="1:16" s="28" customFormat="1" ht="13.5" thickTop="1" thickBot="1" x14ac:dyDescent="0.3">
      <c r="A290" s="1945" t="s">
        <v>309</v>
      </c>
      <c r="B290" s="1946"/>
      <c r="C290" s="255">
        <f t="shared" si="370"/>
        <v>-538</v>
      </c>
      <c r="D290" s="256">
        <f>SUM(D24,D25,D41)-D51</f>
        <v>0</v>
      </c>
      <c r="E290" s="257">
        <f t="shared" ref="E290:F290" si="389">SUM(E24,E25,E41)-E51</f>
        <v>0</v>
      </c>
      <c r="F290" s="258">
        <f t="shared" si="389"/>
        <v>0</v>
      </c>
      <c r="G290" s="256">
        <f>SUM(G24,G25,G41)-G51</f>
        <v>0</v>
      </c>
      <c r="H290" s="257">
        <f t="shared" ref="H290:I290" si="390">SUM(H24,H25,H41)-H51</f>
        <v>0</v>
      </c>
      <c r="I290" s="258">
        <f t="shared" si="390"/>
        <v>0</v>
      </c>
      <c r="J290" s="256">
        <f>(J26+J43)-J51</f>
        <v>0</v>
      </c>
      <c r="K290" s="257">
        <f t="shared" ref="K290:L290" si="391">(K26+K43)-K51</f>
        <v>0</v>
      </c>
      <c r="L290" s="258">
        <f t="shared" si="391"/>
        <v>0</v>
      </c>
      <c r="M290" s="256">
        <f>M45-M51</f>
        <v>-538</v>
      </c>
      <c r="N290" s="257">
        <f t="shared" ref="N290:O290" si="392">N45-N51</f>
        <v>0</v>
      </c>
      <c r="O290" s="258">
        <f t="shared" si="392"/>
        <v>-538</v>
      </c>
      <c r="P290" s="259"/>
    </row>
    <row r="291" spans="1:16" s="28" customFormat="1" ht="12.75" hidden="1" thickTop="1" x14ac:dyDescent="0.25">
      <c r="A291" s="1947" t="s">
        <v>310</v>
      </c>
      <c r="B291" s="1948"/>
      <c r="C291" s="260">
        <f t="shared" si="370"/>
        <v>0</v>
      </c>
      <c r="D291" s="261">
        <f t="shared" ref="D291:O291" si="393">SUM(D292,D293)-D300+D301</f>
        <v>0</v>
      </c>
      <c r="E291" s="262">
        <f t="shared" si="393"/>
        <v>0</v>
      </c>
      <c r="F291" s="263">
        <f t="shared" si="393"/>
        <v>0</v>
      </c>
      <c r="G291" s="261">
        <f t="shared" si="393"/>
        <v>0</v>
      </c>
      <c r="H291" s="262">
        <f t="shared" si="393"/>
        <v>0</v>
      </c>
      <c r="I291" s="263">
        <f t="shared" si="393"/>
        <v>0</v>
      </c>
      <c r="J291" s="261">
        <f t="shared" si="393"/>
        <v>0</v>
      </c>
      <c r="K291" s="262">
        <f t="shared" si="393"/>
        <v>0</v>
      </c>
      <c r="L291" s="263">
        <f t="shared" si="393"/>
        <v>0</v>
      </c>
      <c r="M291" s="261">
        <f t="shared" si="393"/>
        <v>0</v>
      </c>
      <c r="N291" s="262">
        <f t="shared" si="393"/>
        <v>0</v>
      </c>
      <c r="O291" s="263">
        <f t="shared" si="393"/>
        <v>0</v>
      </c>
      <c r="P291" s="264"/>
    </row>
    <row r="292" spans="1:16" s="28" customFormat="1" ht="13.5" hidden="1" thickTop="1" thickBot="1" x14ac:dyDescent="0.3">
      <c r="A292" s="156" t="s">
        <v>311</v>
      </c>
      <c r="B292" s="156" t="s">
        <v>312</v>
      </c>
      <c r="C292" s="157">
        <f t="shared" si="370"/>
        <v>0</v>
      </c>
      <c r="D292" s="158">
        <f t="shared" ref="D292:O292" si="394">D21-D286</f>
        <v>0</v>
      </c>
      <c r="E292" s="159">
        <f t="shared" si="394"/>
        <v>0</v>
      </c>
      <c r="F292" s="160">
        <f t="shared" si="394"/>
        <v>0</v>
      </c>
      <c r="G292" s="158">
        <f t="shared" si="394"/>
        <v>0</v>
      </c>
      <c r="H292" s="159">
        <f t="shared" si="394"/>
        <v>0</v>
      </c>
      <c r="I292" s="160">
        <f t="shared" si="394"/>
        <v>0</v>
      </c>
      <c r="J292" s="158">
        <f t="shared" si="394"/>
        <v>0</v>
      </c>
      <c r="K292" s="159">
        <f t="shared" si="394"/>
        <v>0</v>
      </c>
      <c r="L292" s="160">
        <f t="shared" si="394"/>
        <v>0</v>
      </c>
      <c r="M292" s="158">
        <f t="shared" si="394"/>
        <v>0</v>
      </c>
      <c r="N292" s="159">
        <f t="shared" si="394"/>
        <v>0</v>
      </c>
      <c r="O292" s="160">
        <f t="shared" si="394"/>
        <v>0</v>
      </c>
      <c r="P292" s="35"/>
    </row>
    <row r="293" spans="1:16" s="28" customFormat="1" ht="12.75" hidden="1" thickTop="1" x14ac:dyDescent="0.25">
      <c r="A293" s="265" t="s">
        <v>313</v>
      </c>
      <c r="B293" s="265" t="s">
        <v>314</v>
      </c>
      <c r="C293" s="260">
        <f t="shared" si="370"/>
        <v>0</v>
      </c>
      <c r="D293" s="261">
        <f t="shared" ref="D293:O293" si="395">SUM(D294,D296,D298)-SUM(D295,D297,D299)</f>
        <v>0</v>
      </c>
      <c r="E293" s="262">
        <f t="shared" si="395"/>
        <v>0</v>
      </c>
      <c r="F293" s="263">
        <f t="shared" si="395"/>
        <v>0</v>
      </c>
      <c r="G293" s="261">
        <f t="shared" si="395"/>
        <v>0</v>
      </c>
      <c r="H293" s="262">
        <f t="shared" si="395"/>
        <v>0</v>
      </c>
      <c r="I293" s="263">
        <f t="shared" si="395"/>
        <v>0</v>
      </c>
      <c r="J293" s="261">
        <f t="shared" si="395"/>
        <v>0</v>
      </c>
      <c r="K293" s="262">
        <f t="shared" si="395"/>
        <v>0</v>
      </c>
      <c r="L293" s="263">
        <f t="shared" si="395"/>
        <v>0</v>
      </c>
      <c r="M293" s="261">
        <f t="shared" si="395"/>
        <v>0</v>
      </c>
      <c r="N293" s="262">
        <f t="shared" si="395"/>
        <v>0</v>
      </c>
      <c r="O293" s="263">
        <f t="shared" si="395"/>
        <v>0</v>
      </c>
      <c r="P293" s="264"/>
    </row>
    <row r="294" spans="1:16" ht="12" hidden="1" customHeight="1" x14ac:dyDescent="0.25">
      <c r="A294" s="266" t="s">
        <v>315</v>
      </c>
      <c r="B294" s="141" t="s">
        <v>316</v>
      </c>
      <c r="C294" s="97">
        <f t="shared" si="370"/>
        <v>0</v>
      </c>
      <c r="D294" s="236"/>
      <c r="E294" s="237"/>
      <c r="F294" s="238">
        <f t="shared" ref="F294:F301" si="396">D294+E294</f>
        <v>0</v>
      </c>
      <c r="G294" s="101"/>
      <c r="H294" s="102"/>
      <c r="I294" s="238">
        <f t="shared" ref="I294:I301" si="397">G294+H294</f>
        <v>0</v>
      </c>
      <c r="J294" s="101"/>
      <c r="K294" s="102"/>
      <c r="L294" s="238">
        <f t="shared" ref="L294:L301" si="398">K294+J294</f>
        <v>0</v>
      </c>
      <c r="M294" s="101"/>
      <c r="N294" s="102"/>
      <c r="O294" s="238">
        <f t="shared" ref="O294:O301" si="399">N294+M294</f>
        <v>0</v>
      </c>
      <c r="P294" s="106"/>
    </row>
    <row r="295" spans="1:16" ht="24" hidden="1" customHeight="1" x14ac:dyDescent="0.25">
      <c r="A295" s="199" t="s">
        <v>317</v>
      </c>
      <c r="B295" s="50" t="s">
        <v>318</v>
      </c>
      <c r="C295" s="89">
        <f t="shared" si="370"/>
        <v>0</v>
      </c>
      <c r="D295" s="194"/>
      <c r="E295" s="195"/>
      <c r="F295" s="55">
        <f t="shared" si="396"/>
        <v>0</v>
      </c>
      <c r="G295" s="53"/>
      <c r="H295" s="54"/>
      <c r="I295" s="55">
        <f t="shared" si="397"/>
        <v>0</v>
      </c>
      <c r="J295" s="53"/>
      <c r="K295" s="54"/>
      <c r="L295" s="55">
        <f t="shared" si="398"/>
        <v>0</v>
      </c>
      <c r="M295" s="53"/>
      <c r="N295" s="54"/>
      <c r="O295" s="55">
        <f t="shared" si="399"/>
        <v>0</v>
      </c>
      <c r="P295" s="57"/>
    </row>
    <row r="296" spans="1:16" ht="12" hidden="1" customHeight="1" x14ac:dyDescent="0.25">
      <c r="A296" s="199" t="s">
        <v>319</v>
      </c>
      <c r="B296" s="50" t="s">
        <v>320</v>
      </c>
      <c r="C296" s="89">
        <f t="shared" si="370"/>
        <v>0</v>
      </c>
      <c r="D296" s="194"/>
      <c r="E296" s="195"/>
      <c r="F296" s="55">
        <f t="shared" si="396"/>
        <v>0</v>
      </c>
      <c r="G296" s="53"/>
      <c r="H296" s="54"/>
      <c r="I296" s="55">
        <f t="shared" si="397"/>
        <v>0</v>
      </c>
      <c r="J296" s="53"/>
      <c r="K296" s="54"/>
      <c r="L296" s="55">
        <f t="shared" si="398"/>
        <v>0</v>
      </c>
      <c r="M296" s="53"/>
      <c r="N296" s="54"/>
      <c r="O296" s="55">
        <f t="shared" si="399"/>
        <v>0</v>
      </c>
      <c r="P296" s="57"/>
    </row>
    <row r="297" spans="1:16" ht="24" hidden="1" customHeight="1" x14ac:dyDescent="0.25">
      <c r="A297" s="199" t="s">
        <v>321</v>
      </c>
      <c r="B297" s="50" t="s">
        <v>322</v>
      </c>
      <c r="C297" s="89">
        <f t="shared" si="370"/>
        <v>0</v>
      </c>
      <c r="D297" s="194"/>
      <c r="E297" s="195"/>
      <c r="F297" s="55">
        <f t="shared" si="396"/>
        <v>0</v>
      </c>
      <c r="G297" s="53"/>
      <c r="H297" s="54"/>
      <c r="I297" s="55">
        <f t="shared" si="397"/>
        <v>0</v>
      </c>
      <c r="J297" s="53"/>
      <c r="K297" s="54"/>
      <c r="L297" s="55">
        <f t="shared" si="398"/>
        <v>0</v>
      </c>
      <c r="M297" s="53"/>
      <c r="N297" s="54"/>
      <c r="O297" s="55">
        <f t="shared" si="399"/>
        <v>0</v>
      </c>
      <c r="P297" s="57"/>
    </row>
    <row r="298" spans="1:16" ht="12" hidden="1" customHeight="1" x14ac:dyDescent="0.25">
      <c r="A298" s="199" t="s">
        <v>323</v>
      </c>
      <c r="B298" s="50" t="s">
        <v>324</v>
      </c>
      <c r="C298" s="89">
        <f t="shared" si="370"/>
        <v>0</v>
      </c>
      <c r="D298" s="194"/>
      <c r="E298" s="195"/>
      <c r="F298" s="55">
        <f t="shared" si="396"/>
        <v>0</v>
      </c>
      <c r="G298" s="53"/>
      <c r="H298" s="54"/>
      <c r="I298" s="55">
        <f t="shared" si="397"/>
        <v>0</v>
      </c>
      <c r="J298" s="53"/>
      <c r="K298" s="54"/>
      <c r="L298" s="55">
        <f t="shared" si="398"/>
        <v>0</v>
      </c>
      <c r="M298" s="53"/>
      <c r="N298" s="54"/>
      <c r="O298" s="55">
        <f t="shared" si="399"/>
        <v>0</v>
      </c>
      <c r="P298" s="57"/>
    </row>
    <row r="299" spans="1:16" ht="24.75" hidden="1" customHeight="1" thickBot="1" x14ac:dyDescent="0.25">
      <c r="A299" s="267" t="s">
        <v>325</v>
      </c>
      <c r="B299" s="268" t="s">
        <v>326</v>
      </c>
      <c r="C299" s="208">
        <f t="shared" si="370"/>
        <v>0</v>
      </c>
      <c r="D299" s="210"/>
      <c r="E299" s="211"/>
      <c r="F299" s="212">
        <f t="shared" si="396"/>
        <v>0</v>
      </c>
      <c r="G299" s="213"/>
      <c r="H299" s="214"/>
      <c r="I299" s="212">
        <f t="shared" si="397"/>
        <v>0</v>
      </c>
      <c r="J299" s="213"/>
      <c r="K299" s="214"/>
      <c r="L299" s="212">
        <f t="shared" si="398"/>
        <v>0</v>
      </c>
      <c r="M299" s="213"/>
      <c r="N299" s="214"/>
      <c r="O299" s="212">
        <f t="shared" si="399"/>
        <v>0</v>
      </c>
      <c r="P299" s="215"/>
    </row>
    <row r="300" spans="1:16" s="28" customFormat="1" ht="13.5" hidden="1" customHeight="1" thickTop="1" thickBot="1" x14ac:dyDescent="0.3">
      <c r="A300" s="269" t="s">
        <v>327</v>
      </c>
      <c r="B300" s="269" t="s">
        <v>328</v>
      </c>
      <c r="C300" s="255">
        <f t="shared" si="370"/>
        <v>0</v>
      </c>
      <c r="D300" s="270"/>
      <c r="E300" s="271"/>
      <c r="F300" s="258">
        <f t="shared" si="396"/>
        <v>0</v>
      </c>
      <c r="G300" s="270"/>
      <c r="H300" s="271"/>
      <c r="I300" s="272">
        <f t="shared" si="397"/>
        <v>0</v>
      </c>
      <c r="J300" s="270"/>
      <c r="K300" s="271"/>
      <c r="L300" s="272">
        <f t="shared" si="398"/>
        <v>0</v>
      </c>
      <c r="M300" s="270"/>
      <c r="N300" s="271"/>
      <c r="O300" s="272">
        <f t="shared" si="399"/>
        <v>0</v>
      </c>
      <c r="P300" s="273"/>
    </row>
    <row r="301" spans="1:16" s="28" customFormat="1" ht="48.75" hidden="1" customHeight="1" thickTop="1" x14ac:dyDescent="0.25">
      <c r="A301" s="265" t="s">
        <v>329</v>
      </c>
      <c r="B301" s="274" t="s">
        <v>330</v>
      </c>
      <c r="C301" s="260">
        <f t="shared" si="370"/>
        <v>0</v>
      </c>
      <c r="D301" s="204"/>
      <c r="E301" s="205"/>
      <c r="F301" s="72">
        <f t="shared" si="396"/>
        <v>0</v>
      </c>
      <c r="G301" s="204"/>
      <c r="H301" s="205"/>
      <c r="I301" s="72">
        <f t="shared" si="397"/>
        <v>0</v>
      </c>
      <c r="J301" s="204"/>
      <c r="K301" s="205"/>
      <c r="L301" s="72">
        <f t="shared" si="398"/>
        <v>0</v>
      </c>
      <c r="M301" s="204"/>
      <c r="N301" s="205"/>
      <c r="O301" s="72">
        <f t="shared" si="399"/>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sheetData>
  <sheetProtection algorithmName="SHA-512" hashValue="oycurEYAQ6ZcbiSWZDGQXtuHpgOqjqLsNsx+po601K2AR2UCMBSULS5AleHVEC3GFOGOMimgYHHcBbbjTJCfOg==" saltValue="DR0fsMluu0alzDRfw9zVSw==" spinCount="100000" sheet="1" objects="1" scenarios="1" formatCells="0" formatColumns="0" formatRows="0" deleteColumns="0"/>
  <autoFilter ref="A18:P301">
    <filterColumn colId="2">
      <filters>
        <filter val="1 042"/>
        <filter val="1 100"/>
        <filter val="1 130"/>
        <filter val="1 296"/>
        <filter val="1 589"/>
        <filter val="1 620"/>
        <filter val="1 675"/>
        <filter val="1 703"/>
        <filter val="1 708"/>
        <filter val="1 824"/>
        <filter val="1 944"/>
        <filter val="100 028"/>
        <filter val="103 750"/>
        <filter val="12 313"/>
        <filter val="13 322"/>
        <filter val="130"/>
        <filter val="14 943"/>
        <filter val="15 096"/>
        <filter val="15 204"/>
        <filter val="15 287"/>
        <filter val="16 907"/>
        <filter val="166"/>
        <filter val="168 682"/>
        <filter val="18 680"/>
        <filter val="19"/>
        <filter val="19 186"/>
        <filter val="2 144"/>
        <filter val="2 409"/>
        <filter val="2 501"/>
        <filter val="2 728"/>
        <filter val="2 891"/>
        <filter val="200"/>
        <filter val="204"/>
        <filter val="226 730"/>
        <filter val="24 654"/>
        <filter val="25"/>
        <filter val="26 000"/>
        <filter val="290 367"/>
        <filter val="3 792"/>
        <filter val="300"/>
        <filter val="33 277"/>
        <filter val="37"/>
        <filter val="390 395"/>
        <filter val="4 407"/>
        <filter val="4 850"/>
        <filter val="41 756"/>
        <filter val="420"/>
        <filter val="427"/>
        <filter val="480"/>
        <filter val="485"/>
        <filter val="5 122"/>
        <filter val="5 547"/>
        <filter val="524"/>
        <filter val="-538"/>
        <filter val="55"/>
        <filter val="550"/>
        <filter val="559 077"/>
        <filter val="582 919"/>
        <filter val="585 077"/>
        <filter val="60 909"/>
        <filter val="628"/>
        <filter val="64 082"/>
        <filter val="68 169"/>
        <filter val="68 206"/>
        <filter val="75 374"/>
        <filter val="779"/>
        <filter val="9 715"/>
        <filter val="901"/>
        <filter val="989"/>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69.pielikums Jūrmalas pilsētas domes
2019.gada 29.augusta saistošajiem noteikumiem Nr.31
(protokols Nr.12, 20.punkts)
 </firstHeader>
    <firstFooter>&amp;L&amp;9&amp;D; &amp;T&amp;R&amp;9&amp;P (&amp;N)</first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T9" sqref="T8:T9"/>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331</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332</v>
      </c>
      <c r="D3" s="1977"/>
      <c r="E3" s="1977"/>
      <c r="F3" s="1977"/>
      <c r="G3" s="1977"/>
      <c r="H3" s="1977"/>
      <c r="I3" s="1977"/>
      <c r="J3" s="1977"/>
      <c r="K3" s="1977"/>
      <c r="L3" s="1977"/>
      <c r="M3" s="1977"/>
      <c r="N3" s="1977"/>
      <c r="O3" s="1977"/>
      <c r="P3" s="1978"/>
      <c r="Q3" s="276"/>
    </row>
    <row r="4" spans="1:17" ht="12.75" customHeight="1" x14ac:dyDescent="0.25">
      <c r="A4" s="5" t="s">
        <v>4</v>
      </c>
      <c r="B4" s="6"/>
      <c r="C4" s="1977" t="s">
        <v>333</v>
      </c>
      <c r="D4" s="1977"/>
      <c r="E4" s="1977"/>
      <c r="F4" s="1977"/>
      <c r="G4" s="1977"/>
      <c r="H4" s="1977"/>
      <c r="I4" s="1977"/>
      <c r="J4" s="1977"/>
      <c r="K4" s="1977"/>
      <c r="L4" s="1977"/>
      <c r="M4" s="1977"/>
      <c r="N4" s="1977"/>
      <c r="O4" s="1977"/>
      <c r="P4" s="1978"/>
      <c r="Q4" s="276"/>
    </row>
    <row r="5" spans="1:17" ht="12.75" customHeight="1" x14ac:dyDescent="0.25">
      <c r="A5" s="7" t="s">
        <v>6</v>
      </c>
      <c r="B5" s="8"/>
      <c r="C5" s="1972" t="s">
        <v>334</v>
      </c>
      <c r="D5" s="1972"/>
      <c r="E5" s="1972"/>
      <c r="F5" s="1972"/>
      <c r="G5" s="1972"/>
      <c r="H5" s="1972"/>
      <c r="I5" s="1972"/>
      <c r="J5" s="1972"/>
      <c r="K5" s="1972"/>
      <c r="L5" s="1972"/>
      <c r="M5" s="1972"/>
      <c r="N5" s="1972"/>
      <c r="O5" s="1972"/>
      <c r="P5" s="1973"/>
      <c r="Q5" s="276"/>
    </row>
    <row r="6" spans="1:17" ht="12.75" customHeight="1" x14ac:dyDescent="0.25">
      <c r="A6" s="7" t="s">
        <v>8</v>
      </c>
      <c r="B6" s="8"/>
      <c r="C6" s="1972" t="s">
        <v>335</v>
      </c>
      <c r="D6" s="1972"/>
      <c r="E6" s="1972"/>
      <c r="F6" s="1972"/>
      <c r="G6" s="1972"/>
      <c r="H6" s="1972"/>
      <c r="I6" s="1972"/>
      <c r="J6" s="1972"/>
      <c r="K6" s="1972"/>
      <c r="L6" s="1972"/>
      <c r="M6" s="1972"/>
      <c r="N6" s="1972"/>
      <c r="O6" s="1972"/>
      <c r="P6" s="1973"/>
      <c r="Q6" s="276"/>
    </row>
    <row r="7" spans="1:17" x14ac:dyDescent="0.25">
      <c r="A7" s="7" t="s">
        <v>10</v>
      </c>
      <c r="B7" s="8"/>
      <c r="C7" s="1977" t="s">
        <v>336</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337</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338</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5.75" customHeight="1" thickBot="1" x14ac:dyDescent="0.3">
      <c r="A20" s="29"/>
      <c r="B20" s="30" t="s">
        <v>39</v>
      </c>
      <c r="C20" s="31">
        <f t="shared" ref="C20:C83" si="0">F20+I20+L20+O20</f>
        <v>170827</v>
      </c>
      <c r="D20" s="32">
        <f>SUM(D21,D24,D25,D41,D43)</f>
        <v>170534</v>
      </c>
      <c r="E20" s="33">
        <f t="shared" ref="E20:F20" si="1">SUM(E21,E24,E25,E41,E43)</f>
        <v>0</v>
      </c>
      <c r="F20" s="34">
        <f t="shared" si="1"/>
        <v>170534</v>
      </c>
      <c r="G20" s="32">
        <f>SUM(G21,G24,G43)</f>
        <v>0</v>
      </c>
      <c r="H20" s="33">
        <f t="shared" ref="H20:I20" si="2">SUM(H21,H24,H43)</f>
        <v>0</v>
      </c>
      <c r="I20" s="34">
        <f t="shared" si="2"/>
        <v>0</v>
      </c>
      <c r="J20" s="32">
        <f>SUM(J21,J26,J43)</f>
        <v>21</v>
      </c>
      <c r="K20" s="33">
        <f t="shared" ref="K20:L20" si="3">SUM(K21,K26,K43)</f>
        <v>272</v>
      </c>
      <c r="L20" s="34">
        <f t="shared" si="3"/>
        <v>293</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0" customHeight="1" thickTop="1" thickBot="1" x14ac:dyDescent="0.3">
      <c r="A24" s="58">
        <v>19300</v>
      </c>
      <c r="B24" s="58" t="s">
        <v>43</v>
      </c>
      <c r="C24" s="59">
        <f>F24+I24</f>
        <v>170534</v>
      </c>
      <c r="D24" s="60">
        <v>170534</v>
      </c>
      <c r="E24" s="61"/>
      <c r="F24" s="62">
        <f t="shared" si="9"/>
        <v>170534</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7.75" customHeight="1" thickTop="1" x14ac:dyDescent="0.25">
      <c r="A43" s="80">
        <v>21490</v>
      </c>
      <c r="B43" s="68" t="s">
        <v>63</v>
      </c>
      <c r="C43" s="131">
        <f>F43+I43+L43</f>
        <v>293</v>
      </c>
      <c r="D43" s="77">
        <f>D44</f>
        <v>0</v>
      </c>
      <c r="E43" s="78">
        <f t="shared" ref="E43:L43" si="22">E44</f>
        <v>0</v>
      </c>
      <c r="F43" s="79">
        <f t="shared" si="22"/>
        <v>0</v>
      </c>
      <c r="G43" s="77">
        <f t="shared" si="22"/>
        <v>0</v>
      </c>
      <c r="H43" s="78">
        <f t="shared" si="22"/>
        <v>0</v>
      </c>
      <c r="I43" s="79">
        <f t="shared" si="22"/>
        <v>0</v>
      </c>
      <c r="J43" s="77">
        <f t="shared" si="22"/>
        <v>21</v>
      </c>
      <c r="K43" s="78">
        <f t="shared" si="22"/>
        <v>272</v>
      </c>
      <c r="L43" s="79">
        <f t="shared" si="22"/>
        <v>293</v>
      </c>
      <c r="M43" s="77" t="s">
        <v>44</v>
      </c>
      <c r="N43" s="78" t="s">
        <v>44</v>
      </c>
      <c r="O43" s="79" t="s">
        <v>44</v>
      </c>
      <c r="P43" s="76"/>
    </row>
    <row r="44" spans="1:16" s="28" customFormat="1" ht="27.75" customHeight="1" x14ac:dyDescent="0.25">
      <c r="A44" s="51">
        <v>21499</v>
      </c>
      <c r="B44" s="88" t="s">
        <v>64</v>
      </c>
      <c r="C44" s="132">
        <f>F44+I44+L44</f>
        <v>293</v>
      </c>
      <c r="D44" s="46"/>
      <c r="E44" s="47"/>
      <c r="F44" s="133">
        <f>D44+E44</f>
        <v>0</v>
      </c>
      <c r="G44" s="46"/>
      <c r="H44" s="47"/>
      <c r="I44" s="133">
        <f>G44+H44</f>
        <v>0</v>
      </c>
      <c r="J44" s="46">
        <v>21</v>
      </c>
      <c r="K44" s="47">
        <v>272</v>
      </c>
      <c r="L44" s="48">
        <f>K44+J44</f>
        <v>293</v>
      </c>
      <c r="M44" s="86" t="s">
        <v>44</v>
      </c>
      <c r="N44" s="87" t="s">
        <v>44</v>
      </c>
      <c r="O44" s="48" t="s">
        <v>44</v>
      </c>
      <c r="P44" s="49" t="s">
        <v>339</v>
      </c>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170827</v>
      </c>
      <c r="D50" s="158">
        <f>SUM(D51,D286)</f>
        <v>170534</v>
      </c>
      <c r="E50" s="159">
        <f t="shared" ref="E50:F50" si="26">SUM(E51,E286)</f>
        <v>0</v>
      </c>
      <c r="F50" s="160">
        <f t="shared" si="26"/>
        <v>170534</v>
      </c>
      <c r="G50" s="158">
        <f>SUM(G51,G286)</f>
        <v>0</v>
      </c>
      <c r="H50" s="159">
        <f>SUM(H51,H286)</f>
        <v>0</v>
      </c>
      <c r="I50" s="160">
        <f t="shared" ref="I50" si="27">SUM(I51,I286)</f>
        <v>0</v>
      </c>
      <c r="J50" s="32">
        <f>SUM(J51,J286)</f>
        <v>21</v>
      </c>
      <c r="K50" s="33">
        <f t="shared" ref="K50:L50" si="28">SUM(K51,K286)</f>
        <v>272</v>
      </c>
      <c r="L50" s="34">
        <f t="shared" si="28"/>
        <v>293</v>
      </c>
      <c r="M50" s="32">
        <f>SUM(M51,M286)</f>
        <v>0</v>
      </c>
      <c r="N50" s="33">
        <f t="shared" ref="N50:O50" si="29">SUM(N51,N286)</f>
        <v>0</v>
      </c>
      <c r="O50" s="34">
        <f t="shared" si="29"/>
        <v>0</v>
      </c>
      <c r="P50" s="35"/>
    </row>
    <row r="51" spans="1:16" s="28" customFormat="1" ht="36.75" thickTop="1" x14ac:dyDescent="0.25">
      <c r="A51" s="161"/>
      <c r="B51" s="162" t="s">
        <v>70</v>
      </c>
      <c r="C51" s="163">
        <f t="shared" si="0"/>
        <v>170827</v>
      </c>
      <c r="D51" s="164">
        <f>SUM(D52,D194)</f>
        <v>170534</v>
      </c>
      <c r="E51" s="165">
        <f t="shared" ref="E51:F51" si="30">SUM(E52,E194)</f>
        <v>0</v>
      </c>
      <c r="F51" s="166">
        <f t="shared" si="30"/>
        <v>170534</v>
      </c>
      <c r="G51" s="164">
        <f>SUM(G52,G194)</f>
        <v>0</v>
      </c>
      <c r="H51" s="165">
        <f t="shared" ref="H51:I51" si="31">SUM(H52,H194)</f>
        <v>0</v>
      </c>
      <c r="I51" s="166">
        <f t="shared" si="31"/>
        <v>0</v>
      </c>
      <c r="J51" s="167">
        <f>SUM(J52,J194)</f>
        <v>21</v>
      </c>
      <c r="K51" s="168">
        <f t="shared" ref="K51:L51" si="32">SUM(K52,K194)</f>
        <v>272</v>
      </c>
      <c r="L51" s="169">
        <f t="shared" si="32"/>
        <v>293</v>
      </c>
      <c r="M51" s="167">
        <f>SUM(M52,M194)</f>
        <v>0</v>
      </c>
      <c r="N51" s="168">
        <f t="shared" ref="N51:O51" si="33">SUM(N52,N194)</f>
        <v>0</v>
      </c>
      <c r="O51" s="169">
        <f t="shared" si="33"/>
        <v>0</v>
      </c>
      <c r="P51" s="170"/>
    </row>
    <row r="52" spans="1:16" s="28" customFormat="1" ht="24" x14ac:dyDescent="0.25">
      <c r="A52" s="24"/>
      <c r="B52" s="22" t="s">
        <v>71</v>
      </c>
      <c r="C52" s="171">
        <f t="shared" si="0"/>
        <v>169042</v>
      </c>
      <c r="D52" s="172">
        <f>SUM(D53,D75,D173,D187)</f>
        <v>168754</v>
      </c>
      <c r="E52" s="173">
        <f t="shared" ref="E52:F52" si="34">SUM(E53,E75,E173,E187)</f>
        <v>280</v>
      </c>
      <c r="F52" s="174">
        <f t="shared" si="34"/>
        <v>169034</v>
      </c>
      <c r="G52" s="172">
        <f>SUM(G53,G75,G173,G187)</f>
        <v>0</v>
      </c>
      <c r="H52" s="173">
        <f t="shared" ref="H52:I52" si="35">SUM(H53,H75,H173,H187)</f>
        <v>0</v>
      </c>
      <c r="I52" s="174">
        <f t="shared" si="35"/>
        <v>0</v>
      </c>
      <c r="J52" s="172">
        <f>SUM(J53,J75,J173,J187)</f>
        <v>8</v>
      </c>
      <c r="K52" s="173">
        <f t="shared" ref="K52:L52" si="36">SUM(K53,K75,K173,K187)</f>
        <v>0</v>
      </c>
      <c r="L52" s="174">
        <f t="shared" si="36"/>
        <v>8</v>
      </c>
      <c r="M52" s="172">
        <f>SUM(M53,M75,M173,M187)</f>
        <v>0</v>
      </c>
      <c r="N52" s="173">
        <f t="shared" ref="N52:O52" si="37">SUM(N53,N75,N173,N187)</f>
        <v>0</v>
      </c>
      <c r="O52" s="174">
        <f t="shared" si="37"/>
        <v>0</v>
      </c>
      <c r="P52" s="175"/>
    </row>
    <row r="53" spans="1:16" s="28" customFormat="1" x14ac:dyDescent="0.25">
      <c r="A53" s="176">
        <v>1000</v>
      </c>
      <c r="B53" s="176" t="s">
        <v>72</v>
      </c>
      <c r="C53" s="177">
        <f t="shared" si="0"/>
        <v>157867</v>
      </c>
      <c r="D53" s="178">
        <f>SUM(D54,D67)</f>
        <v>157867</v>
      </c>
      <c r="E53" s="179">
        <f t="shared" ref="E53:F53" si="38">SUM(E54,E67)</f>
        <v>0</v>
      </c>
      <c r="F53" s="180">
        <f t="shared" si="38"/>
        <v>157867</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119684</v>
      </c>
      <c r="D54" s="183">
        <f>SUM(D55,D58,D66)</f>
        <v>119684</v>
      </c>
      <c r="E54" s="184">
        <f t="shared" ref="E54:F54" si="42">SUM(E55,E58,E66)</f>
        <v>0</v>
      </c>
      <c r="F54" s="72">
        <f t="shared" si="42"/>
        <v>119684</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x14ac:dyDescent="0.25">
      <c r="A55" s="185">
        <v>1110</v>
      </c>
      <c r="B55" s="137" t="s">
        <v>74</v>
      </c>
      <c r="C55" s="142">
        <f t="shared" si="0"/>
        <v>111580</v>
      </c>
      <c r="D55" s="186">
        <f>SUM(D56:D57)</f>
        <v>111580</v>
      </c>
      <c r="E55" s="187">
        <f t="shared" ref="E55:F55" si="46">SUM(E56:E57)</f>
        <v>0</v>
      </c>
      <c r="F55" s="140">
        <f t="shared" si="46"/>
        <v>111580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customHeight="1" x14ac:dyDescent="0.25">
      <c r="A57" s="51">
        <v>1119</v>
      </c>
      <c r="B57" s="88" t="s">
        <v>76</v>
      </c>
      <c r="C57" s="89">
        <f t="shared" si="0"/>
        <v>111580</v>
      </c>
      <c r="D57" s="53">
        <v>111580</v>
      </c>
      <c r="E57" s="54"/>
      <c r="F57" s="55">
        <f t="shared" si="50"/>
        <v>111580</v>
      </c>
      <c r="G57" s="53"/>
      <c r="H57" s="54"/>
      <c r="I57" s="55">
        <f t="shared" si="51"/>
        <v>0</v>
      </c>
      <c r="J57" s="53"/>
      <c r="K57" s="54"/>
      <c r="L57" s="55">
        <f t="shared" si="52"/>
        <v>0</v>
      </c>
      <c r="M57" s="53"/>
      <c r="N57" s="54"/>
      <c r="O57" s="55">
        <f t="shared" si="53"/>
        <v>0</v>
      </c>
      <c r="P57" s="57"/>
    </row>
    <row r="58" spans="1:16" x14ac:dyDescent="0.25">
      <c r="A58" s="188">
        <v>1140</v>
      </c>
      <c r="B58" s="88" t="s">
        <v>77</v>
      </c>
      <c r="C58" s="89">
        <f t="shared" si="0"/>
        <v>8104</v>
      </c>
      <c r="D58" s="189">
        <f>SUM(D59:D65)</f>
        <v>8104</v>
      </c>
      <c r="E58" s="190">
        <f>SUM(E59:E65)</f>
        <v>0</v>
      </c>
      <c r="F58" s="55">
        <f t="shared" ref="F58" si="54">SUM(F59:F65)</f>
        <v>8104</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customHeight="1" x14ac:dyDescent="0.25">
      <c r="A63" s="51">
        <v>1147</v>
      </c>
      <c r="B63" s="88" t="s">
        <v>82</v>
      </c>
      <c r="C63" s="89">
        <f t="shared" si="0"/>
        <v>2425</v>
      </c>
      <c r="D63" s="53">
        <v>2425</v>
      </c>
      <c r="E63" s="54"/>
      <c r="F63" s="55">
        <f t="shared" si="58"/>
        <v>2425</v>
      </c>
      <c r="G63" s="53"/>
      <c r="H63" s="54"/>
      <c r="I63" s="55">
        <f t="shared" si="59"/>
        <v>0</v>
      </c>
      <c r="J63" s="53"/>
      <c r="K63" s="54"/>
      <c r="L63" s="55">
        <f t="shared" si="60"/>
        <v>0</v>
      </c>
      <c r="M63" s="53"/>
      <c r="N63" s="54"/>
      <c r="O63" s="55">
        <f t="shared" si="61"/>
        <v>0</v>
      </c>
      <c r="P63" s="57"/>
    </row>
    <row r="64" spans="1:16" ht="12" customHeight="1" x14ac:dyDescent="0.25">
      <c r="A64" s="51">
        <v>1148</v>
      </c>
      <c r="B64" s="88" t="s">
        <v>83</v>
      </c>
      <c r="C64" s="89">
        <f t="shared" si="0"/>
        <v>5679</v>
      </c>
      <c r="D64" s="53">
        <v>5679</v>
      </c>
      <c r="E64" s="54"/>
      <c r="F64" s="55">
        <f t="shared" si="58"/>
        <v>5679</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38183</v>
      </c>
      <c r="D67" s="183">
        <f>SUM(D68:D69)</f>
        <v>38183</v>
      </c>
      <c r="E67" s="184">
        <f t="shared" ref="E67:F67" si="62">SUM(E68:E69)</f>
        <v>0</v>
      </c>
      <c r="F67" s="72">
        <f t="shared" si="62"/>
        <v>38183</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91">
        <v>1210</v>
      </c>
      <c r="B68" s="81" t="s">
        <v>87</v>
      </c>
      <c r="C68" s="82">
        <f t="shared" si="0"/>
        <v>30178</v>
      </c>
      <c r="D68" s="46">
        <v>30178</v>
      </c>
      <c r="E68" s="47"/>
      <c r="F68" s="133">
        <f>D68+E68</f>
        <v>30178</v>
      </c>
      <c r="G68" s="46"/>
      <c r="H68" s="47"/>
      <c r="I68" s="133">
        <f>G68+H68</f>
        <v>0</v>
      </c>
      <c r="J68" s="46"/>
      <c r="K68" s="47"/>
      <c r="L68" s="133">
        <f>K68+J68</f>
        <v>0</v>
      </c>
      <c r="M68" s="46"/>
      <c r="N68" s="47"/>
      <c r="O68" s="133">
        <f>N68+M68</f>
        <v>0</v>
      </c>
      <c r="P68" s="49"/>
    </row>
    <row r="69" spans="1:16" ht="24" x14ac:dyDescent="0.25">
      <c r="A69" s="188">
        <v>1220</v>
      </c>
      <c r="B69" s="88" t="s">
        <v>88</v>
      </c>
      <c r="C69" s="89">
        <f t="shared" si="0"/>
        <v>8005</v>
      </c>
      <c r="D69" s="189">
        <f>SUM(D70:D74)</f>
        <v>8005</v>
      </c>
      <c r="E69" s="190">
        <f t="shared" ref="E69:F69" si="66">SUM(E70:E74)</f>
        <v>0</v>
      </c>
      <c r="F69" s="55">
        <f t="shared" si="66"/>
        <v>8005</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51" customHeight="1" x14ac:dyDescent="0.25">
      <c r="A70" s="51">
        <v>1221</v>
      </c>
      <c r="B70" s="88" t="s">
        <v>89</v>
      </c>
      <c r="C70" s="89">
        <f t="shared" si="0"/>
        <v>5584</v>
      </c>
      <c r="D70" s="53">
        <v>5584</v>
      </c>
      <c r="E70" s="54"/>
      <c r="F70" s="55">
        <f t="shared" ref="F70:F74" si="70">D70+E70</f>
        <v>5584</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15"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8.25" customHeight="1" x14ac:dyDescent="0.25">
      <c r="A73" s="51">
        <v>1227</v>
      </c>
      <c r="B73" s="88" t="s">
        <v>92</v>
      </c>
      <c r="C73" s="89">
        <f t="shared" si="0"/>
        <v>1921</v>
      </c>
      <c r="D73" s="53">
        <v>1921</v>
      </c>
      <c r="E73" s="54"/>
      <c r="F73" s="55">
        <f t="shared" si="70"/>
        <v>1921</v>
      </c>
      <c r="G73" s="53"/>
      <c r="H73" s="54"/>
      <c r="I73" s="55">
        <f t="shared" si="71"/>
        <v>0</v>
      </c>
      <c r="J73" s="53"/>
      <c r="K73" s="54"/>
      <c r="L73" s="55">
        <f t="shared" si="72"/>
        <v>0</v>
      </c>
      <c r="M73" s="53"/>
      <c r="N73" s="54"/>
      <c r="O73" s="55">
        <f t="shared" si="73"/>
        <v>0</v>
      </c>
      <c r="P73" s="57"/>
    </row>
    <row r="74" spans="1:16" ht="52.5" customHeight="1" x14ac:dyDescent="0.25">
      <c r="A74" s="51">
        <v>1228</v>
      </c>
      <c r="B74" s="88" t="s">
        <v>93</v>
      </c>
      <c r="C74" s="89">
        <f t="shared" si="0"/>
        <v>500</v>
      </c>
      <c r="D74" s="53">
        <v>500</v>
      </c>
      <c r="E74" s="54"/>
      <c r="F74" s="55">
        <f t="shared" si="70"/>
        <v>500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11175</v>
      </c>
      <c r="D75" s="178">
        <f>SUM(D76,D83,D130,D164,D165,D172)</f>
        <v>10887</v>
      </c>
      <c r="E75" s="179">
        <f t="shared" ref="E75:F75" si="74">SUM(E76,E83,E130,E164,E165,E172)</f>
        <v>280</v>
      </c>
      <c r="F75" s="180">
        <f t="shared" si="74"/>
        <v>11167</v>
      </c>
      <c r="G75" s="178">
        <f>SUM(G76,G83,G130,G164,G165,G172)</f>
        <v>0</v>
      </c>
      <c r="H75" s="179">
        <f t="shared" ref="H75:I75" si="75">SUM(H76,H83,H130,H164,H165,H172)</f>
        <v>0</v>
      </c>
      <c r="I75" s="180">
        <f t="shared" si="75"/>
        <v>0</v>
      </c>
      <c r="J75" s="178">
        <f>SUM(J76,J83,J130,J164,J165,J172)</f>
        <v>8</v>
      </c>
      <c r="K75" s="179">
        <f t="shared" ref="K75:L75" si="76">SUM(K76,K83,K130,K164,K165,K172)</f>
        <v>0</v>
      </c>
      <c r="L75" s="180">
        <f t="shared" si="76"/>
        <v>8</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91">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6268</v>
      </c>
      <c r="D83" s="183">
        <f>SUM(D84,D89,D95,D103,D112,D116,D122,D128)</f>
        <v>6250</v>
      </c>
      <c r="E83" s="184">
        <f t="shared" ref="E83:F83" si="98">SUM(E84,E89,E95,E103,E112,E116,E122,E128)</f>
        <v>10</v>
      </c>
      <c r="F83" s="72">
        <f t="shared" si="98"/>
        <v>6260</v>
      </c>
      <c r="G83" s="183">
        <f>SUM(G84,G89,G95,G103,G112,G116,G122,G128)</f>
        <v>0</v>
      </c>
      <c r="H83" s="184">
        <f t="shared" ref="H83:I83" si="99">SUM(H84,H89,H95,H103,H112,H116,H122,H128)</f>
        <v>0</v>
      </c>
      <c r="I83" s="72">
        <f t="shared" si="99"/>
        <v>0</v>
      </c>
      <c r="J83" s="183">
        <f>SUM(J84,J89,J95,J103,J112,J116,J122,J128)</f>
        <v>8</v>
      </c>
      <c r="K83" s="184">
        <f t="shared" ref="K83:L83" si="100">SUM(K84,K89,K95,K103,K112,K116,K122,K128)</f>
        <v>0</v>
      </c>
      <c r="L83" s="72">
        <f t="shared" si="100"/>
        <v>8</v>
      </c>
      <c r="M83" s="183">
        <f>SUM(M84,M89,M95,M103,M112,M116,M122,M128)</f>
        <v>0</v>
      </c>
      <c r="N83" s="184">
        <f t="shared" ref="N83:O83" si="101">SUM(N84,N89,N95,N103,N112,N116,N122,N128)</f>
        <v>0</v>
      </c>
      <c r="O83" s="72">
        <f t="shared" si="101"/>
        <v>0</v>
      </c>
      <c r="P83" s="76"/>
    </row>
    <row r="84" spans="1:16" x14ac:dyDescent="0.25">
      <c r="A84" s="185">
        <v>2210</v>
      </c>
      <c r="B84" s="137" t="s">
        <v>101</v>
      </c>
      <c r="C84" s="142">
        <f t="shared" ref="C84:C147" si="102">F84+I84+L84+O84</f>
        <v>1387</v>
      </c>
      <c r="D84" s="186">
        <f>SUM(D85:D88)</f>
        <v>1379</v>
      </c>
      <c r="E84" s="187">
        <f t="shared" ref="E84:F84" si="103">SUM(E85:E88)</f>
        <v>0</v>
      </c>
      <c r="F84" s="140">
        <f t="shared" si="103"/>
        <v>1379</v>
      </c>
      <c r="G84" s="186">
        <f>SUM(G85:G88)</f>
        <v>0</v>
      </c>
      <c r="H84" s="187">
        <f t="shared" ref="H84:I84" si="104">SUM(H85:H88)</f>
        <v>0</v>
      </c>
      <c r="I84" s="140">
        <f t="shared" si="104"/>
        <v>0</v>
      </c>
      <c r="J84" s="186">
        <f>SUM(J85:J88)</f>
        <v>8</v>
      </c>
      <c r="K84" s="187">
        <f t="shared" ref="K84:L84" si="105">SUM(K85:K88)</f>
        <v>0</v>
      </c>
      <c r="L84" s="140">
        <f t="shared" si="105"/>
        <v>8</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customHeight="1" x14ac:dyDescent="0.25">
      <c r="A86" s="51">
        <v>2212</v>
      </c>
      <c r="B86" s="88" t="s">
        <v>103</v>
      </c>
      <c r="C86" s="89">
        <f t="shared" si="102"/>
        <v>157</v>
      </c>
      <c r="D86" s="194">
        <v>153</v>
      </c>
      <c r="E86" s="195"/>
      <c r="F86" s="55">
        <f t="shared" si="107"/>
        <v>153</v>
      </c>
      <c r="G86" s="53"/>
      <c r="H86" s="54"/>
      <c r="I86" s="55">
        <f t="shared" si="108"/>
        <v>0</v>
      </c>
      <c r="J86" s="53">
        <v>4</v>
      </c>
      <c r="K86" s="54"/>
      <c r="L86" s="55">
        <f t="shared" si="109"/>
        <v>4</v>
      </c>
      <c r="M86" s="53"/>
      <c r="N86" s="54"/>
      <c r="O86" s="55">
        <f t="shared" si="110"/>
        <v>0</v>
      </c>
      <c r="P86" s="57"/>
    </row>
    <row r="87" spans="1:16" ht="24" customHeight="1" x14ac:dyDescent="0.25">
      <c r="A87" s="51">
        <v>2214</v>
      </c>
      <c r="B87" s="88" t="s">
        <v>104</v>
      </c>
      <c r="C87" s="89">
        <f t="shared" si="102"/>
        <v>157</v>
      </c>
      <c r="D87" s="194">
        <v>153</v>
      </c>
      <c r="E87" s="195"/>
      <c r="F87" s="55">
        <f t="shared" si="107"/>
        <v>153</v>
      </c>
      <c r="G87" s="53"/>
      <c r="H87" s="54"/>
      <c r="I87" s="55">
        <f t="shared" si="108"/>
        <v>0</v>
      </c>
      <c r="J87" s="53">
        <v>4</v>
      </c>
      <c r="K87" s="54"/>
      <c r="L87" s="55">
        <f t="shared" si="109"/>
        <v>4</v>
      </c>
      <c r="M87" s="53"/>
      <c r="N87" s="54"/>
      <c r="O87" s="55">
        <f t="shared" si="110"/>
        <v>0</v>
      </c>
      <c r="P87" s="57"/>
    </row>
    <row r="88" spans="1:16" ht="12" customHeight="1" x14ac:dyDescent="0.25">
      <c r="A88" s="51">
        <v>2219</v>
      </c>
      <c r="B88" s="88" t="s">
        <v>105</v>
      </c>
      <c r="C88" s="89">
        <f t="shared" si="102"/>
        <v>1073</v>
      </c>
      <c r="D88" s="194">
        <v>1073</v>
      </c>
      <c r="E88" s="195"/>
      <c r="F88" s="55">
        <f t="shared" si="107"/>
        <v>1073</v>
      </c>
      <c r="G88" s="53"/>
      <c r="H88" s="54"/>
      <c r="I88" s="55">
        <f t="shared" si="108"/>
        <v>0</v>
      </c>
      <c r="J88" s="53"/>
      <c r="K88" s="54"/>
      <c r="L88" s="55">
        <f t="shared" si="109"/>
        <v>0</v>
      </c>
      <c r="M88" s="53"/>
      <c r="N88" s="54"/>
      <c r="O88" s="55">
        <f t="shared" si="110"/>
        <v>0</v>
      </c>
      <c r="P88" s="57"/>
    </row>
    <row r="89" spans="1:16" ht="24" x14ac:dyDescent="0.25">
      <c r="A89" s="188">
        <v>2220</v>
      </c>
      <c r="B89" s="88" t="s">
        <v>106</v>
      </c>
      <c r="C89" s="89">
        <f t="shared" si="102"/>
        <v>2990</v>
      </c>
      <c r="D89" s="189">
        <f>SUM(D90:D94)</f>
        <v>2973</v>
      </c>
      <c r="E89" s="190">
        <f t="shared" ref="E89:F89" si="111">SUM(E90:E94)</f>
        <v>17</v>
      </c>
      <c r="F89" s="55">
        <f t="shared" si="111"/>
        <v>2990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customHeight="1" x14ac:dyDescent="0.25">
      <c r="A90" s="51">
        <v>2221</v>
      </c>
      <c r="B90" s="88" t="s">
        <v>107</v>
      </c>
      <c r="C90" s="89">
        <f t="shared" si="102"/>
        <v>1712</v>
      </c>
      <c r="D90" s="194">
        <v>1712</v>
      </c>
      <c r="E90" s="195"/>
      <c r="F90" s="55">
        <f t="shared" ref="F90:F94" si="115">D90+E90</f>
        <v>1712</v>
      </c>
      <c r="G90" s="53"/>
      <c r="H90" s="54"/>
      <c r="I90" s="55">
        <f t="shared" ref="I90:I94" si="116">G90+H90</f>
        <v>0</v>
      </c>
      <c r="J90" s="53"/>
      <c r="K90" s="54"/>
      <c r="L90" s="55">
        <f t="shared" ref="L90:L94" si="117">K90+J90</f>
        <v>0</v>
      </c>
      <c r="M90" s="53"/>
      <c r="N90" s="54"/>
      <c r="O90" s="55">
        <f t="shared" ref="O90:O94" si="118">N90+M90</f>
        <v>0</v>
      </c>
      <c r="P90" s="57"/>
    </row>
    <row r="91" spans="1:16" ht="16.5" customHeight="1" x14ac:dyDescent="0.25">
      <c r="A91" s="51">
        <v>2222</v>
      </c>
      <c r="B91" s="88" t="s">
        <v>108</v>
      </c>
      <c r="C91" s="89">
        <f t="shared" si="102"/>
        <v>164</v>
      </c>
      <c r="D91" s="194">
        <v>147</v>
      </c>
      <c r="E91" s="195">
        <v>17</v>
      </c>
      <c r="F91" s="55">
        <f t="shared" si="115"/>
        <v>164</v>
      </c>
      <c r="G91" s="53"/>
      <c r="H91" s="54"/>
      <c r="I91" s="55">
        <f t="shared" si="116"/>
        <v>0</v>
      </c>
      <c r="J91" s="53"/>
      <c r="K91" s="54"/>
      <c r="L91" s="55">
        <f t="shared" si="117"/>
        <v>0</v>
      </c>
      <c r="M91" s="53"/>
      <c r="N91" s="54"/>
      <c r="O91" s="55">
        <f t="shared" si="118"/>
        <v>0</v>
      </c>
      <c r="P91" s="57" t="s">
        <v>340</v>
      </c>
    </row>
    <row r="92" spans="1:16" ht="12" customHeight="1" x14ac:dyDescent="0.25">
      <c r="A92" s="51">
        <v>2223</v>
      </c>
      <c r="B92" s="88" t="s">
        <v>109</v>
      </c>
      <c r="C92" s="89">
        <f t="shared" si="102"/>
        <v>1005</v>
      </c>
      <c r="D92" s="194">
        <v>1005</v>
      </c>
      <c r="E92" s="195"/>
      <c r="F92" s="55">
        <f t="shared" si="115"/>
        <v>1005</v>
      </c>
      <c r="G92" s="53"/>
      <c r="H92" s="54"/>
      <c r="I92" s="55">
        <f t="shared" si="116"/>
        <v>0</v>
      </c>
      <c r="J92" s="53"/>
      <c r="K92" s="54"/>
      <c r="L92" s="55">
        <f t="shared" si="117"/>
        <v>0</v>
      </c>
      <c r="M92" s="53"/>
      <c r="N92" s="54"/>
      <c r="O92" s="55">
        <f t="shared" si="118"/>
        <v>0</v>
      </c>
      <c r="P92" s="57"/>
    </row>
    <row r="93" spans="1:16" ht="48" customHeight="1" x14ac:dyDescent="0.25">
      <c r="A93" s="51">
        <v>2224</v>
      </c>
      <c r="B93" s="88" t="s">
        <v>110</v>
      </c>
      <c r="C93" s="89">
        <f t="shared" si="102"/>
        <v>109</v>
      </c>
      <c r="D93" s="194">
        <v>109</v>
      </c>
      <c r="E93" s="195"/>
      <c r="F93" s="55">
        <f t="shared" si="115"/>
        <v>109</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333</v>
      </c>
      <c r="D95" s="189">
        <f>SUM(D96:D102)</f>
        <v>333</v>
      </c>
      <c r="E95" s="190">
        <f t="shared" ref="E95:F95" si="119">SUM(E96:E102)</f>
        <v>0</v>
      </c>
      <c r="F95" s="55">
        <f t="shared" si="119"/>
        <v>333</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6.25" customHeight="1" x14ac:dyDescent="0.25">
      <c r="A100" s="51">
        <v>2235</v>
      </c>
      <c r="B100" s="88" t="s">
        <v>117</v>
      </c>
      <c r="C100" s="89">
        <f t="shared" si="102"/>
        <v>210</v>
      </c>
      <c r="D100" s="194">
        <v>210</v>
      </c>
      <c r="E100" s="195"/>
      <c r="F100" s="55">
        <f t="shared" si="123"/>
        <v>210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123</v>
      </c>
      <c r="D102" s="194">
        <v>123</v>
      </c>
      <c r="E102" s="195"/>
      <c r="F102" s="55">
        <f t="shared" si="123"/>
        <v>123</v>
      </c>
      <c r="G102" s="53"/>
      <c r="H102" s="54"/>
      <c r="I102" s="55">
        <f t="shared" si="124"/>
        <v>0</v>
      </c>
      <c r="J102" s="53"/>
      <c r="K102" s="54"/>
      <c r="L102" s="55">
        <f t="shared" si="125"/>
        <v>0</v>
      </c>
      <c r="M102" s="53"/>
      <c r="N102" s="54"/>
      <c r="O102" s="55">
        <f t="shared" si="126"/>
        <v>0</v>
      </c>
      <c r="P102" s="57"/>
    </row>
    <row r="103" spans="1:16" ht="36" x14ac:dyDescent="0.25">
      <c r="A103" s="188">
        <v>2240</v>
      </c>
      <c r="B103" s="88" t="s">
        <v>120</v>
      </c>
      <c r="C103" s="89">
        <f t="shared" si="102"/>
        <v>1215</v>
      </c>
      <c r="D103" s="189">
        <f>SUM(D104:D111)</f>
        <v>1222</v>
      </c>
      <c r="E103" s="190">
        <f t="shared" ref="E103:F103" si="127">SUM(E104:E111)</f>
        <v>-7</v>
      </c>
      <c r="F103" s="55">
        <f t="shared" si="127"/>
        <v>1215</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5.5" customHeight="1" x14ac:dyDescent="0.25">
      <c r="A105" s="51">
        <v>2242</v>
      </c>
      <c r="B105" s="88" t="s">
        <v>122</v>
      </c>
      <c r="C105" s="89">
        <f t="shared" si="102"/>
        <v>973</v>
      </c>
      <c r="D105" s="194">
        <v>980</v>
      </c>
      <c r="E105" s="195">
        <v>-7</v>
      </c>
      <c r="F105" s="55">
        <f t="shared" si="131"/>
        <v>973</v>
      </c>
      <c r="G105" s="53"/>
      <c r="H105" s="54"/>
      <c r="I105" s="55">
        <f t="shared" si="132"/>
        <v>0</v>
      </c>
      <c r="J105" s="53"/>
      <c r="K105" s="54"/>
      <c r="L105" s="55">
        <f t="shared" si="133"/>
        <v>0</v>
      </c>
      <c r="M105" s="53"/>
      <c r="N105" s="54"/>
      <c r="O105" s="55">
        <f t="shared" si="134"/>
        <v>0</v>
      </c>
      <c r="P105" s="57" t="s">
        <v>341</v>
      </c>
    </row>
    <row r="106" spans="1:16" ht="24" customHeight="1" x14ac:dyDescent="0.25">
      <c r="A106" s="51">
        <v>2243</v>
      </c>
      <c r="B106" s="88" t="s">
        <v>123</v>
      </c>
      <c r="C106" s="89">
        <f t="shared" si="102"/>
        <v>112</v>
      </c>
      <c r="D106" s="194">
        <v>112</v>
      </c>
      <c r="E106" s="195"/>
      <c r="F106" s="55">
        <f t="shared" si="131"/>
        <v>112</v>
      </c>
      <c r="G106" s="53"/>
      <c r="H106" s="54"/>
      <c r="I106" s="55">
        <f t="shared" si="132"/>
        <v>0</v>
      </c>
      <c r="J106" s="53"/>
      <c r="K106" s="54"/>
      <c r="L106" s="55">
        <f t="shared" si="133"/>
        <v>0</v>
      </c>
      <c r="M106" s="53"/>
      <c r="N106" s="54"/>
      <c r="O106" s="55">
        <f t="shared" si="134"/>
        <v>0</v>
      </c>
      <c r="P106" s="57"/>
    </row>
    <row r="107" spans="1:16" ht="12" customHeight="1" x14ac:dyDescent="0.25">
      <c r="A107" s="51">
        <v>2244</v>
      </c>
      <c r="B107" s="88" t="s">
        <v>124</v>
      </c>
      <c r="C107" s="89">
        <f t="shared" si="102"/>
        <v>130</v>
      </c>
      <c r="D107" s="194">
        <v>130</v>
      </c>
      <c r="E107" s="195"/>
      <c r="F107" s="55">
        <f t="shared" si="131"/>
        <v>130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9</v>
      </c>
      <c r="D116" s="189">
        <f>SUM(D117:D121)</f>
        <v>9</v>
      </c>
      <c r="E116" s="190">
        <f t="shared" ref="E116:F116" si="143">SUM(E117:E121)</f>
        <v>0</v>
      </c>
      <c r="F116" s="55">
        <f t="shared" si="143"/>
        <v>9</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customHeight="1" x14ac:dyDescent="0.25">
      <c r="A121" s="51">
        <v>2269</v>
      </c>
      <c r="B121" s="88" t="s">
        <v>138</v>
      </c>
      <c r="C121" s="89">
        <f t="shared" si="102"/>
        <v>9</v>
      </c>
      <c r="D121" s="194">
        <v>9</v>
      </c>
      <c r="E121" s="195"/>
      <c r="F121" s="55">
        <f t="shared" si="147"/>
        <v>9</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334</v>
      </c>
      <c r="D122" s="189">
        <f>SUM(D123:D127)</f>
        <v>334</v>
      </c>
      <c r="E122" s="190">
        <f t="shared" ref="E122:F122" si="151">SUM(E123:E127)</f>
        <v>0</v>
      </c>
      <c r="F122" s="55">
        <f t="shared" si="151"/>
        <v>334</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customHeight="1" x14ac:dyDescent="0.25">
      <c r="A123" s="51">
        <v>2272</v>
      </c>
      <c r="B123" s="199" t="s">
        <v>140</v>
      </c>
      <c r="C123" s="89">
        <f t="shared" si="102"/>
        <v>86</v>
      </c>
      <c r="D123" s="194">
        <v>86</v>
      </c>
      <c r="E123" s="195"/>
      <c r="F123" s="55">
        <f t="shared" ref="F123:F127" si="155">D123+E123</f>
        <v>86</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248</v>
      </c>
      <c r="D127" s="194">
        <v>248</v>
      </c>
      <c r="E127" s="195"/>
      <c r="F127" s="55">
        <f t="shared" si="155"/>
        <v>248</v>
      </c>
      <c r="G127" s="53"/>
      <c r="H127" s="54"/>
      <c r="I127" s="55">
        <f t="shared" si="156"/>
        <v>0</v>
      </c>
      <c r="J127" s="53"/>
      <c r="K127" s="54"/>
      <c r="L127" s="55">
        <f t="shared" si="157"/>
        <v>0</v>
      </c>
      <c r="M127" s="53"/>
      <c r="N127" s="54"/>
      <c r="O127" s="55">
        <f t="shared" si="158"/>
        <v>0</v>
      </c>
      <c r="P127" s="57"/>
    </row>
    <row r="128" spans="1:16" ht="48" hidden="1" x14ac:dyDescent="0.25">
      <c r="A128" s="191">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4850</v>
      </c>
      <c r="D130" s="183">
        <f>SUM(D131,D136,D140,D141,D144,D151,D159,D160,D163)</f>
        <v>4580</v>
      </c>
      <c r="E130" s="184">
        <f t="shared" ref="E130:F130" si="160">SUM(E131,E136,E140,E141,E144,E151,E159,E160,E163)</f>
        <v>270</v>
      </c>
      <c r="F130" s="72">
        <f t="shared" si="160"/>
        <v>4850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91">
        <v>2310</v>
      </c>
      <c r="B131" s="81" t="s">
        <v>148</v>
      </c>
      <c r="C131" s="82">
        <f t="shared" si="102"/>
        <v>2495</v>
      </c>
      <c r="D131" s="192">
        <f t="shared" ref="D131:O131" si="164">SUM(D132:D135)</f>
        <v>2215</v>
      </c>
      <c r="E131" s="193">
        <f t="shared" si="164"/>
        <v>280</v>
      </c>
      <c r="F131" s="133">
        <f t="shared" si="164"/>
        <v>2495</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customHeight="1" x14ac:dyDescent="0.25">
      <c r="A132" s="51">
        <v>2311</v>
      </c>
      <c r="B132" s="88" t="s">
        <v>149</v>
      </c>
      <c r="C132" s="89">
        <f t="shared" si="102"/>
        <v>750</v>
      </c>
      <c r="D132" s="194">
        <v>750</v>
      </c>
      <c r="E132" s="195"/>
      <c r="F132" s="55">
        <f t="shared" ref="F132:F135" si="165">D132+E132</f>
        <v>750</v>
      </c>
      <c r="G132" s="53"/>
      <c r="H132" s="54"/>
      <c r="I132" s="55">
        <f t="shared" ref="I132:I135" si="166">G132+H132</f>
        <v>0</v>
      </c>
      <c r="J132" s="53"/>
      <c r="K132" s="54"/>
      <c r="L132" s="55">
        <f t="shared" ref="L132:L135" si="167">K132+J132</f>
        <v>0</v>
      </c>
      <c r="M132" s="53"/>
      <c r="N132" s="54"/>
      <c r="O132" s="55">
        <f t="shared" ref="O132:O135" si="168">N132+M132</f>
        <v>0</v>
      </c>
      <c r="P132" s="57"/>
    </row>
    <row r="133" spans="1:16" ht="18" customHeight="1" x14ac:dyDescent="0.25">
      <c r="A133" s="51">
        <v>2312</v>
      </c>
      <c r="B133" s="88" t="s">
        <v>150</v>
      </c>
      <c r="C133" s="89">
        <f t="shared" si="102"/>
        <v>1745</v>
      </c>
      <c r="D133" s="194">
        <v>1465</v>
      </c>
      <c r="E133" s="195">
        <v>280</v>
      </c>
      <c r="F133" s="55">
        <f t="shared" si="165"/>
        <v>1745</v>
      </c>
      <c r="G133" s="53"/>
      <c r="H133" s="54"/>
      <c r="I133" s="55">
        <f t="shared" si="166"/>
        <v>0</v>
      </c>
      <c r="J133" s="53"/>
      <c r="K133" s="54"/>
      <c r="L133" s="55">
        <f t="shared" si="167"/>
        <v>0</v>
      </c>
      <c r="M133" s="53"/>
      <c r="N133" s="54"/>
      <c r="O133" s="55">
        <f t="shared" si="168"/>
        <v>0</v>
      </c>
      <c r="P133" s="57" t="s">
        <v>342</v>
      </c>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x14ac:dyDescent="0.25">
      <c r="A136" s="188">
        <v>2320</v>
      </c>
      <c r="B136" s="88" t="s">
        <v>153</v>
      </c>
      <c r="C136" s="89">
        <f t="shared" si="102"/>
        <v>2005</v>
      </c>
      <c r="D136" s="189">
        <f>SUM(D137:D139)</f>
        <v>2005</v>
      </c>
      <c r="E136" s="190">
        <f t="shared" ref="E136:F136" si="169">SUM(E137:E139)</f>
        <v>0</v>
      </c>
      <c r="F136" s="55">
        <f t="shared" si="169"/>
        <v>2005</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customHeight="1" x14ac:dyDescent="0.25">
      <c r="A138" s="51">
        <v>2322</v>
      </c>
      <c r="B138" s="88" t="s">
        <v>155</v>
      </c>
      <c r="C138" s="89">
        <f t="shared" si="102"/>
        <v>2005</v>
      </c>
      <c r="D138" s="194">
        <v>2005</v>
      </c>
      <c r="E138" s="195"/>
      <c r="F138" s="55">
        <f t="shared" si="173"/>
        <v>2005</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51" customHeight="1" x14ac:dyDescent="0.25">
      <c r="A141" s="188">
        <v>2340</v>
      </c>
      <c r="B141" s="88" t="s">
        <v>158</v>
      </c>
      <c r="C141" s="89">
        <f t="shared" si="102"/>
        <v>15</v>
      </c>
      <c r="D141" s="189">
        <f>SUM(D142:D143)</f>
        <v>25</v>
      </c>
      <c r="E141" s="190">
        <f t="shared" ref="E141:F141" si="177">SUM(E142:E143)</f>
        <v>-10</v>
      </c>
      <c r="F141" s="55">
        <f t="shared" si="177"/>
        <v>15</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24" customHeight="1" x14ac:dyDescent="0.25">
      <c r="A142" s="51">
        <v>2341</v>
      </c>
      <c r="B142" s="88" t="s">
        <v>159</v>
      </c>
      <c r="C142" s="89">
        <f t="shared" si="102"/>
        <v>15</v>
      </c>
      <c r="D142" s="194">
        <v>25</v>
      </c>
      <c r="E142" s="195">
        <v>-10</v>
      </c>
      <c r="F142" s="55">
        <f t="shared" ref="F142:F143" si="181">D142+E142</f>
        <v>15</v>
      </c>
      <c r="G142" s="53"/>
      <c r="H142" s="54"/>
      <c r="I142" s="55">
        <f t="shared" ref="I142:I143" si="182">G142+H142</f>
        <v>0</v>
      </c>
      <c r="J142" s="53"/>
      <c r="K142" s="54"/>
      <c r="L142" s="55">
        <f t="shared" ref="L142:L143" si="183">K142+J142</f>
        <v>0</v>
      </c>
      <c r="M142" s="53"/>
      <c r="N142" s="54"/>
      <c r="O142" s="55">
        <f t="shared" ref="O142:O143" si="184">N142+M142</f>
        <v>0</v>
      </c>
      <c r="P142" s="57" t="s">
        <v>343</v>
      </c>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x14ac:dyDescent="0.25">
      <c r="A144" s="185">
        <v>2350</v>
      </c>
      <c r="B144" s="137" t="s">
        <v>161</v>
      </c>
      <c r="C144" s="142">
        <f t="shared" si="102"/>
        <v>335</v>
      </c>
      <c r="D144" s="186">
        <f>SUM(D145:D150)</f>
        <v>335</v>
      </c>
      <c r="E144" s="187">
        <f t="shared" ref="E144:F144" si="185">SUM(E145:E150)</f>
        <v>0</v>
      </c>
      <c r="F144" s="140">
        <f t="shared" si="185"/>
        <v>335</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customHeight="1" x14ac:dyDescent="0.25">
      <c r="A145" s="44">
        <v>2351</v>
      </c>
      <c r="B145" s="81" t="s">
        <v>162</v>
      </c>
      <c r="C145" s="82">
        <f t="shared" si="102"/>
        <v>30</v>
      </c>
      <c r="D145" s="196">
        <v>30</v>
      </c>
      <c r="E145" s="197"/>
      <c r="F145" s="133">
        <f t="shared" ref="F145:F150" si="189">D145+E145</f>
        <v>30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customHeight="1" x14ac:dyDescent="0.25">
      <c r="A146" s="51">
        <v>2352</v>
      </c>
      <c r="B146" s="88" t="s">
        <v>163</v>
      </c>
      <c r="C146" s="89">
        <f t="shared" si="102"/>
        <v>200</v>
      </c>
      <c r="D146" s="194">
        <v>200</v>
      </c>
      <c r="E146" s="195"/>
      <c r="F146" s="55">
        <f t="shared" si="189"/>
        <v>200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customHeight="1" x14ac:dyDescent="0.25">
      <c r="A148" s="51">
        <v>2354</v>
      </c>
      <c r="B148" s="88" t="s">
        <v>165</v>
      </c>
      <c r="C148" s="89">
        <f t="shared" ref="C148:C211" si="193">F148+I148+L148+O148</f>
        <v>60</v>
      </c>
      <c r="D148" s="194">
        <v>60</v>
      </c>
      <c r="E148" s="195"/>
      <c r="F148" s="55">
        <f t="shared" si="189"/>
        <v>60</v>
      </c>
      <c r="G148" s="53"/>
      <c r="H148" s="54"/>
      <c r="I148" s="55">
        <f t="shared" si="190"/>
        <v>0</v>
      </c>
      <c r="J148" s="53"/>
      <c r="K148" s="54"/>
      <c r="L148" s="55">
        <f t="shared" si="191"/>
        <v>0</v>
      </c>
      <c r="M148" s="53"/>
      <c r="N148" s="54"/>
      <c r="O148" s="55">
        <f t="shared" si="192"/>
        <v>0</v>
      </c>
      <c r="P148" s="57"/>
    </row>
    <row r="149" spans="1:16" ht="24" customHeight="1" x14ac:dyDescent="0.25">
      <c r="A149" s="51">
        <v>2355</v>
      </c>
      <c r="B149" s="88" t="s">
        <v>166</v>
      </c>
      <c r="C149" s="89">
        <f t="shared" si="193"/>
        <v>45</v>
      </c>
      <c r="D149" s="194">
        <v>45</v>
      </c>
      <c r="E149" s="195"/>
      <c r="F149" s="55">
        <f t="shared" si="189"/>
        <v>45</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x14ac:dyDescent="0.25">
      <c r="A165" s="68">
        <v>2500</v>
      </c>
      <c r="B165" s="182" t="s">
        <v>182</v>
      </c>
      <c r="C165" s="69">
        <f t="shared" si="193"/>
        <v>57</v>
      </c>
      <c r="D165" s="183">
        <f>SUM(D166,D171)</f>
        <v>57</v>
      </c>
      <c r="E165" s="184">
        <f t="shared" ref="E165:O165" si="210">SUM(E166,E171)</f>
        <v>0</v>
      </c>
      <c r="F165" s="72">
        <f t="shared" si="210"/>
        <v>57</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24" x14ac:dyDescent="0.25">
      <c r="A166" s="191">
        <v>2510</v>
      </c>
      <c r="B166" s="81" t="s">
        <v>183</v>
      </c>
      <c r="C166" s="82">
        <f t="shared" si="193"/>
        <v>57</v>
      </c>
      <c r="D166" s="192">
        <f>SUM(D167:D170)</f>
        <v>57</v>
      </c>
      <c r="E166" s="193">
        <f t="shared" ref="E166:O166" si="211">SUM(E167:E170)</f>
        <v>0</v>
      </c>
      <c r="F166" s="133">
        <f t="shared" si="211"/>
        <v>57</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customHeight="1" x14ac:dyDescent="0.25">
      <c r="A170" s="51">
        <v>2519</v>
      </c>
      <c r="B170" s="88" t="s">
        <v>187</v>
      </c>
      <c r="C170" s="89">
        <f t="shared" si="193"/>
        <v>57</v>
      </c>
      <c r="D170" s="194">
        <v>57</v>
      </c>
      <c r="E170" s="195"/>
      <c r="F170" s="55">
        <f t="shared" si="212"/>
        <v>57</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idden="1" x14ac:dyDescent="0.25">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hidden="1" x14ac:dyDescent="0.25">
      <c r="A175" s="191">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1">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91">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91">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1785</v>
      </c>
      <c r="D194" s="172">
        <f t="shared" ref="D194:O194" si="259">SUM(D195,D230,D269,D283)</f>
        <v>1780</v>
      </c>
      <c r="E194" s="173">
        <f t="shared" si="259"/>
        <v>-280</v>
      </c>
      <c r="F194" s="174">
        <f t="shared" si="259"/>
        <v>1500</v>
      </c>
      <c r="G194" s="172">
        <f t="shared" si="259"/>
        <v>0</v>
      </c>
      <c r="H194" s="173">
        <f t="shared" si="259"/>
        <v>0</v>
      </c>
      <c r="I194" s="174">
        <f t="shared" si="259"/>
        <v>0</v>
      </c>
      <c r="J194" s="172">
        <f t="shared" si="259"/>
        <v>13</v>
      </c>
      <c r="K194" s="173">
        <f t="shared" si="259"/>
        <v>272</v>
      </c>
      <c r="L194" s="174">
        <f t="shared" si="259"/>
        <v>285</v>
      </c>
      <c r="M194" s="172">
        <f t="shared" si="259"/>
        <v>0</v>
      </c>
      <c r="N194" s="173">
        <f t="shared" si="259"/>
        <v>0</v>
      </c>
      <c r="O194" s="174">
        <f t="shared" si="259"/>
        <v>0</v>
      </c>
      <c r="P194" s="175"/>
    </row>
    <row r="195" spans="1:16" x14ac:dyDescent="0.25">
      <c r="A195" s="176">
        <v>5000</v>
      </c>
      <c r="B195" s="176" t="s">
        <v>212</v>
      </c>
      <c r="C195" s="177">
        <f t="shared" si="193"/>
        <v>1500</v>
      </c>
      <c r="D195" s="178">
        <f>D196+D204</f>
        <v>1780</v>
      </c>
      <c r="E195" s="179">
        <f t="shared" ref="E195:F195" si="260">E196+E204</f>
        <v>-280</v>
      </c>
      <c r="F195" s="180">
        <f t="shared" si="260"/>
        <v>1500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x14ac:dyDescent="0.25">
      <c r="A196" s="68">
        <v>5100</v>
      </c>
      <c r="B196" s="182" t="s">
        <v>213</v>
      </c>
      <c r="C196" s="69">
        <f t="shared" si="193"/>
        <v>200</v>
      </c>
      <c r="D196" s="183">
        <f>D197+D198+D201+D202+D203</f>
        <v>200</v>
      </c>
      <c r="E196" s="184">
        <f t="shared" ref="E196:F196" si="264">E197+E198+E201+E202+E203</f>
        <v>0</v>
      </c>
      <c r="F196" s="72">
        <f t="shared" si="264"/>
        <v>200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91">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x14ac:dyDescent="0.25">
      <c r="A198" s="188">
        <v>5120</v>
      </c>
      <c r="B198" s="88" t="s">
        <v>215</v>
      </c>
      <c r="C198" s="89">
        <f t="shared" si="193"/>
        <v>200</v>
      </c>
      <c r="D198" s="189">
        <f>D199+D200</f>
        <v>200</v>
      </c>
      <c r="E198" s="190">
        <f t="shared" ref="E198:F198" si="268">E199+E200</f>
        <v>0</v>
      </c>
      <c r="F198" s="55">
        <f t="shared" si="268"/>
        <v>200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customHeight="1" x14ac:dyDescent="0.25">
      <c r="A199" s="51">
        <v>5121</v>
      </c>
      <c r="B199" s="88" t="s">
        <v>216</v>
      </c>
      <c r="C199" s="89">
        <f t="shared" si="193"/>
        <v>200</v>
      </c>
      <c r="D199" s="194">
        <v>200</v>
      </c>
      <c r="E199" s="195"/>
      <c r="F199" s="55">
        <f t="shared" ref="F199:F203" si="272">D199+E199</f>
        <v>200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1300</v>
      </c>
      <c r="D204" s="183">
        <f>D205+D215+D216+D225+D226+D227+D229</f>
        <v>1580</v>
      </c>
      <c r="E204" s="184">
        <f t="shared" ref="E204:F204" si="276">E205+E215+E216+E225+E226+E227+E229</f>
        <v>-280</v>
      </c>
      <c r="F204" s="72">
        <f t="shared" si="276"/>
        <v>1300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1300</v>
      </c>
      <c r="D216" s="189">
        <f>SUM(D217:D224)</f>
        <v>1580</v>
      </c>
      <c r="E216" s="190">
        <f t="shared" ref="E216:F216" si="289">SUM(E217:E224)</f>
        <v>-280</v>
      </c>
      <c r="F216" s="55">
        <f t="shared" si="289"/>
        <v>1300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customHeight="1" x14ac:dyDescent="0.25">
      <c r="A223" s="51">
        <v>5238</v>
      </c>
      <c r="B223" s="88" t="s">
        <v>240</v>
      </c>
      <c r="C223" s="89">
        <f t="shared" si="288"/>
        <v>1300</v>
      </c>
      <c r="D223" s="194">
        <v>1300</v>
      </c>
      <c r="E223" s="195"/>
      <c r="F223" s="55">
        <f t="shared" si="293"/>
        <v>1300</v>
      </c>
      <c r="G223" s="53"/>
      <c r="H223" s="54"/>
      <c r="I223" s="55">
        <f t="shared" si="294"/>
        <v>0</v>
      </c>
      <c r="J223" s="53"/>
      <c r="K223" s="54"/>
      <c r="L223" s="55">
        <f t="shared" si="295"/>
        <v>0</v>
      </c>
      <c r="M223" s="53"/>
      <c r="N223" s="54"/>
      <c r="O223" s="55">
        <f t="shared" si="296"/>
        <v>0</v>
      </c>
      <c r="P223" s="57"/>
    </row>
    <row r="224" spans="1:16" ht="96.75" hidden="1" customHeight="1" x14ac:dyDescent="0.25">
      <c r="A224" s="51">
        <v>5239</v>
      </c>
      <c r="B224" s="88" t="s">
        <v>241</v>
      </c>
      <c r="C224" s="89">
        <f t="shared" si="288"/>
        <v>0</v>
      </c>
      <c r="D224" s="194">
        <v>280</v>
      </c>
      <c r="E224" s="195">
        <v>-280</v>
      </c>
      <c r="F224" s="55">
        <f t="shared" si="293"/>
        <v>0</v>
      </c>
      <c r="G224" s="53"/>
      <c r="H224" s="54"/>
      <c r="I224" s="55">
        <f t="shared" si="294"/>
        <v>0</v>
      </c>
      <c r="J224" s="53"/>
      <c r="K224" s="54"/>
      <c r="L224" s="55">
        <f t="shared" si="295"/>
        <v>0</v>
      </c>
      <c r="M224" s="53"/>
      <c r="N224" s="54"/>
      <c r="O224" s="55">
        <f t="shared" si="296"/>
        <v>0</v>
      </c>
      <c r="P224" s="57" t="s">
        <v>344</v>
      </c>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1">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1">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91">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91">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x14ac:dyDescent="0.25">
      <c r="A269" s="227">
        <v>7000</v>
      </c>
      <c r="B269" s="227" t="s">
        <v>286</v>
      </c>
      <c r="C269" s="228">
        <f t="shared" si="288"/>
        <v>285</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13</v>
      </c>
      <c r="K269" s="230">
        <f t="shared" ref="K269:L269" si="357">SUM(K270,K281)</f>
        <v>272</v>
      </c>
      <c r="L269" s="231">
        <f t="shared" si="357"/>
        <v>285</v>
      </c>
      <c r="M269" s="229">
        <f>SUM(M270,M281)</f>
        <v>0</v>
      </c>
      <c r="N269" s="230">
        <f t="shared" ref="N269:O269" si="358">SUM(N270,N281)</f>
        <v>0</v>
      </c>
      <c r="O269" s="231">
        <f t="shared" si="358"/>
        <v>0</v>
      </c>
      <c r="P269" s="232"/>
    </row>
    <row r="270" spans="1:16" ht="24" x14ac:dyDescent="0.25">
      <c r="A270" s="68">
        <v>7200</v>
      </c>
      <c r="B270" s="182" t="s">
        <v>287</v>
      </c>
      <c r="C270" s="69">
        <f t="shared" si="288"/>
        <v>285</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13</v>
      </c>
      <c r="K270" s="184">
        <f t="shared" ref="K270:L270" si="361">SUM(K271,K272,K275,K276,K280)</f>
        <v>272</v>
      </c>
      <c r="L270" s="72">
        <f t="shared" si="361"/>
        <v>285</v>
      </c>
      <c r="M270" s="183">
        <f>SUM(M271,M272,M275,M276,M280)</f>
        <v>0</v>
      </c>
      <c r="N270" s="184">
        <f t="shared" ref="N270:O270" si="362">SUM(N271,N272,N275,N276,N280)</f>
        <v>0</v>
      </c>
      <c r="O270" s="72">
        <f t="shared" si="362"/>
        <v>0</v>
      </c>
      <c r="P270" s="76"/>
    </row>
    <row r="271" spans="1:16" ht="24" hidden="1" customHeight="1" x14ac:dyDescent="0.25">
      <c r="A271" s="191">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33" customHeight="1" x14ac:dyDescent="0.25">
      <c r="A275" s="188">
        <v>7230</v>
      </c>
      <c r="B275" s="88" t="s">
        <v>292</v>
      </c>
      <c r="C275" s="89">
        <f t="shared" si="288"/>
        <v>285</v>
      </c>
      <c r="D275" s="194"/>
      <c r="E275" s="195"/>
      <c r="F275" s="55">
        <f t="shared" si="367"/>
        <v>0</v>
      </c>
      <c r="G275" s="53"/>
      <c r="H275" s="54"/>
      <c r="I275" s="55">
        <f t="shared" si="368"/>
        <v>0</v>
      </c>
      <c r="J275" s="53">
        <v>13</v>
      </c>
      <c r="K275" s="54">
        <v>272</v>
      </c>
      <c r="L275" s="55">
        <f t="shared" si="369"/>
        <v>285</v>
      </c>
      <c r="M275" s="53"/>
      <c r="N275" s="54"/>
      <c r="O275" s="55">
        <f t="shared" si="370"/>
        <v>0</v>
      </c>
      <c r="P275" s="57" t="s">
        <v>345</v>
      </c>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1">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170827</v>
      </c>
      <c r="D289" s="251">
        <f t="shared" ref="D289:O289" si="389">SUM(D286,D269,D230,D195,D187,D173,D75,D53,D283)</f>
        <v>170534</v>
      </c>
      <c r="E289" s="252">
        <f t="shared" si="389"/>
        <v>0</v>
      </c>
      <c r="F289" s="253">
        <f t="shared" si="389"/>
        <v>170534</v>
      </c>
      <c r="G289" s="251">
        <f t="shared" si="389"/>
        <v>0</v>
      </c>
      <c r="H289" s="252">
        <f t="shared" si="389"/>
        <v>0</v>
      </c>
      <c r="I289" s="253">
        <f t="shared" si="389"/>
        <v>0</v>
      </c>
      <c r="J289" s="251">
        <f t="shared" si="389"/>
        <v>21</v>
      </c>
      <c r="K289" s="252">
        <f t="shared" si="389"/>
        <v>272</v>
      </c>
      <c r="L289" s="253">
        <f t="shared" si="389"/>
        <v>293</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sheetData>
  <sheetProtection algorithmName="SHA-512" hashValue="iDQvn0Ef7TRBdklrLZMdiOpLZEIvjJQHBFlzAwhjnds0I3u2sZsJ/6MF5DKUizze4hu398vQ7wXhs9m2OuTlww==" saltValue="HWlOlnhx7RjvifHU+l/63g==" spinCount="100000" sheet="1" objects="1" scenarios="1" formatCells="0" formatColumns="0" formatRows="0" deleteColumns="0"/>
  <autoFilter ref="A18:P301">
    <filterColumn colId="2">
      <filters>
        <filter val="1 005"/>
        <filter val="1 073"/>
        <filter val="1 215"/>
        <filter val="1 300"/>
        <filter val="1 387"/>
        <filter val="1 500"/>
        <filter val="1 712"/>
        <filter val="1 745"/>
        <filter val="1 785"/>
        <filter val="1 921"/>
        <filter val="109"/>
        <filter val="11 175"/>
        <filter val="111 580"/>
        <filter val="112"/>
        <filter val="119 684"/>
        <filter val="123"/>
        <filter val="130"/>
        <filter val="15"/>
        <filter val="157"/>
        <filter val="157 867"/>
        <filter val="164"/>
        <filter val="169 042"/>
        <filter val="170 534"/>
        <filter val="170 827"/>
        <filter val="2 005"/>
        <filter val="2 425"/>
        <filter val="2 495"/>
        <filter val="2 990"/>
        <filter val="200"/>
        <filter val="210"/>
        <filter val="248"/>
        <filter val="285"/>
        <filter val="293"/>
        <filter val="30"/>
        <filter val="30 178"/>
        <filter val="333"/>
        <filter val="334"/>
        <filter val="335"/>
        <filter val="38 183"/>
        <filter val="4 850"/>
        <filter val="45"/>
        <filter val="5 584"/>
        <filter val="5 679"/>
        <filter val="500"/>
        <filter val="57"/>
        <filter val="6 268"/>
        <filter val="60"/>
        <filter val="750"/>
        <filter val="8 005"/>
        <filter val="8 104"/>
        <filter val="86"/>
        <filter val="9"/>
        <filter val="973"/>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70.pielikums Jūrmalas pilsētas domes
2019.gada 29.augusta saistošajiem noteikumiem Nr.31
(protokols Nr.12, 20.punkts)
 </firstHeader>
    <firstFooter>&amp;L&amp;9&amp;D; &amp;T&amp;R&amp;9&amp;P (&amp;N)</first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N64"/>
  <sheetViews>
    <sheetView view="pageLayout" topLeftCell="A3" zoomScaleNormal="100" workbookViewId="0">
      <selection activeCell="Q37" sqref="Q37"/>
    </sheetView>
  </sheetViews>
  <sheetFormatPr defaultColWidth="9.140625" defaultRowHeight="15.75" outlineLevelCol="1" x14ac:dyDescent="0.25"/>
  <cols>
    <col min="1" max="1" width="3.7109375" style="1759" customWidth="1"/>
    <col min="2" max="2" width="28.85546875" style="1760" customWidth="1"/>
    <col min="3" max="3" width="8.28515625" style="1760" customWidth="1"/>
    <col min="4" max="4" width="5.42578125" style="1760" customWidth="1"/>
    <col min="5" max="5" width="6" style="1761" customWidth="1"/>
    <col min="6" max="6" width="8.28515625" style="1761" hidden="1" customWidth="1"/>
    <col min="7" max="7" width="9.7109375" style="1762" hidden="1" customWidth="1"/>
    <col min="8" max="8" width="8.42578125" style="1762" customWidth="1"/>
    <col min="9" max="9" width="8.28515625" style="1762" hidden="1" customWidth="1"/>
    <col min="10" max="10" width="8.140625" style="1762" hidden="1" customWidth="1"/>
    <col min="11" max="11" width="12.85546875" style="1762" hidden="1" customWidth="1" outlineLevel="1"/>
    <col min="12" max="12" width="9.85546875" style="1762" hidden="1" customWidth="1" outlineLevel="1"/>
    <col min="13" max="13" width="10.42578125" style="1762" customWidth="1" collapsed="1"/>
    <col min="14" max="14" width="8.140625" style="1762" hidden="1" customWidth="1"/>
    <col min="15" max="15" width="8" style="1762" hidden="1" customWidth="1"/>
    <col min="16" max="16" width="13.7109375" style="1765" hidden="1" customWidth="1" outlineLevel="1"/>
    <col min="17" max="17" width="10.140625" style="1762" hidden="1" customWidth="1" outlineLevel="1"/>
    <col min="18" max="18" width="10.42578125" style="1765" customWidth="1" collapsed="1"/>
    <col min="19" max="19" width="37.140625" style="1765" hidden="1" customWidth="1" outlineLevel="1"/>
    <col min="20" max="20" width="7" style="1760" customWidth="1" collapsed="1"/>
    <col min="21" max="21" width="9.42578125" style="1760" customWidth="1"/>
    <col min="22" max="22" width="7.140625" style="1760" customWidth="1"/>
    <col min="23" max="23" width="9.5703125" style="1760" customWidth="1"/>
    <col min="24" max="24" width="19.28515625" style="1760" customWidth="1"/>
    <col min="25" max="25" width="0" style="1760" hidden="1" customWidth="1"/>
    <col min="26" max="32" width="9.140625" style="1760" hidden="1" customWidth="1"/>
    <col min="33" max="33" width="0" style="1760" hidden="1" customWidth="1"/>
    <col min="34" max="35" width="9.140625" style="1767"/>
    <col min="36" max="16384" width="9.140625" style="1760"/>
  </cols>
  <sheetData>
    <row r="1" spans="1:40" hidden="1" x14ac:dyDescent="0.25">
      <c r="J1" s="1763" t="s">
        <v>2203</v>
      </c>
      <c r="K1" s="1764">
        <f>1547148+64932+209383+21379</f>
        <v>1842842</v>
      </c>
      <c r="L1" s="1763"/>
      <c r="M1" s="1764">
        <f>1547148+64932+209383+21379</f>
        <v>1842842</v>
      </c>
      <c r="X1" s="1766" t="s">
        <v>2204</v>
      </c>
    </row>
    <row r="2" spans="1:40" ht="13.5" hidden="1" customHeight="1" x14ac:dyDescent="0.25">
      <c r="A2" s="1768"/>
      <c r="B2" s="1769"/>
      <c r="C2" s="1769"/>
      <c r="D2" s="1769"/>
      <c r="E2" s="1769"/>
      <c r="F2" s="1769"/>
      <c r="G2" s="1770"/>
      <c r="H2" s="1770"/>
      <c r="I2" s="1770"/>
      <c r="J2" s="1770"/>
      <c r="K2" s="1771">
        <f>K1-K9</f>
        <v>-56476</v>
      </c>
      <c r="L2" s="1770"/>
      <c r="M2" s="1771">
        <f>M1-M9</f>
        <v>-56476</v>
      </c>
      <c r="N2" s="1770"/>
      <c r="O2" s="1770"/>
      <c r="P2" s="1770"/>
      <c r="Q2" s="1770"/>
      <c r="R2" s="1770"/>
      <c r="S2" s="1770"/>
      <c r="T2" s="1769"/>
      <c r="U2" s="2030"/>
      <c r="V2" s="2030"/>
      <c r="W2" s="1769"/>
      <c r="X2" s="1769"/>
    </row>
    <row r="3" spans="1:40" ht="13.5" customHeight="1" x14ac:dyDescent="0.25">
      <c r="A3" s="1768"/>
      <c r="B3" s="1769"/>
      <c r="C3" s="1769"/>
      <c r="D3" s="1769"/>
      <c r="E3" s="1769"/>
      <c r="F3" s="1769"/>
      <c r="G3" s="1770"/>
      <c r="H3" s="1770"/>
      <c r="I3" s="1770"/>
      <c r="J3" s="1770"/>
      <c r="K3" s="1772"/>
      <c r="L3" s="1773"/>
      <c r="M3" s="1772"/>
      <c r="N3" s="1770"/>
      <c r="O3" s="1770"/>
      <c r="P3" s="1770"/>
      <c r="Q3" s="1770"/>
      <c r="R3" s="1770"/>
      <c r="S3" s="1770"/>
      <c r="T3" s="1769"/>
      <c r="U3" s="2031" t="s">
        <v>2205</v>
      </c>
      <c r="V3" s="2031"/>
      <c r="W3" s="2031"/>
      <c r="X3" s="2031"/>
    </row>
    <row r="4" spans="1:40" ht="13.5" customHeight="1" x14ac:dyDescent="0.25">
      <c r="A4" s="1768"/>
      <c r="B4" s="1769"/>
      <c r="C4" s="1769"/>
      <c r="D4" s="1769"/>
      <c r="E4" s="1769"/>
      <c r="F4" s="1769"/>
      <c r="G4" s="1770"/>
      <c r="H4" s="1770"/>
      <c r="I4" s="1770"/>
      <c r="J4" s="1770"/>
      <c r="K4" s="1772"/>
      <c r="L4" s="1773"/>
      <c r="M4" s="1772"/>
      <c r="N4" s="1770"/>
      <c r="O4" s="1770"/>
      <c r="P4" s="1770"/>
      <c r="Q4" s="1770"/>
      <c r="R4" s="1770"/>
      <c r="S4" s="1770"/>
      <c r="T4" s="1769"/>
      <c r="U4" s="2031" t="s">
        <v>494</v>
      </c>
      <c r="V4" s="2031"/>
      <c r="W4" s="2031"/>
      <c r="X4" s="2031"/>
    </row>
    <row r="5" spans="1:40" s="1765" customFormat="1" ht="15.75" customHeight="1" x14ac:dyDescent="0.3">
      <c r="A5" s="1774"/>
      <c r="B5" s="1775"/>
      <c r="C5" s="2032" t="s">
        <v>2202</v>
      </c>
      <c r="D5" s="2032"/>
      <c r="E5" s="2032"/>
      <c r="F5" s="2032"/>
      <c r="G5" s="2032"/>
      <c r="H5" s="2032"/>
      <c r="I5" s="2032"/>
      <c r="J5" s="2032"/>
      <c r="K5" s="2032"/>
      <c r="L5" s="2032"/>
      <c r="M5" s="2032"/>
      <c r="N5" s="2032"/>
      <c r="O5" s="2032"/>
      <c r="P5" s="2032"/>
      <c r="Q5" s="2032"/>
      <c r="R5" s="2032"/>
      <c r="S5" s="2032"/>
      <c r="T5" s="2032"/>
      <c r="U5" s="2032"/>
      <c r="V5" s="2032"/>
      <c r="Z5" s="1776" t="s">
        <v>2206</v>
      </c>
      <c r="AA5" s="1776"/>
      <c r="AB5" s="1776"/>
      <c r="AC5" s="1776"/>
      <c r="AD5" s="1776"/>
      <c r="AE5" s="1776"/>
      <c r="AH5" s="1777"/>
      <c r="AI5" s="1777"/>
    </row>
    <row r="6" spans="1:40" s="1765" customFormat="1" ht="14.25" customHeight="1" x14ac:dyDescent="0.25">
      <c r="A6" s="1778"/>
      <c r="B6" s="1779"/>
      <c r="C6" s="1780"/>
      <c r="D6" s="1780"/>
      <c r="E6" s="1781"/>
      <c r="F6" s="1781"/>
      <c r="G6" s="1781"/>
      <c r="H6" s="1781"/>
      <c r="I6" s="1781"/>
      <c r="J6" s="1781"/>
      <c r="K6" s="1782"/>
      <c r="L6" s="1781"/>
      <c r="M6" s="1782"/>
      <c r="N6" s="1783"/>
      <c r="O6" s="1783"/>
      <c r="P6" s="1779"/>
      <c r="Q6" s="1783"/>
      <c r="R6" s="1779"/>
      <c r="S6" s="1779"/>
      <c r="T6" s="1784"/>
      <c r="U6" s="1784"/>
      <c r="V6" s="1784"/>
      <c r="X6" s="1785"/>
      <c r="AH6" s="1777"/>
      <c r="AI6" s="1777"/>
    </row>
    <row r="7" spans="1:40" s="1786" customFormat="1" ht="49.5" customHeight="1" x14ac:dyDescent="0.2">
      <c r="A7" s="2041" t="s">
        <v>501</v>
      </c>
      <c r="B7" s="2043" t="s">
        <v>2207</v>
      </c>
      <c r="C7" s="2045" t="s">
        <v>2208</v>
      </c>
      <c r="D7" s="2034" t="s">
        <v>2209</v>
      </c>
      <c r="E7" s="2035" t="s">
        <v>2210</v>
      </c>
      <c r="F7" s="2033" t="s">
        <v>2211</v>
      </c>
      <c r="G7" s="2034"/>
      <c r="H7" s="2035"/>
      <c r="I7" s="2033" t="s">
        <v>2212</v>
      </c>
      <c r="J7" s="2034"/>
      <c r="K7" s="2036"/>
      <c r="L7" s="2036"/>
      <c r="M7" s="2035"/>
      <c r="N7" s="2033" t="s">
        <v>2213</v>
      </c>
      <c r="O7" s="2034"/>
      <c r="P7" s="2036"/>
      <c r="Q7" s="2036"/>
      <c r="R7" s="2035"/>
      <c r="S7" s="2037" t="s">
        <v>36</v>
      </c>
      <c r="T7" s="2039" t="s">
        <v>2214</v>
      </c>
      <c r="U7" s="2040"/>
      <c r="V7" s="2039" t="s">
        <v>2215</v>
      </c>
      <c r="W7" s="2040"/>
      <c r="X7" s="2028" t="s">
        <v>507</v>
      </c>
      <c r="AH7" s="1787"/>
      <c r="AI7" s="1787"/>
      <c r="AL7" s="1787"/>
    </row>
    <row r="8" spans="1:40" s="1786" customFormat="1" ht="51" customHeight="1" x14ac:dyDescent="0.2">
      <c r="A8" s="2042"/>
      <c r="B8" s="2044"/>
      <c r="C8" s="2046"/>
      <c r="D8" s="2047"/>
      <c r="E8" s="2048"/>
      <c r="F8" s="1788" t="s">
        <v>2216</v>
      </c>
      <c r="G8" s="1789" t="s">
        <v>2217</v>
      </c>
      <c r="H8" s="1790" t="s">
        <v>2218</v>
      </c>
      <c r="I8" s="1788" t="s">
        <v>2219</v>
      </c>
      <c r="J8" s="1791" t="s">
        <v>2216</v>
      </c>
      <c r="K8" s="1789" t="s">
        <v>2220</v>
      </c>
      <c r="L8" s="1789" t="s">
        <v>2221</v>
      </c>
      <c r="M8" s="1790" t="s">
        <v>506</v>
      </c>
      <c r="N8" s="1788" t="s">
        <v>2219</v>
      </c>
      <c r="O8" s="1791" t="s">
        <v>2216</v>
      </c>
      <c r="P8" s="1789" t="s">
        <v>2220</v>
      </c>
      <c r="Q8" s="1789" t="s">
        <v>2221</v>
      </c>
      <c r="R8" s="1790" t="s">
        <v>506</v>
      </c>
      <c r="S8" s="2038"/>
      <c r="T8" s="1788" t="s">
        <v>2208</v>
      </c>
      <c r="U8" s="1790" t="s">
        <v>2222</v>
      </c>
      <c r="V8" s="1788" t="s">
        <v>2208</v>
      </c>
      <c r="W8" s="1790" t="s">
        <v>2223</v>
      </c>
      <c r="X8" s="2029"/>
      <c r="AH8" s="1787"/>
      <c r="AI8" s="1787"/>
      <c r="AL8" s="1787"/>
    </row>
    <row r="9" spans="1:40" s="1786" customFormat="1" ht="15" customHeight="1" x14ac:dyDescent="0.2">
      <c r="A9" s="1792"/>
      <c r="B9" s="1793"/>
      <c r="C9" s="2018" t="s">
        <v>2224</v>
      </c>
      <c r="D9" s="2018"/>
      <c r="E9" s="2019"/>
      <c r="F9" s="1794">
        <f t="shared" ref="F9:R9" si="0">SUM(F11,F43,F47)</f>
        <v>5342201</v>
      </c>
      <c r="G9" s="1795">
        <f t="shared" si="0"/>
        <v>10619410</v>
      </c>
      <c r="H9" s="1796">
        <f t="shared" si="0"/>
        <v>10925704</v>
      </c>
      <c r="I9" s="1797">
        <f t="shared" si="0"/>
        <v>1675244</v>
      </c>
      <c r="J9" s="1797">
        <f t="shared" si="0"/>
        <v>1264800</v>
      </c>
      <c r="K9" s="1798">
        <f t="shared" si="0"/>
        <v>1899318</v>
      </c>
      <c r="L9" s="1798">
        <f t="shared" si="0"/>
        <v>0</v>
      </c>
      <c r="M9" s="1796">
        <f t="shared" si="0"/>
        <v>1899318</v>
      </c>
      <c r="N9" s="1796">
        <f t="shared" si="0"/>
        <v>4268056</v>
      </c>
      <c r="O9" s="1796">
        <f t="shared" si="0"/>
        <v>4077401</v>
      </c>
      <c r="P9" s="1798">
        <f t="shared" si="0"/>
        <v>9006386</v>
      </c>
      <c r="Q9" s="1798">
        <f t="shared" si="0"/>
        <v>20000</v>
      </c>
      <c r="R9" s="1796">
        <f t="shared" si="0"/>
        <v>9026386</v>
      </c>
      <c r="S9" s="1799"/>
      <c r="T9" s="1794"/>
      <c r="U9" s="1796">
        <f>SUM(U11,U43,U47)</f>
        <v>11379937</v>
      </c>
      <c r="V9" s="1794"/>
      <c r="W9" s="1796">
        <f>SUM(W11,W43,W47)</f>
        <v>10522263</v>
      </c>
      <c r="X9" s="1800"/>
      <c r="AD9" s="1801">
        <f>SUM(AD13:AD41)</f>
        <v>4924140</v>
      </c>
      <c r="AE9" s="1801">
        <f>SUM(AE13:AE41)</f>
        <v>1903305</v>
      </c>
      <c r="AF9" s="1801">
        <f>SUM(AF13:AF41)</f>
        <v>90694</v>
      </c>
      <c r="AH9" s="1787"/>
      <c r="AI9" s="1787"/>
      <c r="AL9" s="1787"/>
      <c r="AN9" s="1802"/>
    </row>
    <row r="10" spans="1:40" s="1786" customFormat="1" ht="34.5" customHeight="1" x14ac:dyDescent="0.2">
      <c r="A10" s="2020" t="s">
        <v>2225</v>
      </c>
      <c r="B10" s="2021"/>
      <c r="C10" s="1803"/>
      <c r="D10" s="1803"/>
      <c r="E10" s="1804"/>
      <c r="F10" s="1805"/>
      <c r="G10" s="1806"/>
      <c r="H10" s="1807"/>
      <c r="I10" s="1805"/>
      <c r="J10" s="1806"/>
      <c r="K10" s="1791"/>
      <c r="L10" s="1789"/>
      <c r="M10" s="1808"/>
      <c r="N10" s="1805"/>
      <c r="O10" s="1806"/>
      <c r="P10" s="1791"/>
      <c r="Q10" s="1789"/>
      <c r="R10" s="1808"/>
      <c r="S10" s="1806"/>
      <c r="T10" s="1805"/>
      <c r="U10" s="1809"/>
      <c r="V10" s="1805"/>
      <c r="W10" s="1808"/>
      <c r="X10" s="1810"/>
      <c r="AD10" s="1811" t="s">
        <v>2226</v>
      </c>
      <c r="AE10" s="1811" t="s">
        <v>2227</v>
      </c>
      <c r="AF10" s="1812" t="s">
        <v>2228</v>
      </c>
      <c r="AH10" s="1787"/>
      <c r="AL10" s="1787"/>
      <c r="AN10" s="1802"/>
    </row>
    <row r="11" spans="1:40" s="1786" customFormat="1" ht="12" x14ac:dyDescent="0.2">
      <c r="A11" s="2022"/>
      <c r="B11" s="2023"/>
      <c r="C11" s="1813"/>
      <c r="D11" s="1813"/>
      <c r="E11" s="1814" t="s">
        <v>2229</v>
      </c>
      <c r="F11" s="1815">
        <f t="shared" ref="F11:R11" si="1">SUM(F12,F22,F27,F35,F40)</f>
        <v>3509327</v>
      </c>
      <c r="G11" s="1816">
        <f t="shared" si="1"/>
        <v>8389964</v>
      </c>
      <c r="H11" s="1817">
        <f t="shared" si="1"/>
        <v>8696258</v>
      </c>
      <c r="I11" s="1817">
        <f t="shared" si="1"/>
        <v>828172</v>
      </c>
      <c r="J11" s="1817">
        <f t="shared" si="1"/>
        <v>572183</v>
      </c>
      <c r="K11" s="1818">
        <f t="shared" si="1"/>
        <v>1038936</v>
      </c>
      <c r="L11" s="1816">
        <f>SUM(L12,L22,L27,L35,L40)</f>
        <v>0</v>
      </c>
      <c r="M11" s="1817">
        <f t="shared" si="1"/>
        <v>1038936</v>
      </c>
      <c r="N11" s="1817">
        <f t="shared" si="1"/>
        <v>3042020</v>
      </c>
      <c r="O11" s="1817">
        <f t="shared" si="1"/>
        <v>2937144</v>
      </c>
      <c r="P11" s="1818">
        <f t="shared" si="1"/>
        <v>7637322</v>
      </c>
      <c r="Q11" s="1816">
        <f t="shared" si="1"/>
        <v>20000</v>
      </c>
      <c r="R11" s="1817">
        <f t="shared" si="1"/>
        <v>7657322</v>
      </c>
      <c r="S11" s="1819"/>
      <c r="T11" s="1794"/>
      <c r="U11" s="1796">
        <f>SUM(U12,U22,U27,U35,U40)</f>
        <v>9874443</v>
      </c>
      <c r="V11" s="1794"/>
      <c r="W11" s="1796">
        <f>SUM(W12,W22,W27,W35,W40)</f>
        <v>9017069</v>
      </c>
      <c r="X11" s="1820"/>
      <c r="AH11" s="1787"/>
      <c r="AL11" s="1787"/>
      <c r="AN11" s="1802"/>
    </row>
    <row r="12" spans="1:40" s="1786" customFormat="1" ht="12" x14ac:dyDescent="0.2">
      <c r="A12" s="1821">
        <v>1</v>
      </c>
      <c r="B12" s="1822" t="s">
        <v>2230</v>
      </c>
      <c r="C12" s="1823"/>
      <c r="D12" s="1823"/>
      <c r="E12" s="1824"/>
      <c r="F12" s="1825">
        <f t="shared" ref="F12:R12" si="2">SUM(F13:F21)</f>
        <v>2949799</v>
      </c>
      <c r="G12" s="1826">
        <f t="shared" si="2"/>
        <v>7384624</v>
      </c>
      <c r="H12" s="1827">
        <f t="shared" si="2"/>
        <v>7715281</v>
      </c>
      <c r="I12" s="1825">
        <f t="shared" si="2"/>
        <v>206892</v>
      </c>
      <c r="J12" s="1828">
        <f t="shared" si="2"/>
        <v>36881</v>
      </c>
      <c r="K12" s="1828">
        <f t="shared" si="2"/>
        <v>269538</v>
      </c>
      <c r="L12" s="1826">
        <f t="shared" si="2"/>
        <v>-16624</v>
      </c>
      <c r="M12" s="1829">
        <f t="shared" si="2"/>
        <v>252914</v>
      </c>
      <c r="N12" s="1825">
        <f t="shared" si="2"/>
        <v>2993584</v>
      </c>
      <c r="O12" s="1828">
        <f t="shared" si="2"/>
        <v>2912918</v>
      </c>
      <c r="P12" s="1828">
        <f t="shared" si="2"/>
        <v>7444367</v>
      </c>
      <c r="Q12" s="1826">
        <f t="shared" si="2"/>
        <v>18000</v>
      </c>
      <c r="R12" s="1829">
        <f t="shared" si="2"/>
        <v>7462367</v>
      </c>
      <c r="S12" s="1830"/>
      <c r="T12" s="1825"/>
      <c r="U12" s="1827">
        <f>SUM(U13:U21)</f>
        <v>9278968</v>
      </c>
      <c r="V12" s="1825"/>
      <c r="W12" s="1827">
        <f>SUM(W13:W21)</f>
        <v>8415100</v>
      </c>
      <c r="X12" s="1810"/>
      <c r="AH12" s="1787"/>
      <c r="AJ12" s="1802"/>
    </row>
    <row r="13" spans="1:40" s="1786" customFormat="1" ht="15.75" customHeight="1" x14ac:dyDescent="0.2">
      <c r="A13" s="1831">
        <v>1.1000000000000001</v>
      </c>
      <c r="B13" s="1832" t="s">
        <v>2231</v>
      </c>
      <c r="C13" s="1833" t="s">
        <v>2232</v>
      </c>
      <c r="D13" s="1834" t="s">
        <v>2233</v>
      </c>
      <c r="E13" s="1824" t="s">
        <v>1312</v>
      </c>
      <c r="F13" s="1835">
        <f t="shared" ref="F13:F21" si="3">SUM(J13+O13)</f>
        <v>1367682</v>
      </c>
      <c r="G13" s="1836">
        <v>2374955</v>
      </c>
      <c r="H13" s="1837">
        <f>SUM(M13+R13)</f>
        <v>1986343</v>
      </c>
      <c r="I13" s="1835"/>
      <c r="J13" s="1838"/>
      <c r="K13" s="1838">
        <f>33404</f>
        <v>33404</v>
      </c>
      <c r="L13" s="1839">
        <v>39540</v>
      </c>
      <c r="M13" s="1840">
        <f>K13+L13</f>
        <v>72944</v>
      </c>
      <c r="N13" s="1835">
        <v>1411512</v>
      </c>
      <c r="O13" s="1838">
        <v>1367682</v>
      </c>
      <c r="P13" s="1838">
        <v>1888532</v>
      </c>
      <c r="Q13" s="1839">
        <v>24867</v>
      </c>
      <c r="R13" s="1840">
        <f>P13+Q13</f>
        <v>1913399</v>
      </c>
      <c r="S13" s="1841" t="s">
        <v>2234</v>
      </c>
      <c r="T13" s="1842" t="s">
        <v>2235</v>
      </c>
      <c r="U13" s="1843">
        <v>2861000</v>
      </c>
      <c r="V13" s="1842" t="s">
        <v>2236</v>
      </c>
      <c r="W13" s="1843">
        <v>1636000</v>
      </c>
      <c r="X13" s="1850" t="s">
        <v>2237</v>
      </c>
      <c r="AD13" s="1802">
        <v>1677115</v>
      </c>
      <c r="AE13" s="1802">
        <v>664436</v>
      </c>
      <c r="AF13" s="1802">
        <v>33404</v>
      </c>
      <c r="AH13" s="1787"/>
      <c r="AI13" s="1787"/>
      <c r="AJ13" s="1802"/>
      <c r="AK13" s="1802"/>
      <c r="AL13" s="1802"/>
    </row>
    <row r="14" spans="1:40" s="1786" customFormat="1" ht="29.25" customHeight="1" x14ac:dyDescent="0.2">
      <c r="A14" s="1844">
        <v>1.2</v>
      </c>
      <c r="B14" s="1845" t="s">
        <v>2238</v>
      </c>
      <c r="C14" s="1846" t="s">
        <v>2239</v>
      </c>
      <c r="D14" s="1846" t="s">
        <v>2233</v>
      </c>
      <c r="E14" s="1824" t="s">
        <v>1312</v>
      </c>
      <c r="F14" s="1835">
        <f t="shared" si="3"/>
        <v>569730</v>
      </c>
      <c r="G14" s="1836">
        <v>1555700</v>
      </c>
      <c r="H14" s="1837">
        <f>SUM(M14+R14)</f>
        <v>3287827</v>
      </c>
      <c r="I14" s="1835"/>
      <c r="J14" s="1838"/>
      <c r="K14" s="1838">
        <f>6875</f>
        <v>6875</v>
      </c>
      <c r="L14" s="1847"/>
      <c r="M14" s="1840">
        <f>K14+L14</f>
        <v>6875</v>
      </c>
      <c r="N14" s="1835">
        <v>576771</v>
      </c>
      <c r="O14" s="1838">
        <v>569730</v>
      </c>
      <c r="P14" s="1838">
        <v>3280952</v>
      </c>
      <c r="Q14" s="1847"/>
      <c r="R14" s="1840">
        <f>P14+Q14</f>
        <v>3280952</v>
      </c>
      <c r="S14" s="1841"/>
      <c r="T14" s="1842" t="s">
        <v>2240</v>
      </c>
      <c r="U14" s="1843">
        <v>1690968</v>
      </c>
      <c r="V14" s="1842" t="s">
        <v>2241</v>
      </c>
      <c r="W14" s="1843">
        <v>896000</v>
      </c>
      <c r="X14" s="1933" t="s">
        <v>2242</v>
      </c>
      <c r="AD14" s="1802">
        <v>1267500</v>
      </c>
      <c r="AE14" s="1802">
        <v>281325</v>
      </c>
      <c r="AF14" s="1802">
        <v>6875</v>
      </c>
      <c r="AH14" s="1787"/>
      <c r="AL14" s="1802"/>
    </row>
    <row r="15" spans="1:40" s="1786" customFormat="1" ht="24" x14ac:dyDescent="0.2">
      <c r="A15" s="1844">
        <v>1.3</v>
      </c>
      <c r="B15" s="1848" t="s">
        <v>2243</v>
      </c>
      <c r="C15" s="1846" t="s">
        <v>2244</v>
      </c>
      <c r="D15" s="1846" t="s">
        <v>2233</v>
      </c>
      <c r="E15" s="1824" t="s">
        <v>1312</v>
      </c>
      <c r="F15" s="1835">
        <f>SUM(J15+O15)</f>
        <v>115915</v>
      </c>
      <c r="G15" s="1836">
        <v>350700</v>
      </c>
      <c r="H15" s="1837">
        <f t="shared" ref="H15:H21" si="4">SUM(M15+R15)</f>
        <v>458230</v>
      </c>
      <c r="I15" s="1835"/>
      <c r="J15" s="1838"/>
      <c r="K15" s="1836">
        <v>0</v>
      </c>
      <c r="L15" s="1836"/>
      <c r="M15" s="1837">
        <f t="shared" ref="M15:M20" si="5">K15+L15</f>
        <v>0</v>
      </c>
      <c r="N15" s="1835">
        <v>115918</v>
      </c>
      <c r="O15" s="1838">
        <v>115915</v>
      </c>
      <c r="P15" s="1838">
        <v>458230</v>
      </c>
      <c r="Q15" s="1836"/>
      <c r="R15" s="1840">
        <f t="shared" ref="R15:R21" si="6">P15+Q15</f>
        <v>458230</v>
      </c>
      <c r="S15" s="1841"/>
      <c r="T15" s="1842" t="s">
        <v>2245</v>
      </c>
      <c r="U15" s="1843">
        <v>333000</v>
      </c>
      <c r="V15" s="1842"/>
      <c r="W15" s="1843">
        <v>0</v>
      </c>
      <c r="X15" s="1850" t="s">
        <v>2237</v>
      </c>
      <c r="AD15" s="1802"/>
      <c r="AE15" s="1802"/>
      <c r="AF15" s="1802"/>
      <c r="AH15" s="1787"/>
      <c r="AI15" s="1787"/>
      <c r="AJ15" s="1802"/>
      <c r="AL15" s="1802"/>
    </row>
    <row r="16" spans="1:40" s="1786" customFormat="1" ht="48" x14ac:dyDescent="0.2">
      <c r="A16" s="1844">
        <v>1.4</v>
      </c>
      <c r="B16" s="1848" t="s">
        <v>2246</v>
      </c>
      <c r="C16" s="1846" t="s">
        <v>2244</v>
      </c>
      <c r="D16" s="1846" t="s">
        <v>2233</v>
      </c>
      <c r="E16" s="1824" t="s">
        <v>1312</v>
      </c>
      <c r="F16" s="1835">
        <f t="shared" si="3"/>
        <v>145359</v>
      </c>
      <c r="G16" s="1836">
        <v>589500</v>
      </c>
      <c r="H16" s="1837">
        <f t="shared" si="4"/>
        <v>673524</v>
      </c>
      <c r="I16" s="1835"/>
      <c r="J16" s="1838"/>
      <c r="K16" s="1836">
        <v>0</v>
      </c>
      <c r="L16" s="1836"/>
      <c r="M16" s="1837">
        <f t="shared" si="5"/>
        <v>0</v>
      </c>
      <c r="N16" s="1835">
        <v>145359</v>
      </c>
      <c r="O16" s="1838">
        <v>145359</v>
      </c>
      <c r="P16" s="1836">
        <f>62000+527500</f>
        <v>589500</v>
      </c>
      <c r="Q16" s="1839">
        <v>84024</v>
      </c>
      <c r="R16" s="1837">
        <f t="shared" si="6"/>
        <v>673524</v>
      </c>
      <c r="S16" s="1841" t="s">
        <v>2247</v>
      </c>
      <c r="T16" s="1842" t="s">
        <v>2248</v>
      </c>
      <c r="U16" s="1843">
        <v>125000</v>
      </c>
      <c r="V16" s="1842" t="s">
        <v>2249</v>
      </c>
      <c r="W16" s="1843">
        <v>160000</v>
      </c>
      <c r="X16" s="1850" t="s">
        <v>2250</v>
      </c>
      <c r="AD16" s="1802">
        <v>62000</v>
      </c>
      <c r="AE16" s="1802">
        <v>527500</v>
      </c>
      <c r="AF16" s="1802"/>
      <c r="AH16" s="1787"/>
      <c r="AI16" s="1787"/>
      <c r="AJ16" s="1787"/>
      <c r="AK16" s="1787"/>
    </row>
    <row r="17" spans="1:37" s="1786" customFormat="1" ht="24" x14ac:dyDescent="0.2">
      <c r="A17" s="1844">
        <v>1.5</v>
      </c>
      <c r="B17" s="1848" t="s">
        <v>2251</v>
      </c>
      <c r="C17" s="1846" t="s">
        <v>2252</v>
      </c>
      <c r="D17" s="1846" t="s">
        <v>2233</v>
      </c>
      <c r="E17" s="1824" t="s">
        <v>2253</v>
      </c>
      <c r="F17" s="1835">
        <f t="shared" si="3"/>
        <v>30468</v>
      </c>
      <c r="G17" s="1836">
        <v>227881</v>
      </c>
      <c r="H17" s="1837">
        <f t="shared" si="4"/>
        <v>234396</v>
      </c>
      <c r="I17" s="1835">
        <v>160600</v>
      </c>
      <c r="J17" s="1838">
        <v>30468</v>
      </c>
      <c r="K17" s="1836">
        <v>0</v>
      </c>
      <c r="L17" s="1836"/>
      <c r="M17" s="1837">
        <f t="shared" si="5"/>
        <v>0</v>
      </c>
      <c r="N17" s="1835"/>
      <c r="O17" s="1838"/>
      <c r="P17" s="1836">
        <v>259246</v>
      </c>
      <c r="Q17" s="1839">
        <v>-24850</v>
      </c>
      <c r="R17" s="1837">
        <f t="shared" si="6"/>
        <v>234396</v>
      </c>
      <c r="S17" s="1849" t="s">
        <v>2254</v>
      </c>
      <c r="T17" s="1842" t="s">
        <v>2255</v>
      </c>
      <c r="U17" s="1843">
        <v>92000</v>
      </c>
      <c r="V17" s="1842" t="s">
        <v>2256</v>
      </c>
      <c r="W17" s="1843">
        <v>250000</v>
      </c>
      <c r="X17" s="1850" t="s">
        <v>2237</v>
      </c>
      <c r="AD17" s="1802">
        <v>114726</v>
      </c>
      <c r="AE17" s="1802">
        <v>113155</v>
      </c>
      <c r="AF17" s="1802"/>
      <c r="AH17" s="1787"/>
      <c r="AI17" s="1787"/>
      <c r="AJ17" s="1802"/>
    </row>
    <row r="18" spans="1:37" s="1786" customFormat="1" ht="24" x14ac:dyDescent="0.2">
      <c r="A18" s="1851">
        <v>1.6</v>
      </c>
      <c r="B18" s="1848" t="s">
        <v>2257</v>
      </c>
      <c r="C18" s="1846" t="s">
        <v>2258</v>
      </c>
      <c r="D18" s="1846" t="s">
        <v>2233</v>
      </c>
      <c r="E18" s="1824" t="s">
        <v>1312</v>
      </c>
      <c r="F18" s="1835">
        <f t="shared" si="3"/>
        <v>720524</v>
      </c>
      <c r="G18" s="1836">
        <v>1673848</v>
      </c>
      <c r="H18" s="1837">
        <f t="shared" si="4"/>
        <v>1013779</v>
      </c>
      <c r="I18" s="1835">
        <v>6292</v>
      </c>
      <c r="J18" s="1838">
        <v>6292</v>
      </c>
      <c r="K18" s="1836">
        <v>124259</v>
      </c>
      <c r="L18" s="1836"/>
      <c r="M18" s="1837">
        <f t="shared" si="5"/>
        <v>124259</v>
      </c>
      <c r="N18" s="1835">
        <v>731984</v>
      </c>
      <c r="O18" s="1838">
        <v>714232</v>
      </c>
      <c r="P18" s="1836">
        <v>914561</v>
      </c>
      <c r="Q18" s="1839">
        <v>-25041</v>
      </c>
      <c r="R18" s="1837">
        <f t="shared" si="6"/>
        <v>889520</v>
      </c>
      <c r="S18" s="1841" t="s">
        <v>2259</v>
      </c>
      <c r="T18" s="1842" t="s">
        <v>2260</v>
      </c>
      <c r="U18" s="1843">
        <v>1786500</v>
      </c>
      <c r="V18" s="1842" t="s">
        <v>2261</v>
      </c>
      <c r="W18" s="1843">
        <v>1318600</v>
      </c>
      <c r="X18" s="1850" t="s">
        <v>2237</v>
      </c>
      <c r="AD18" s="1802">
        <v>1349105</v>
      </c>
      <c r="AE18" s="1802">
        <v>293543</v>
      </c>
      <c r="AF18" s="1802">
        <v>31200</v>
      </c>
      <c r="AH18" s="1787"/>
      <c r="AI18" s="1787"/>
      <c r="AJ18" s="1802"/>
    </row>
    <row r="19" spans="1:37" s="1786" customFormat="1" ht="13.5" customHeight="1" x14ac:dyDescent="0.2">
      <c r="A19" s="1851">
        <v>1.7</v>
      </c>
      <c r="B19" s="1848" t="s">
        <v>2262</v>
      </c>
      <c r="C19" s="1846" t="s">
        <v>2263</v>
      </c>
      <c r="D19" s="1846" t="s">
        <v>2233</v>
      </c>
      <c r="E19" s="1824" t="s">
        <v>1312</v>
      </c>
      <c r="F19" s="1835">
        <f>SUM(J19+O19)</f>
        <v>121</v>
      </c>
      <c r="G19" s="1836">
        <v>125000</v>
      </c>
      <c r="H19" s="1837">
        <f t="shared" si="4"/>
        <v>42786</v>
      </c>
      <c r="I19" s="1835">
        <v>40000</v>
      </c>
      <c r="J19" s="1838">
        <v>121</v>
      </c>
      <c r="K19" s="1836">
        <v>95000</v>
      </c>
      <c r="L19" s="1839">
        <v>-52214</v>
      </c>
      <c r="M19" s="1837">
        <f t="shared" si="5"/>
        <v>42786</v>
      </c>
      <c r="N19" s="1835"/>
      <c r="O19" s="1838"/>
      <c r="P19" s="1836">
        <v>30000</v>
      </c>
      <c r="Q19" s="1839">
        <v>-30000</v>
      </c>
      <c r="R19" s="1837">
        <f t="shared" si="6"/>
        <v>0</v>
      </c>
      <c r="S19" s="1849" t="s">
        <v>2264</v>
      </c>
      <c r="T19" s="1842" t="s">
        <v>2265</v>
      </c>
      <c r="U19" s="1843">
        <v>2052000</v>
      </c>
      <c r="V19" s="1842" t="s">
        <v>2266</v>
      </c>
      <c r="W19" s="1843">
        <v>2512000</v>
      </c>
      <c r="X19" s="1850" t="s">
        <v>2237</v>
      </c>
      <c r="AD19" s="1802"/>
      <c r="AE19" s="1802"/>
      <c r="AF19" s="1802"/>
      <c r="AH19" s="1787"/>
      <c r="AI19" s="1787"/>
      <c r="AJ19" s="1802"/>
      <c r="AK19" s="1802"/>
    </row>
    <row r="20" spans="1:37" s="1786" customFormat="1" ht="14.25" customHeight="1" x14ac:dyDescent="0.2">
      <c r="A20" s="1851">
        <v>1.8</v>
      </c>
      <c r="B20" s="1848" t="s">
        <v>2267</v>
      </c>
      <c r="C20" s="1846" t="s">
        <v>2268</v>
      </c>
      <c r="D20" s="1846"/>
      <c r="E20" s="1824" t="s">
        <v>2253</v>
      </c>
      <c r="F20" s="1835"/>
      <c r="G20" s="1836">
        <v>10000</v>
      </c>
      <c r="H20" s="1837">
        <f t="shared" si="4"/>
        <v>6050</v>
      </c>
      <c r="I20" s="1835"/>
      <c r="J20" s="1838"/>
      <c r="K20" s="1836">
        <v>10000</v>
      </c>
      <c r="L20" s="1839">
        <v>-3950</v>
      </c>
      <c r="M20" s="1837">
        <f t="shared" si="5"/>
        <v>6050</v>
      </c>
      <c r="N20" s="1835"/>
      <c r="O20" s="1838"/>
      <c r="P20" s="1836"/>
      <c r="Q20" s="1836"/>
      <c r="R20" s="1837">
        <f t="shared" si="6"/>
        <v>0</v>
      </c>
      <c r="S20" s="1841" t="s">
        <v>2269</v>
      </c>
      <c r="T20" s="1842" t="s">
        <v>2270</v>
      </c>
      <c r="U20" s="1843">
        <v>182500</v>
      </c>
      <c r="V20" s="1842" t="s">
        <v>2270</v>
      </c>
      <c r="W20" s="1843">
        <v>827500</v>
      </c>
      <c r="X20" s="1850" t="s">
        <v>2237</v>
      </c>
      <c r="AD20" s="1802"/>
      <c r="AE20" s="1802"/>
      <c r="AF20" s="1802"/>
      <c r="AH20" s="1787"/>
      <c r="AI20" s="1787"/>
      <c r="AJ20" s="1802"/>
    </row>
    <row r="21" spans="1:37" s="1786" customFormat="1" ht="14.25" customHeight="1" x14ac:dyDescent="0.2">
      <c r="A21" s="1852">
        <v>1.9</v>
      </c>
      <c r="B21" s="1853" t="s">
        <v>2271</v>
      </c>
      <c r="C21" s="1834" t="s">
        <v>2272</v>
      </c>
      <c r="D21" s="1834" t="s">
        <v>2233</v>
      </c>
      <c r="E21" s="1824" t="s">
        <v>2253</v>
      </c>
      <c r="F21" s="1835">
        <f t="shared" si="3"/>
        <v>0</v>
      </c>
      <c r="G21" s="1836">
        <v>477040</v>
      </c>
      <c r="H21" s="1837">
        <f t="shared" si="4"/>
        <v>12346</v>
      </c>
      <c r="I21" s="1835"/>
      <c r="J21" s="1838"/>
      <c r="K21" s="1836"/>
      <c r="L21" s="1836"/>
      <c r="M21" s="1837"/>
      <c r="N21" s="1835">
        <v>12040</v>
      </c>
      <c r="O21" s="1838">
        <v>0</v>
      </c>
      <c r="P21" s="1836">
        <v>23346</v>
      </c>
      <c r="Q21" s="1839">
        <v>-11000</v>
      </c>
      <c r="R21" s="1837">
        <f t="shared" si="6"/>
        <v>12346</v>
      </c>
      <c r="S21" s="1854" t="s">
        <v>2273</v>
      </c>
      <c r="T21" s="1855" t="s">
        <v>2252</v>
      </c>
      <c r="U21" s="1856">
        <v>156000</v>
      </c>
      <c r="V21" s="1855" t="s">
        <v>2274</v>
      </c>
      <c r="W21" s="1856">
        <v>815000</v>
      </c>
      <c r="X21" s="1850" t="s">
        <v>2275</v>
      </c>
      <c r="AD21" s="1802">
        <v>453694</v>
      </c>
      <c r="AE21" s="1802">
        <v>23346</v>
      </c>
      <c r="AF21" s="1802"/>
      <c r="AH21" s="1787"/>
      <c r="AI21" s="1787"/>
      <c r="AJ21" s="1802"/>
    </row>
    <row r="22" spans="1:37" s="1786" customFormat="1" ht="12" x14ac:dyDescent="0.2">
      <c r="A22" s="1821">
        <v>2</v>
      </c>
      <c r="B22" s="1822" t="s">
        <v>2276</v>
      </c>
      <c r="C22" s="1823"/>
      <c r="D22" s="1823"/>
      <c r="E22" s="1824"/>
      <c r="F22" s="1825">
        <f t="shared" ref="F22:O22" si="7">SUM(F23:F26)</f>
        <v>318105</v>
      </c>
      <c r="G22" s="1826">
        <f t="shared" si="7"/>
        <v>388000</v>
      </c>
      <c r="H22" s="1827">
        <f t="shared" si="7"/>
        <v>414336</v>
      </c>
      <c r="I22" s="1825">
        <f t="shared" si="7"/>
        <v>294952</v>
      </c>
      <c r="J22" s="1828">
        <f t="shared" si="7"/>
        <v>293879</v>
      </c>
      <c r="K22" s="1826">
        <f>SUM(K23:K26)</f>
        <v>268340</v>
      </c>
      <c r="L22" s="1826">
        <f t="shared" ref="L22:M22" si="8">SUM(L23:L26)</f>
        <v>34295</v>
      </c>
      <c r="M22" s="1827">
        <f t="shared" si="8"/>
        <v>302635</v>
      </c>
      <c r="N22" s="1825">
        <f t="shared" si="7"/>
        <v>24585</v>
      </c>
      <c r="O22" s="1828">
        <f t="shared" si="7"/>
        <v>24226</v>
      </c>
      <c r="P22" s="1826">
        <f>SUM(P23:P26)</f>
        <v>109701</v>
      </c>
      <c r="Q22" s="1826">
        <f t="shared" ref="Q22:R22" si="9">SUM(Q23:Q26)</f>
        <v>2000</v>
      </c>
      <c r="R22" s="1827">
        <f t="shared" si="9"/>
        <v>111701</v>
      </c>
      <c r="S22" s="1830"/>
      <c r="T22" s="1857"/>
      <c r="U22" s="1858">
        <f>SUM(U23:U26)</f>
        <v>407400</v>
      </c>
      <c r="V22" s="1857"/>
      <c r="W22" s="1858">
        <f>SUM(W23:W26)</f>
        <v>407400</v>
      </c>
      <c r="X22" s="1850"/>
      <c r="AD22" s="1802"/>
      <c r="AE22" s="1802"/>
      <c r="AF22" s="1802"/>
      <c r="AH22" s="1787"/>
      <c r="AI22" s="1787"/>
    </row>
    <row r="23" spans="1:37" s="1786" customFormat="1" ht="12" x14ac:dyDescent="0.2">
      <c r="A23" s="1844">
        <v>2.1</v>
      </c>
      <c r="B23" s="1859" t="s">
        <v>2277</v>
      </c>
      <c r="C23" s="1846" t="s">
        <v>2278</v>
      </c>
      <c r="D23" s="1846" t="s">
        <v>2233</v>
      </c>
      <c r="E23" s="1824" t="s">
        <v>2279</v>
      </c>
      <c r="F23" s="1835">
        <f>SUM(J23+O23)</f>
        <v>141927</v>
      </c>
      <c r="G23" s="1836">
        <v>208000</v>
      </c>
      <c r="H23" s="1837">
        <f>SUM(M23+R23)</f>
        <v>208000</v>
      </c>
      <c r="I23" s="1835">
        <v>143000</v>
      </c>
      <c r="J23" s="1838">
        <v>141927</v>
      </c>
      <c r="K23" s="1836">
        <v>143000</v>
      </c>
      <c r="L23" s="1836"/>
      <c r="M23" s="1837">
        <f>K23+L23</f>
        <v>143000</v>
      </c>
      <c r="N23" s="1835"/>
      <c r="O23" s="1838"/>
      <c r="P23" s="1836">
        <v>65000</v>
      </c>
      <c r="Q23" s="1836"/>
      <c r="R23" s="1837">
        <f>P23+Q23</f>
        <v>65000</v>
      </c>
      <c r="S23" s="1860"/>
      <c r="T23" s="1842" t="s">
        <v>2280</v>
      </c>
      <c r="U23" s="1843">
        <v>218400</v>
      </c>
      <c r="V23" s="1842" t="s">
        <v>2281</v>
      </c>
      <c r="W23" s="1843">
        <v>218400</v>
      </c>
      <c r="X23" s="1850" t="s">
        <v>2237</v>
      </c>
      <c r="AD23" s="1802"/>
      <c r="AE23" s="1802"/>
      <c r="AF23" s="1802"/>
      <c r="AH23" s="1787"/>
      <c r="AI23" s="1787"/>
    </row>
    <row r="24" spans="1:37" s="1786" customFormat="1" ht="24" customHeight="1" x14ac:dyDescent="0.2">
      <c r="A24" s="1844">
        <v>2.2000000000000002</v>
      </c>
      <c r="B24" s="1859" t="s">
        <v>2282</v>
      </c>
      <c r="C24" s="1846" t="s">
        <v>2283</v>
      </c>
      <c r="D24" s="1846" t="s">
        <v>2233</v>
      </c>
      <c r="E24" s="1824" t="s">
        <v>2279</v>
      </c>
      <c r="F24" s="1835">
        <f>SUM(J24+O24)</f>
        <v>159536</v>
      </c>
      <c r="G24" s="1836">
        <v>160000</v>
      </c>
      <c r="H24" s="1837">
        <f>SUM(M24+R24)</f>
        <v>187694</v>
      </c>
      <c r="I24" s="1835">
        <v>151952</v>
      </c>
      <c r="J24" s="1838">
        <v>151952</v>
      </c>
      <c r="K24" s="1836">
        <v>125340</v>
      </c>
      <c r="L24" s="1839">
        <v>34295</v>
      </c>
      <c r="M24" s="1837">
        <f t="shared" ref="M24:M25" si="10">K24+L24</f>
        <v>159635</v>
      </c>
      <c r="N24" s="1835">
        <v>7585</v>
      </c>
      <c r="O24" s="1838">
        <v>7584</v>
      </c>
      <c r="P24" s="1836">
        <v>28059</v>
      </c>
      <c r="Q24" s="1836"/>
      <c r="R24" s="1837">
        <f t="shared" ref="R24:R25" si="11">P24+Q24</f>
        <v>28059</v>
      </c>
      <c r="S24" s="1841" t="s">
        <v>2284</v>
      </c>
      <c r="T24" s="1842" t="s">
        <v>2283</v>
      </c>
      <c r="U24" s="1843">
        <v>168000</v>
      </c>
      <c r="V24" s="1842" t="s">
        <v>2283</v>
      </c>
      <c r="W24" s="1843">
        <v>168000</v>
      </c>
      <c r="X24" s="1850" t="s">
        <v>2237</v>
      </c>
      <c r="AD24" s="1802"/>
      <c r="AE24" s="1802"/>
      <c r="AF24" s="1802"/>
      <c r="AH24" s="1787"/>
      <c r="AI24" s="1787"/>
      <c r="AJ24" s="1802"/>
      <c r="AK24" s="1802"/>
    </row>
    <row r="25" spans="1:37" s="1786" customFormat="1" ht="19.5" customHeight="1" x14ac:dyDescent="0.2">
      <c r="A25" s="1844">
        <v>2.2999999999999998</v>
      </c>
      <c r="B25" s="1845" t="s">
        <v>2285</v>
      </c>
      <c r="C25" s="1846" t="s">
        <v>2286</v>
      </c>
      <c r="D25" s="1846" t="s">
        <v>2233</v>
      </c>
      <c r="E25" s="1824" t="s">
        <v>2279</v>
      </c>
      <c r="F25" s="1835">
        <f>SUM(J25+O25)</f>
        <v>16642</v>
      </c>
      <c r="G25" s="1836">
        <v>20000</v>
      </c>
      <c r="H25" s="1837">
        <f>SUM(M25+R25)</f>
        <v>18642</v>
      </c>
      <c r="I25" s="1835"/>
      <c r="J25" s="1838"/>
      <c r="K25" s="1836">
        <v>0</v>
      </c>
      <c r="L25" s="1836"/>
      <c r="M25" s="1837">
        <f t="shared" si="10"/>
        <v>0</v>
      </c>
      <c r="N25" s="1835">
        <v>17000</v>
      </c>
      <c r="O25" s="1838">
        <v>16642</v>
      </c>
      <c r="P25" s="1836">
        <v>16642</v>
      </c>
      <c r="Q25" s="1839">
        <v>2000</v>
      </c>
      <c r="R25" s="1837">
        <f t="shared" si="11"/>
        <v>18642</v>
      </c>
      <c r="S25" s="1841" t="s">
        <v>2287</v>
      </c>
      <c r="T25" s="1842" t="s">
        <v>2286</v>
      </c>
      <c r="U25" s="1843">
        <v>21000</v>
      </c>
      <c r="V25" s="1842" t="s">
        <v>2286</v>
      </c>
      <c r="W25" s="1843">
        <v>21000</v>
      </c>
      <c r="X25" s="1850" t="s">
        <v>2237</v>
      </c>
      <c r="AD25" s="1802"/>
      <c r="AE25" s="1802"/>
      <c r="AF25" s="1802"/>
      <c r="AH25" s="1787"/>
      <c r="AI25" s="1787"/>
      <c r="AJ25" s="1802"/>
    </row>
    <row r="26" spans="1:37" s="1786" customFormat="1" ht="12" x14ac:dyDescent="0.2">
      <c r="A26" s="1861"/>
      <c r="B26" s="1862"/>
      <c r="C26" s="1846"/>
      <c r="D26" s="1846"/>
      <c r="E26" s="1824"/>
      <c r="F26" s="1835"/>
      <c r="G26" s="1836"/>
      <c r="H26" s="1837"/>
      <c r="I26" s="1835"/>
      <c r="J26" s="1838"/>
      <c r="K26" s="1836"/>
      <c r="L26" s="1836"/>
      <c r="M26" s="1837"/>
      <c r="N26" s="1835"/>
      <c r="O26" s="1838"/>
      <c r="P26" s="1836"/>
      <c r="Q26" s="1836"/>
      <c r="R26" s="1837"/>
      <c r="S26" s="1860"/>
      <c r="T26" s="1863"/>
      <c r="U26" s="1843"/>
      <c r="V26" s="1863"/>
      <c r="W26" s="1843"/>
      <c r="X26" s="1850"/>
      <c r="AD26" s="1802"/>
      <c r="AE26" s="1802"/>
      <c r="AF26" s="1802"/>
      <c r="AH26" s="1787"/>
      <c r="AI26" s="1787"/>
    </row>
    <row r="27" spans="1:37" s="1786" customFormat="1" ht="12" x14ac:dyDescent="0.2">
      <c r="A27" s="1821">
        <v>3</v>
      </c>
      <c r="B27" s="1822" t="s">
        <v>2288</v>
      </c>
      <c r="C27" s="1823"/>
      <c r="D27" s="1823"/>
      <c r="E27" s="1824"/>
      <c r="F27" s="1825">
        <f>SUM(F28:F34)</f>
        <v>170143</v>
      </c>
      <c r="G27" s="1826">
        <f t="shared" ref="G27:R27" si="12">SUM(G28:G34)</f>
        <v>271700</v>
      </c>
      <c r="H27" s="1827">
        <f t="shared" si="12"/>
        <v>289737</v>
      </c>
      <c r="I27" s="1825">
        <f t="shared" si="12"/>
        <v>175071</v>
      </c>
      <c r="J27" s="1828">
        <f t="shared" si="12"/>
        <v>170143</v>
      </c>
      <c r="K27" s="1826">
        <f>SUM(K28:K34)</f>
        <v>271700</v>
      </c>
      <c r="L27" s="1826">
        <f t="shared" ref="L27:M27" si="13">SUM(L28:L34)</f>
        <v>-15000</v>
      </c>
      <c r="M27" s="1827">
        <f t="shared" si="13"/>
        <v>256700</v>
      </c>
      <c r="N27" s="1825">
        <f t="shared" si="12"/>
        <v>0</v>
      </c>
      <c r="O27" s="1828">
        <f t="shared" si="12"/>
        <v>0</v>
      </c>
      <c r="P27" s="1826">
        <f t="shared" si="12"/>
        <v>33254</v>
      </c>
      <c r="Q27" s="1826">
        <f t="shared" si="12"/>
        <v>-217</v>
      </c>
      <c r="R27" s="1827">
        <f t="shared" si="12"/>
        <v>33037</v>
      </c>
      <c r="S27" s="1830"/>
      <c r="T27" s="1857"/>
      <c r="U27" s="1858">
        <f>SUM(U28:U34)</f>
        <v>188075</v>
      </c>
      <c r="V27" s="1857"/>
      <c r="W27" s="1858">
        <f>SUM(W28:W34)</f>
        <v>194569</v>
      </c>
      <c r="X27" s="1850"/>
      <c r="AD27" s="1802"/>
      <c r="AE27" s="1802"/>
      <c r="AF27" s="1802"/>
      <c r="AH27" s="1787"/>
      <c r="AI27" s="1787"/>
    </row>
    <row r="28" spans="1:37" s="1786" customFormat="1" ht="21" customHeight="1" x14ac:dyDescent="0.2">
      <c r="A28" s="1844">
        <v>3.1</v>
      </c>
      <c r="B28" s="1845" t="s">
        <v>2289</v>
      </c>
      <c r="C28" s="1864" t="s">
        <v>2290</v>
      </c>
      <c r="D28" s="1846" t="s">
        <v>2233</v>
      </c>
      <c r="E28" s="1824" t="s">
        <v>2279</v>
      </c>
      <c r="F28" s="1835">
        <f t="shared" ref="F28:F41" si="14">SUM(J28+O28)</f>
        <v>68556</v>
      </c>
      <c r="G28" s="1836">
        <v>130000</v>
      </c>
      <c r="H28" s="1837">
        <f t="shared" ref="H28:H34" si="15">SUM(M28+R28)</f>
        <v>110000</v>
      </c>
      <c r="I28" s="1835">
        <v>70000</v>
      </c>
      <c r="J28" s="1838">
        <v>68556</v>
      </c>
      <c r="K28" s="1836">
        <v>130000</v>
      </c>
      <c r="L28" s="1839">
        <v>-20000</v>
      </c>
      <c r="M28" s="1837">
        <f>K28+L28</f>
        <v>110000</v>
      </c>
      <c r="N28" s="1835"/>
      <c r="O28" s="1838"/>
      <c r="P28" s="1836"/>
      <c r="Q28" s="1836"/>
      <c r="R28" s="1837">
        <f>P28+Q28</f>
        <v>0</v>
      </c>
      <c r="S28" s="1841" t="s">
        <v>2291</v>
      </c>
      <c r="T28" s="1865" t="s">
        <v>2292</v>
      </c>
      <c r="U28" s="1843">
        <v>104000</v>
      </c>
      <c r="V28" s="1865" t="s">
        <v>2293</v>
      </c>
      <c r="W28" s="1843">
        <v>108000</v>
      </c>
      <c r="X28" s="1850" t="s">
        <v>2237</v>
      </c>
      <c r="AD28" s="1802"/>
      <c r="AE28" s="1802"/>
      <c r="AF28" s="1802"/>
      <c r="AH28" s="1787"/>
      <c r="AI28" s="1787"/>
      <c r="AJ28" s="1802"/>
    </row>
    <row r="29" spans="1:37" s="1786" customFormat="1" ht="48" x14ac:dyDescent="0.2">
      <c r="A29" s="1844">
        <v>3.2</v>
      </c>
      <c r="B29" s="1859" t="s">
        <v>2294</v>
      </c>
      <c r="C29" s="1789" t="s">
        <v>2295</v>
      </c>
      <c r="D29" s="1846" t="s">
        <v>2233</v>
      </c>
      <c r="E29" s="1824" t="s">
        <v>2279</v>
      </c>
      <c r="F29" s="1863">
        <f t="shared" si="14"/>
        <v>46512</v>
      </c>
      <c r="G29" s="1866">
        <v>47500</v>
      </c>
      <c r="H29" s="1843">
        <f t="shared" si="15"/>
        <v>51000</v>
      </c>
      <c r="I29" s="1863">
        <v>47500</v>
      </c>
      <c r="J29" s="1867">
        <v>46512</v>
      </c>
      <c r="K29" s="1866">
        <v>47500</v>
      </c>
      <c r="L29" s="1868">
        <v>3500</v>
      </c>
      <c r="M29" s="1837">
        <f t="shared" ref="M29:M34" si="16">K29+L29</f>
        <v>51000</v>
      </c>
      <c r="N29" s="1863"/>
      <c r="O29" s="1867"/>
      <c r="P29" s="1866"/>
      <c r="Q29" s="1866"/>
      <c r="R29" s="1837">
        <f t="shared" ref="R29:R34" si="17">P29+Q29</f>
        <v>0</v>
      </c>
      <c r="S29" s="1841" t="s">
        <v>2296</v>
      </c>
      <c r="T29" s="1788" t="s">
        <v>2297</v>
      </c>
      <c r="U29" s="1843">
        <v>49875</v>
      </c>
      <c r="V29" s="1788" t="s">
        <v>2297</v>
      </c>
      <c r="W29" s="1843">
        <v>52369</v>
      </c>
      <c r="X29" s="1850" t="s">
        <v>2237</v>
      </c>
      <c r="AD29" s="1802"/>
      <c r="AE29" s="1802"/>
      <c r="AF29" s="1802"/>
      <c r="AH29" s="1787"/>
      <c r="AI29" s="1787"/>
      <c r="AJ29" s="1802"/>
    </row>
    <row r="30" spans="1:37" s="1786" customFormat="1" ht="12" x14ac:dyDescent="0.2">
      <c r="A30" s="1844">
        <v>3.3</v>
      </c>
      <c r="B30" s="1859" t="s">
        <v>2298</v>
      </c>
      <c r="C30" s="1846" t="s">
        <v>2299</v>
      </c>
      <c r="D30" s="1846" t="s">
        <v>2233</v>
      </c>
      <c r="E30" s="1824" t="s">
        <v>2279</v>
      </c>
      <c r="F30" s="1835">
        <f t="shared" si="14"/>
        <v>1199</v>
      </c>
      <c r="G30" s="1836">
        <v>1200</v>
      </c>
      <c r="H30" s="1837">
        <f t="shared" si="15"/>
        <v>1200</v>
      </c>
      <c r="I30" s="1835">
        <v>1200</v>
      </c>
      <c r="J30" s="1838">
        <v>1199</v>
      </c>
      <c r="K30" s="1836">
        <v>1200</v>
      </c>
      <c r="L30" s="1836"/>
      <c r="M30" s="1837">
        <f t="shared" si="16"/>
        <v>1200</v>
      </c>
      <c r="N30" s="1835"/>
      <c r="O30" s="1838"/>
      <c r="P30" s="1836"/>
      <c r="Q30" s="1836"/>
      <c r="R30" s="1837">
        <f t="shared" si="17"/>
        <v>0</v>
      </c>
      <c r="S30" s="1860"/>
      <c r="T30" s="1842" t="s">
        <v>2300</v>
      </c>
      <c r="U30" s="1843">
        <v>1200</v>
      </c>
      <c r="V30" s="1842" t="s">
        <v>2300</v>
      </c>
      <c r="W30" s="1843">
        <v>1200</v>
      </c>
      <c r="X30" s="1850" t="s">
        <v>2237</v>
      </c>
      <c r="AD30" s="1802"/>
      <c r="AE30" s="1802"/>
      <c r="AF30" s="1802"/>
      <c r="AH30" s="1787"/>
      <c r="AI30" s="1787"/>
    </row>
    <row r="31" spans="1:37" s="1786" customFormat="1" ht="13.5" customHeight="1" x14ac:dyDescent="0.2">
      <c r="A31" s="1844">
        <v>3.4</v>
      </c>
      <c r="B31" s="1859" t="s">
        <v>2301</v>
      </c>
      <c r="C31" s="1846" t="s">
        <v>2302</v>
      </c>
      <c r="D31" s="1846" t="s">
        <v>2233</v>
      </c>
      <c r="E31" s="1824" t="s">
        <v>2303</v>
      </c>
      <c r="F31" s="1835">
        <f t="shared" si="14"/>
        <v>23070</v>
      </c>
      <c r="G31" s="1836">
        <v>65000</v>
      </c>
      <c r="H31" s="1837">
        <f t="shared" si="15"/>
        <v>65000</v>
      </c>
      <c r="I31" s="1835">
        <v>23071</v>
      </c>
      <c r="J31" s="1838">
        <v>23070</v>
      </c>
      <c r="K31" s="1836">
        <v>65000</v>
      </c>
      <c r="L31" s="1836"/>
      <c r="M31" s="1837">
        <f t="shared" si="16"/>
        <v>65000</v>
      </c>
      <c r="N31" s="1835"/>
      <c r="O31" s="1838"/>
      <c r="P31" s="1836"/>
      <c r="Q31" s="1836"/>
      <c r="R31" s="1837">
        <f t="shared" si="17"/>
        <v>0</v>
      </c>
      <c r="S31" s="1860"/>
      <c r="T31" s="1842" t="s">
        <v>2299</v>
      </c>
      <c r="U31" s="1843">
        <v>5000</v>
      </c>
      <c r="V31" s="1842" t="s">
        <v>2299</v>
      </c>
      <c r="W31" s="1843">
        <v>5000</v>
      </c>
      <c r="X31" s="1850" t="s">
        <v>2237</v>
      </c>
      <c r="AD31" s="1802"/>
      <c r="AE31" s="1802"/>
      <c r="AF31" s="1802"/>
      <c r="AH31" s="1787"/>
      <c r="AI31" s="1787"/>
    </row>
    <row r="32" spans="1:37" s="1786" customFormat="1" ht="15.75" customHeight="1" x14ac:dyDescent="0.2">
      <c r="A32" s="2024">
        <v>3.5</v>
      </c>
      <c r="B32" s="2025" t="s">
        <v>2304</v>
      </c>
      <c r="C32" s="1846" t="s">
        <v>2305</v>
      </c>
      <c r="D32" s="1846" t="s">
        <v>2233</v>
      </c>
      <c r="E32" s="1824" t="s">
        <v>2279</v>
      </c>
      <c r="F32" s="1835">
        <f t="shared" si="14"/>
        <v>12300</v>
      </c>
      <c r="G32" s="1836">
        <v>13000</v>
      </c>
      <c r="H32" s="1837">
        <f t="shared" si="15"/>
        <v>16481</v>
      </c>
      <c r="I32" s="1835">
        <v>12500</v>
      </c>
      <c r="J32" s="1838">
        <v>12300</v>
      </c>
      <c r="K32" s="1836">
        <v>13000</v>
      </c>
      <c r="L32" s="1839">
        <v>1500</v>
      </c>
      <c r="M32" s="1837">
        <f t="shared" si="16"/>
        <v>14500</v>
      </c>
      <c r="N32" s="1835"/>
      <c r="O32" s="1838"/>
      <c r="P32" s="1836">
        <v>1981</v>
      </c>
      <c r="Q32" s="1826"/>
      <c r="R32" s="1837">
        <f t="shared" si="17"/>
        <v>1981</v>
      </c>
      <c r="S32" s="1841" t="s">
        <v>2306</v>
      </c>
      <c r="T32" s="1842" t="s">
        <v>2305</v>
      </c>
      <c r="U32" s="1843">
        <v>13000</v>
      </c>
      <c r="V32" s="1842" t="s">
        <v>2305</v>
      </c>
      <c r="W32" s="1843">
        <v>13000</v>
      </c>
      <c r="X32" s="1850" t="s">
        <v>2237</v>
      </c>
      <c r="AD32" s="1802"/>
      <c r="AE32" s="1802"/>
      <c r="AF32" s="1802"/>
      <c r="AH32" s="1787"/>
      <c r="AI32" s="1787"/>
      <c r="AJ32" s="1802"/>
    </row>
    <row r="33" spans="1:36" s="1786" customFormat="1" ht="15.75" customHeight="1" x14ac:dyDescent="0.2">
      <c r="A33" s="2024"/>
      <c r="B33" s="2025"/>
      <c r="C33" s="1846" t="s">
        <v>2307</v>
      </c>
      <c r="D33" s="1846" t="s">
        <v>2233</v>
      </c>
      <c r="E33" s="1824" t="s">
        <v>2308</v>
      </c>
      <c r="F33" s="1835">
        <f t="shared" si="14"/>
        <v>17540</v>
      </c>
      <c r="G33" s="1836">
        <v>14000</v>
      </c>
      <c r="H33" s="1837">
        <f t="shared" si="15"/>
        <v>45056</v>
      </c>
      <c r="I33" s="1835">
        <v>18800</v>
      </c>
      <c r="J33" s="1838">
        <v>17540</v>
      </c>
      <c r="K33" s="1836">
        <v>14000</v>
      </c>
      <c r="L33" s="1836"/>
      <c r="M33" s="1837">
        <f t="shared" si="16"/>
        <v>14000</v>
      </c>
      <c r="N33" s="1835"/>
      <c r="O33" s="1838"/>
      <c r="P33" s="1836">
        <v>31273</v>
      </c>
      <c r="Q33" s="1839">
        <v>-217</v>
      </c>
      <c r="R33" s="1837">
        <f t="shared" si="17"/>
        <v>31056</v>
      </c>
      <c r="S33" s="1860" t="s">
        <v>2388</v>
      </c>
      <c r="T33" s="1842" t="s">
        <v>2307</v>
      </c>
      <c r="U33" s="1843">
        <v>14000</v>
      </c>
      <c r="V33" s="1842" t="s">
        <v>2309</v>
      </c>
      <c r="W33" s="1843">
        <v>14000</v>
      </c>
      <c r="X33" s="1850" t="s">
        <v>2237</v>
      </c>
      <c r="AD33" s="1802"/>
      <c r="AE33" s="1802"/>
      <c r="AF33" s="1802"/>
      <c r="AH33" s="1787"/>
      <c r="AI33" s="1787"/>
    </row>
    <row r="34" spans="1:36" s="1786" customFormat="1" ht="15.75" customHeight="1" x14ac:dyDescent="0.2">
      <c r="A34" s="2024"/>
      <c r="B34" s="2025"/>
      <c r="C34" s="1846" t="s">
        <v>2310</v>
      </c>
      <c r="D34" s="1846" t="s">
        <v>2233</v>
      </c>
      <c r="E34" s="1824" t="s">
        <v>2303</v>
      </c>
      <c r="F34" s="1835">
        <f t="shared" si="14"/>
        <v>966</v>
      </c>
      <c r="G34" s="1836">
        <v>1000</v>
      </c>
      <c r="H34" s="1837">
        <f t="shared" si="15"/>
        <v>1000</v>
      </c>
      <c r="I34" s="1835">
        <v>2000</v>
      </c>
      <c r="J34" s="1838">
        <v>966</v>
      </c>
      <c r="K34" s="1836">
        <v>1000</v>
      </c>
      <c r="L34" s="1836"/>
      <c r="M34" s="1837">
        <f t="shared" si="16"/>
        <v>1000</v>
      </c>
      <c r="N34" s="1835"/>
      <c r="O34" s="1838"/>
      <c r="P34" s="1836"/>
      <c r="Q34" s="1836"/>
      <c r="R34" s="1837">
        <f t="shared" si="17"/>
        <v>0</v>
      </c>
      <c r="S34" s="1860"/>
      <c r="T34" s="1842" t="s">
        <v>2310</v>
      </c>
      <c r="U34" s="1843">
        <v>1000</v>
      </c>
      <c r="V34" s="1842" t="s">
        <v>2310</v>
      </c>
      <c r="W34" s="1843">
        <v>1000</v>
      </c>
      <c r="X34" s="1850" t="s">
        <v>2237</v>
      </c>
      <c r="AD34" s="1802"/>
      <c r="AE34" s="1802"/>
      <c r="AF34" s="1802"/>
      <c r="AH34" s="1787"/>
      <c r="AI34" s="1787"/>
    </row>
    <row r="35" spans="1:36" s="1786" customFormat="1" ht="12" x14ac:dyDescent="0.2">
      <c r="A35" s="1821">
        <v>4</v>
      </c>
      <c r="B35" s="1822" t="s">
        <v>2311</v>
      </c>
      <c r="C35" s="1869"/>
      <c r="D35" s="1869"/>
      <c r="E35" s="1824"/>
      <c r="F35" s="1825">
        <f t="shared" ref="F35:R35" si="18">SUM(F36:F39)</f>
        <v>71280</v>
      </c>
      <c r="G35" s="1826">
        <f t="shared" si="18"/>
        <v>252581</v>
      </c>
      <c r="H35" s="1827">
        <f t="shared" si="18"/>
        <v>276904</v>
      </c>
      <c r="I35" s="1825">
        <f t="shared" si="18"/>
        <v>151257</v>
      </c>
      <c r="J35" s="1828">
        <f t="shared" si="18"/>
        <v>71280</v>
      </c>
      <c r="K35" s="1826">
        <f t="shared" si="18"/>
        <v>229358</v>
      </c>
      <c r="L35" s="1826">
        <f t="shared" si="18"/>
        <v>-2671</v>
      </c>
      <c r="M35" s="1827">
        <f t="shared" si="18"/>
        <v>226687</v>
      </c>
      <c r="N35" s="1825">
        <f t="shared" si="18"/>
        <v>23851</v>
      </c>
      <c r="O35" s="1828">
        <f t="shared" si="18"/>
        <v>0</v>
      </c>
      <c r="P35" s="1826">
        <f t="shared" si="18"/>
        <v>50000</v>
      </c>
      <c r="Q35" s="1826">
        <f t="shared" si="18"/>
        <v>217</v>
      </c>
      <c r="R35" s="1827">
        <f t="shared" si="18"/>
        <v>50217</v>
      </c>
      <c r="S35" s="1830"/>
      <c r="T35" s="1825"/>
      <c r="U35" s="1827">
        <f>SUM(U36:U39)</f>
        <v>0</v>
      </c>
      <c r="V35" s="1825"/>
      <c r="W35" s="1827">
        <f>SUM(W36:W39)</f>
        <v>0</v>
      </c>
      <c r="X35" s="1850" t="s">
        <v>2237</v>
      </c>
      <c r="AD35" s="1802"/>
      <c r="AE35" s="1802"/>
      <c r="AF35" s="1802"/>
      <c r="AH35" s="1787"/>
      <c r="AI35" s="1787"/>
    </row>
    <row r="36" spans="1:36" s="1786" customFormat="1" ht="14.25" customHeight="1" x14ac:dyDescent="0.2">
      <c r="A36" s="1844">
        <v>4.0999999999999996</v>
      </c>
      <c r="B36" s="1845" t="s">
        <v>2312</v>
      </c>
      <c r="C36" s="1870" t="s">
        <v>2313</v>
      </c>
      <c r="D36" s="1870" t="s">
        <v>2233</v>
      </c>
      <c r="E36" s="1824" t="s">
        <v>2279</v>
      </c>
      <c r="F36" s="1835">
        <f t="shared" si="14"/>
        <v>11229</v>
      </c>
      <c r="G36" s="1836">
        <v>6300</v>
      </c>
      <c r="H36" s="1837">
        <f>SUM(M36+R36)</f>
        <v>4719</v>
      </c>
      <c r="I36" s="1835">
        <v>11229</v>
      </c>
      <c r="J36" s="1838">
        <v>11229</v>
      </c>
      <c r="K36" s="1836">
        <v>4000</v>
      </c>
      <c r="L36" s="1839">
        <v>719</v>
      </c>
      <c r="M36" s="1837">
        <f>K36+L36</f>
        <v>4719</v>
      </c>
      <c r="N36" s="1835"/>
      <c r="O36" s="1838"/>
      <c r="P36" s="1836"/>
      <c r="Q36" s="1826"/>
      <c r="R36" s="1837">
        <f>P36+Q36</f>
        <v>0</v>
      </c>
      <c r="S36" s="1841" t="s">
        <v>2314</v>
      </c>
      <c r="T36" s="1863"/>
      <c r="U36" s="1843"/>
      <c r="V36" s="1863"/>
      <c r="W36" s="1843"/>
      <c r="X36" s="1850" t="s">
        <v>2237</v>
      </c>
      <c r="Y36" s="1871"/>
      <c r="AD36" s="1802"/>
      <c r="AE36" s="1802"/>
      <c r="AF36" s="1802"/>
      <c r="AH36" s="1787"/>
      <c r="AI36" s="1787"/>
      <c r="AJ36" s="1802"/>
    </row>
    <row r="37" spans="1:36" s="1786" customFormat="1" ht="22.5" customHeight="1" x14ac:dyDescent="0.2">
      <c r="A37" s="1844">
        <v>4.2</v>
      </c>
      <c r="B37" s="1845" t="s">
        <v>2315</v>
      </c>
      <c r="C37" s="1870"/>
      <c r="D37" s="1870" t="s">
        <v>2233</v>
      </c>
      <c r="E37" s="1824" t="s">
        <v>1312</v>
      </c>
      <c r="F37" s="1835">
        <f t="shared" si="14"/>
        <v>0</v>
      </c>
      <c r="G37" s="1836">
        <v>50000</v>
      </c>
      <c r="H37" s="1837">
        <f>SUM(M37+R37)</f>
        <v>50217</v>
      </c>
      <c r="I37" s="1863"/>
      <c r="J37" s="1867"/>
      <c r="K37" s="1866">
        <v>0</v>
      </c>
      <c r="L37" s="1866"/>
      <c r="M37" s="1837">
        <f t="shared" ref="M37:M39" si="19">K37+L37</f>
        <v>0</v>
      </c>
      <c r="N37" s="1863"/>
      <c r="O37" s="1867"/>
      <c r="P37" s="1866">
        <v>50000</v>
      </c>
      <c r="Q37" s="1839">
        <v>217</v>
      </c>
      <c r="R37" s="1837">
        <f t="shared" ref="R37:R39" si="20">P37+Q37</f>
        <v>50217</v>
      </c>
      <c r="S37" s="1841" t="s">
        <v>2389</v>
      </c>
      <c r="T37" s="1863"/>
      <c r="U37" s="1843"/>
      <c r="V37" s="1863"/>
      <c r="W37" s="1843"/>
      <c r="X37" s="1850" t="s">
        <v>2237</v>
      </c>
      <c r="Y37" s="1871"/>
      <c r="AD37" s="1802"/>
      <c r="AE37" s="1802"/>
      <c r="AF37" s="1802"/>
      <c r="AH37" s="1787"/>
      <c r="AI37" s="1787"/>
    </row>
    <row r="38" spans="1:36" s="1786" customFormat="1" ht="24" x14ac:dyDescent="0.2">
      <c r="A38" s="1844">
        <v>4.3</v>
      </c>
      <c r="B38" s="1845" t="s">
        <v>2316</v>
      </c>
      <c r="C38" s="1870"/>
      <c r="D38" s="1870" t="s">
        <v>2233</v>
      </c>
      <c r="E38" s="1824" t="s">
        <v>2253</v>
      </c>
      <c r="F38" s="1835">
        <f t="shared" si="14"/>
        <v>60051</v>
      </c>
      <c r="G38" s="1836">
        <v>177066</v>
      </c>
      <c r="H38" s="1837">
        <f>SUM(M38+R38)</f>
        <v>202753</v>
      </c>
      <c r="I38" s="1835">
        <v>118828</v>
      </c>
      <c r="J38" s="1838">
        <v>60051</v>
      </c>
      <c r="K38" s="1836">
        <v>206143</v>
      </c>
      <c r="L38" s="1839">
        <v>-3390</v>
      </c>
      <c r="M38" s="1837">
        <f t="shared" si="19"/>
        <v>202753</v>
      </c>
      <c r="N38" s="1835">
        <v>22641</v>
      </c>
      <c r="O38" s="1838"/>
      <c r="P38" s="1836"/>
      <c r="Q38" s="1836"/>
      <c r="R38" s="1837">
        <f t="shared" si="20"/>
        <v>0</v>
      </c>
      <c r="S38" s="1841" t="s">
        <v>2317</v>
      </c>
      <c r="T38" s="1842"/>
      <c r="U38" s="1843"/>
      <c r="V38" s="1842"/>
      <c r="W38" s="1843"/>
      <c r="X38" s="1850" t="s">
        <v>2237</v>
      </c>
      <c r="Y38" s="1871"/>
      <c r="AD38" s="1802"/>
      <c r="AE38" s="1802"/>
      <c r="AF38" s="1802"/>
      <c r="AH38" s="1787"/>
      <c r="AI38" s="1787"/>
      <c r="AJ38" s="1802"/>
    </row>
    <row r="39" spans="1:36" s="1786" customFormat="1" ht="39.75" customHeight="1" x14ac:dyDescent="0.2">
      <c r="A39" s="1844">
        <v>4.4000000000000004</v>
      </c>
      <c r="B39" s="1872" t="s">
        <v>2318</v>
      </c>
      <c r="C39" s="1873"/>
      <c r="D39" s="1870" t="s">
        <v>2233</v>
      </c>
      <c r="E39" s="1824" t="s">
        <v>1312</v>
      </c>
      <c r="F39" s="1835">
        <f t="shared" si="14"/>
        <v>0</v>
      </c>
      <c r="G39" s="1836">
        <v>19215</v>
      </c>
      <c r="H39" s="1837">
        <f>SUM(M39+R39)</f>
        <v>19215</v>
      </c>
      <c r="I39" s="1863">
        <v>21200</v>
      </c>
      <c r="J39" s="1867">
        <v>0</v>
      </c>
      <c r="K39" s="1866">
        <v>19215</v>
      </c>
      <c r="L39" s="1866"/>
      <c r="M39" s="1837">
        <f t="shared" si="19"/>
        <v>19215</v>
      </c>
      <c r="N39" s="1863">
        <v>1210</v>
      </c>
      <c r="O39" s="1867">
        <v>0</v>
      </c>
      <c r="P39" s="1866"/>
      <c r="Q39" s="1866"/>
      <c r="R39" s="1837">
        <f t="shared" si="20"/>
        <v>0</v>
      </c>
      <c r="S39" s="1860"/>
      <c r="T39" s="1863"/>
      <c r="U39" s="1843"/>
      <c r="V39" s="1863"/>
      <c r="W39" s="1843"/>
      <c r="X39" s="1850" t="s">
        <v>2237</v>
      </c>
      <c r="Y39" s="1871"/>
      <c r="AD39" s="1874"/>
      <c r="AE39" s="1802"/>
      <c r="AF39" s="1802">
        <v>19215</v>
      </c>
      <c r="AH39" s="1787"/>
      <c r="AI39" s="1787"/>
      <c r="AJ39" s="1787"/>
    </row>
    <row r="40" spans="1:36" s="1786" customFormat="1" ht="12" x14ac:dyDescent="0.2">
      <c r="A40" s="1821">
        <v>5</v>
      </c>
      <c r="B40" s="1875" t="s">
        <v>2319</v>
      </c>
      <c r="C40" s="1873"/>
      <c r="D40" s="1870"/>
      <c r="E40" s="1824"/>
      <c r="F40" s="1825">
        <f>SUM(F41)</f>
        <v>0</v>
      </c>
      <c r="G40" s="1826">
        <f>SUM(G41)</f>
        <v>93059</v>
      </c>
      <c r="H40" s="1827">
        <f>SUM(H41)</f>
        <v>0</v>
      </c>
      <c r="I40" s="1825">
        <f t="shared" ref="I40:W40" si="21">SUM(I41)</f>
        <v>0</v>
      </c>
      <c r="J40" s="1828">
        <f t="shared" si="21"/>
        <v>0</v>
      </c>
      <c r="K40" s="1826">
        <f t="shared" si="21"/>
        <v>0</v>
      </c>
      <c r="L40" s="1826">
        <f t="shared" si="21"/>
        <v>0</v>
      </c>
      <c r="M40" s="1827">
        <f t="shared" si="21"/>
        <v>0</v>
      </c>
      <c r="N40" s="1825">
        <f t="shared" si="21"/>
        <v>0</v>
      </c>
      <c r="O40" s="1828">
        <f t="shared" si="21"/>
        <v>0</v>
      </c>
      <c r="P40" s="1826">
        <f t="shared" si="21"/>
        <v>0</v>
      </c>
      <c r="Q40" s="1826">
        <f t="shared" si="21"/>
        <v>0</v>
      </c>
      <c r="R40" s="1827">
        <f t="shared" si="21"/>
        <v>0</v>
      </c>
      <c r="S40" s="1830"/>
      <c r="T40" s="1825">
        <f t="shared" si="21"/>
        <v>0</v>
      </c>
      <c r="U40" s="1827">
        <f t="shared" si="21"/>
        <v>0</v>
      </c>
      <c r="V40" s="1825">
        <f t="shared" si="21"/>
        <v>0</v>
      </c>
      <c r="W40" s="1827">
        <f t="shared" si="21"/>
        <v>0</v>
      </c>
      <c r="X40" s="1876"/>
      <c r="Y40" s="1871"/>
      <c r="AD40" s="1802"/>
      <c r="AE40" s="1802"/>
      <c r="AF40" s="1802"/>
      <c r="AH40" s="1787"/>
      <c r="AI40" s="1787"/>
      <c r="AJ40" s="1802"/>
    </row>
    <row r="41" spans="1:36" s="1786" customFormat="1" ht="61.5" customHeight="1" x14ac:dyDescent="0.2">
      <c r="A41" s="1877">
        <v>5.0999999999999996</v>
      </c>
      <c r="B41" s="1878" t="s">
        <v>2320</v>
      </c>
      <c r="C41" s="1879"/>
      <c r="D41" s="1880" t="s">
        <v>2321</v>
      </c>
      <c r="E41" s="1881" t="s">
        <v>2253</v>
      </c>
      <c r="F41" s="1882">
        <f t="shared" si="14"/>
        <v>0</v>
      </c>
      <c r="G41" s="1883">
        <v>93059</v>
      </c>
      <c r="H41" s="1884">
        <f>SUM(M41+R41)</f>
        <v>0</v>
      </c>
      <c r="I41" s="1885"/>
      <c r="J41" s="1886"/>
      <c r="K41" s="1887">
        <v>0</v>
      </c>
      <c r="L41" s="1833"/>
      <c r="M41" s="1856">
        <f>K41+L41</f>
        <v>0</v>
      </c>
      <c r="N41" s="1888"/>
      <c r="O41" s="1889"/>
      <c r="P41" s="1833"/>
      <c r="Q41" s="1833"/>
      <c r="R41" s="1856">
        <f>P41+Q41</f>
        <v>0</v>
      </c>
      <c r="S41" s="1890"/>
      <c r="T41" s="1885"/>
      <c r="U41" s="1891"/>
      <c r="V41" s="1885"/>
      <c r="W41" s="1891"/>
      <c r="X41" s="1850" t="s">
        <v>2322</v>
      </c>
      <c r="AD41" s="1802"/>
      <c r="AE41" s="1802"/>
      <c r="AF41" s="1802"/>
      <c r="AH41" s="1787"/>
      <c r="AI41" s="1787"/>
    </row>
    <row r="42" spans="1:36" s="1786" customFormat="1" ht="36.75" customHeight="1" x14ac:dyDescent="0.2">
      <c r="A42" s="2026" t="s">
        <v>2323</v>
      </c>
      <c r="B42" s="2027"/>
      <c r="C42" s="1892"/>
      <c r="D42" s="1892"/>
      <c r="E42" s="1893"/>
      <c r="F42" s="1894"/>
      <c r="G42" s="1895"/>
      <c r="H42" s="1896"/>
      <c r="I42" s="1897"/>
      <c r="J42" s="1895"/>
      <c r="K42" s="1898"/>
      <c r="L42" s="1899"/>
      <c r="M42" s="1900"/>
      <c r="N42" s="1897"/>
      <c r="O42" s="1895"/>
      <c r="P42" s="1899"/>
      <c r="Q42" s="1899"/>
      <c r="R42" s="1900"/>
      <c r="S42" s="1895"/>
      <c r="T42" s="1897"/>
      <c r="U42" s="1901"/>
      <c r="V42" s="1897"/>
      <c r="W42" s="1893"/>
      <c r="X42" s="1902"/>
      <c r="AH42" s="1787"/>
      <c r="AI42" s="1787"/>
    </row>
    <row r="43" spans="1:36" s="1786" customFormat="1" ht="12" x14ac:dyDescent="0.2">
      <c r="A43" s="2016"/>
      <c r="B43" s="2017"/>
      <c r="C43" s="2017"/>
      <c r="D43" s="1903"/>
      <c r="E43" s="1904" t="s">
        <v>2229</v>
      </c>
      <c r="F43" s="1905">
        <f>SUM(F44)</f>
        <v>1181113</v>
      </c>
      <c r="G43" s="1906">
        <f>SUM(G44)</f>
        <v>1421347</v>
      </c>
      <c r="H43" s="1907">
        <f>SUM(H44)</f>
        <v>1421347</v>
      </c>
      <c r="I43" s="1905">
        <f>SUM(I44)</f>
        <v>625382</v>
      </c>
      <c r="J43" s="1908">
        <f t="shared" ref="J43:W43" si="22">SUM(J44)</f>
        <v>470927</v>
      </c>
      <c r="K43" s="1905">
        <f t="shared" si="22"/>
        <v>625382</v>
      </c>
      <c r="L43" s="1906">
        <f t="shared" si="22"/>
        <v>0</v>
      </c>
      <c r="M43" s="1907">
        <f t="shared" si="22"/>
        <v>625382</v>
      </c>
      <c r="N43" s="1905">
        <f t="shared" si="22"/>
        <v>795965</v>
      </c>
      <c r="O43" s="1908">
        <f t="shared" si="22"/>
        <v>710186</v>
      </c>
      <c r="P43" s="1906">
        <f>SUM(P44)</f>
        <v>795965</v>
      </c>
      <c r="Q43" s="1906">
        <f t="shared" ref="Q43:R43" si="23">SUM(Q44)</f>
        <v>0</v>
      </c>
      <c r="R43" s="1907">
        <f t="shared" si="23"/>
        <v>795965</v>
      </c>
      <c r="S43" s="1909"/>
      <c r="T43" s="1910">
        <f t="shared" si="22"/>
        <v>0</v>
      </c>
      <c r="U43" s="1911">
        <f t="shared" si="22"/>
        <v>1505494</v>
      </c>
      <c r="V43" s="1910">
        <f t="shared" si="22"/>
        <v>0</v>
      </c>
      <c r="W43" s="1912">
        <f t="shared" si="22"/>
        <v>1505194</v>
      </c>
      <c r="X43" s="1850"/>
      <c r="AH43" s="1787"/>
      <c r="AI43" s="1787"/>
    </row>
    <row r="44" spans="1:36" s="1786" customFormat="1" ht="12" x14ac:dyDescent="0.2">
      <c r="A44" s="1821">
        <v>1</v>
      </c>
      <c r="B44" s="1822" t="s">
        <v>2324</v>
      </c>
      <c r="C44" s="1823"/>
      <c r="D44" s="1823"/>
      <c r="E44" s="1824"/>
      <c r="F44" s="1825">
        <f t="shared" ref="F44:W44" si="24">SUM(F45:F45)</f>
        <v>1181113</v>
      </c>
      <c r="G44" s="1826">
        <f t="shared" si="24"/>
        <v>1421347</v>
      </c>
      <c r="H44" s="1827">
        <f t="shared" si="24"/>
        <v>1421347</v>
      </c>
      <c r="I44" s="1825">
        <f t="shared" si="24"/>
        <v>625382</v>
      </c>
      <c r="J44" s="1828">
        <f t="shared" si="24"/>
        <v>470927</v>
      </c>
      <c r="K44" s="1825">
        <f t="shared" si="24"/>
        <v>625382</v>
      </c>
      <c r="L44" s="1826">
        <f t="shared" si="24"/>
        <v>0</v>
      </c>
      <c r="M44" s="1827">
        <f t="shared" si="24"/>
        <v>625382</v>
      </c>
      <c r="N44" s="1825">
        <f t="shared" si="24"/>
        <v>795965</v>
      </c>
      <c r="O44" s="1828">
        <f t="shared" si="24"/>
        <v>710186</v>
      </c>
      <c r="P44" s="1826">
        <f>SUM(P45:P45)</f>
        <v>795965</v>
      </c>
      <c r="Q44" s="1826">
        <f t="shared" ref="Q44:R44" si="25">SUM(Q45:Q45)</f>
        <v>0</v>
      </c>
      <c r="R44" s="1827">
        <f t="shared" si="25"/>
        <v>795965</v>
      </c>
      <c r="S44" s="1830"/>
      <c r="T44" s="1857"/>
      <c r="U44" s="1858">
        <f t="shared" si="24"/>
        <v>1505494</v>
      </c>
      <c r="V44" s="1857"/>
      <c r="W44" s="1858">
        <f t="shared" si="24"/>
        <v>1505194</v>
      </c>
      <c r="X44" s="1850"/>
      <c r="AH44" s="1787"/>
      <c r="AI44" s="1787"/>
    </row>
    <row r="45" spans="1:36" s="1786" customFormat="1" ht="36" x14ac:dyDescent="0.2">
      <c r="A45" s="1877">
        <v>1.1000000000000001</v>
      </c>
      <c r="B45" s="1913" t="s">
        <v>2325</v>
      </c>
      <c r="C45" s="1914" t="s">
        <v>2326</v>
      </c>
      <c r="D45" s="1914" t="s">
        <v>2327</v>
      </c>
      <c r="E45" s="1881" t="s">
        <v>2328</v>
      </c>
      <c r="F45" s="1882">
        <f>SUM(J45+O45)</f>
        <v>1181113</v>
      </c>
      <c r="G45" s="1915">
        <v>1421347</v>
      </c>
      <c r="H45" s="1884">
        <f>SUM(M45+R45)</f>
        <v>1421347</v>
      </c>
      <c r="I45" s="1882">
        <v>625382</v>
      </c>
      <c r="J45" s="1916">
        <v>470927</v>
      </c>
      <c r="K45" s="1882">
        <v>625382</v>
      </c>
      <c r="L45" s="1915"/>
      <c r="M45" s="1884">
        <f>K45+L45</f>
        <v>625382</v>
      </c>
      <c r="N45" s="1882">
        <v>795965</v>
      </c>
      <c r="O45" s="1916">
        <v>710186</v>
      </c>
      <c r="P45" s="1915">
        <v>795965</v>
      </c>
      <c r="Q45" s="1915"/>
      <c r="R45" s="1884">
        <f>P45+Q45</f>
        <v>795965</v>
      </c>
      <c r="S45" s="1917"/>
      <c r="T45" s="1877" t="s">
        <v>2326</v>
      </c>
      <c r="U45" s="1918">
        <v>1505494</v>
      </c>
      <c r="V45" s="1877" t="s">
        <v>2326</v>
      </c>
      <c r="W45" s="1918">
        <v>1505194</v>
      </c>
      <c r="X45" s="1919" t="s">
        <v>2237</v>
      </c>
      <c r="AH45" s="1787"/>
      <c r="AI45" s="1787"/>
    </row>
    <row r="46" spans="1:36" x14ac:dyDescent="0.25">
      <c r="A46" s="1920" t="s">
        <v>2329</v>
      </c>
      <c r="B46" s="1921"/>
      <c r="C46" s="1892"/>
      <c r="D46" s="1892"/>
      <c r="E46" s="1893"/>
      <c r="F46" s="1894"/>
      <c r="G46" s="1895"/>
      <c r="H46" s="1896"/>
      <c r="I46" s="1897"/>
      <c r="J46" s="1895"/>
      <c r="K46" s="1898"/>
      <c r="L46" s="1899"/>
      <c r="M46" s="1900"/>
      <c r="N46" s="1897"/>
      <c r="O46" s="1895"/>
      <c r="P46" s="1899"/>
      <c r="Q46" s="1899"/>
      <c r="R46" s="1900"/>
      <c r="S46" s="1895"/>
      <c r="T46" s="1897"/>
      <c r="U46" s="1901"/>
      <c r="V46" s="1897"/>
      <c r="W46" s="1893"/>
      <c r="X46" s="1902"/>
    </row>
    <row r="47" spans="1:36" x14ac:dyDescent="0.25">
      <c r="A47" s="2016"/>
      <c r="B47" s="2017"/>
      <c r="C47" s="2017"/>
      <c r="D47" s="1903"/>
      <c r="E47" s="1904" t="s">
        <v>2229</v>
      </c>
      <c r="F47" s="1905">
        <f t="shared" ref="F47:W47" si="26">SUM(F48:F48)</f>
        <v>651761</v>
      </c>
      <c r="G47" s="1906">
        <f t="shared" si="26"/>
        <v>808099</v>
      </c>
      <c r="H47" s="1907">
        <f t="shared" si="26"/>
        <v>808099</v>
      </c>
      <c r="I47" s="1905">
        <f t="shared" si="26"/>
        <v>221690</v>
      </c>
      <c r="J47" s="1908">
        <f t="shared" si="26"/>
        <v>221690</v>
      </c>
      <c r="K47" s="1905">
        <f t="shared" si="26"/>
        <v>235000</v>
      </c>
      <c r="L47" s="1906">
        <f t="shared" si="26"/>
        <v>0</v>
      </c>
      <c r="M47" s="1907">
        <f t="shared" si="26"/>
        <v>235000</v>
      </c>
      <c r="N47" s="1905">
        <f t="shared" si="26"/>
        <v>430071</v>
      </c>
      <c r="O47" s="1908">
        <f t="shared" si="26"/>
        <v>430071</v>
      </c>
      <c r="P47" s="1906">
        <f t="shared" si="26"/>
        <v>573099</v>
      </c>
      <c r="Q47" s="1906">
        <f t="shared" si="26"/>
        <v>0</v>
      </c>
      <c r="R47" s="1907">
        <f t="shared" si="26"/>
        <v>573099</v>
      </c>
      <c r="S47" s="1909"/>
      <c r="T47" s="1905">
        <f t="shared" si="26"/>
        <v>0</v>
      </c>
      <c r="U47" s="1907">
        <f t="shared" si="26"/>
        <v>0</v>
      </c>
      <c r="V47" s="1905">
        <f t="shared" si="26"/>
        <v>0</v>
      </c>
      <c r="W47" s="1907">
        <f t="shared" si="26"/>
        <v>0</v>
      </c>
      <c r="X47" s="1850"/>
    </row>
    <row r="48" spans="1:36" ht="25.5" customHeight="1" x14ac:dyDescent="0.25">
      <c r="A48" s="1877">
        <v>1</v>
      </c>
      <c r="B48" s="1913" t="s">
        <v>2330</v>
      </c>
      <c r="C48" s="1922"/>
      <c r="D48" s="1922"/>
      <c r="E48" s="1881"/>
      <c r="F48" s="1882">
        <f>SUM(J48+O48)</f>
        <v>651761</v>
      </c>
      <c r="G48" s="1915">
        <v>808099</v>
      </c>
      <c r="H48" s="1884">
        <f>SUM(M48+R48)</f>
        <v>808099</v>
      </c>
      <c r="I48" s="1882">
        <v>221690</v>
      </c>
      <c r="J48" s="1916">
        <v>221690</v>
      </c>
      <c r="K48" s="1882">
        <v>235000</v>
      </c>
      <c r="L48" s="1915"/>
      <c r="M48" s="1884">
        <f>K48+L48</f>
        <v>235000</v>
      </c>
      <c r="N48" s="1882">
        <v>430071</v>
      </c>
      <c r="O48" s="1916">
        <v>430071</v>
      </c>
      <c r="P48" s="1915">
        <v>573099</v>
      </c>
      <c r="Q48" s="1915"/>
      <c r="R48" s="1884">
        <f>P48+Q48</f>
        <v>573099</v>
      </c>
      <c r="S48" s="1917"/>
      <c r="T48" s="1923"/>
      <c r="U48" s="1918"/>
      <c r="V48" s="1923"/>
      <c r="W48" s="1918"/>
      <c r="X48" s="1919"/>
    </row>
    <row r="49" spans="1:13" ht="12" customHeight="1" x14ac:dyDescent="0.25"/>
    <row r="50" spans="1:13" ht="12" customHeight="1" x14ac:dyDescent="0.25">
      <c r="A50" s="398" t="s">
        <v>534</v>
      </c>
    </row>
    <row r="51" spans="1:13" ht="12" customHeight="1" x14ac:dyDescent="0.25">
      <c r="A51" s="1924" t="s">
        <v>2125</v>
      </c>
      <c r="B51" s="1924"/>
      <c r="C51" s="1924"/>
      <c r="D51" s="1925"/>
      <c r="E51" s="1925"/>
      <c r="F51" s="1926"/>
      <c r="G51" s="1926"/>
      <c r="H51" s="1926"/>
      <c r="I51" s="1927"/>
      <c r="J51" s="1927"/>
      <c r="L51" s="1927"/>
    </row>
    <row r="52" spans="1:13" ht="12" customHeight="1" x14ac:dyDescent="0.25">
      <c r="A52" s="1924"/>
      <c r="B52" s="1924" t="s">
        <v>2331</v>
      </c>
      <c r="C52" s="1924"/>
      <c r="D52" s="1925"/>
      <c r="E52" s="1925"/>
      <c r="F52" s="1926"/>
      <c r="G52" s="1926"/>
      <c r="H52" s="1926"/>
      <c r="I52" s="1927"/>
      <c r="J52" s="1927"/>
      <c r="L52" s="1927"/>
    </row>
    <row r="53" spans="1:13" ht="12" customHeight="1" x14ac:dyDescent="0.25">
      <c r="A53" s="1928"/>
      <c r="B53" s="1924" t="s">
        <v>2332</v>
      </c>
      <c r="C53" s="1924"/>
      <c r="D53" s="1929"/>
      <c r="E53" s="1929"/>
      <c r="F53" s="1929"/>
      <c r="G53" s="1929"/>
      <c r="H53" s="1929"/>
      <c r="I53" s="1929"/>
    </row>
    <row r="54" spans="1:13" ht="12" customHeight="1" x14ac:dyDescent="0.25">
      <c r="A54" s="1924"/>
      <c r="B54" s="1924" t="s">
        <v>2333</v>
      </c>
      <c r="C54" s="1924"/>
      <c r="D54" s="1925"/>
      <c r="E54" s="1925"/>
      <c r="F54" s="1926"/>
      <c r="G54" s="1926"/>
      <c r="H54" s="1926"/>
      <c r="I54" s="1927"/>
      <c r="J54" s="1927"/>
      <c r="L54" s="1927"/>
    </row>
    <row r="55" spans="1:13" ht="12" customHeight="1" x14ac:dyDescent="0.25">
      <c r="A55" s="1924"/>
      <c r="B55" s="1924" t="s">
        <v>2334</v>
      </c>
      <c r="C55" s="1930"/>
      <c r="D55" s="1928"/>
      <c r="E55" s="1928"/>
      <c r="F55" s="1928"/>
      <c r="G55" s="1928"/>
      <c r="H55" s="1928"/>
      <c r="J55" s="1931"/>
      <c r="L55" s="1931"/>
    </row>
    <row r="56" spans="1:13" ht="12" customHeight="1" x14ac:dyDescent="0.25">
      <c r="A56" s="1924"/>
      <c r="B56" s="1924" t="s">
        <v>2335</v>
      </c>
      <c r="C56" s="1930"/>
      <c r="D56" s="1928"/>
      <c r="E56" s="1928"/>
      <c r="F56" s="1928"/>
      <c r="G56" s="1928"/>
      <c r="H56" s="1928"/>
      <c r="J56" s="1931"/>
      <c r="L56" s="1931"/>
    </row>
    <row r="57" spans="1:13" ht="12" customHeight="1" x14ac:dyDescent="0.25">
      <c r="A57" s="1924"/>
      <c r="B57" s="1924" t="s">
        <v>2336</v>
      </c>
      <c r="C57" s="1930"/>
      <c r="D57" s="1928"/>
      <c r="E57" s="1928"/>
      <c r="F57" s="1928"/>
      <c r="G57" s="1928"/>
      <c r="H57" s="1928"/>
      <c r="J57" s="1931"/>
      <c r="L57" s="1931"/>
    </row>
    <row r="58" spans="1:13" ht="12" customHeight="1" x14ac:dyDescent="0.25">
      <c r="A58" s="1924"/>
      <c r="B58" s="1924" t="s">
        <v>2337</v>
      </c>
      <c r="C58" s="1924"/>
      <c r="D58" s="1925"/>
      <c r="E58" s="1925"/>
      <c r="F58" s="1926"/>
      <c r="G58" s="1926"/>
      <c r="H58" s="1926"/>
      <c r="I58" s="1927"/>
      <c r="J58" s="1927"/>
      <c r="L58" s="1927"/>
    </row>
    <row r="59" spans="1:13" ht="12" customHeight="1" x14ac:dyDescent="0.25">
      <c r="A59" s="1924"/>
      <c r="B59" s="1924" t="s">
        <v>2338</v>
      </c>
      <c r="C59" s="1930"/>
      <c r="D59" s="1930"/>
      <c r="E59" s="1930"/>
      <c r="F59" s="1930"/>
      <c r="G59" s="1930"/>
      <c r="H59" s="1930"/>
      <c r="I59" s="1930"/>
      <c r="J59" s="1930"/>
      <c r="K59" s="1930"/>
      <c r="L59" s="1930"/>
      <c r="M59" s="1930"/>
    </row>
    <row r="60" spans="1:13" ht="12" customHeight="1" x14ac:dyDescent="0.25">
      <c r="B60" s="398" t="s">
        <v>2339</v>
      </c>
    </row>
    <row r="61" spans="1:13" ht="12" customHeight="1" x14ac:dyDescent="0.25">
      <c r="B61" s="1924" t="s">
        <v>2337</v>
      </c>
      <c r="C61" s="401"/>
    </row>
    <row r="62" spans="1:13" ht="12" customHeight="1" x14ac:dyDescent="0.25">
      <c r="B62" s="1924" t="s">
        <v>2340</v>
      </c>
    </row>
    <row r="64" spans="1:13" x14ac:dyDescent="0.25">
      <c r="A64" s="1932"/>
    </row>
  </sheetData>
  <sheetProtection algorithmName="SHA-512" hashValue="eXJIxgaBgD5L+L9XgnJ5LQuvh7zEBoTqFUXpjG1umlye8gufliE+zBXkolSzZUwZmiAk1Zzkr9ng+NQyWh2Grw==" saltValue="66eoqfcZst0OvB2altEHTA==" spinCount="100000" sheet="1" objects="1" scenarios="1"/>
  <mergeCells count="24">
    <mergeCell ref="A7:A8"/>
    <mergeCell ref="B7:B8"/>
    <mergeCell ref="C7:C8"/>
    <mergeCell ref="D7:D8"/>
    <mergeCell ref="E7:E8"/>
    <mergeCell ref="X7:X8"/>
    <mergeCell ref="U2:V2"/>
    <mergeCell ref="U3:X3"/>
    <mergeCell ref="U4:X4"/>
    <mergeCell ref="C5:V5"/>
    <mergeCell ref="F7:H7"/>
    <mergeCell ref="I7:M7"/>
    <mergeCell ref="N7:R7"/>
    <mergeCell ref="S7:S8"/>
    <mergeCell ref="T7:U7"/>
    <mergeCell ref="V7:W7"/>
    <mergeCell ref="A43:C43"/>
    <mergeCell ref="A47:C47"/>
    <mergeCell ref="C9:E9"/>
    <mergeCell ref="A10:B10"/>
    <mergeCell ref="A11:B11"/>
    <mergeCell ref="A32:A34"/>
    <mergeCell ref="B32:B34"/>
    <mergeCell ref="A42:B42"/>
  </mergeCells>
  <pageMargins left="0.98425196850393704" right="0.39370078740157483" top="0.59055118110236227" bottom="0.39370078740157483" header="0.23622047244094491" footer="0.23622047244094491"/>
  <pageSetup paperSize="9" scale="65" orientation="portrait" verticalDpi="200" r:id="rId1"/>
  <headerFooter differentFirst="1">
    <oddFooter>&amp;L&amp;"Times New Roman,Regular"&amp;9&amp;D; &amp;T&amp;R&amp;"Times New Roman,Regular"&amp;9&amp;P (&amp;N)</oddFooter>
    <firstHeader xml:space="preserve">&amp;R&amp;"Times New Roman,Regular"&amp;9 71.pielikums Jūrmalas pilsētas domes
2019.gada 29.augusta saistošajiem noteikumiem Nr.31
(protokols Nr.12, 20.punkts)
 </firstHeader>
    <firstFooter>&amp;L&amp;9&amp;D; &amp;T&amp;R&amp;9&amp;P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R12" sqref="R12"/>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2068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2069</v>
      </c>
      <c r="D6" s="1972"/>
      <c r="E6" s="1972"/>
      <c r="F6" s="1972"/>
      <c r="G6" s="1972"/>
      <c r="H6" s="1972"/>
      <c r="I6" s="1972"/>
      <c r="J6" s="1972"/>
      <c r="K6" s="1972"/>
      <c r="L6" s="1972"/>
      <c r="M6" s="1972"/>
      <c r="N6" s="1972"/>
      <c r="O6" s="1972"/>
      <c r="P6" s="1973"/>
      <c r="Q6" s="276"/>
    </row>
    <row r="7" spans="1:17" x14ac:dyDescent="0.25">
      <c r="A7" s="7" t="s">
        <v>10</v>
      </c>
      <c r="B7" s="8"/>
      <c r="C7" s="1977" t="s">
        <v>2070</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18</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0.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2282957</v>
      </c>
      <c r="D20" s="32">
        <f>SUM(D21,D24,D25,D41,D43)</f>
        <v>2095340</v>
      </c>
      <c r="E20" s="33">
        <f t="shared" ref="E20:F20" si="1">SUM(E21,E24,E25,E41,E43)</f>
        <v>-10469</v>
      </c>
      <c r="F20" s="34">
        <f t="shared" si="1"/>
        <v>2084871</v>
      </c>
      <c r="G20" s="32">
        <f>SUM(G21,G24,G43)</f>
        <v>187000</v>
      </c>
      <c r="H20" s="33">
        <f t="shared" ref="H20:I20" si="2">SUM(H21,H24,H43)</f>
        <v>0</v>
      </c>
      <c r="I20" s="34">
        <f t="shared" si="2"/>
        <v>187000</v>
      </c>
      <c r="J20" s="32">
        <f>SUM(J21,J26,J43)</f>
        <v>5896</v>
      </c>
      <c r="K20" s="33">
        <f t="shared" ref="K20:L20" si="3">SUM(K21,K26,K43)</f>
        <v>5190</v>
      </c>
      <c r="L20" s="34">
        <f t="shared" si="3"/>
        <v>11086</v>
      </c>
      <c r="M20" s="32">
        <f>SUM(M21,M45)</f>
        <v>0</v>
      </c>
      <c r="N20" s="33">
        <f t="shared" ref="N20:O20" si="4">SUM(N21,N45)</f>
        <v>0</v>
      </c>
      <c r="O20" s="34">
        <f t="shared" si="4"/>
        <v>0</v>
      </c>
      <c r="P20" s="35"/>
    </row>
    <row r="21" spans="1:16" ht="12.75" thickTop="1" x14ac:dyDescent="0.25">
      <c r="A21" s="36"/>
      <c r="B21" s="37" t="s">
        <v>40</v>
      </c>
      <c r="C21" s="38">
        <f t="shared" si="0"/>
        <v>4839</v>
      </c>
      <c r="D21" s="39">
        <f>SUM(D22:D23)</f>
        <v>0</v>
      </c>
      <c r="E21" s="40">
        <f t="shared" ref="E21:F21" si="5">SUM(E22:E23)</f>
        <v>0</v>
      </c>
      <c r="F21" s="41">
        <f t="shared" si="5"/>
        <v>0</v>
      </c>
      <c r="G21" s="39">
        <f>SUM(G22:G23)</f>
        <v>0</v>
      </c>
      <c r="H21" s="40">
        <f t="shared" ref="H21:I21" si="6">SUM(H22:H23)</f>
        <v>0</v>
      </c>
      <c r="I21" s="41">
        <f t="shared" si="6"/>
        <v>0</v>
      </c>
      <c r="J21" s="39">
        <f>SUM(J22:J23)</f>
        <v>4839</v>
      </c>
      <c r="K21" s="40">
        <f t="shared" ref="K21:L21" si="7">SUM(K22:K23)</f>
        <v>0</v>
      </c>
      <c r="L21" s="41">
        <f t="shared" si="7"/>
        <v>4839</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x14ac:dyDescent="0.25">
      <c r="A23" s="50"/>
      <c r="B23" s="51" t="s">
        <v>42</v>
      </c>
      <c r="C23" s="52">
        <f t="shared" si="0"/>
        <v>4839</v>
      </c>
      <c r="D23" s="53"/>
      <c r="E23" s="54"/>
      <c r="F23" s="55">
        <f t="shared" ref="F23:F25" si="9">D23+E23</f>
        <v>0</v>
      </c>
      <c r="G23" s="53"/>
      <c r="H23" s="54"/>
      <c r="I23" s="55">
        <f t="shared" ref="I23:I24" si="10">G23+H23</f>
        <v>0</v>
      </c>
      <c r="J23" s="53">
        <v>4839</v>
      </c>
      <c r="K23" s="54"/>
      <c r="L23" s="56">
        <f>K23+J23</f>
        <v>4839</v>
      </c>
      <c r="M23" s="53"/>
      <c r="N23" s="54"/>
      <c r="O23" s="55">
        <f>N23+M23</f>
        <v>0</v>
      </c>
      <c r="P23" s="57"/>
    </row>
    <row r="24" spans="1:16" s="28" customFormat="1" ht="24.75" customHeight="1" thickBot="1" x14ac:dyDescent="0.3">
      <c r="A24" s="58">
        <v>19300</v>
      </c>
      <c r="B24" s="58" t="s">
        <v>43</v>
      </c>
      <c r="C24" s="59">
        <f>F24+I24</f>
        <v>2271871</v>
      </c>
      <c r="D24" s="60">
        <f>D51</f>
        <v>2095340</v>
      </c>
      <c r="E24" s="741">
        <f>-2000+2000-3645-155-1079-5590</f>
        <v>-10469</v>
      </c>
      <c r="F24" s="62">
        <f t="shared" si="9"/>
        <v>2084871</v>
      </c>
      <c r="G24" s="60">
        <v>187000</v>
      </c>
      <c r="H24" s="61"/>
      <c r="I24" s="62">
        <f t="shared" si="10"/>
        <v>187000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75" customHeight="1" thickTop="1" x14ac:dyDescent="0.25">
      <c r="A26" s="68">
        <v>21300</v>
      </c>
      <c r="B26" s="68" t="s">
        <v>46</v>
      </c>
      <c r="C26" s="69">
        <f>L26</f>
        <v>6247</v>
      </c>
      <c r="D26" s="73" t="s">
        <v>44</v>
      </c>
      <c r="E26" s="74" t="s">
        <v>44</v>
      </c>
      <c r="F26" s="75" t="s">
        <v>44</v>
      </c>
      <c r="G26" s="73" t="s">
        <v>44</v>
      </c>
      <c r="H26" s="74" t="s">
        <v>44</v>
      </c>
      <c r="I26" s="75" t="s">
        <v>44</v>
      </c>
      <c r="J26" s="77">
        <f>SUM(J27,J31,J33,J36)</f>
        <v>1057</v>
      </c>
      <c r="K26" s="78">
        <f t="shared" ref="K26:L26" si="11">SUM(K27,K31,K33,K36)</f>
        <v>5190</v>
      </c>
      <c r="L26" s="79">
        <f t="shared" si="11"/>
        <v>6247</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9" customHeight="1" x14ac:dyDescent="0.25">
      <c r="A31" s="80">
        <v>21370</v>
      </c>
      <c r="B31" s="68" t="s">
        <v>51</v>
      </c>
      <c r="C31" s="69">
        <f>L31</f>
        <v>6247</v>
      </c>
      <c r="D31" s="73" t="s">
        <v>44</v>
      </c>
      <c r="E31" s="74" t="s">
        <v>44</v>
      </c>
      <c r="F31" s="75" t="s">
        <v>44</v>
      </c>
      <c r="G31" s="73" t="s">
        <v>44</v>
      </c>
      <c r="H31" s="74" t="s">
        <v>44</v>
      </c>
      <c r="I31" s="75" t="s">
        <v>44</v>
      </c>
      <c r="J31" s="77">
        <f>SUM(J32)</f>
        <v>1057</v>
      </c>
      <c r="K31" s="78">
        <f t="shared" ref="K31:L31" si="15">SUM(K32)</f>
        <v>5190</v>
      </c>
      <c r="L31" s="79">
        <f t="shared" si="15"/>
        <v>6247</v>
      </c>
      <c r="M31" s="77" t="s">
        <v>44</v>
      </c>
      <c r="N31" s="78" t="s">
        <v>44</v>
      </c>
      <c r="O31" s="79" t="s">
        <v>44</v>
      </c>
      <c r="P31" s="76"/>
    </row>
    <row r="32" spans="1:16" ht="36" customHeight="1" x14ac:dyDescent="0.25">
      <c r="A32" s="95">
        <v>21379</v>
      </c>
      <c r="B32" s="96" t="s">
        <v>52</v>
      </c>
      <c r="C32" s="97">
        <f t="shared" ref="C32:C40" si="16">L32</f>
        <v>6247</v>
      </c>
      <c r="D32" s="98" t="s">
        <v>44</v>
      </c>
      <c r="E32" s="99" t="s">
        <v>44</v>
      </c>
      <c r="F32" s="100" t="s">
        <v>44</v>
      </c>
      <c r="G32" s="98" t="s">
        <v>44</v>
      </c>
      <c r="H32" s="99" t="s">
        <v>44</v>
      </c>
      <c r="I32" s="100" t="s">
        <v>44</v>
      </c>
      <c r="J32" s="101">
        <v>1057</v>
      </c>
      <c r="K32" s="102">
        <f>4225+965</f>
        <v>5190</v>
      </c>
      <c r="L32" s="103">
        <f>K32+J32</f>
        <v>6247</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2282957</v>
      </c>
      <c r="D50" s="158">
        <f>SUM(D51,D286)</f>
        <v>2095340</v>
      </c>
      <c r="E50" s="159">
        <f t="shared" ref="E50:F50" si="26">SUM(E51,E286)</f>
        <v>-10469</v>
      </c>
      <c r="F50" s="160">
        <f t="shared" si="26"/>
        <v>2084871</v>
      </c>
      <c r="G50" s="158">
        <f>SUM(G51,G286)</f>
        <v>187000</v>
      </c>
      <c r="H50" s="159">
        <f>SUM(H51,H286)</f>
        <v>0</v>
      </c>
      <c r="I50" s="160">
        <f t="shared" ref="I50" si="27">SUM(I51,I286)</f>
        <v>187000</v>
      </c>
      <c r="J50" s="32">
        <f>SUM(J51,J286)</f>
        <v>5896</v>
      </c>
      <c r="K50" s="33">
        <f t="shared" ref="K50:L50" si="28">SUM(K51,K286)</f>
        <v>5190</v>
      </c>
      <c r="L50" s="34">
        <f t="shared" si="28"/>
        <v>11086</v>
      </c>
      <c r="M50" s="32">
        <f>SUM(M51,M286)</f>
        <v>0</v>
      </c>
      <c r="N50" s="33">
        <f t="shared" ref="N50:O50" si="29">SUM(N51,N286)</f>
        <v>0</v>
      </c>
      <c r="O50" s="34">
        <f t="shared" si="29"/>
        <v>0</v>
      </c>
      <c r="P50" s="35"/>
    </row>
    <row r="51" spans="1:16" s="28" customFormat="1" ht="39" customHeight="1" thickTop="1" x14ac:dyDescent="0.25">
      <c r="A51" s="161"/>
      <c r="B51" s="162" t="s">
        <v>70</v>
      </c>
      <c r="C51" s="163">
        <f t="shared" si="0"/>
        <v>2271871</v>
      </c>
      <c r="D51" s="164">
        <f>SUM(D52,D194)</f>
        <v>2095340</v>
      </c>
      <c r="E51" s="165">
        <f t="shared" ref="E51:F51" si="30">SUM(E52,E194)</f>
        <v>-10469</v>
      </c>
      <c r="F51" s="166">
        <f t="shared" si="30"/>
        <v>2084871</v>
      </c>
      <c r="G51" s="164">
        <f>SUM(G52,G194)</f>
        <v>187000</v>
      </c>
      <c r="H51" s="165">
        <f t="shared" ref="H51:I51" si="31">SUM(H52,H194)</f>
        <v>0</v>
      </c>
      <c r="I51" s="166">
        <f t="shared" si="31"/>
        <v>187000</v>
      </c>
      <c r="J51" s="167">
        <f>SUM(J52,J194)</f>
        <v>5896</v>
      </c>
      <c r="K51" s="168">
        <f t="shared" ref="K51:L51" si="32">SUM(K52,K194)</f>
        <v>-5896</v>
      </c>
      <c r="L51" s="169">
        <f t="shared" si="32"/>
        <v>0</v>
      </c>
      <c r="M51" s="167">
        <f>SUM(M52,M194)</f>
        <v>0</v>
      </c>
      <c r="N51" s="168">
        <f t="shared" ref="N51:O51" si="33">SUM(N52,N194)</f>
        <v>0</v>
      </c>
      <c r="O51" s="169">
        <f t="shared" si="33"/>
        <v>0</v>
      </c>
      <c r="P51" s="170"/>
    </row>
    <row r="52" spans="1:16" s="28" customFormat="1" ht="27.75" customHeight="1" x14ac:dyDescent="0.25">
      <c r="A52" s="24"/>
      <c r="B52" s="22" t="s">
        <v>71</v>
      </c>
      <c r="C52" s="171">
        <f t="shared" si="0"/>
        <v>2242517</v>
      </c>
      <c r="D52" s="172">
        <f>SUM(D53,D75,D173,D187)</f>
        <v>2061029</v>
      </c>
      <c r="E52" s="173">
        <f t="shared" ref="E52:F52" si="34">SUM(E53,E75,E173,E187)</f>
        <v>-5512</v>
      </c>
      <c r="F52" s="174">
        <f t="shared" si="34"/>
        <v>2055517</v>
      </c>
      <c r="G52" s="172">
        <f>SUM(G53,G75,G173,G187)</f>
        <v>187000</v>
      </c>
      <c r="H52" s="173">
        <f t="shared" ref="H52:I52" si="35">SUM(H53,H75,H173,H187)</f>
        <v>0</v>
      </c>
      <c r="I52" s="174">
        <f t="shared" si="35"/>
        <v>187000</v>
      </c>
      <c r="J52" s="172">
        <f>SUM(J53,J75,J173,J187)</f>
        <v>5896</v>
      </c>
      <c r="K52" s="173">
        <f t="shared" ref="K52:L52" si="36">SUM(K53,K75,K173,K187)</f>
        <v>-5896</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5357</v>
      </c>
      <c r="E53" s="179">
        <f t="shared" ref="E53:F53" si="38">SUM(E54,E67)</f>
        <v>-5357</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t="16.5" hidden="1" customHeight="1" x14ac:dyDescent="0.25">
      <c r="A54" s="68">
        <v>1100</v>
      </c>
      <c r="B54" s="182" t="s">
        <v>73</v>
      </c>
      <c r="C54" s="69">
        <f t="shared" si="0"/>
        <v>0</v>
      </c>
      <c r="D54" s="183">
        <f>SUM(D55,D58,D66)</f>
        <v>4130</v>
      </c>
      <c r="E54" s="184">
        <f t="shared" ref="E54:F54" si="42">SUM(E55,E58,E66)</f>
        <v>-4130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9" hidden="1" customHeight="1" x14ac:dyDescent="0.25">
      <c r="A66" s="185">
        <v>1150</v>
      </c>
      <c r="B66" s="137" t="s">
        <v>85</v>
      </c>
      <c r="C66" s="142">
        <f t="shared" si="0"/>
        <v>0</v>
      </c>
      <c r="D66" s="143">
        <v>4130</v>
      </c>
      <c r="E66" s="144">
        <v>-4130</v>
      </c>
      <c r="F66" s="140">
        <f t="shared" si="58"/>
        <v>0</v>
      </c>
      <c r="G66" s="143"/>
      <c r="H66" s="144"/>
      <c r="I66" s="140">
        <f t="shared" si="59"/>
        <v>0</v>
      </c>
      <c r="J66" s="143"/>
      <c r="K66" s="144"/>
      <c r="L66" s="140">
        <f t="shared" si="60"/>
        <v>0</v>
      </c>
      <c r="M66" s="143"/>
      <c r="N66" s="144"/>
      <c r="O66" s="140">
        <f t="shared" si="61"/>
        <v>0</v>
      </c>
      <c r="P66" s="128"/>
    </row>
    <row r="67" spans="1:16" ht="27" hidden="1" customHeight="1" x14ac:dyDescent="0.25">
      <c r="A67" s="68">
        <v>1200</v>
      </c>
      <c r="B67" s="182" t="s">
        <v>86</v>
      </c>
      <c r="C67" s="69">
        <f t="shared" si="0"/>
        <v>0</v>
      </c>
      <c r="D67" s="183">
        <f>SUM(D68:D69)</f>
        <v>1227</v>
      </c>
      <c r="E67" s="184">
        <f t="shared" ref="E67:F67" si="62">SUM(E68:E69)</f>
        <v>-1227</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8.5" hidden="1" customHeight="1" x14ac:dyDescent="0.25">
      <c r="A68" s="1423">
        <v>1210</v>
      </c>
      <c r="B68" s="81" t="s">
        <v>87</v>
      </c>
      <c r="C68" s="82">
        <f t="shared" si="0"/>
        <v>0</v>
      </c>
      <c r="D68" s="46">
        <v>1227</v>
      </c>
      <c r="E68" s="47">
        <v>-1227</v>
      </c>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295517</v>
      </c>
      <c r="D75" s="178">
        <f>SUM(D76,D83,D130,D164,D165,D172)</f>
        <v>295672</v>
      </c>
      <c r="E75" s="179">
        <f t="shared" ref="E75:F75" si="74">SUM(E76,E83,E130,E164,E165,E172)</f>
        <v>-155</v>
      </c>
      <c r="F75" s="180">
        <f t="shared" si="74"/>
        <v>295517</v>
      </c>
      <c r="G75" s="178">
        <f>SUM(G76,G83,G130,G164,G165,G172)</f>
        <v>0</v>
      </c>
      <c r="H75" s="179">
        <f t="shared" ref="H75:I75" si="75">SUM(H76,H83,H130,H164,H165,H172)</f>
        <v>0</v>
      </c>
      <c r="I75" s="180">
        <f t="shared" si="75"/>
        <v>0</v>
      </c>
      <c r="J75" s="178">
        <f>SUM(J76,J83,J130,J164,J165,J172)</f>
        <v>5896</v>
      </c>
      <c r="K75" s="179">
        <f t="shared" ref="K75:L75" si="76">SUM(K76,K83,K130,K164,K165,K172)</f>
        <v>-5896</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42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249525</v>
      </c>
      <c r="D83" s="183">
        <f>SUM(D84,D89,D95,D103,D112,D116,D122,D128)</f>
        <v>247525</v>
      </c>
      <c r="E83" s="184">
        <f t="shared" ref="E83:F83" si="98">SUM(E84,E89,E95,E103,E112,E116,E122,E128)</f>
        <v>2000</v>
      </c>
      <c r="F83" s="72">
        <f t="shared" si="98"/>
        <v>249525</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v>0</v>
      </c>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v>0</v>
      </c>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v>0</v>
      </c>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x14ac:dyDescent="0.25">
      <c r="A112" s="188">
        <v>2250</v>
      </c>
      <c r="B112" s="88" t="s">
        <v>129</v>
      </c>
      <c r="C112" s="89">
        <f t="shared" si="102"/>
        <v>84358</v>
      </c>
      <c r="D112" s="189">
        <f>SUM(D113:D115)</f>
        <v>84358</v>
      </c>
      <c r="E112" s="190">
        <f t="shared" ref="E112:F112" si="135">SUM(E113:E115)</f>
        <v>0</v>
      </c>
      <c r="F112" s="55">
        <f t="shared" si="135"/>
        <v>84358</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customHeight="1" x14ac:dyDescent="0.25">
      <c r="A115" s="51">
        <v>2259</v>
      </c>
      <c r="B115" s="88" t="s">
        <v>132</v>
      </c>
      <c r="C115" s="89">
        <f t="shared" si="102"/>
        <v>84358</v>
      </c>
      <c r="D115" s="194">
        <v>84358</v>
      </c>
      <c r="E115" s="195"/>
      <c r="F115" s="55">
        <f t="shared" si="139"/>
        <v>84358</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117585</v>
      </c>
      <c r="D116" s="189">
        <f>SUM(D117:D121)</f>
        <v>117585</v>
      </c>
      <c r="E116" s="190">
        <f t="shared" ref="E116:F116" si="143">SUM(E117:E121)</f>
        <v>0</v>
      </c>
      <c r="F116" s="55">
        <f t="shared" si="143"/>
        <v>117585</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8" t="s">
        <v>135</v>
      </c>
      <c r="C118" s="89">
        <f t="shared" si="102"/>
        <v>117585</v>
      </c>
      <c r="D118" s="194">
        <f>114400+3185</f>
        <v>117585</v>
      </c>
      <c r="E118" s="195"/>
      <c r="F118" s="55">
        <f t="shared" si="147"/>
        <v>117585</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47582</v>
      </c>
      <c r="D122" s="189">
        <f>SUM(D123:D127)</f>
        <v>45582</v>
      </c>
      <c r="E122" s="190">
        <f t="shared" ref="E122:F122" si="151">SUM(E123:E127)</f>
        <v>2000</v>
      </c>
      <c r="F122" s="55">
        <f t="shared" si="151"/>
        <v>47582</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47582</v>
      </c>
      <c r="D127" s="194">
        <v>45582</v>
      </c>
      <c r="E127" s="198">
        <v>2000</v>
      </c>
      <c r="F127" s="55">
        <f t="shared" si="155"/>
        <v>47582</v>
      </c>
      <c r="G127" s="53"/>
      <c r="H127" s="54"/>
      <c r="I127" s="55">
        <f t="shared" si="156"/>
        <v>0</v>
      </c>
      <c r="J127" s="53"/>
      <c r="K127" s="54"/>
      <c r="L127" s="55">
        <f t="shared" si="157"/>
        <v>0</v>
      </c>
      <c r="M127" s="53"/>
      <c r="N127" s="54"/>
      <c r="O127" s="55">
        <f t="shared" si="158"/>
        <v>0</v>
      </c>
      <c r="P127" s="57"/>
    </row>
    <row r="128" spans="1:16" ht="48" hidden="1" x14ac:dyDescent="0.25">
      <c r="A128" s="142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5.25" customHeight="1" x14ac:dyDescent="0.25">
      <c r="A130" s="68">
        <v>2300</v>
      </c>
      <c r="B130" s="182" t="s">
        <v>147</v>
      </c>
      <c r="C130" s="69">
        <f t="shared" si="102"/>
        <v>45992</v>
      </c>
      <c r="D130" s="183">
        <f>SUM(D131,D136,D140,D141,D144,D151,D159,D160,D163)</f>
        <v>48147</v>
      </c>
      <c r="E130" s="184">
        <f t="shared" ref="E130:F130" si="160">SUM(E131,E136,E140,E141,E144,E151,E159,E160,E163)</f>
        <v>-2155</v>
      </c>
      <c r="F130" s="72">
        <f t="shared" si="160"/>
        <v>45992</v>
      </c>
      <c r="G130" s="183">
        <f>SUM(G131,G136,G140,G141,G144,G151,G159,G160,G163)</f>
        <v>0</v>
      </c>
      <c r="H130" s="184">
        <f t="shared" ref="H130:I130" si="161">SUM(H131,H136,H140,H141,H144,H151,H159,H160,H163)</f>
        <v>0</v>
      </c>
      <c r="I130" s="72">
        <f t="shared" si="161"/>
        <v>0</v>
      </c>
      <c r="J130" s="183">
        <f>SUM(J131,J136,J140,J141,J144,J151,J159,J160,J163)</f>
        <v>5896</v>
      </c>
      <c r="K130" s="184">
        <f t="shared" ref="K130:L130" si="162">SUM(K131,K136,K140,K141,K144,K151,K159,K160,K163)</f>
        <v>-5896</v>
      </c>
      <c r="L130" s="72">
        <f t="shared" si="162"/>
        <v>0</v>
      </c>
      <c r="M130" s="183">
        <f>SUM(M131,M136,M140,M141,M144,M151,M159,M160,M163)</f>
        <v>0</v>
      </c>
      <c r="N130" s="184">
        <f t="shared" ref="N130:O130" si="163">SUM(N131,N136,N140,N141,N144,N151,N159,N160,N163)</f>
        <v>0</v>
      </c>
      <c r="O130" s="72">
        <f t="shared" si="163"/>
        <v>0</v>
      </c>
      <c r="P130" s="76"/>
    </row>
    <row r="131" spans="1:16" ht="24.75" customHeight="1" x14ac:dyDescent="0.25">
      <c r="A131" s="1423">
        <v>2310</v>
      </c>
      <c r="B131" s="81" t="s">
        <v>148</v>
      </c>
      <c r="C131" s="82">
        <f t="shared" si="102"/>
        <v>5338</v>
      </c>
      <c r="D131" s="192">
        <f t="shared" ref="D131:O131" si="164">SUM(D132:D135)</f>
        <v>7338</v>
      </c>
      <c r="E131" s="193">
        <f t="shared" si="164"/>
        <v>-2000</v>
      </c>
      <c r="F131" s="133">
        <f t="shared" si="164"/>
        <v>5338</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hidden="1" customHeight="1" x14ac:dyDescent="0.25">
      <c r="A133" s="51">
        <v>2312</v>
      </c>
      <c r="B133" s="88" t="s">
        <v>150</v>
      </c>
      <c r="C133" s="89">
        <f t="shared" si="102"/>
        <v>0</v>
      </c>
      <c r="D133" s="194">
        <v>0</v>
      </c>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75" customHeight="1" x14ac:dyDescent="0.25">
      <c r="A135" s="51">
        <v>2314</v>
      </c>
      <c r="B135" s="88" t="s">
        <v>152</v>
      </c>
      <c r="C135" s="89">
        <f t="shared" si="102"/>
        <v>5338</v>
      </c>
      <c r="D135" s="194">
        <v>7338</v>
      </c>
      <c r="E135" s="198">
        <v>-2000</v>
      </c>
      <c r="F135" s="55">
        <f t="shared" si="165"/>
        <v>5338</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3.5" customHeight="1" x14ac:dyDescent="0.25">
      <c r="A163" s="185">
        <v>2390</v>
      </c>
      <c r="B163" s="137" t="s">
        <v>180</v>
      </c>
      <c r="C163" s="142">
        <f t="shared" si="193"/>
        <v>40654</v>
      </c>
      <c r="D163" s="202">
        <v>40809</v>
      </c>
      <c r="E163" s="744">
        <v>-155</v>
      </c>
      <c r="F163" s="140">
        <f t="shared" si="206"/>
        <v>40654</v>
      </c>
      <c r="G163" s="143"/>
      <c r="H163" s="144"/>
      <c r="I163" s="140">
        <f t="shared" si="207"/>
        <v>0</v>
      </c>
      <c r="J163" s="143">
        <v>5896</v>
      </c>
      <c r="K163" s="144">
        <f>4225-5896-4225</f>
        <v>-5896</v>
      </c>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27" hidden="1" customHeight="1" x14ac:dyDescent="0.25">
      <c r="A166" s="142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x14ac:dyDescent="0.25">
      <c r="A173" s="176">
        <v>3000</v>
      </c>
      <c r="B173" s="176" t="s">
        <v>190</v>
      </c>
      <c r="C173" s="177">
        <f t="shared" si="193"/>
        <v>1947000</v>
      </c>
      <c r="D173" s="178">
        <f>SUM(D174,D184)</f>
        <v>1760000</v>
      </c>
      <c r="E173" s="179">
        <f t="shared" ref="E173:F173" si="216">SUM(E174,E184)</f>
        <v>0</v>
      </c>
      <c r="F173" s="180">
        <f t="shared" si="216"/>
        <v>1760000</v>
      </c>
      <c r="G173" s="178">
        <f>SUM(G174,G184)</f>
        <v>187000</v>
      </c>
      <c r="H173" s="179">
        <f t="shared" ref="H173:I173" si="217">SUM(H174,H184)</f>
        <v>0</v>
      </c>
      <c r="I173" s="180">
        <f t="shared" si="217"/>
        <v>187000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hidden="1" x14ac:dyDescent="0.25">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48" hidden="1" x14ac:dyDescent="0.25">
      <c r="A175" s="142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v>0</v>
      </c>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42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51" customHeight="1" x14ac:dyDescent="0.25">
      <c r="A184" s="216">
        <v>3300</v>
      </c>
      <c r="B184" s="207" t="s">
        <v>201</v>
      </c>
      <c r="C184" s="217">
        <f t="shared" si="193"/>
        <v>1947000</v>
      </c>
      <c r="D184" s="218">
        <f>SUM(D185:D186)</f>
        <v>1760000</v>
      </c>
      <c r="E184" s="219">
        <f t="shared" ref="E184:O184" si="234">SUM(E185:E186)</f>
        <v>0</v>
      </c>
      <c r="F184" s="220">
        <f t="shared" si="234"/>
        <v>1760000</v>
      </c>
      <c r="G184" s="218">
        <f t="shared" si="234"/>
        <v>187000</v>
      </c>
      <c r="H184" s="219">
        <f t="shared" si="234"/>
        <v>0</v>
      </c>
      <c r="I184" s="220">
        <f t="shared" si="234"/>
        <v>187000</v>
      </c>
      <c r="J184" s="218">
        <f t="shared" si="234"/>
        <v>0</v>
      </c>
      <c r="K184" s="219">
        <f t="shared" si="234"/>
        <v>0</v>
      </c>
      <c r="L184" s="220">
        <f t="shared" si="234"/>
        <v>0</v>
      </c>
      <c r="M184" s="218">
        <f t="shared" si="234"/>
        <v>0</v>
      </c>
      <c r="N184" s="219">
        <f t="shared" si="234"/>
        <v>0</v>
      </c>
      <c r="O184" s="220">
        <f t="shared" si="234"/>
        <v>0</v>
      </c>
      <c r="P184" s="221"/>
    </row>
    <row r="185" spans="1:16" ht="49.5" customHeight="1" x14ac:dyDescent="0.25">
      <c r="A185" s="136">
        <v>3310</v>
      </c>
      <c r="B185" s="137" t="s">
        <v>202</v>
      </c>
      <c r="C185" s="142">
        <f t="shared" si="193"/>
        <v>187000</v>
      </c>
      <c r="D185" s="202">
        <v>0</v>
      </c>
      <c r="E185" s="203"/>
      <c r="F185" s="140">
        <f t="shared" ref="F185:F186" si="235">D185+E185</f>
        <v>0</v>
      </c>
      <c r="G185" s="143">
        <v>187000</v>
      </c>
      <c r="H185" s="144"/>
      <c r="I185" s="140">
        <f t="shared" ref="I185:I186" si="236">G185+H185</f>
        <v>187000</v>
      </c>
      <c r="J185" s="143"/>
      <c r="K185" s="144"/>
      <c r="L185" s="140">
        <f t="shared" ref="L185:L186" si="237">K185+J185</f>
        <v>0</v>
      </c>
      <c r="M185" s="143"/>
      <c r="N185" s="144"/>
      <c r="O185" s="140">
        <f t="shared" ref="O185:O186" si="238">N185+M185</f>
        <v>0</v>
      </c>
      <c r="P185" s="128"/>
    </row>
    <row r="186" spans="1:16" ht="50.25" customHeight="1" x14ac:dyDescent="0.25">
      <c r="A186" s="44">
        <v>3320</v>
      </c>
      <c r="B186" s="81" t="s">
        <v>203</v>
      </c>
      <c r="C186" s="82">
        <f t="shared" si="193"/>
        <v>1760000</v>
      </c>
      <c r="D186" s="196">
        <v>1760000</v>
      </c>
      <c r="E186" s="197"/>
      <c r="F186" s="133">
        <f t="shared" si="235"/>
        <v>1760000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42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42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209">
        <v>4311</v>
      </c>
      <c r="B193" s="226" t="s">
        <v>210</v>
      </c>
      <c r="C193" s="208">
        <f t="shared" si="193"/>
        <v>0</v>
      </c>
      <c r="D193" s="210">
        <v>0</v>
      </c>
      <c r="E193" s="211"/>
      <c r="F193" s="212">
        <f>D193+E193</f>
        <v>0</v>
      </c>
      <c r="G193" s="213"/>
      <c r="H193" s="214"/>
      <c r="I193" s="212">
        <f>G193+H193</f>
        <v>0</v>
      </c>
      <c r="J193" s="213"/>
      <c r="K193" s="214"/>
      <c r="L193" s="212">
        <f>K193+J193</f>
        <v>0</v>
      </c>
      <c r="M193" s="213"/>
      <c r="N193" s="214"/>
      <c r="O193" s="212">
        <f>N193+M193</f>
        <v>0</v>
      </c>
      <c r="P193" s="215"/>
    </row>
    <row r="194" spans="1:16" s="28" customFormat="1" ht="24" customHeight="1" x14ac:dyDescent="0.25">
      <c r="A194" s="1151"/>
      <c r="B194" s="216" t="s">
        <v>211</v>
      </c>
      <c r="C194" s="1197">
        <f t="shared" si="193"/>
        <v>29354</v>
      </c>
      <c r="D194" s="1198">
        <f>SUM(D195,D230,D269,D283)</f>
        <v>34311</v>
      </c>
      <c r="E194" s="1199">
        <f t="shared" ref="E194:O194" si="259">SUM(E195,E230,E269,E283)</f>
        <v>-4957</v>
      </c>
      <c r="F194" s="1200">
        <f t="shared" si="259"/>
        <v>29354</v>
      </c>
      <c r="G194" s="1198">
        <f t="shared" si="259"/>
        <v>0</v>
      </c>
      <c r="H194" s="1199">
        <f t="shared" si="259"/>
        <v>0</v>
      </c>
      <c r="I194" s="1200">
        <f t="shared" si="259"/>
        <v>0</v>
      </c>
      <c r="J194" s="1198">
        <f t="shared" si="259"/>
        <v>0</v>
      </c>
      <c r="K194" s="1199">
        <f t="shared" si="259"/>
        <v>0</v>
      </c>
      <c r="L194" s="1200">
        <f t="shared" si="259"/>
        <v>0</v>
      </c>
      <c r="M194" s="1198">
        <f t="shared" si="259"/>
        <v>0</v>
      </c>
      <c r="N194" s="1199">
        <f t="shared" si="259"/>
        <v>0</v>
      </c>
      <c r="O194" s="1200">
        <f t="shared" si="259"/>
        <v>0</v>
      </c>
      <c r="P194" s="1201"/>
    </row>
    <row r="195" spans="1:16" x14ac:dyDescent="0.25">
      <c r="A195" s="176">
        <v>5000</v>
      </c>
      <c r="B195" s="176" t="s">
        <v>212</v>
      </c>
      <c r="C195" s="177">
        <f t="shared" si="193"/>
        <v>29354</v>
      </c>
      <c r="D195" s="178">
        <f>D196+D204</f>
        <v>34311</v>
      </c>
      <c r="E195" s="179">
        <f t="shared" ref="E195:F195" si="260">E196+E204</f>
        <v>-4957</v>
      </c>
      <c r="F195" s="180">
        <f t="shared" si="260"/>
        <v>29354</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423">
        <v>5110</v>
      </c>
      <c r="B197" s="81" t="s">
        <v>214</v>
      </c>
      <c r="C197" s="82">
        <f t="shared" si="193"/>
        <v>0</v>
      </c>
      <c r="D197" s="196">
        <v>0</v>
      </c>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29354</v>
      </c>
      <c r="D204" s="183">
        <f>D205+D215+D216+D225+D226+D227+D229</f>
        <v>34311</v>
      </c>
      <c r="E204" s="184">
        <f t="shared" ref="E204:F204" si="276">E205+E215+E216+E225+E226+E227+E229</f>
        <v>-4957</v>
      </c>
      <c r="F204" s="72">
        <f t="shared" si="276"/>
        <v>29354</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1616</v>
      </c>
      <c r="D216" s="189">
        <f>SUM(D217:D224)</f>
        <v>2695</v>
      </c>
      <c r="E216" s="190">
        <f t="shared" ref="E216:F216" si="289">SUM(E217:E224)</f>
        <v>-1079</v>
      </c>
      <c r="F216" s="55">
        <f t="shared" si="289"/>
        <v>1616</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1616</v>
      </c>
      <c r="D224" s="194">
        <v>2695</v>
      </c>
      <c r="E224" s="198">
        <v>-1079</v>
      </c>
      <c r="F224" s="55">
        <f t="shared" si="293"/>
        <v>1616</v>
      </c>
      <c r="G224" s="53"/>
      <c r="H224" s="54"/>
      <c r="I224" s="55">
        <f t="shared" si="294"/>
        <v>0</v>
      </c>
      <c r="J224" s="53"/>
      <c r="K224" s="54"/>
      <c r="L224" s="55">
        <f t="shared" si="295"/>
        <v>0</v>
      </c>
      <c r="M224" s="53"/>
      <c r="N224" s="54"/>
      <c r="O224" s="55">
        <f t="shared" si="296"/>
        <v>0</v>
      </c>
      <c r="P224" s="57"/>
    </row>
    <row r="225" spans="1:16" ht="24" customHeight="1" x14ac:dyDescent="0.25">
      <c r="A225" s="188">
        <v>5240</v>
      </c>
      <c r="B225" s="88" t="s">
        <v>242</v>
      </c>
      <c r="C225" s="89">
        <f t="shared" si="288"/>
        <v>27738</v>
      </c>
      <c r="D225" s="194">
        <v>31616</v>
      </c>
      <c r="E225" s="198">
        <f>-3645-233</f>
        <v>-3878</v>
      </c>
      <c r="F225" s="55">
        <f t="shared" si="293"/>
        <v>27738</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42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2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42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42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42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2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11086</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11086</v>
      </c>
      <c r="L286" s="55">
        <f t="shared" si="383"/>
        <v>11086</v>
      </c>
      <c r="M286" s="189">
        <f>SUM(M287:M288)</f>
        <v>0</v>
      </c>
      <c r="N286" s="190">
        <f t="shared" ref="N286:O286" si="384">SUM(N287:N288)</f>
        <v>0</v>
      </c>
      <c r="O286" s="55">
        <f t="shared" si="384"/>
        <v>0</v>
      </c>
      <c r="P286" s="57"/>
    </row>
    <row r="287" spans="1:16" ht="12" customHeight="1" x14ac:dyDescent="0.25">
      <c r="A287" s="199" t="s">
        <v>304</v>
      </c>
      <c r="B287" s="51" t="s">
        <v>305</v>
      </c>
      <c r="C287" s="89">
        <f t="shared" si="371"/>
        <v>11086</v>
      </c>
      <c r="D287" s="194">
        <v>0</v>
      </c>
      <c r="E287" s="195"/>
      <c r="F287" s="55">
        <f t="shared" ref="F287:F288" si="385">D287+E287</f>
        <v>0</v>
      </c>
      <c r="G287" s="53"/>
      <c r="H287" s="54"/>
      <c r="I287" s="55">
        <f t="shared" ref="I287:I288" si="386">G287+H287</f>
        <v>0</v>
      </c>
      <c r="J287" s="53"/>
      <c r="K287" s="54">
        <f>10121+965</f>
        <v>11086</v>
      </c>
      <c r="L287" s="55">
        <f t="shared" ref="L287:L288" si="387">K287+J287</f>
        <v>11086</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2282957</v>
      </c>
      <c r="D289" s="251">
        <f t="shared" ref="D289:O289" si="389">SUM(D286,D269,D230,D195,D187,D173,D75,D53,D283)</f>
        <v>2095340</v>
      </c>
      <c r="E289" s="252">
        <f t="shared" si="389"/>
        <v>-10469</v>
      </c>
      <c r="F289" s="253">
        <f t="shared" si="389"/>
        <v>2084871</v>
      </c>
      <c r="G289" s="251">
        <f t="shared" si="389"/>
        <v>187000</v>
      </c>
      <c r="H289" s="252">
        <f t="shared" si="389"/>
        <v>0</v>
      </c>
      <c r="I289" s="253">
        <f t="shared" si="389"/>
        <v>187000</v>
      </c>
      <c r="J289" s="251">
        <f t="shared" si="389"/>
        <v>5896</v>
      </c>
      <c r="K289" s="252">
        <f t="shared" si="389"/>
        <v>5190</v>
      </c>
      <c r="L289" s="253">
        <f t="shared" si="389"/>
        <v>11086</v>
      </c>
      <c r="M289" s="251">
        <f t="shared" si="389"/>
        <v>0</v>
      </c>
      <c r="N289" s="252">
        <f t="shared" si="389"/>
        <v>0</v>
      </c>
      <c r="O289" s="253">
        <f t="shared" si="389"/>
        <v>0</v>
      </c>
      <c r="P289" s="254"/>
    </row>
    <row r="290" spans="1:16" s="28" customFormat="1" ht="13.5" thickTop="1" thickBot="1" x14ac:dyDescent="0.3">
      <c r="A290" s="1945" t="s">
        <v>309</v>
      </c>
      <c r="B290" s="1946"/>
      <c r="C290" s="255">
        <f t="shared" si="371"/>
        <v>6247</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-4839</v>
      </c>
      <c r="K290" s="257">
        <f t="shared" ref="K290:L290" si="392">(K26+K43)-K51</f>
        <v>11086</v>
      </c>
      <c r="L290" s="258">
        <f t="shared" si="392"/>
        <v>6247</v>
      </c>
      <c r="M290" s="256">
        <f>M45-M51</f>
        <v>0</v>
      </c>
      <c r="N290" s="257">
        <f t="shared" ref="N290:O290" si="393">N45-N51</f>
        <v>0</v>
      </c>
      <c r="O290" s="258">
        <f t="shared" si="393"/>
        <v>0</v>
      </c>
      <c r="P290" s="259"/>
    </row>
    <row r="291" spans="1:16" s="28" customFormat="1" ht="12.75" thickTop="1" x14ac:dyDescent="0.25">
      <c r="A291" s="1947" t="s">
        <v>310</v>
      </c>
      <c r="B291" s="1948"/>
      <c r="C291" s="260">
        <f t="shared" si="371"/>
        <v>-6247</v>
      </c>
      <c r="D291" s="261">
        <f t="shared" ref="D291:O291" si="394">SUM(D292,D293)-D300+D301</f>
        <v>0</v>
      </c>
      <c r="E291" s="262">
        <f t="shared" si="394"/>
        <v>0</v>
      </c>
      <c r="F291" s="263">
        <f t="shared" si="394"/>
        <v>0</v>
      </c>
      <c r="G291" s="261">
        <f t="shared" si="394"/>
        <v>0</v>
      </c>
      <c r="H291" s="262">
        <f t="shared" si="394"/>
        <v>0</v>
      </c>
      <c r="I291" s="263">
        <f t="shared" si="394"/>
        <v>0</v>
      </c>
      <c r="J291" s="261">
        <f t="shared" si="394"/>
        <v>4839</v>
      </c>
      <c r="K291" s="262">
        <f t="shared" si="394"/>
        <v>-11086</v>
      </c>
      <c r="L291" s="263">
        <f t="shared" si="394"/>
        <v>-6247</v>
      </c>
      <c r="M291" s="261">
        <f t="shared" si="394"/>
        <v>0</v>
      </c>
      <c r="N291" s="262">
        <f t="shared" si="394"/>
        <v>0</v>
      </c>
      <c r="O291" s="263">
        <f t="shared" si="394"/>
        <v>0</v>
      </c>
      <c r="P291" s="264"/>
    </row>
    <row r="292" spans="1:16" s="28" customFormat="1" ht="12.75" thickBot="1" x14ac:dyDescent="0.3">
      <c r="A292" s="156" t="s">
        <v>311</v>
      </c>
      <c r="B292" s="156" t="s">
        <v>312</v>
      </c>
      <c r="C292" s="157">
        <f t="shared" si="371"/>
        <v>-6247</v>
      </c>
      <c r="D292" s="158">
        <f t="shared" ref="D292:O292" si="395">D21-D286</f>
        <v>0</v>
      </c>
      <c r="E292" s="159">
        <f t="shared" si="395"/>
        <v>0</v>
      </c>
      <c r="F292" s="160">
        <f t="shared" si="395"/>
        <v>0</v>
      </c>
      <c r="G292" s="158">
        <f t="shared" si="395"/>
        <v>0</v>
      </c>
      <c r="H292" s="159">
        <f t="shared" si="395"/>
        <v>0</v>
      </c>
      <c r="I292" s="160">
        <f t="shared" si="395"/>
        <v>0</v>
      </c>
      <c r="J292" s="158">
        <f t="shared" si="395"/>
        <v>4839</v>
      </c>
      <c r="K292" s="159">
        <f t="shared" si="395"/>
        <v>-11086</v>
      </c>
      <c r="L292" s="160">
        <f t="shared" si="395"/>
        <v>-6247</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eBKhLopQNGe/tVKOpHnxLWR976vwYEsqJ1enh8rJxgk8pUZ4L3c6ldRJ6G9HDZnqwLUpBzf1d0aAYu4b/E1Oxw==" saltValue="HO69wicWuNy+QH9jG/N99Q==" spinCount="100000" sheet="1" objects="1" scenarios="1" formatCells="0" formatColumns="0" formatRows="0" deleteColumns="0"/>
  <autoFilter ref="A18:P301">
    <filterColumn colId="2">
      <filters>
        <filter val="1 616"/>
        <filter val="1 760 000"/>
        <filter val="1 947 000"/>
        <filter val="11 086"/>
        <filter val="117 585"/>
        <filter val="187 000"/>
        <filter val="2 242 517"/>
        <filter val="2 271 871"/>
        <filter val="2 282 957"/>
        <filter val="249 525"/>
        <filter val="27 738"/>
        <filter val="29 354"/>
        <filter val="295 517"/>
        <filter val="4 839"/>
        <filter val="40 654"/>
        <filter val="45 992"/>
        <filter val="47 582"/>
        <filter val="5 338"/>
        <filter val="6 247"/>
        <filter val="-6 247"/>
        <filter val="84 358"/>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9.pielikums Jūrmalas pilsētas domes
2019.gada 29.augusta saistošajiem noteikumiem Nr.31
(protokols Nr.12, 20.punkts)
 </firstHeader>
    <firstFooter>&amp;L&amp;9&amp;D; &amp;T&amp;R&amp;9&amp;P (&amp;N)</first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X163"/>
  <sheetViews>
    <sheetView view="pageLayout" zoomScaleNormal="100" workbookViewId="0">
      <selection activeCell="J5" sqref="J5"/>
    </sheetView>
  </sheetViews>
  <sheetFormatPr defaultColWidth="9.140625" defaultRowHeight="12" outlineLevelCol="1" x14ac:dyDescent="0.2"/>
  <cols>
    <col min="1" max="1" width="6.140625" style="1020" customWidth="1"/>
    <col min="2" max="2" width="19" style="1020" customWidth="1"/>
    <col min="3" max="3" width="28.42578125" style="1020" customWidth="1"/>
    <col min="4" max="4" width="12.140625" style="1020" customWidth="1"/>
    <col min="5" max="6" width="13.28515625" style="1020" hidden="1" customWidth="1" outlineLevel="1"/>
    <col min="7" max="7" width="15.140625" style="1020" customWidth="1" collapsed="1"/>
    <col min="8" max="8" width="44.7109375" style="1020" hidden="1" customWidth="1" outlineLevel="1"/>
    <col min="9" max="9" width="26.140625" style="1020" customWidth="1" collapsed="1"/>
    <col min="10" max="16384" width="9.140625" style="1020"/>
  </cols>
  <sheetData>
    <row r="1" spans="1:9" x14ac:dyDescent="0.2">
      <c r="H1" s="1134"/>
      <c r="I1" s="1473" t="s">
        <v>1776</v>
      </c>
    </row>
    <row r="2" spans="1:9" x14ac:dyDescent="0.2">
      <c r="H2" s="1134"/>
      <c r="I2" s="1473" t="s">
        <v>494</v>
      </c>
    </row>
    <row r="3" spans="1:9" x14ac:dyDescent="0.2">
      <c r="A3" s="2058" t="s">
        <v>2</v>
      </c>
      <c r="B3" s="2058"/>
      <c r="C3" s="1437" t="s">
        <v>3</v>
      </c>
      <c r="D3" s="2031"/>
      <c r="E3" s="2031"/>
      <c r="F3" s="2031"/>
      <c r="G3" s="2031"/>
      <c r="H3" s="2031"/>
      <c r="I3" s="2031"/>
    </row>
    <row r="4" spans="1:9" x14ac:dyDescent="0.2">
      <c r="A4" s="2058" t="s">
        <v>4</v>
      </c>
      <c r="B4" s="2058"/>
      <c r="C4" s="2058">
        <v>90000056357</v>
      </c>
      <c r="D4" s="2058"/>
      <c r="E4" s="2058"/>
      <c r="F4" s="2058"/>
      <c r="G4" s="2058"/>
      <c r="H4" s="2058"/>
      <c r="I4" s="2058"/>
    </row>
    <row r="5" spans="1:9" ht="15.75" x14ac:dyDescent="0.2">
      <c r="A5" s="2064" t="s">
        <v>496</v>
      </c>
      <c r="B5" s="2064"/>
      <c r="C5" s="2064"/>
      <c r="D5" s="2064"/>
      <c r="E5" s="2064"/>
      <c r="F5" s="2064"/>
      <c r="G5" s="2064"/>
      <c r="H5" s="2064"/>
      <c r="I5" s="2064"/>
    </row>
    <row r="6" spans="1:9" ht="15.75" x14ac:dyDescent="0.25">
      <c r="A6" s="1438"/>
      <c r="B6" s="1438"/>
      <c r="C6" s="1438"/>
      <c r="D6" s="1438"/>
      <c r="E6" s="1438"/>
      <c r="F6" s="1438"/>
      <c r="G6" s="1438"/>
      <c r="H6" s="1438"/>
      <c r="I6" s="1438"/>
    </row>
    <row r="7" spans="1:9" ht="15.75" x14ac:dyDescent="0.25">
      <c r="A7" s="2058" t="s">
        <v>546</v>
      </c>
      <c r="B7" s="2058"/>
      <c r="C7" s="1439" t="s">
        <v>1777</v>
      </c>
      <c r="D7" s="1439"/>
      <c r="E7" s="1439"/>
      <c r="F7" s="1439"/>
      <c r="G7" s="1439"/>
      <c r="H7" s="1439"/>
      <c r="I7" s="1439"/>
    </row>
    <row r="8" spans="1:9" ht="12" customHeight="1" x14ac:dyDescent="0.2">
      <c r="A8" s="2058" t="s">
        <v>499</v>
      </c>
      <c r="B8" s="2058"/>
      <c r="C8" s="1437" t="s">
        <v>1269</v>
      </c>
      <c r="D8" s="1437"/>
      <c r="E8" s="1437"/>
      <c r="F8" s="1437"/>
      <c r="G8" s="1437"/>
      <c r="H8" s="1437"/>
      <c r="I8" s="1437"/>
    </row>
    <row r="9" spans="1:9" x14ac:dyDescent="0.2">
      <c r="A9" s="2058" t="s">
        <v>500</v>
      </c>
      <c r="B9" s="2058"/>
      <c r="C9" s="1440" t="s">
        <v>9</v>
      </c>
      <c r="D9" s="1441"/>
      <c r="E9" s="1441"/>
      <c r="F9" s="1441"/>
      <c r="G9" s="1441"/>
      <c r="H9" s="1441"/>
      <c r="I9" s="1441"/>
    </row>
    <row r="10" spans="1:9" ht="36" x14ac:dyDescent="0.2">
      <c r="A10" s="1442" t="s">
        <v>501</v>
      </c>
      <c r="B10" s="2065" t="s">
        <v>502</v>
      </c>
      <c r="C10" s="2065"/>
      <c r="D10" s="1223" t="s">
        <v>503</v>
      </c>
      <c r="E10" s="1223" t="s">
        <v>504</v>
      </c>
      <c r="F10" s="1443" t="s">
        <v>505</v>
      </c>
      <c r="G10" s="1443" t="s">
        <v>506</v>
      </c>
      <c r="H10" s="1443" t="s">
        <v>36</v>
      </c>
      <c r="I10" s="1223" t="s">
        <v>507</v>
      </c>
    </row>
    <row r="11" spans="1:9" x14ac:dyDescent="0.2">
      <c r="A11" s="2056" t="s">
        <v>549</v>
      </c>
      <c r="B11" s="2056"/>
      <c r="C11" s="2056"/>
      <c r="D11" s="976"/>
      <c r="E11" s="976">
        <f>SUM(E12:E16)</f>
        <v>382323</v>
      </c>
      <c r="F11" s="976">
        <f>SUM(F12:F16)</f>
        <v>0</v>
      </c>
      <c r="G11" s="976">
        <f>SUM(G12:G16)</f>
        <v>382323</v>
      </c>
      <c r="H11" s="976"/>
      <c r="I11" s="1444"/>
    </row>
    <row r="12" spans="1:9" ht="20.25" customHeight="1" x14ac:dyDescent="0.2">
      <c r="A12" s="2059">
        <v>1</v>
      </c>
      <c r="B12" s="2050" t="s">
        <v>1778</v>
      </c>
      <c r="C12" s="2050"/>
      <c r="D12" s="1445">
        <v>5240</v>
      </c>
      <c r="E12" s="756">
        <v>224395</v>
      </c>
      <c r="F12" s="960"/>
      <c r="G12" s="756">
        <f>E12+F12</f>
        <v>224395</v>
      </c>
      <c r="H12" s="756"/>
      <c r="I12" s="2060" t="s">
        <v>1779</v>
      </c>
    </row>
    <row r="13" spans="1:9" ht="20.25" customHeight="1" x14ac:dyDescent="0.2">
      <c r="A13" s="2059"/>
      <c r="B13" s="2050"/>
      <c r="C13" s="2050"/>
      <c r="D13" s="959">
        <v>5250</v>
      </c>
      <c r="E13" s="756">
        <v>106220</v>
      </c>
      <c r="F13" s="960"/>
      <c r="G13" s="756">
        <f t="shared" ref="G13:G16" si="0">E13+F13</f>
        <v>106220</v>
      </c>
      <c r="H13" s="756"/>
      <c r="I13" s="2060"/>
    </row>
    <row r="14" spans="1:9" ht="36" customHeight="1" x14ac:dyDescent="0.2">
      <c r="A14" s="1446">
        <v>2</v>
      </c>
      <c r="B14" s="2057" t="s">
        <v>1780</v>
      </c>
      <c r="C14" s="2057"/>
      <c r="D14" s="985">
        <v>5240</v>
      </c>
      <c r="E14" s="986">
        <v>8228</v>
      </c>
      <c r="F14" s="1447"/>
      <c r="G14" s="756">
        <f t="shared" si="0"/>
        <v>8228</v>
      </c>
      <c r="H14" s="986"/>
      <c r="I14" s="989" t="s">
        <v>1781</v>
      </c>
    </row>
    <row r="15" spans="1:9" ht="18" customHeight="1" x14ac:dyDescent="0.2">
      <c r="A15" s="1224">
        <v>3</v>
      </c>
      <c r="B15" s="2061" t="s">
        <v>1782</v>
      </c>
      <c r="C15" s="2061"/>
      <c r="D15" s="601">
        <v>5240</v>
      </c>
      <c r="E15" s="563">
        <v>0</v>
      </c>
      <c r="F15" s="763"/>
      <c r="G15" s="756">
        <f t="shared" si="0"/>
        <v>0</v>
      </c>
      <c r="H15" s="563"/>
      <c r="I15" s="1222" t="s">
        <v>1783</v>
      </c>
    </row>
    <row r="16" spans="1:9" ht="27" customHeight="1" x14ac:dyDescent="0.2">
      <c r="A16" s="1448">
        <v>4</v>
      </c>
      <c r="B16" s="2062" t="s">
        <v>1784</v>
      </c>
      <c r="C16" s="2063"/>
      <c r="D16" s="601">
        <v>5250</v>
      </c>
      <c r="E16" s="563">
        <v>43480</v>
      </c>
      <c r="F16" s="563"/>
      <c r="G16" s="756">
        <f t="shared" si="0"/>
        <v>43480</v>
      </c>
      <c r="H16" s="563"/>
      <c r="I16" s="989" t="s">
        <v>1785</v>
      </c>
    </row>
    <row r="17" spans="1:9" x14ac:dyDescent="0.2">
      <c r="A17" s="1449"/>
      <c r="B17" s="1450"/>
      <c r="C17" s="1450"/>
      <c r="D17" s="1451"/>
      <c r="E17" s="1452"/>
      <c r="F17" s="1452"/>
      <c r="G17" s="1452"/>
      <c r="H17" s="1452"/>
      <c r="I17" s="1453"/>
    </row>
    <row r="18" spans="1:9" x14ac:dyDescent="0.2">
      <c r="A18" s="2053" t="s">
        <v>499</v>
      </c>
      <c r="B18" s="2053"/>
      <c r="C18" s="2053" t="s">
        <v>1290</v>
      </c>
      <c r="D18" s="2053"/>
      <c r="E18" s="2053"/>
      <c r="F18" s="2053"/>
      <c r="G18" s="2053"/>
      <c r="H18" s="2053"/>
      <c r="I18" s="2053"/>
    </row>
    <row r="19" spans="1:9" x14ac:dyDescent="0.2">
      <c r="A19" s="2054" t="s">
        <v>500</v>
      </c>
      <c r="B19" s="2054"/>
      <c r="C19" s="1454" t="s">
        <v>731</v>
      </c>
      <c r="D19" s="1455"/>
      <c r="E19" s="1455"/>
      <c r="F19" s="1455"/>
      <c r="G19" s="1455"/>
      <c r="H19" s="1455"/>
      <c r="I19" s="1455"/>
    </row>
    <row r="20" spans="1:9" ht="36" x14ac:dyDescent="0.2">
      <c r="A20" s="1223" t="s">
        <v>501</v>
      </c>
      <c r="B20" s="2055" t="s">
        <v>502</v>
      </c>
      <c r="C20" s="2055"/>
      <c r="D20" s="1223" t="s">
        <v>503</v>
      </c>
      <c r="E20" s="1223" t="s">
        <v>504</v>
      </c>
      <c r="F20" s="1443" t="s">
        <v>505</v>
      </c>
      <c r="G20" s="1443" t="s">
        <v>506</v>
      </c>
      <c r="H20" s="1443" t="s">
        <v>36</v>
      </c>
      <c r="I20" s="1223" t="s">
        <v>507</v>
      </c>
    </row>
    <row r="21" spans="1:9" x14ac:dyDescent="0.2">
      <c r="A21" s="2056" t="s">
        <v>549</v>
      </c>
      <c r="B21" s="2056"/>
      <c r="C21" s="2056"/>
      <c r="D21" s="976"/>
      <c r="E21" s="976">
        <f>SUM(E22:E23)</f>
        <v>547385</v>
      </c>
      <c r="F21" s="976">
        <f t="shared" ref="F21:G21" si="1">SUM(F22:F23)</f>
        <v>0</v>
      </c>
      <c r="G21" s="976">
        <f t="shared" si="1"/>
        <v>547385</v>
      </c>
      <c r="H21" s="976"/>
      <c r="I21" s="998"/>
    </row>
    <row r="22" spans="1:9" ht="26.25" customHeight="1" x14ac:dyDescent="0.2">
      <c r="A22" s="1224">
        <v>1</v>
      </c>
      <c r="B22" s="2050" t="s">
        <v>1786</v>
      </c>
      <c r="C22" s="2050"/>
      <c r="D22" s="959">
        <v>5240</v>
      </c>
      <c r="E22" s="756">
        <v>271840</v>
      </c>
      <c r="F22" s="960"/>
      <c r="G22" s="756">
        <f>E22+F22</f>
        <v>271840</v>
      </c>
      <c r="H22" s="756"/>
      <c r="I22" s="1218" t="s">
        <v>1787</v>
      </c>
    </row>
    <row r="23" spans="1:9" ht="51" customHeight="1" x14ac:dyDescent="0.2">
      <c r="A23" s="1224">
        <v>2</v>
      </c>
      <c r="B23" s="2050" t="s">
        <v>1788</v>
      </c>
      <c r="C23" s="2050"/>
      <c r="D23" s="959">
        <v>5240</v>
      </c>
      <c r="E23" s="756">
        <v>275545</v>
      </c>
      <c r="F23" s="756"/>
      <c r="G23" s="756">
        <f t="shared" ref="G23" si="2">E23+F23</f>
        <v>275545</v>
      </c>
      <c r="H23" s="756"/>
      <c r="I23" s="1218" t="s">
        <v>1789</v>
      </c>
    </row>
    <row r="24" spans="1:9" x14ac:dyDescent="0.2">
      <c r="A24" s="1028"/>
      <c r="B24" s="1027"/>
      <c r="C24" s="1027"/>
      <c r="D24" s="1456"/>
      <c r="E24" s="1457"/>
      <c r="F24" s="1457"/>
      <c r="G24" s="1457"/>
      <c r="H24" s="1457"/>
      <c r="I24" s="1208"/>
    </row>
    <row r="25" spans="1:9" x14ac:dyDescent="0.2">
      <c r="A25" s="2053" t="s">
        <v>499</v>
      </c>
      <c r="B25" s="2053"/>
      <c r="C25" s="970" t="s">
        <v>1309</v>
      </c>
      <c r="D25" s="969"/>
      <c r="E25" s="970"/>
      <c r="F25" s="970"/>
      <c r="G25" s="970"/>
      <c r="H25" s="970"/>
      <c r="I25" s="970"/>
    </row>
    <row r="26" spans="1:9" x14ac:dyDescent="0.2">
      <c r="A26" s="2054" t="s">
        <v>500</v>
      </c>
      <c r="B26" s="2054"/>
      <c r="C26" s="1454" t="s">
        <v>1310</v>
      </c>
      <c r="D26" s="1458"/>
      <c r="E26" s="1459"/>
      <c r="F26" s="1459"/>
      <c r="G26" s="1459"/>
      <c r="H26" s="1459"/>
      <c r="I26" s="1459"/>
    </row>
    <row r="27" spans="1:9" ht="36" x14ac:dyDescent="0.2">
      <c r="A27" s="1223" t="s">
        <v>501</v>
      </c>
      <c r="B27" s="2055" t="s">
        <v>502</v>
      </c>
      <c r="C27" s="2055"/>
      <c r="D27" s="1223" t="s">
        <v>503</v>
      </c>
      <c r="E27" s="1223" t="s">
        <v>504</v>
      </c>
      <c r="F27" s="1443" t="s">
        <v>505</v>
      </c>
      <c r="G27" s="1443" t="s">
        <v>506</v>
      </c>
      <c r="H27" s="1443" t="s">
        <v>36</v>
      </c>
      <c r="I27" s="1223" t="s">
        <v>507</v>
      </c>
    </row>
    <row r="28" spans="1:9" x14ac:dyDescent="0.2">
      <c r="A28" s="2056" t="s">
        <v>549</v>
      </c>
      <c r="B28" s="2056"/>
      <c r="C28" s="2056"/>
      <c r="D28" s="998"/>
      <c r="E28" s="976">
        <f>SUM(E29:E29)</f>
        <v>44573</v>
      </c>
      <c r="F28" s="976">
        <f t="shared" ref="F28:G28" si="3">SUM(F29:F29)</f>
        <v>2915</v>
      </c>
      <c r="G28" s="976">
        <f t="shared" si="3"/>
        <v>47488</v>
      </c>
      <c r="H28" s="976"/>
      <c r="I28" s="1218"/>
    </row>
    <row r="29" spans="1:9" ht="50.25" customHeight="1" x14ac:dyDescent="0.2">
      <c r="A29" s="1224">
        <v>1</v>
      </c>
      <c r="B29" s="2050" t="s">
        <v>1790</v>
      </c>
      <c r="C29" s="2050"/>
      <c r="D29" s="959">
        <v>5250</v>
      </c>
      <c r="E29" s="756">
        <v>44573</v>
      </c>
      <c r="F29" s="1460">
        <v>2915</v>
      </c>
      <c r="G29" s="756">
        <f>E29+F29</f>
        <v>47488</v>
      </c>
      <c r="H29" s="756" t="s">
        <v>1791</v>
      </c>
      <c r="I29" s="1218" t="s">
        <v>1871</v>
      </c>
    </row>
    <row r="30" spans="1:9" x14ac:dyDescent="0.2">
      <c r="A30" s="1028"/>
      <c r="B30" s="1027"/>
      <c r="C30" s="1027"/>
      <c r="D30" s="1456"/>
      <c r="E30" s="1457"/>
      <c r="F30" s="1457"/>
      <c r="G30" s="1457"/>
      <c r="H30" s="1457"/>
      <c r="I30" s="1208"/>
    </row>
    <row r="31" spans="1:9" x14ac:dyDescent="0.2">
      <c r="A31" s="2053" t="s">
        <v>499</v>
      </c>
      <c r="B31" s="2053"/>
      <c r="C31" s="970" t="s">
        <v>1792</v>
      </c>
      <c r="D31" s="970"/>
      <c r="E31" s="970"/>
      <c r="F31" s="970"/>
      <c r="G31" s="970"/>
      <c r="H31" s="970"/>
      <c r="I31" s="970"/>
    </row>
    <row r="32" spans="1:9" x14ac:dyDescent="0.2">
      <c r="A32" s="2054" t="s">
        <v>500</v>
      </c>
      <c r="B32" s="2054"/>
      <c r="C32" s="1454" t="s">
        <v>1793</v>
      </c>
      <c r="D32" s="1459"/>
      <c r="E32" s="1459"/>
      <c r="F32" s="1459"/>
      <c r="G32" s="1459"/>
      <c r="H32" s="1459"/>
      <c r="I32" s="1459"/>
    </row>
    <row r="33" spans="1:9" ht="36" x14ac:dyDescent="0.2">
      <c r="A33" s="1223" t="s">
        <v>501</v>
      </c>
      <c r="B33" s="2055" t="s">
        <v>502</v>
      </c>
      <c r="C33" s="2055"/>
      <c r="D33" s="1223" t="s">
        <v>503</v>
      </c>
      <c r="E33" s="1223" t="s">
        <v>504</v>
      </c>
      <c r="F33" s="1443" t="s">
        <v>505</v>
      </c>
      <c r="G33" s="1443" t="s">
        <v>506</v>
      </c>
      <c r="H33" s="1443" t="s">
        <v>36</v>
      </c>
      <c r="I33" s="1223" t="s">
        <v>507</v>
      </c>
    </row>
    <row r="34" spans="1:9" x14ac:dyDescent="0.2">
      <c r="A34" s="2056" t="s">
        <v>549</v>
      </c>
      <c r="B34" s="2056"/>
      <c r="C34" s="2056"/>
      <c r="D34" s="998"/>
      <c r="E34" s="976">
        <f>SUM(E35:E35)</f>
        <v>15161</v>
      </c>
      <c r="F34" s="976">
        <f t="shared" ref="F34:G34" si="4">SUM(F35:F35)</f>
        <v>0</v>
      </c>
      <c r="G34" s="976">
        <f t="shared" si="4"/>
        <v>15161</v>
      </c>
      <c r="H34" s="976"/>
      <c r="I34" s="1218"/>
    </row>
    <row r="35" spans="1:9" ht="38.25" customHeight="1" x14ac:dyDescent="0.2">
      <c r="A35" s="1224">
        <v>1</v>
      </c>
      <c r="B35" s="2050" t="s">
        <v>1794</v>
      </c>
      <c r="C35" s="2050"/>
      <c r="D35" s="959">
        <v>5250</v>
      </c>
      <c r="E35" s="756">
        <v>15161</v>
      </c>
      <c r="F35" s="756"/>
      <c r="G35" s="756">
        <f>E35+F35</f>
        <v>15161</v>
      </c>
      <c r="H35" s="756"/>
      <c r="I35" s="1218" t="s">
        <v>1872</v>
      </c>
    </row>
    <row r="36" spans="1:9" x14ac:dyDescent="0.2">
      <c r="A36" s="1449"/>
      <c r="B36" s="1450"/>
      <c r="C36" s="1450"/>
      <c r="D36" s="1461"/>
      <c r="E36" s="1452"/>
      <c r="F36" s="1452"/>
      <c r="G36" s="1452"/>
      <c r="H36" s="1452"/>
      <c r="I36" s="1453"/>
    </row>
    <row r="37" spans="1:9" x14ac:dyDescent="0.2">
      <c r="A37" s="2058" t="s">
        <v>499</v>
      </c>
      <c r="B37" s="2058"/>
      <c r="C37" s="1437" t="s">
        <v>1314</v>
      </c>
      <c r="D37" s="1462"/>
      <c r="E37" s="1463"/>
      <c r="F37" s="1463"/>
      <c r="G37" s="1463"/>
      <c r="H37" s="1463"/>
      <c r="I37" s="1463"/>
    </row>
    <row r="38" spans="1:9" x14ac:dyDescent="0.2">
      <c r="A38" s="2058" t="s">
        <v>500</v>
      </c>
      <c r="B38" s="2058"/>
      <c r="C38" s="1440" t="s">
        <v>952</v>
      </c>
      <c r="D38" s="1464"/>
      <c r="E38" s="1441"/>
      <c r="F38" s="1441"/>
      <c r="G38" s="1441"/>
      <c r="H38" s="1441"/>
      <c r="I38" s="1441"/>
    </row>
    <row r="39" spans="1:9" ht="36" x14ac:dyDescent="0.2">
      <c r="A39" s="1223" t="s">
        <v>501</v>
      </c>
      <c r="B39" s="2055" t="s">
        <v>502</v>
      </c>
      <c r="C39" s="2055"/>
      <c r="D39" s="1223" t="s">
        <v>503</v>
      </c>
      <c r="E39" s="1223" t="s">
        <v>504</v>
      </c>
      <c r="F39" s="1443" t="s">
        <v>505</v>
      </c>
      <c r="G39" s="1443" t="s">
        <v>506</v>
      </c>
      <c r="H39" s="1443" t="s">
        <v>36</v>
      </c>
      <c r="I39" s="1223" t="s">
        <v>507</v>
      </c>
    </row>
    <row r="40" spans="1:9" x14ac:dyDescent="0.2">
      <c r="A40" s="2056" t="s">
        <v>549</v>
      </c>
      <c r="B40" s="2056"/>
      <c r="C40" s="2056"/>
      <c r="D40" s="998"/>
      <c r="E40" s="976">
        <f>SUM(E41:E43)</f>
        <v>82166</v>
      </c>
      <c r="F40" s="976">
        <f t="shared" ref="F40:G40" si="5">SUM(F41:F43)</f>
        <v>0</v>
      </c>
      <c r="G40" s="976">
        <f t="shared" si="5"/>
        <v>82166</v>
      </c>
      <c r="H40" s="976"/>
      <c r="I40" s="1218"/>
    </row>
    <row r="41" spans="1:9" ht="18.75" customHeight="1" x14ac:dyDescent="0.2">
      <c r="A41" s="1223">
        <v>1</v>
      </c>
      <c r="B41" s="2050" t="s">
        <v>1300</v>
      </c>
      <c r="C41" s="2050"/>
      <c r="D41" s="959">
        <v>2241</v>
      </c>
      <c r="E41" s="976"/>
      <c r="F41" s="976"/>
      <c r="G41" s="976"/>
      <c r="H41" s="976"/>
      <c r="I41" s="1221" t="s">
        <v>1795</v>
      </c>
    </row>
    <row r="42" spans="1:9" ht="27.75" customHeight="1" x14ac:dyDescent="0.2">
      <c r="A42" s="1224">
        <v>2</v>
      </c>
      <c r="B42" s="2050" t="s">
        <v>1796</v>
      </c>
      <c r="C42" s="2050"/>
      <c r="D42" s="959">
        <v>5250</v>
      </c>
      <c r="E42" s="756">
        <v>60621</v>
      </c>
      <c r="F42" s="960"/>
      <c r="G42" s="756">
        <f>E42+F42</f>
        <v>60621</v>
      </c>
      <c r="H42" s="756"/>
      <c r="I42" s="1218" t="s">
        <v>1873</v>
      </c>
    </row>
    <row r="43" spans="1:9" ht="27.75" customHeight="1" x14ac:dyDescent="0.2">
      <c r="A43" s="1223">
        <v>3</v>
      </c>
      <c r="B43" s="2050" t="s">
        <v>1797</v>
      </c>
      <c r="C43" s="2050"/>
      <c r="D43" s="959">
        <v>5250</v>
      </c>
      <c r="E43" s="1005">
        <v>21545</v>
      </c>
      <c r="F43" s="1005"/>
      <c r="G43" s="756">
        <f t="shared" ref="G43" si="6">E43+F43</f>
        <v>21545</v>
      </c>
      <c r="H43" s="1005"/>
      <c r="I43" s="1221" t="s">
        <v>1874</v>
      </c>
    </row>
    <row r="44" spans="1:9" x14ac:dyDescent="0.2">
      <c r="A44" s="1028"/>
      <c r="B44" s="1027"/>
      <c r="C44" s="1027"/>
      <c r="D44" s="1465"/>
      <c r="E44" s="981"/>
      <c r="F44" s="981"/>
      <c r="G44" s="981"/>
      <c r="H44" s="981"/>
      <c r="I44" s="1457"/>
    </row>
    <row r="45" spans="1:9" x14ac:dyDescent="0.2">
      <c r="A45" s="2058" t="s">
        <v>499</v>
      </c>
      <c r="B45" s="2058"/>
      <c r="C45" s="1437" t="s">
        <v>1325</v>
      </c>
      <c r="D45" s="1462"/>
      <c r="E45" s="1437"/>
      <c r="F45" s="1437"/>
      <c r="G45" s="1437"/>
      <c r="H45" s="1437"/>
    </row>
    <row r="46" spans="1:9" x14ac:dyDescent="0.2">
      <c r="A46" s="2058" t="s">
        <v>500</v>
      </c>
      <c r="B46" s="2058"/>
      <c r="C46" s="1440" t="s">
        <v>853</v>
      </c>
      <c r="D46" s="1464"/>
      <c r="E46" s="1441"/>
      <c r="F46" s="1441"/>
      <c r="G46" s="1441"/>
      <c r="H46" s="1441"/>
    </row>
    <row r="47" spans="1:9" ht="36" x14ac:dyDescent="0.2">
      <c r="A47" s="1223" t="s">
        <v>501</v>
      </c>
      <c r="B47" s="2055" t="s">
        <v>502</v>
      </c>
      <c r="C47" s="2055"/>
      <c r="D47" s="1223" t="s">
        <v>503</v>
      </c>
      <c r="E47" s="1223" t="s">
        <v>504</v>
      </c>
      <c r="F47" s="1443" t="s">
        <v>505</v>
      </c>
      <c r="G47" s="1443" t="s">
        <v>506</v>
      </c>
      <c r="H47" s="1443" t="s">
        <v>36</v>
      </c>
      <c r="I47" s="1223" t="s">
        <v>507</v>
      </c>
    </row>
    <row r="48" spans="1:9" x14ac:dyDescent="0.2">
      <c r="A48" s="2056" t="s">
        <v>549</v>
      </c>
      <c r="B48" s="2056"/>
      <c r="C48" s="2056"/>
      <c r="D48" s="998"/>
      <c r="E48" s="976">
        <f>SUM(E49:E52)</f>
        <v>199778</v>
      </c>
      <c r="F48" s="976">
        <f t="shared" ref="F48:G48" si="7">SUM(F49:F52)</f>
        <v>-1277</v>
      </c>
      <c r="G48" s="976">
        <f t="shared" si="7"/>
        <v>198501</v>
      </c>
      <c r="H48" s="976"/>
      <c r="I48" s="1218"/>
    </row>
    <row r="49" spans="1:9" ht="40.5" customHeight="1" x14ac:dyDescent="0.2">
      <c r="A49" s="1224">
        <v>1</v>
      </c>
      <c r="B49" s="2050" t="s">
        <v>1798</v>
      </c>
      <c r="C49" s="2050"/>
      <c r="D49" s="959">
        <v>5250</v>
      </c>
      <c r="E49" s="1005">
        <v>44043</v>
      </c>
      <c r="F49" s="1019">
        <v>-846</v>
      </c>
      <c r="G49" s="1005">
        <f>E49+F49</f>
        <v>43197</v>
      </c>
      <c r="H49" s="1005" t="s">
        <v>1772</v>
      </c>
      <c r="I49" s="1218" t="s">
        <v>1875</v>
      </c>
    </row>
    <row r="50" spans="1:9" ht="52.5" customHeight="1" x14ac:dyDescent="0.2">
      <c r="A50" s="1224">
        <v>2</v>
      </c>
      <c r="B50" s="2050" t="s">
        <v>1799</v>
      </c>
      <c r="C50" s="2050"/>
      <c r="D50" s="959">
        <v>5240</v>
      </c>
      <c r="E50" s="756">
        <v>134965</v>
      </c>
      <c r="F50" s="1460">
        <v>-431</v>
      </c>
      <c r="G50" s="1005">
        <f t="shared" ref="G50:G52" si="8">E50+F50</f>
        <v>134534</v>
      </c>
      <c r="H50" s="756" t="s">
        <v>1800</v>
      </c>
      <c r="I50" s="1218" t="s">
        <v>1876</v>
      </c>
    </row>
    <row r="51" spans="1:9" ht="40.5" customHeight="1" x14ac:dyDescent="0.2">
      <c r="A51" s="1224">
        <v>3</v>
      </c>
      <c r="B51" s="2050" t="s">
        <v>1801</v>
      </c>
      <c r="C51" s="2050"/>
      <c r="D51" s="959">
        <v>5250</v>
      </c>
      <c r="E51" s="756">
        <v>370</v>
      </c>
      <c r="F51" s="756"/>
      <c r="G51" s="1005">
        <f t="shared" si="8"/>
        <v>370</v>
      </c>
      <c r="H51" s="756"/>
      <c r="I51" s="1221" t="s">
        <v>1875</v>
      </c>
    </row>
    <row r="52" spans="1:9" ht="38.25" customHeight="1" x14ac:dyDescent="0.2">
      <c r="A52" s="1224">
        <v>4</v>
      </c>
      <c r="B52" s="2051" t="s">
        <v>1334</v>
      </c>
      <c r="C52" s="2052"/>
      <c r="D52" s="959">
        <v>5250</v>
      </c>
      <c r="E52" s="1466">
        <v>20400</v>
      </c>
      <c r="F52" s="1466"/>
      <c r="G52" s="1005">
        <f t="shared" si="8"/>
        <v>20400</v>
      </c>
      <c r="H52" s="1466"/>
      <c r="I52" s="1221" t="s">
        <v>1875</v>
      </c>
    </row>
    <row r="53" spans="1:9" x14ac:dyDescent="0.2">
      <c r="A53" s="1467"/>
      <c r="B53" s="1468"/>
      <c r="C53" s="1468"/>
      <c r="D53" s="1465"/>
      <c r="E53" s="981"/>
      <c r="F53" s="981"/>
      <c r="G53" s="981"/>
      <c r="H53" s="981"/>
      <c r="I53" s="967"/>
    </row>
    <row r="54" spans="1:9" x14ac:dyDescent="0.2">
      <c r="A54" s="2053" t="s">
        <v>499</v>
      </c>
      <c r="B54" s="2053"/>
      <c r="C54" s="970" t="s">
        <v>1339</v>
      </c>
      <c r="D54" s="969"/>
      <c r="E54" s="970"/>
      <c r="F54" s="970"/>
      <c r="G54" s="970"/>
      <c r="H54" s="970"/>
      <c r="I54" s="970"/>
    </row>
    <row r="55" spans="1:9" x14ac:dyDescent="0.2">
      <c r="A55" s="2054" t="s">
        <v>500</v>
      </c>
      <c r="B55" s="2054"/>
      <c r="C55" s="1454" t="s">
        <v>360</v>
      </c>
      <c r="D55" s="1458"/>
      <c r="E55" s="1459"/>
      <c r="F55" s="1459"/>
      <c r="G55" s="1459"/>
      <c r="H55" s="1459"/>
      <c r="I55" s="1459"/>
    </row>
    <row r="56" spans="1:9" ht="45.75" customHeight="1" x14ac:dyDescent="0.2">
      <c r="A56" s="1223" t="s">
        <v>501</v>
      </c>
      <c r="B56" s="2055" t="s">
        <v>502</v>
      </c>
      <c r="C56" s="2055"/>
      <c r="D56" s="1223" t="s">
        <v>503</v>
      </c>
      <c r="E56" s="1223" t="s">
        <v>504</v>
      </c>
      <c r="F56" s="1443" t="s">
        <v>505</v>
      </c>
      <c r="G56" s="1443" t="s">
        <v>506</v>
      </c>
      <c r="H56" s="1443" t="s">
        <v>36</v>
      </c>
      <c r="I56" s="1223" t="s">
        <v>507</v>
      </c>
    </row>
    <row r="57" spans="1:9" x14ac:dyDescent="0.2">
      <c r="A57" s="2056" t="s">
        <v>549</v>
      </c>
      <c r="B57" s="2056"/>
      <c r="C57" s="2056"/>
      <c r="D57" s="998"/>
      <c r="E57" s="976">
        <f>SUM(E58:E62)</f>
        <v>989432</v>
      </c>
      <c r="F57" s="976">
        <f t="shared" ref="F57:G57" si="9">SUM(F58:F62)</f>
        <v>-1638</v>
      </c>
      <c r="G57" s="976">
        <f t="shared" si="9"/>
        <v>987794</v>
      </c>
      <c r="H57" s="976"/>
      <c r="I57" s="1218"/>
    </row>
    <row r="58" spans="1:9" ht="43.5" customHeight="1" x14ac:dyDescent="0.2">
      <c r="A58" s="1224">
        <v>1</v>
      </c>
      <c r="B58" s="2050" t="s">
        <v>1802</v>
      </c>
      <c r="C58" s="2050"/>
      <c r="D58" s="959">
        <v>5250</v>
      </c>
      <c r="E58" s="756">
        <v>50000</v>
      </c>
      <c r="F58" s="756"/>
      <c r="G58" s="756">
        <f>E58+F58</f>
        <v>50000</v>
      </c>
      <c r="H58" s="756"/>
      <c r="I58" s="1223" t="s">
        <v>1803</v>
      </c>
    </row>
    <row r="59" spans="1:9" ht="27" customHeight="1" x14ac:dyDescent="0.2">
      <c r="A59" s="1446">
        <v>2</v>
      </c>
      <c r="B59" s="2057" t="s">
        <v>1804</v>
      </c>
      <c r="C59" s="2057"/>
      <c r="D59" s="959">
        <v>5250</v>
      </c>
      <c r="E59" s="986">
        <v>781024</v>
      </c>
      <c r="F59" s="1018">
        <v>-1638</v>
      </c>
      <c r="G59" s="756">
        <f t="shared" ref="G59:G62" si="10">E59+F59</f>
        <v>779386</v>
      </c>
      <c r="H59" s="986" t="s">
        <v>1805</v>
      </c>
      <c r="I59" s="989" t="s">
        <v>1806</v>
      </c>
    </row>
    <row r="60" spans="1:9" ht="27" customHeight="1" x14ac:dyDescent="0.2">
      <c r="A60" s="1224">
        <v>3</v>
      </c>
      <c r="B60" s="2050" t="s">
        <v>1807</v>
      </c>
      <c r="C60" s="2050"/>
      <c r="D60" s="959">
        <v>5240</v>
      </c>
      <c r="E60" s="756">
        <v>60870</v>
      </c>
      <c r="F60" s="756"/>
      <c r="G60" s="756">
        <f t="shared" si="10"/>
        <v>60870</v>
      </c>
      <c r="H60" s="756"/>
      <c r="I60" s="989" t="s">
        <v>1808</v>
      </c>
    </row>
    <row r="61" spans="1:9" ht="27" customHeight="1" x14ac:dyDescent="0.2">
      <c r="A61" s="1224">
        <v>4</v>
      </c>
      <c r="B61" s="2050" t="s">
        <v>1809</v>
      </c>
      <c r="C61" s="2050"/>
      <c r="D61" s="959">
        <v>5240</v>
      </c>
      <c r="E61" s="756">
        <v>48769</v>
      </c>
      <c r="F61" s="756"/>
      <c r="G61" s="756">
        <f t="shared" si="10"/>
        <v>48769</v>
      </c>
      <c r="H61" s="756"/>
      <c r="I61" s="989" t="s">
        <v>1810</v>
      </c>
    </row>
    <row r="62" spans="1:9" ht="27" customHeight="1" x14ac:dyDescent="0.2">
      <c r="A62" s="1446">
        <v>5</v>
      </c>
      <c r="B62" s="2057" t="s">
        <v>1811</v>
      </c>
      <c r="C62" s="2057"/>
      <c r="D62" s="985">
        <v>5240</v>
      </c>
      <c r="E62" s="986">
        <v>48769</v>
      </c>
      <c r="F62" s="986"/>
      <c r="G62" s="756">
        <f t="shared" si="10"/>
        <v>48769</v>
      </c>
      <c r="H62" s="986"/>
      <c r="I62" s="989" t="s">
        <v>1812</v>
      </c>
    </row>
    <row r="63" spans="1:9" x14ac:dyDescent="0.2">
      <c r="A63" s="1469"/>
      <c r="B63" s="1469"/>
      <c r="C63" s="1469"/>
      <c r="D63" s="1469"/>
      <c r="E63" s="1470"/>
      <c r="F63" s="1470"/>
      <c r="G63" s="1470"/>
      <c r="H63" s="1469"/>
      <c r="I63" s="1469"/>
    </row>
    <row r="64" spans="1:9" x14ac:dyDescent="0.2">
      <c r="A64" s="1032"/>
      <c r="B64" s="1032"/>
      <c r="C64" s="1032"/>
      <c r="D64" s="1032"/>
      <c r="E64" s="1474"/>
      <c r="F64" s="1474"/>
      <c r="G64" s="1474"/>
      <c r="H64" s="1032"/>
      <c r="I64" s="1032"/>
    </row>
    <row r="65" spans="1:9" s="401" customFormat="1" x14ac:dyDescent="0.2">
      <c r="A65" s="1035" t="s">
        <v>537</v>
      </c>
      <c r="I65" s="770"/>
    </row>
    <row r="66" spans="1:9" s="401" customFormat="1" x14ac:dyDescent="0.2">
      <c r="A66" s="1036" t="s">
        <v>1813</v>
      </c>
      <c r="I66" s="770"/>
    </row>
    <row r="67" spans="1:9" s="401" customFormat="1" x14ac:dyDescent="0.2">
      <c r="A67" s="401" t="s">
        <v>1814</v>
      </c>
      <c r="I67" s="770"/>
    </row>
    <row r="68" spans="1:9" s="401" customFormat="1" x14ac:dyDescent="0.2">
      <c r="A68" s="401" t="s">
        <v>1815</v>
      </c>
      <c r="I68" s="770"/>
    </row>
    <row r="69" spans="1:9" s="401" customFormat="1" x14ac:dyDescent="0.2">
      <c r="A69" s="401" t="s">
        <v>1816</v>
      </c>
      <c r="I69" s="770"/>
    </row>
    <row r="70" spans="1:9" s="401" customFormat="1" x14ac:dyDescent="0.2">
      <c r="A70" s="401" t="s">
        <v>1817</v>
      </c>
      <c r="I70" s="770"/>
    </row>
    <row r="71" spans="1:9" s="401" customFormat="1" x14ac:dyDescent="0.2">
      <c r="A71" s="401" t="s">
        <v>1818</v>
      </c>
      <c r="I71" s="770"/>
    </row>
    <row r="72" spans="1:9" s="401" customFormat="1" x14ac:dyDescent="0.2">
      <c r="A72" s="401" t="s">
        <v>1819</v>
      </c>
      <c r="I72" s="770"/>
    </row>
    <row r="73" spans="1:9" s="401" customFormat="1" x14ac:dyDescent="0.2">
      <c r="A73" s="401" t="s">
        <v>1820</v>
      </c>
      <c r="I73" s="770"/>
    </row>
    <row r="74" spans="1:9" s="401" customFormat="1" x14ac:dyDescent="0.2">
      <c r="A74" s="401" t="s">
        <v>1821</v>
      </c>
      <c r="I74" s="770"/>
    </row>
    <row r="75" spans="1:9" s="401" customFormat="1" x14ac:dyDescent="0.2">
      <c r="A75" s="401" t="s">
        <v>1822</v>
      </c>
      <c r="I75" s="770"/>
    </row>
    <row r="76" spans="1:9" s="401" customFormat="1" x14ac:dyDescent="0.2">
      <c r="A76" s="401" t="s">
        <v>1823</v>
      </c>
      <c r="I76" s="770"/>
    </row>
    <row r="77" spans="1:9" s="1036" customFormat="1" x14ac:dyDescent="0.2">
      <c r="A77" s="1036" t="s">
        <v>1343</v>
      </c>
      <c r="I77" s="1471"/>
    </row>
    <row r="78" spans="1:9" s="401" customFormat="1" x14ac:dyDescent="0.2">
      <c r="A78" s="401" t="s">
        <v>1824</v>
      </c>
      <c r="I78" s="770"/>
    </row>
    <row r="79" spans="1:9" s="401" customFormat="1" x14ac:dyDescent="0.2">
      <c r="A79" s="401" t="s">
        <v>1344</v>
      </c>
      <c r="I79" s="770"/>
    </row>
    <row r="80" spans="1:9" s="401" customFormat="1" x14ac:dyDescent="0.2">
      <c r="A80" s="401" t="s">
        <v>1825</v>
      </c>
      <c r="I80" s="770"/>
    </row>
    <row r="81" spans="1:9" s="401" customFormat="1" x14ac:dyDescent="0.2">
      <c r="A81" s="401" t="s">
        <v>1346</v>
      </c>
      <c r="I81" s="770"/>
    </row>
    <row r="82" spans="1:9" s="401" customFormat="1" x14ac:dyDescent="0.2">
      <c r="A82" s="401" t="s">
        <v>1348</v>
      </c>
      <c r="I82" s="770"/>
    </row>
    <row r="83" spans="1:9" s="401" customFormat="1" x14ac:dyDescent="0.2">
      <c r="A83" s="1020" t="s">
        <v>1349</v>
      </c>
      <c r="I83" s="770"/>
    </row>
    <row r="84" spans="1:9" s="401" customFormat="1" x14ac:dyDescent="0.2">
      <c r="A84" s="401" t="s">
        <v>1350</v>
      </c>
      <c r="I84" s="770"/>
    </row>
    <row r="85" spans="1:9" s="401" customFormat="1" x14ac:dyDescent="0.2">
      <c r="A85" s="401" t="s">
        <v>1351</v>
      </c>
      <c r="I85" s="770"/>
    </row>
    <row r="86" spans="1:9" s="401" customFormat="1" x14ac:dyDescent="0.2">
      <c r="A86" s="401" t="s">
        <v>1352</v>
      </c>
      <c r="I86" s="770"/>
    </row>
    <row r="87" spans="1:9" s="401" customFormat="1" x14ac:dyDescent="0.2">
      <c r="A87" s="401" t="s">
        <v>1353</v>
      </c>
      <c r="I87" s="770"/>
    </row>
    <row r="88" spans="1:9" s="401" customFormat="1" x14ac:dyDescent="0.2">
      <c r="A88" s="401" t="s">
        <v>1354</v>
      </c>
      <c r="I88" s="770"/>
    </row>
    <row r="89" spans="1:9" s="401" customFormat="1" x14ac:dyDescent="0.2">
      <c r="A89" s="401" t="s">
        <v>1355</v>
      </c>
      <c r="I89" s="770"/>
    </row>
    <row r="90" spans="1:9" s="1036" customFormat="1" x14ac:dyDescent="0.2">
      <c r="A90" s="1036" t="s">
        <v>1356</v>
      </c>
      <c r="I90" s="1471"/>
    </row>
    <row r="91" spans="1:9" s="401" customFormat="1" x14ac:dyDescent="0.2">
      <c r="A91" s="401" t="s">
        <v>1826</v>
      </c>
      <c r="I91" s="770"/>
    </row>
    <row r="92" spans="1:9" s="401" customFormat="1" x14ac:dyDescent="0.2">
      <c r="A92" s="401" t="s">
        <v>1827</v>
      </c>
      <c r="I92" s="770"/>
    </row>
    <row r="93" spans="1:9" s="401" customFormat="1" x14ac:dyDescent="0.2">
      <c r="A93" s="401" t="s">
        <v>1357</v>
      </c>
      <c r="I93" s="770"/>
    </row>
    <row r="94" spans="1:9" s="401" customFormat="1" x14ac:dyDescent="0.2">
      <c r="A94" s="401" t="s">
        <v>1828</v>
      </c>
      <c r="I94" s="770"/>
    </row>
    <row r="95" spans="1:9" s="401" customFormat="1" x14ac:dyDescent="0.2">
      <c r="A95" s="401" t="s">
        <v>1829</v>
      </c>
      <c r="I95" s="770"/>
    </row>
    <row r="96" spans="1:9" s="401" customFormat="1" x14ac:dyDescent="0.2">
      <c r="A96" s="401" t="s">
        <v>1830</v>
      </c>
      <c r="I96" s="770"/>
    </row>
    <row r="97" spans="1:9" s="401" customFormat="1" x14ac:dyDescent="0.2">
      <c r="A97" s="401" t="s">
        <v>1831</v>
      </c>
      <c r="I97" s="770"/>
    </row>
    <row r="98" spans="1:9" s="401" customFormat="1" x14ac:dyDescent="0.2">
      <c r="A98" s="401" t="s">
        <v>1832</v>
      </c>
      <c r="I98" s="770"/>
    </row>
    <row r="99" spans="1:9" s="401" customFormat="1" x14ac:dyDescent="0.2">
      <c r="A99" s="401" t="s">
        <v>1358</v>
      </c>
      <c r="I99" s="770"/>
    </row>
    <row r="100" spans="1:9" s="401" customFormat="1" x14ac:dyDescent="0.2">
      <c r="A100" s="401" t="s">
        <v>1359</v>
      </c>
      <c r="I100" s="770"/>
    </row>
    <row r="101" spans="1:9" s="401" customFormat="1" x14ac:dyDescent="0.2">
      <c r="A101" s="401" t="s">
        <v>1833</v>
      </c>
      <c r="I101" s="770"/>
    </row>
    <row r="102" spans="1:9" s="401" customFormat="1" x14ac:dyDescent="0.2">
      <c r="A102" s="401" t="s">
        <v>1834</v>
      </c>
      <c r="I102" s="770"/>
    </row>
    <row r="103" spans="1:9" s="401" customFormat="1" x14ac:dyDescent="0.2">
      <c r="A103" s="401" t="s">
        <v>1362</v>
      </c>
      <c r="I103" s="770"/>
    </row>
    <row r="104" spans="1:9" s="401" customFormat="1" x14ac:dyDescent="0.2">
      <c r="A104" s="401" t="s">
        <v>1363</v>
      </c>
      <c r="I104" s="770"/>
    </row>
    <row r="105" spans="1:9" s="401" customFormat="1" x14ac:dyDescent="0.2">
      <c r="A105" s="401" t="s">
        <v>1364</v>
      </c>
      <c r="I105" s="770"/>
    </row>
    <row r="106" spans="1:9" s="401" customFormat="1" x14ac:dyDescent="0.2">
      <c r="A106" s="401" t="s">
        <v>1365</v>
      </c>
      <c r="I106" s="770"/>
    </row>
    <row r="107" spans="1:9" s="401" customFormat="1" x14ac:dyDescent="0.2">
      <c r="A107" s="401" t="s">
        <v>1835</v>
      </c>
      <c r="I107" s="770"/>
    </row>
    <row r="108" spans="1:9" s="401" customFormat="1" x14ac:dyDescent="0.2">
      <c r="A108" s="401" t="s">
        <v>1366</v>
      </c>
      <c r="I108" s="770"/>
    </row>
    <row r="109" spans="1:9" s="401" customFormat="1" x14ac:dyDescent="0.2">
      <c r="A109" s="401" t="s">
        <v>1367</v>
      </c>
      <c r="I109" s="770"/>
    </row>
    <row r="110" spans="1:9" s="401" customFormat="1" x14ac:dyDescent="0.2">
      <c r="A110" s="401" t="s">
        <v>1836</v>
      </c>
      <c r="I110" s="770"/>
    </row>
    <row r="111" spans="1:9" s="401" customFormat="1" x14ac:dyDescent="0.2">
      <c r="A111" s="401" t="s">
        <v>1837</v>
      </c>
      <c r="I111" s="770"/>
    </row>
    <row r="112" spans="1:9" s="401" customFormat="1" x14ac:dyDescent="0.2">
      <c r="A112" s="401" t="s">
        <v>1838</v>
      </c>
      <c r="I112" s="770"/>
    </row>
    <row r="113" spans="1:24" s="401" customFormat="1" x14ac:dyDescent="0.2">
      <c r="A113" s="401" t="s">
        <v>1839</v>
      </c>
      <c r="I113" s="770"/>
    </row>
    <row r="114" spans="1:24" s="401" customFormat="1" x14ac:dyDescent="0.2">
      <c r="A114" s="401" t="s">
        <v>1368</v>
      </c>
      <c r="I114" s="770"/>
    </row>
    <row r="115" spans="1:24" s="401" customFormat="1" x14ac:dyDescent="0.2">
      <c r="A115" s="401" t="s">
        <v>1840</v>
      </c>
      <c r="I115" s="770"/>
    </row>
    <row r="116" spans="1:24" s="401" customFormat="1" x14ac:dyDescent="0.2">
      <c r="A116" s="401" t="s">
        <v>1841</v>
      </c>
      <c r="I116" s="770"/>
    </row>
    <row r="117" spans="1:24" s="401" customFormat="1" x14ac:dyDescent="0.2">
      <c r="I117" s="770"/>
    </row>
    <row r="118" spans="1:24" s="401" customFormat="1" x14ac:dyDescent="0.2">
      <c r="A118" s="401" t="s">
        <v>1842</v>
      </c>
      <c r="I118" s="770"/>
    </row>
    <row r="119" spans="1:24" s="1472" customFormat="1" x14ac:dyDescent="0.2">
      <c r="A119" s="401" t="s">
        <v>1843</v>
      </c>
      <c r="B119" s="401"/>
      <c r="C119" s="401"/>
      <c r="D119" s="401"/>
      <c r="E119" s="401"/>
      <c r="F119" s="401"/>
      <c r="G119" s="401"/>
      <c r="H119" s="401"/>
      <c r="I119" s="770"/>
      <c r="J119" s="401"/>
      <c r="K119" s="401"/>
      <c r="L119" s="401"/>
      <c r="M119" s="401"/>
      <c r="N119" s="401"/>
      <c r="O119" s="401"/>
      <c r="P119" s="401"/>
      <c r="Q119" s="401"/>
      <c r="R119" s="401"/>
      <c r="S119" s="401"/>
      <c r="T119" s="401"/>
      <c r="U119" s="401"/>
      <c r="V119" s="401"/>
      <c r="W119" s="401"/>
      <c r="X119" s="401"/>
    </row>
    <row r="120" spans="1:24" s="1472" customFormat="1" x14ac:dyDescent="0.2">
      <c r="A120" s="401" t="s">
        <v>1844</v>
      </c>
      <c r="B120" s="401"/>
      <c r="C120" s="401"/>
      <c r="D120" s="401"/>
      <c r="E120" s="401"/>
      <c r="F120" s="401"/>
      <c r="G120" s="401"/>
      <c r="H120" s="401"/>
      <c r="I120" s="770"/>
      <c r="J120" s="401"/>
      <c r="K120" s="401"/>
      <c r="L120" s="401"/>
      <c r="M120" s="401"/>
      <c r="N120" s="401"/>
      <c r="O120" s="401"/>
      <c r="P120" s="401"/>
      <c r="Q120" s="401"/>
      <c r="R120" s="401"/>
      <c r="S120" s="401"/>
      <c r="T120" s="401"/>
      <c r="U120" s="401"/>
      <c r="V120" s="401"/>
      <c r="W120" s="401"/>
      <c r="X120" s="401"/>
    </row>
    <row r="121" spans="1:24" s="1472" customFormat="1" x14ac:dyDescent="0.2">
      <c r="A121" s="401" t="s">
        <v>1845</v>
      </c>
      <c r="B121" s="401"/>
      <c r="C121" s="401"/>
      <c r="D121" s="401"/>
      <c r="E121" s="401"/>
      <c r="F121" s="401"/>
      <c r="G121" s="401"/>
      <c r="H121" s="401"/>
      <c r="I121" s="770"/>
      <c r="J121" s="401"/>
      <c r="K121" s="401"/>
      <c r="L121" s="401"/>
      <c r="M121" s="401"/>
      <c r="N121" s="401"/>
      <c r="O121" s="401"/>
      <c r="P121" s="401"/>
      <c r="Q121" s="401"/>
      <c r="R121" s="401"/>
      <c r="S121" s="401"/>
      <c r="T121" s="401"/>
      <c r="U121" s="401"/>
      <c r="V121" s="401"/>
      <c r="W121" s="401"/>
      <c r="X121" s="401"/>
    </row>
    <row r="122" spans="1:24" s="401" customFormat="1" x14ac:dyDescent="0.2">
      <c r="I122" s="770"/>
    </row>
    <row r="123" spans="1:24" s="401" customFormat="1" x14ac:dyDescent="0.2">
      <c r="A123" s="401" t="s">
        <v>1846</v>
      </c>
      <c r="I123" s="770"/>
    </row>
    <row r="124" spans="1:24" s="1472" customFormat="1" x14ac:dyDescent="0.2">
      <c r="A124" s="401" t="s">
        <v>1847</v>
      </c>
      <c r="B124" s="401"/>
      <c r="C124" s="401"/>
      <c r="D124" s="401"/>
      <c r="E124" s="401"/>
      <c r="F124" s="401"/>
      <c r="G124" s="401"/>
      <c r="H124" s="401"/>
      <c r="I124" s="770"/>
      <c r="J124" s="401"/>
      <c r="K124" s="401"/>
      <c r="L124" s="401"/>
      <c r="M124" s="401"/>
      <c r="N124" s="401"/>
      <c r="O124" s="401"/>
      <c r="P124" s="401"/>
      <c r="Q124" s="401"/>
      <c r="R124" s="401"/>
      <c r="S124" s="401"/>
      <c r="T124" s="401"/>
      <c r="U124" s="401"/>
      <c r="V124" s="401"/>
      <c r="W124" s="401"/>
      <c r="X124" s="401"/>
    </row>
    <row r="125" spans="1:24" s="1472" customFormat="1" x14ac:dyDescent="0.2">
      <c r="A125" s="401" t="s">
        <v>1848</v>
      </c>
      <c r="B125" s="401"/>
      <c r="C125" s="401"/>
      <c r="D125" s="401"/>
      <c r="E125" s="401"/>
      <c r="F125" s="401"/>
      <c r="G125" s="401"/>
      <c r="H125" s="401"/>
      <c r="I125" s="770"/>
      <c r="J125" s="401"/>
      <c r="K125" s="401"/>
      <c r="L125" s="401"/>
      <c r="M125" s="401"/>
      <c r="N125" s="401"/>
      <c r="O125" s="401"/>
      <c r="P125" s="401"/>
      <c r="Q125" s="401"/>
      <c r="R125" s="401"/>
      <c r="S125" s="401"/>
      <c r="T125" s="401"/>
      <c r="U125" s="401"/>
      <c r="V125" s="401"/>
      <c r="W125" s="401"/>
      <c r="X125" s="401"/>
    </row>
    <row r="126" spans="1:24" s="1472" customFormat="1" x14ac:dyDescent="0.2">
      <c r="A126" s="401" t="s">
        <v>1849</v>
      </c>
      <c r="B126" s="401"/>
      <c r="C126" s="401"/>
      <c r="D126" s="401"/>
      <c r="E126" s="401"/>
      <c r="F126" s="401"/>
      <c r="G126" s="401"/>
      <c r="H126" s="401"/>
      <c r="I126" s="770"/>
      <c r="J126" s="401"/>
      <c r="K126" s="401"/>
      <c r="L126" s="401"/>
      <c r="M126" s="401"/>
      <c r="N126" s="401"/>
      <c r="O126" s="401"/>
      <c r="P126" s="401"/>
      <c r="Q126" s="401"/>
      <c r="R126" s="401"/>
      <c r="S126" s="401"/>
      <c r="T126" s="401"/>
      <c r="U126" s="401"/>
      <c r="V126" s="401"/>
      <c r="W126" s="401"/>
      <c r="X126" s="401"/>
    </row>
    <row r="127" spans="1:24" s="1472" customFormat="1" x14ac:dyDescent="0.2">
      <c r="A127" s="401" t="s">
        <v>1850</v>
      </c>
      <c r="B127" s="401"/>
      <c r="C127" s="401"/>
      <c r="D127" s="401"/>
      <c r="E127" s="401"/>
      <c r="F127" s="401"/>
      <c r="G127" s="401"/>
      <c r="H127" s="401"/>
      <c r="I127" s="770"/>
      <c r="J127" s="401"/>
      <c r="K127" s="401"/>
      <c r="L127" s="401"/>
      <c r="M127" s="401"/>
      <c r="N127" s="401"/>
      <c r="O127" s="401"/>
      <c r="P127" s="401"/>
      <c r="Q127" s="401"/>
      <c r="R127" s="401"/>
      <c r="S127" s="401"/>
      <c r="T127" s="401"/>
      <c r="U127" s="401"/>
      <c r="V127" s="401"/>
      <c r="W127" s="401"/>
      <c r="X127" s="401"/>
    </row>
    <row r="128" spans="1:24" s="1472" customFormat="1" x14ac:dyDescent="0.2">
      <c r="A128" s="401" t="s">
        <v>1851</v>
      </c>
      <c r="B128" s="401"/>
      <c r="C128" s="401"/>
      <c r="D128" s="401"/>
      <c r="E128" s="401"/>
      <c r="F128" s="401"/>
      <c r="G128" s="401"/>
      <c r="H128" s="401"/>
      <c r="I128" s="770"/>
      <c r="J128" s="401"/>
      <c r="K128" s="401"/>
      <c r="L128" s="401"/>
      <c r="M128" s="401"/>
      <c r="N128" s="401"/>
      <c r="O128" s="401"/>
      <c r="P128" s="401"/>
      <c r="Q128" s="401"/>
      <c r="R128" s="401"/>
      <c r="S128" s="401"/>
      <c r="T128" s="401"/>
      <c r="U128" s="401"/>
      <c r="V128" s="401"/>
      <c r="W128" s="401"/>
      <c r="X128" s="401"/>
    </row>
    <row r="129" spans="1:24" s="401" customFormat="1" x14ac:dyDescent="0.2">
      <c r="I129" s="770"/>
    </row>
    <row r="130" spans="1:24" s="401" customFormat="1" x14ac:dyDescent="0.2">
      <c r="A130" s="401" t="s">
        <v>1852</v>
      </c>
      <c r="I130" s="770"/>
    </row>
    <row r="131" spans="1:24" s="401" customFormat="1" x14ac:dyDescent="0.2">
      <c r="A131" s="401" t="s">
        <v>1853</v>
      </c>
      <c r="I131" s="770"/>
    </row>
    <row r="132" spans="1:24" s="401" customFormat="1" x14ac:dyDescent="0.2">
      <c r="A132" s="401" t="s">
        <v>1854</v>
      </c>
      <c r="I132" s="770"/>
    </row>
    <row r="133" spans="1:24" s="401" customFormat="1" x14ac:dyDescent="0.2">
      <c r="A133" s="401" t="s">
        <v>1855</v>
      </c>
      <c r="I133" s="770"/>
    </row>
    <row r="134" spans="1:24" s="401" customFormat="1" x14ac:dyDescent="0.2">
      <c r="A134" s="401" t="s">
        <v>1856</v>
      </c>
      <c r="I134" s="770"/>
    </row>
    <row r="135" spans="1:24" s="401" customFormat="1" x14ac:dyDescent="0.2">
      <c r="A135" s="401" t="s">
        <v>1857</v>
      </c>
      <c r="I135" s="770"/>
    </row>
    <row r="136" spans="1:24" s="1472" customFormat="1" x14ac:dyDescent="0.2">
      <c r="A136" s="401" t="s">
        <v>1858</v>
      </c>
      <c r="B136" s="401"/>
      <c r="C136" s="401"/>
      <c r="D136" s="401"/>
      <c r="E136" s="401"/>
      <c r="F136" s="401"/>
      <c r="G136" s="401"/>
      <c r="H136" s="401"/>
      <c r="I136" s="770"/>
      <c r="J136" s="401"/>
      <c r="K136" s="401"/>
      <c r="L136" s="401"/>
      <c r="M136" s="401"/>
      <c r="N136" s="401"/>
      <c r="O136" s="401"/>
      <c r="P136" s="401"/>
      <c r="Q136" s="401"/>
      <c r="R136" s="401"/>
      <c r="S136" s="401"/>
      <c r="T136" s="401"/>
      <c r="U136" s="401"/>
      <c r="V136" s="401"/>
      <c r="W136" s="401"/>
      <c r="X136" s="401"/>
    </row>
    <row r="137" spans="1:24" s="1472" customFormat="1" x14ac:dyDescent="0.2">
      <c r="A137" s="401"/>
      <c r="B137" s="401"/>
      <c r="C137" s="401"/>
      <c r="D137" s="401"/>
      <c r="E137" s="401"/>
      <c r="F137" s="401"/>
      <c r="G137" s="401"/>
      <c r="H137" s="401"/>
      <c r="I137" s="770"/>
      <c r="J137" s="401"/>
      <c r="K137" s="401"/>
      <c r="L137" s="401"/>
      <c r="M137" s="401"/>
      <c r="N137" s="401"/>
      <c r="O137" s="401"/>
      <c r="P137" s="401"/>
      <c r="Q137" s="401"/>
      <c r="R137" s="401"/>
      <c r="S137" s="401"/>
      <c r="T137" s="401"/>
      <c r="U137" s="401"/>
      <c r="V137" s="401"/>
      <c r="W137" s="401"/>
      <c r="X137" s="401"/>
    </row>
    <row r="138" spans="1:24" s="401" customFormat="1" x14ac:dyDescent="0.2">
      <c r="I138" s="770"/>
    </row>
    <row r="139" spans="1:24" s="401" customFormat="1" x14ac:dyDescent="0.2">
      <c r="A139" s="401" t="s">
        <v>1859</v>
      </c>
      <c r="I139" s="770"/>
    </row>
    <row r="140" spans="1:24" s="401" customFormat="1" x14ac:dyDescent="0.2">
      <c r="A140" s="401" t="s">
        <v>1343</v>
      </c>
      <c r="I140" s="770"/>
    </row>
    <row r="141" spans="1:24" s="401" customFormat="1" x14ac:dyDescent="0.2">
      <c r="A141" s="401" t="s">
        <v>1860</v>
      </c>
      <c r="I141" s="770"/>
    </row>
    <row r="142" spans="1:24" s="401" customFormat="1" x14ac:dyDescent="0.2">
      <c r="A142" s="401" t="s">
        <v>1861</v>
      </c>
      <c r="I142" s="770"/>
    </row>
    <row r="143" spans="1:24" s="401" customFormat="1" x14ac:dyDescent="0.2">
      <c r="A143" s="401" t="s">
        <v>1862</v>
      </c>
      <c r="I143" s="770"/>
    </row>
    <row r="144" spans="1:24" s="401" customFormat="1" x14ac:dyDescent="0.2">
      <c r="A144" s="401" t="s">
        <v>1857</v>
      </c>
      <c r="I144" s="770"/>
    </row>
    <row r="145" spans="1:24" s="1472" customFormat="1" x14ac:dyDescent="0.2">
      <c r="A145" s="401" t="s">
        <v>1863</v>
      </c>
      <c r="B145" s="401"/>
      <c r="C145" s="401"/>
      <c r="D145" s="401"/>
      <c r="E145" s="401"/>
      <c r="F145" s="401"/>
      <c r="G145" s="401"/>
      <c r="H145" s="401"/>
      <c r="I145" s="770"/>
      <c r="J145" s="401"/>
      <c r="K145" s="401"/>
      <c r="L145" s="401"/>
      <c r="M145" s="401"/>
      <c r="N145" s="401"/>
      <c r="O145" s="401"/>
      <c r="P145" s="401"/>
      <c r="Q145" s="401"/>
      <c r="R145" s="401"/>
      <c r="S145" s="401"/>
      <c r="T145" s="401"/>
      <c r="U145" s="401"/>
      <c r="V145" s="401"/>
      <c r="W145" s="401"/>
      <c r="X145" s="401"/>
    </row>
    <row r="146" spans="1:24" s="401" customFormat="1" x14ac:dyDescent="0.2">
      <c r="I146" s="770"/>
    </row>
    <row r="147" spans="1:24" s="401" customFormat="1" x14ac:dyDescent="0.2">
      <c r="A147" s="401" t="s">
        <v>1864</v>
      </c>
      <c r="I147" s="770"/>
    </row>
    <row r="148" spans="1:24" s="1472" customFormat="1" x14ac:dyDescent="0.2">
      <c r="A148" s="401" t="s">
        <v>1343</v>
      </c>
      <c r="B148" s="401"/>
      <c r="C148" s="401"/>
      <c r="D148" s="401"/>
      <c r="E148" s="401"/>
      <c r="F148" s="401"/>
      <c r="G148" s="401"/>
      <c r="H148" s="401"/>
      <c r="I148" s="770"/>
      <c r="J148" s="401"/>
      <c r="K148" s="401"/>
      <c r="L148" s="401"/>
      <c r="M148" s="401"/>
      <c r="N148" s="401"/>
      <c r="O148" s="401"/>
      <c r="P148" s="401"/>
      <c r="Q148" s="401"/>
      <c r="R148" s="401"/>
      <c r="S148" s="401"/>
      <c r="T148" s="401"/>
      <c r="U148" s="401"/>
      <c r="V148" s="401"/>
      <c r="W148" s="401"/>
      <c r="X148" s="401"/>
    </row>
    <row r="149" spans="1:24" s="1472" customFormat="1" x14ac:dyDescent="0.2">
      <c r="A149" s="401" t="s">
        <v>1350</v>
      </c>
      <c r="B149" s="401"/>
      <c r="C149" s="401"/>
      <c r="D149" s="401"/>
      <c r="E149" s="401"/>
      <c r="F149" s="401"/>
      <c r="G149" s="401"/>
      <c r="H149" s="401"/>
      <c r="I149" s="770"/>
      <c r="J149" s="401"/>
      <c r="K149" s="401"/>
      <c r="L149" s="401"/>
      <c r="M149" s="401"/>
      <c r="N149" s="401"/>
      <c r="O149" s="401"/>
      <c r="P149" s="401"/>
      <c r="Q149" s="401"/>
      <c r="R149" s="401"/>
      <c r="S149" s="401"/>
      <c r="T149" s="401"/>
      <c r="U149" s="401"/>
      <c r="V149" s="401"/>
      <c r="W149" s="401"/>
      <c r="X149" s="401"/>
    </row>
    <row r="150" spans="1:24" s="1472" customFormat="1" x14ac:dyDescent="0.2">
      <c r="A150" s="401" t="s">
        <v>1351</v>
      </c>
      <c r="B150" s="401"/>
      <c r="C150" s="401"/>
      <c r="D150" s="401"/>
      <c r="E150" s="401"/>
      <c r="F150" s="401"/>
      <c r="G150" s="401"/>
      <c r="H150" s="401"/>
      <c r="I150" s="770"/>
      <c r="J150" s="401"/>
      <c r="K150" s="401"/>
      <c r="L150" s="401"/>
      <c r="M150" s="401"/>
      <c r="N150" s="401"/>
      <c r="O150" s="401"/>
      <c r="P150" s="401"/>
      <c r="Q150" s="401"/>
      <c r="R150" s="401"/>
      <c r="S150" s="401"/>
      <c r="T150" s="401"/>
      <c r="U150" s="401"/>
      <c r="V150" s="401"/>
      <c r="W150" s="401"/>
      <c r="X150" s="401"/>
    </row>
    <row r="151" spans="1:24" s="1472" customFormat="1" x14ac:dyDescent="0.2">
      <c r="A151" s="401"/>
      <c r="B151" s="401"/>
      <c r="C151" s="401"/>
      <c r="D151" s="401"/>
      <c r="E151" s="401"/>
      <c r="F151" s="401"/>
      <c r="G151" s="401"/>
      <c r="H151" s="401"/>
      <c r="I151" s="770"/>
      <c r="J151" s="401"/>
      <c r="K151" s="401"/>
      <c r="L151" s="401"/>
      <c r="M151" s="401"/>
      <c r="N151" s="401"/>
      <c r="O151" s="401"/>
      <c r="P151" s="401"/>
      <c r="Q151" s="401"/>
      <c r="R151" s="401"/>
      <c r="S151" s="401"/>
      <c r="T151" s="401"/>
      <c r="U151" s="401"/>
      <c r="V151" s="401"/>
      <c r="W151" s="401"/>
      <c r="X151" s="401"/>
    </row>
    <row r="152" spans="1:24" s="401" customFormat="1" x14ac:dyDescent="0.2">
      <c r="A152" s="401" t="s">
        <v>1865</v>
      </c>
      <c r="I152" s="770"/>
    </row>
    <row r="153" spans="1:24" s="1472" customFormat="1" x14ac:dyDescent="0.2">
      <c r="A153" s="401" t="s">
        <v>1866</v>
      </c>
      <c r="B153" s="401" t="s">
        <v>1867</v>
      </c>
      <c r="C153" s="401"/>
      <c r="D153" s="401"/>
      <c r="E153" s="401"/>
      <c r="F153" s="401"/>
      <c r="G153" s="401"/>
      <c r="H153" s="401"/>
      <c r="I153" s="770"/>
      <c r="J153" s="401"/>
      <c r="K153" s="401"/>
      <c r="L153" s="401"/>
      <c r="M153" s="401"/>
      <c r="N153" s="401"/>
      <c r="O153" s="401"/>
      <c r="P153" s="401"/>
      <c r="Q153" s="401"/>
      <c r="R153" s="401"/>
      <c r="S153" s="401"/>
      <c r="T153" s="401"/>
      <c r="U153" s="401"/>
      <c r="V153" s="401"/>
      <c r="W153" s="401"/>
      <c r="X153" s="401"/>
    </row>
    <row r="154" spans="1:24" s="1472" customFormat="1" x14ac:dyDescent="0.2">
      <c r="A154" s="401" t="s">
        <v>1868</v>
      </c>
      <c r="B154" s="401"/>
      <c r="C154" s="401"/>
      <c r="D154" s="401"/>
      <c r="E154" s="401"/>
      <c r="F154" s="401"/>
      <c r="G154" s="401"/>
      <c r="H154" s="401"/>
      <c r="I154" s="770"/>
      <c r="J154" s="401"/>
      <c r="K154" s="401"/>
      <c r="L154" s="401"/>
      <c r="M154" s="401"/>
      <c r="N154" s="401"/>
      <c r="O154" s="401"/>
      <c r="P154" s="401"/>
      <c r="Q154" s="401"/>
      <c r="R154" s="401"/>
      <c r="S154" s="401"/>
      <c r="T154" s="401"/>
      <c r="U154" s="401"/>
      <c r="V154" s="401"/>
      <c r="W154" s="401"/>
      <c r="X154" s="401"/>
    </row>
    <row r="155" spans="1:24" s="1472" customFormat="1" x14ac:dyDescent="0.2">
      <c r="A155" s="401" t="s">
        <v>1869</v>
      </c>
      <c r="B155" s="401"/>
      <c r="C155" s="401"/>
      <c r="D155" s="401"/>
      <c r="E155" s="401"/>
      <c r="F155" s="401"/>
      <c r="G155" s="401"/>
      <c r="H155" s="401"/>
      <c r="I155" s="770"/>
      <c r="J155" s="401"/>
      <c r="K155" s="401"/>
      <c r="L155" s="401"/>
      <c r="M155" s="401"/>
      <c r="N155" s="401"/>
      <c r="O155" s="401"/>
      <c r="P155" s="401"/>
      <c r="Q155" s="401"/>
      <c r="R155" s="401"/>
      <c r="S155" s="401"/>
      <c r="T155" s="401"/>
      <c r="U155" s="401"/>
      <c r="V155" s="401"/>
      <c r="W155" s="401"/>
      <c r="X155" s="401"/>
    </row>
    <row r="156" spans="1:24" s="1472" customFormat="1" ht="36.75" customHeight="1" x14ac:dyDescent="0.2">
      <c r="A156" s="2049" t="s">
        <v>1870</v>
      </c>
      <c r="B156" s="2049"/>
      <c r="C156" s="2049"/>
      <c r="D156" s="2049"/>
      <c r="E156" s="2049"/>
      <c r="F156" s="2049"/>
      <c r="G156" s="2049"/>
      <c r="H156" s="2049"/>
      <c r="I156" s="2049"/>
      <c r="J156" s="2049"/>
      <c r="K156" s="401"/>
      <c r="L156" s="401"/>
      <c r="M156" s="401"/>
      <c r="N156" s="401"/>
      <c r="O156" s="401"/>
      <c r="P156" s="401"/>
      <c r="Q156" s="401"/>
      <c r="R156" s="401"/>
      <c r="S156" s="401"/>
      <c r="T156" s="401"/>
      <c r="U156" s="401"/>
      <c r="V156" s="401"/>
      <c r="W156" s="401"/>
      <c r="X156" s="401"/>
    </row>
    <row r="157" spans="1:24" s="1472" customFormat="1" x14ac:dyDescent="0.2">
      <c r="A157" s="401"/>
      <c r="B157" s="401"/>
      <c r="C157" s="401"/>
      <c r="D157" s="401"/>
      <c r="E157" s="401"/>
      <c r="F157" s="401"/>
      <c r="G157" s="401"/>
      <c r="H157" s="401"/>
      <c r="I157" s="770"/>
      <c r="J157" s="401"/>
      <c r="K157" s="401"/>
      <c r="L157" s="401"/>
      <c r="M157" s="401"/>
      <c r="N157" s="401"/>
      <c r="O157" s="401"/>
      <c r="P157" s="401"/>
      <c r="Q157" s="401"/>
      <c r="R157" s="401"/>
      <c r="S157" s="401"/>
      <c r="T157" s="401"/>
      <c r="U157" s="401"/>
      <c r="V157" s="401"/>
      <c r="W157" s="401"/>
      <c r="X157" s="401"/>
    </row>
    <row r="158" spans="1:24" x14ac:dyDescent="0.2">
      <c r="A158" s="401"/>
      <c r="B158" s="401"/>
      <c r="C158" s="401"/>
      <c r="D158" s="401"/>
      <c r="E158" s="401"/>
      <c r="F158" s="401"/>
      <c r="G158" s="401"/>
      <c r="H158" s="401"/>
      <c r="I158" s="770"/>
      <c r="J158" s="401"/>
      <c r="K158" s="401"/>
      <c r="L158" s="401"/>
      <c r="M158" s="401"/>
      <c r="N158" s="401"/>
      <c r="O158" s="401"/>
      <c r="P158" s="401"/>
      <c r="Q158" s="401"/>
      <c r="R158" s="401"/>
      <c r="S158" s="401"/>
      <c r="T158" s="401"/>
      <c r="U158" s="401"/>
      <c r="V158" s="401"/>
      <c r="W158" s="401"/>
      <c r="X158" s="401"/>
    </row>
    <row r="159" spans="1:24" x14ac:dyDescent="0.2">
      <c r="L159" s="401"/>
      <c r="M159" s="401"/>
      <c r="N159" s="401"/>
      <c r="O159" s="401"/>
      <c r="P159" s="401"/>
      <c r="Q159" s="401"/>
      <c r="R159" s="401"/>
      <c r="S159" s="401"/>
      <c r="T159" s="401"/>
      <c r="U159" s="401"/>
      <c r="V159" s="401"/>
      <c r="W159" s="401"/>
      <c r="X159" s="401"/>
    </row>
    <row r="160" spans="1:24" x14ac:dyDescent="0.2">
      <c r="L160" s="401"/>
      <c r="M160" s="401"/>
      <c r="N160" s="401"/>
      <c r="O160" s="401"/>
      <c r="P160" s="401"/>
      <c r="Q160" s="401"/>
      <c r="R160" s="401"/>
      <c r="S160" s="401"/>
      <c r="T160" s="401"/>
      <c r="U160" s="401"/>
      <c r="V160" s="401"/>
      <c r="W160" s="401"/>
      <c r="X160" s="401"/>
    </row>
    <row r="161" spans="12:24" x14ac:dyDescent="0.2">
      <c r="L161" s="401"/>
      <c r="M161" s="401"/>
      <c r="N161" s="401"/>
      <c r="O161" s="401"/>
      <c r="P161" s="401"/>
      <c r="Q161" s="401"/>
      <c r="R161" s="401"/>
      <c r="S161" s="401"/>
      <c r="T161" s="401"/>
      <c r="U161" s="401"/>
      <c r="V161" s="401"/>
      <c r="W161" s="401"/>
      <c r="X161" s="401"/>
    </row>
    <row r="162" spans="12:24" x14ac:dyDescent="0.2">
      <c r="L162" s="401"/>
      <c r="M162" s="401"/>
      <c r="N162" s="401"/>
      <c r="O162" s="401"/>
      <c r="P162" s="401"/>
      <c r="Q162" s="401"/>
      <c r="R162" s="401"/>
      <c r="S162" s="401"/>
      <c r="T162" s="401"/>
      <c r="U162" s="401"/>
      <c r="V162" s="401"/>
      <c r="W162" s="401"/>
      <c r="X162" s="401"/>
    </row>
    <row r="163" spans="12:24" x14ac:dyDescent="0.2">
      <c r="L163" s="401"/>
      <c r="M163" s="401"/>
      <c r="N163" s="401"/>
      <c r="O163" s="401"/>
      <c r="P163" s="401"/>
      <c r="Q163" s="401"/>
      <c r="R163" s="401"/>
      <c r="S163" s="401"/>
      <c r="T163" s="401"/>
      <c r="U163" s="401"/>
      <c r="V163" s="401"/>
      <c r="W163" s="401"/>
      <c r="X163" s="401"/>
    </row>
  </sheetData>
  <sheetProtection algorithmName="SHA-512" hashValue="dpjflX/Nx8YdYFvn+dLGvhtnhoIC79oC4hdH4LqolI9C1B6hsfNhgB442unkbKVua0qYazjCMkYlXS5YLD/AXg==" saltValue="HAXgh600meiVFP7jzkZJoQ==" spinCount="100000" sheet="1" objects="1" scenarios="1"/>
  <mergeCells count="58">
    <mergeCell ref="A11:C11"/>
    <mergeCell ref="A3:B3"/>
    <mergeCell ref="D3:I3"/>
    <mergeCell ref="A4:B4"/>
    <mergeCell ref="C4:I4"/>
    <mergeCell ref="A5:I5"/>
    <mergeCell ref="A7:B7"/>
    <mergeCell ref="A8:B8"/>
    <mergeCell ref="A9:B9"/>
    <mergeCell ref="B10:C10"/>
    <mergeCell ref="B22:C22"/>
    <mergeCell ref="A12:A13"/>
    <mergeCell ref="B12:C13"/>
    <mergeCell ref="I12:I13"/>
    <mergeCell ref="B14:C14"/>
    <mergeCell ref="B15:C15"/>
    <mergeCell ref="B16:C16"/>
    <mergeCell ref="A18:B18"/>
    <mergeCell ref="C18:I18"/>
    <mergeCell ref="A19:B19"/>
    <mergeCell ref="B20:C20"/>
    <mergeCell ref="A21:C21"/>
    <mergeCell ref="A37:B37"/>
    <mergeCell ref="B23:C23"/>
    <mergeCell ref="A25:B25"/>
    <mergeCell ref="A26:B26"/>
    <mergeCell ref="B27:C27"/>
    <mergeCell ref="A28:C28"/>
    <mergeCell ref="B29:C29"/>
    <mergeCell ref="A31:B31"/>
    <mergeCell ref="A32:B32"/>
    <mergeCell ref="B33:C33"/>
    <mergeCell ref="A34:C34"/>
    <mergeCell ref="B35:C35"/>
    <mergeCell ref="B50:C50"/>
    <mergeCell ref="A38:B38"/>
    <mergeCell ref="B39:C39"/>
    <mergeCell ref="A40:C40"/>
    <mergeCell ref="B41:C41"/>
    <mergeCell ref="B42:C42"/>
    <mergeCell ref="B43:C43"/>
    <mergeCell ref="A45:B45"/>
    <mergeCell ref="A46:B46"/>
    <mergeCell ref="B47:C47"/>
    <mergeCell ref="A48:C48"/>
    <mergeCell ref="B49:C49"/>
    <mergeCell ref="A156:J156"/>
    <mergeCell ref="B51:C51"/>
    <mergeCell ref="B52:C52"/>
    <mergeCell ref="A54:B54"/>
    <mergeCell ref="A55:B55"/>
    <mergeCell ref="B56:C56"/>
    <mergeCell ref="A57:C57"/>
    <mergeCell ref="B58:C58"/>
    <mergeCell ref="B59:C59"/>
    <mergeCell ref="B60:C60"/>
    <mergeCell ref="B61:C61"/>
    <mergeCell ref="B62:C62"/>
  </mergeCells>
  <pageMargins left="0.98425196850393704" right="0.39370078740157483" top="0.59055118110236227" bottom="0.39370078740157483" header="0.23622047244094491" footer="0.23622047244094491"/>
  <pageSetup paperSize="9" scale="70" fitToHeight="3" orientation="portrait" r:id="rId1"/>
  <headerFooter differentFirst="1">
    <oddFooter>&amp;L&amp;"Times New Roman,Regular"&amp;9&amp;D; &amp;T&amp;R&amp;"Times New Roman,Regular"&amp;9&amp;P (&amp;N)</oddFooter>
    <firstHeader xml:space="preserve">&amp;R&amp;"Times New Roman,Regular"&amp;9 72.pielikums Jūrmalas pilsētas domes
2019.gada 29.augusta saistošajiem noteikumiem Nr.31
(protokols Nr.12, 20.punkts)
 </firstHeader>
    <firstFooter>&amp;L&amp;9&amp;D; &amp;T&amp;R&amp;9&amp;P (&amp;N)</firstFooter>
  </headerFooter>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155"/>
  <sheetViews>
    <sheetView view="pageLayout" zoomScaleNormal="100" workbookViewId="0">
      <selection activeCell="N10" sqref="N10"/>
    </sheetView>
  </sheetViews>
  <sheetFormatPr defaultColWidth="9.140625" defaultRowHeight="12" outlineLevelCol="1" x14ac:dyDescent="0.2"/>
  <cols>
    <col min="1" max="1" width="4.85546875" style="451" customWidth="1"/>
    <col min="2" max="2" width="26.85546875" style="451" customWidth="1"/>
    <col min="3" max="3" width="10.28515625" style="451" customWidth="1"/>
    <col min="4" max="4" width="10.7109375" style="451" hidden="1" customWidth="1" outlineLevel="1"/>
    <col min="5" max="5" width="9.5703125" style="451" hidden="1" customWidth="1" outlineLevel="1"/>
    <col min="6" max="6" width="12.42578125" style="451" hidden="1" customWidth="1" outlineLevel="1"/>
    <col min="7" max="7" width="9.5703125" style="451" hidden="1" customWidth="1" outlineLevel="1"/>
    <col min="8" max="8" width="10.5703125" style="451" customWidth="1" collapsed="1"/>
    <col min="9" max="9" width="9.5703125" style="451" customWidth="1"/>
    <col min="10" max="10" width="41.28515625" style="451" hidden="1" customWidth="1" outlineLevel="1"/>
    <col min="11" max="11" width="19.42578125" style="451" customWidth="1" collapsed="1"/>
    <col min="12" max="16384" width="9.140625" style="451"/>
  </cols>
  <sheetData>
    <row r="1" spans="1:14" x14ac:dyDescent="0.2">
      <c r="K1" s="1425" t="s">
        <v>2200</v>
      </c>
    </row>
    <row r="2" spans="1:14" x14ac:dyDescent="0.2">
      <c r="K2" s="1425" t="s">
        <v>494</v>
      </c>
    </row>
    <row r="3" spans="1:14" ht="12.75" customHeight="1" x14ac:dyDescent="0.2">
      <c r="A3" s="605" t="s">
        <v>890</v>
      </c>
      <c r="B3" s="867"/>
      <c r="C3" s="861" t="s">
        <v>3</v>
      </c>
      <c r="D3" s="861"/>
      <c r="E3" s="861"/>
      <c r="F3" s="861"/>
      <c r="G3" s="861"/>
      <c r="H3" s="861"/>
      <c r="I3" s="861"/>
      <c r="J3" s="861"/>
      <c r="K3" s="861"/>
    </row>
    <row r="4" spans="1:14" ht="12.75" customHeight="1" x14ac:dyDescent="0.2">
      <c r="A4" s="605" t="s">
        <v>1397</v>
      </c>
      <c r="B4" s="867"/>
      <c r="C4" s="863">
        <v>90000056357</v>
      </c>
      <c r="D4" s="863"/>
      <c r="E4" s="863"/>
      <c r="F4" s="863"/>
      <c r="G4" s="863"/>
      <c r="H4" s="863"/>
      <c r="I4" s="863"/>
      <c r="J4" s="863"/>
      <c r="K4" s="863"/>
    </row>
    <row r="5" spans="1:14" ht="12.75" customHeight="1" x14ac:dyDescent="0.2">
      <c r="A5" s="605"/>
      <c r="B5" s="867"/>
      <c r="C5" s="1715"/>
      <c r="D5" s="1715"/>
      <c r="E5" s="1715"/>
      <c r="F5" s="1715"/>
      <c r="G5" s="1715"/>
      <c r="H5" s="1715"/>
      <c r="I5" s="1715"/>
      <c r="J5" s="1715"/>
      <c r="K5" s="864"/>
    </row>
    <row r="6" spans="1:14" ht="15.75" x14ac:dyDescent="0.25">
      <c r="A6" s="2066" t="s">
        <v>1581</v>
      </c>
      <c r="B6" s="2066"/>
      <c r="C6" s="2066"/>
      <c r="D6" s="2066"/>
      <c r="E6" s="2066"/>
      <c r="F6" s="2066"/>
      <c r="G6" s="2066"/>
      <c r="H6" s="2066"/>
      <c r="I6" s="2066"/>
      <c r="J6" s="2066"/>
      <c r="K6" s="2066"/>
    </row>
    <row r="7" spans="1:14" ht="10.5" customHeight="1" x14ac:dyDescent="0.25">
      <c r="A7" s="1436"/>
      <c r="B7" s="1436"/>
      <c r="C7" s="1436"/>
      <c r="D7" s="1436"/>
      <c r="E7" s="1436"/>
      <c r="F7" s="1436"/>
      <c r="G7" s="1436"/>
      <c r="H7" s="1436"/>
      <c r="I7" s="1436"/>
      <c r="J7" s="1436"/>
      <c r="K7" s="1436"/>
    </row>
    <row r="8" spans="1:14" ht="17.25" customHeight="1" x14ac:dyDescent="0.25">
      <c r="A8" s="2067" t="s">
        <v>497</v>
      </c>
      <c r="B8" s="2067"/>
      <c r="C8" s="1716" t="s">
        <v>2072</v>
      </c>
      <c r="D8" s="1716"/>
      <c r="E8" s="1716"/>
      <c r="F8" s="1716"/>
      <c r="G8" s="1716"/>
      <c r="H8" s="1716"/>
      <c r="I8" s="1716"/>
      <c r="J8" s="1716"/>
      <c r="K8" s="1716"/>
    </row>
    <row r="9" spans="1:14" ht="12.75" customHeight="1" x14ac:dyDescent="0.2">
      <c r="A9" s="605" t="s">
        <v>499</v>
      </c>
      <c r="B9" s="605"/>
      <c r="C9" s="861" t="s">
        <v>2070</v>
      </c>
      <c r="D9" s="861"/>
      <c r="E9" s="861"/>
      <c r="F9" s="861"/>
      <c r="G9" s="861"/>
      <c r="H9" s="861"/>
      <c r="I9" s="861"/>
      <c r="J9" s="861"/>
      <c r="K9" s="861"/>
    </row>
    <row r="10" spans="1:14" ht="12.75" customHeight="1" x14ac:dyDescent="0.2">
      <c r="A10" s="1717" t="s">
        <v>500</v>
      </c>
      <c r="B10" s="1717"/>
      <c r="C10" s="1718" t="s">
        <v>2069</v>
      </c>
      <c r="D10" s="1718"/>
      <c r="E10" s="1718"/>
      <c r="F10" s="1718"/>
      <c r="G10" s="1718"/>
      <c r="H10" s="1718"/>
      <c r="I10" s="1718"/>
      <c r="J10" s="1718"/>
      <c r="K10" s="1718"/>
    </row>
    <row r="11" spans="1:14" ht="25.5" customHeight="1" x14ac:dyDescent="0.2">
      <c r="A11" s="2068" t="s">
        <v>501</v>
      </c>
      <c r="B11" s="2068" t="s">
        <v>502</v>
      </c>
      <c r="C11" s="2068" t="s">
        <v>503</v>
      </c>
      <c r="D11" s="2069" t="s">
        <v>504</v>
      </c>
      <c r="E11" s="2069"/>
      <c r="F11" s="2069" t="s">
        <v>505</v>
      </c>
      <c r="G11" s="2069"/>
      <c r="H11" s="2069" t="s">
        <v>506</v>
      </c>
      <c r="I11" s="2069"/>
      <c r="J11" s="2069" t="s">
        <v>36</v>
      </c>
      <c r="K11" s="2068" t="s">
        <v>507</v>
      </c>
    </row>
    <row r="12" spans="1:14" ht="24" x14ac:dyDescent="0.2">
      <c r="A12" s="2068"/>
      <c r="B12" s="2068"/>
      <c r="C12" s="2068"/>
      <c r="D12" s="1101" t="s">
        <v>1113</v>
      </c>
      <c r="E12" s="1101" t="s">
        <v>1114</v>
      </c>
      <c r="F12" s="1101" t="s">
        <v>1113</v>
      </c>
      <c r="G12" s="1101" t="s">
        <v>1114</v>
      </c>
      <c r="H12" s="1101" t="s">
        <v>1113</v>
      </c>
      <c r="I12" s="1101" t="s">
        <v>1114</v>
      </c>
      <c r="J12" s="2069"/>
      <c r="K12" s="2068"/>
    </row>
    <row r="13" spans="1:14" ht="21" customHeight="1" x14ac:dyDescent="0.2">
      <c r="A13" s="2070" t="s">
        <v>508</v>
      </c>
      <c r="B13" s="2070"/>
      <c r="C13" s="1426"/>
      <c r="D13" s="1719">
        <f>SUM(D14:D27)</f>
        <v>2282340</v>
      </c>
      <c r="E13" s="1719">
        <f t="shared" ref="E13:I13" si="0">SUM(E14:E27)</f>
        <v>5896</v>
      </c>
      <c r="F13" s="1719">
        <f>SUM(F14:F27)</f>
        <v>-10469</v>
      </c>
      <c r="G13" s="1719">
        <f t="shared" si="0"/>
        <v>-5896</v>
      </c>
      <c r="H13" s="1719">
        <f t="shared" si="0"/>
        <v>2271871</v>
      </c>
      <c r="I13" s="1719">
        <f t="shared" si="0"/>
        <v>0</v>
      </c>
      <c r="J13" s="1719"/>
      <c r="K13" s="1060"/>
      <c r="N13" s="608"/>
    </row>
    <row r="14" spans="1:14" ht="52.5" customHeight="1" x14ac:dyDescent="0.2">
      <c r="A14" s="1427">
        <v>1</v>
      </c>
      <c r="B14" s="1428" t="s">
        <v>2073</v>
      </c>
      <c r="C14" s="562">
        <v>3320</v>
      </c>
      <c r="D14" s="789">
        <v>1760000</v>
      </c>
      <c r="E14" s="776"/>
      <c r="F14" s="776"/>
      <c r="G14" s="776"/>
      <c r="H14" s="776">
        <f>D14+F14</f>
        <v>1760000</v>
      </c>
      <c r="I14" s="776">
        <f>E14+G14</f>
        <v>0</v>
      </c>
      <c r="J14" s="776"/>
      <c r="K14" s="780" t="s">
        <v>2074</v>
      </c>
      <c r="N14" s="608"/>
    </row>
    <row r="15" spans="1:14" ht="54.75" customHeight="1" x14ac:dyDescent="0.2">
      <c r="A15" s="1427">
        <v>2</v>
      </c>
      <c r="B15" s="1428" t="s">
        <v>2075</v>
      </c>
      <c r="C15" s="562">
        <v>3310</v>
      </c>
      <c r="D15" s="789">
        <v>187000</v>
      </c>
      <c r="E15" s="776"/>
      <c r="F15" s="776"/>
      <c r="G15" s="776"/>
      <c r="H15" s="776">
        <f t="shared" ref="H15:I27" si="1">D15+F15</f>
        <v>187000</v>
      </c>
      <c r="I15" s="776">
        <f t="shared" si="1"/>
        <v>0</v>
      </c>
      <c r="J15" s="776"/>
      <c r="K15" s="780" t="s">
        <v>2076</v>
      </c>
      <c r="N15" s="608"/>
    </row>
    <row r="16" spans="1:14" ht="28.5" customHeight="1" x14ac:dyDescent="0.2">
      <c r="A16" s="1427">
        <v>3</v>
      </c>
      <c r="B16" s="1428" t="s">
        <v>2077</v>
      </c>
      <c r="C16" s="562">
        <v>2232</v>
      </c>
      <c r="D16" s="789">
        <v>0</v>
      </c>
      <c r="E16" s="776"/>
      <c r="F16" s="762"/>
      <c r="G16" s="776"/>
      <c r="H16" s="776">
        <f t="shared" si="1"/>
        <v>0</v>
      </c>
      <c r="I16" s="776">
        <f t="shared" si="1"/>
        <v>0</v>
      </c>
      <c r="J16" s="776"/>
      <c r="K16" s="604" t="s">
        <v>2076</v>
      </c>
      <c r="N16" s="608"/>
    </row>
    <row r="17" spans="1:14" ht="27" customHeight="1" x14ac:dyDescent="0.2">
      <c r="A17" s="1427">
        <v>4</v>
      </c>
      <c r="B17" s="1428" t="s">
        <v>2078</v>
      </c>
      <c r="C17" s="601">
        <v>2314</v>
      </c>
      <c r="D17" s="789">
        <v>7338</v>
      </c>
      <c r="E17" s="776"/>
      <c r="F17" s="1720">
        <v>-2000</v>
      </c>
      <c r="G17" s="778"/>
      <c r="H17" s="776">
        <f t="shared" si="1"/>
        <v>5338</v>
      </c>
      <c r="I17" s="776">
        <f t="shared" si="1"/>
        <v>0</v>
      </c>
      <c r="J17" s="780" t="s">
        <v>2079</v>
      </c>
      <c r="K17" s="780" t="s">
        <v>2076</v>
      </c>
      <c r="N17" s="608"/>
    </row>
    <row r="18" spans="1:14" ht="18.75" customHeight="1" x14ac:dyDescent="0.2">
      <c r="A18" s="1427">
        <v>5</v>
      </c>
      <c r="B18" s="1428" t="s">
        <v>2080</v>
      </c>
      <c r="C18" s="601">
        <v>2279</v>
      </c>
      <c r="D18" s="789">
        <v>0</v>
      </c>
      <c r="E18" s="776"/>
      <c r="F18" s="1720">
        <v>2000</v>
      </c>
      <c r="G18" s="778"/>
      <c r="H18" s="776">
        <f t="shared" si="1"/>
        <v>2000</v>
      </c>
      <c r="I18" s="776">
        <f t="shared" si="1"/>
        <v>0</v>
      </c>
      <c r="J18" s="780" t="s">
        <v>2081</v>
      </c>
      <c r="K18" s="780" t="s">
        <v>2082</v>
      </c>
      <c r="N18" s="608"/>
    </row>
    <row r="19" spans="1:14" ht="28.5" customHeight="1" x14ac:dyDescent="0.2">
      <c r="A19" s="1427">
        <v>6</v>
      </c>
      <c r="B19" s="1428" t="s">
        <v>135</v>
      </c>
      <c r="C19" s="1721">
        <v>2262</v>
      </c>
      <c r="D19" s="789">
        <v>117585</v>
      </c>
      <c r="E19" s="776"/>
      <c r="F19" s="762"/>
      <c r="G19" s="776"/>
      <c r="H19" s="776">
        <f t="shared" si="1"/>
        <v>117585</v>
      </c>
      <c r="I19" s="776">
        <f t="shared" si="1"/>
        <v>0</v>
      </c>
      <c r="J19" s="780"/>
      <c r="K19" s="1430" t="s">
        <v>2083</v>
      </c>
      <c r="N19" s="608"/>
    </row>
    <row r="20" spans="1:14" ht="18.75" customHeight="1" x14ac:dyDescent="0.2">
      <c r="A20" s="1427">
        <v>7</v>
      </c>
      <c r="B20" s="1428" t="s">
        <v>2084</v>
      </c>
      <c r="C20" s="1721">
        <v>2279</v>
      </c>
      <c r="D20" s="789">
        <v>7582</v>
      </c>
      <c r="E20" s="776"/>
      <c r="F20" s="762"/>
      <c r="G20" s="776"/>
      <c r="H20" s="776">
        <f t="shared" si="1"/>
        <v>7582</v>
      </c>
      <c r="I20" s="776">
        <f t="shared" si="1"/>
        <v>0</v>
      </c>
      <c r="J20" s="776"/>
      <c r="K20" s="587" t="s">
        <v>2076</v>
      </c>
      <c r="N20" s="608"/>
    </row>
    <row r="21" spans="1:14" ht="18.75" customHeight="1" x14ac:dyDescent="0.2">
      <c r="A21" s="2071">
        <v>8</v>
      </c>
      <c r="B21" s="2072" t="s">
        <v>2085</v>
      </c>
      <c r="C21" s="562">
        <v>5240</v>
      </c>
      <c r="D21" s="789">
        <v>31616</v>
      </c>
      <c r="E21" s="776"/>
      <c r="F21" s="1720">
        <f>-3645-233</f>
        <v>-3878</v>
      </c>
      <c r="G21" s="762"/>
      <c r="H21" s="776">
        <f t="shared" si="1"/>
        <v>27738</v>
      </c>
      <c r="I21" s="776">
        <f t="shared" si="1"/>
        <v>0</v>
      </c>
      <c r="J21" s="780" t="s">
        <v>2086</v>
      </c>
      <c r="K21" s="2073" t="s">
        <v>2087</v>
      </c>
      <c r="N21" s="608"/>
    </row>
    <row r="22" spans="1:14" ht="18.75" customHeight="1" x14ac:dyDescent="0.2">
      <c r="A22" s="2071"/>
      <c r="B22" s="2072"/>
      <c r="C22" s="562">
        <v>2390</v>
      </c>
      <c r="D22" s="789">
        <v>40809</v>
      </c>
      <c r="E22" s="776">
        <v>5896</v>
      </c>
      <c r="F22" s="1720">
        <v>-155</v>
      </c>
      <c r="G22" s="1944">
        <f>-5896+4225-4225+965-965</f>
        <v>-5896</v>
      </c>
      <c r="H22" s="776">
        <f t="shared" si="1"/>
        <v>40654</v>
      </c>
      <c r="I22" s="776">
        <f t="shared" si="1"/>
        <v>0</v>
      </c>
      <c r="J22" s="780" t="s">
        <v>2088</v>
      </c>
      <c r="K22" s="2074"/>
      <c r="N22" s="608"/>
    </row>
    <row r="23" spans="1:14" ht="18.75" customHeight="1" x14ac:dyDescent="0.2">
      <c r="A23" s="2071"/>
      <c r="B23" s="2072"/>
      <c r="C23" s="562">
        <v>5239</v>
      </c>
      <c r="D23" s="789">
        <v>2695</v>
      </c>
      <c r="E23" s="776"/>
      <c r="F23" s="1720">
        <v>-1079</v>
      </c>
      <c r="G23" s="762"/>
      <c r="H23" s="776">
        <f t="shared" si="1"/>
        <v>1616</v>
      </c>
      <c r="I23" s="776">
        <f t="shared" si="1"/>
        <v>0</v>
      </c>
      <c r="J23" s="780" t="s">
        <v>2089</v>
      </c>
      <c r="K23" s="2074"/>
      <c r="N23" s="608"/>
    </row>
    <row r="24" spans="1:14" ht="18.75" customHeight="1" x14ac:dyDescent="0.2">
      <c r="A24" s="2071"/>
      <c r="B24" s="2072"/>
      <c r="C24" s="562">
        <v>2259</v>
      </c>
      <c r="D24" s="789">
        <v>84358</v>
      </c>
      <c r="E24" s="776"/>
      <c r="F24" s="776"/>
      <c r="G24" s="776"/>
      <c r="H24" s="776">
        <f t="shared" si="1"/>
        <v>84358</v>
      </c>
      <c r="I24" s="776">
        <f t="shared" si="1"/>
        <v>0</v>
      </c>
      <c r="J24" s="776"/>
      <c r="K24" s="2074"/>
      <c r="N24" s="608"/>
    </row>
    <row r="25" spans="1:14" ht="18.75" customHeight="1" x14ac:dyDescent="0.2">
      <c r="A25" s="2071"/>
      <c r="B25" s="2072"/>
      <c r="C25" s="562">
        <v>2279</v>
      </c>
      <c r="D25" s="789">
        <v>38000</v>
      </c>
      <c r="E25" s="776"/>
      <c r="F25" s="776"/>
      <c r="G25" s="776"/>
      <c r="H25" s="776">
        <f t="shared" si="1"/>
        <v>38000</v>
      </c>
      <c r="I25" s="776">
        <f t="shared" si="1"/>
        <v>0</v>
      </c>
      <c r="J25" s="776"/>
      <c r="K25" s="2074"/>
      <c r="N25" s="608"/>
    </row>
    <row r="26" spans="1:14" ht="18.75" customHeight="1" x14ac:dyDescent="0.2">
      <c r="A26" s="2071"/>
      <c r="B26" s="2072"/>
      <c r="C26" s="562">
        <v>1150</v>
      </c>
      <c r="D26" s="789">
        <v>4130</v>
      </c>
      <c r="E26" s="776"/>
      <c r="F26" s="1944">
        <v>-4130</v>
      </c>
      <c r="G26" s="776"/>
      <c r="H26" s="776">
        <f t="shared" si="1"/>
        <v>0</v>
      </c>
      <c r="I26" s="776">
        <f t="shared" si="1"/>
        <v>0</v>
      </c>
      <c r="J26" s="780"/>
      <c r="K26" s="2074"/>
      <c r="N26" s="608"/>
    </row>
    <row r="27" spans="1:14" ht="18.75" customHeight="1" x14ac:dyDescent="0.2">
      <c r="A27" s="2071"/>
      <c r="B27" s="2072"/>
      <c r="C27" s="562">
        <v>1210</v>
      </c>
      <c r="D27" s="789">
        <v>1227</v>
      </c>
      <c r="E27" s="776"/>
      <c r="F27" s="1944">
        <v>-1227</v>
      </c>
      <c r="G27" s="776"/>
      <c r="H27" s="776">
        <f t="shared" si="1"/>
        <v>0</v>
      </c>
      <c r="I27" s="776">
        <f t="shared" si="1"/>
        <v>0</v>
      </c>
      <c r="J27" s="776"/>
      <c r="K27" s="2074"/>
      <c r="N27" s="608"/>
    </row>
    <row r="28" spans="1:14" x14ac:dyDescent="0.2">
      <c r="A28" s="1722"/>
      <c r="B28" s="1434"/>
      <c r="C28" s="1723"/>
      <c r="D28" s="935"/>
      <c r="E28" s="1724"/>
      <c r="F28" s="1724"/>
      <c r="G28" s="1724"/>
      <c r="H28" s="1724"/>
      <c r="I28" s="1724"/>
      <c r="J28" s="1724"/>
      <c r="K28" s="1725"/>
    </row>
    <row r="29" spans="1:14" s="605" customFormat="1" x14ac:dyDescent="0.2">
      <c r="A29" s="605" t="s">
        <v>499</v>
      </c>
      <c r="C29" s="861" t="s">
        <v>1617</v>
      </c>
      <c r="D29" s="861"/>
      <c r="E29" s="861"/>
      <c r="F29" s="861"/>
      <c r="G29" s="861"/>
      <c r="H29" s="861"/>
      <c r="I29" s="861"/>
      <c r="J29" s="861"/>
      <c r="K29" s="861"/>
    </row>
    <row r="30" spans="1:14" s="605" customFormat="1" x14ac:dyDescent="0.2">
      <c r="A30" s="1717" t="s">
        <v>500</v>
      </c>
      <c r="B30" s="1717"/>
      <c r="C30" s="790" t="s">
        <v>1584</v>
      </c>
      <c r="D30" s="790"/>
      <c r="E30" s="790"/>
      <c r="F30" s="790"/>
      <c r="G30" s="790"/>
      <c r="H30" s="790"/>
      <c r="I30" s="790"/>
      <c r="J30" s="790"/>
      <c r="K30" s="790"/>
    </row>
    <row r="31" spans="1:14" s="605" customFormat="1" ht="27" customHeight="1" x14ac:dyDescent="0.2">
      <c r="A31" s="2068" t="s">
        <v>501</v>
      </c>
      <c r="B31" s="2068" t="s">
        <v>502</v>
      </c>
      <c r="C31" s="2068" t="s">
        <v>503</v>
      </c>
      <c r="D31" s="2069" t="s">
        <v>504</v>
      </c>
      <c r="E31" s="2069"/>
      <c r="F31" s="2069" t="s">
        <v>505</v>
      </c>
      <c r="G31" s="2069"/>
      <c r="H31" s="2069" t="s">
        <v>506</v>
      </c>
      <c r="I31" s="2069"/>
      <c r="J31" s="2069" t="s">
        <v>36</v>
      </c>
      <c r="K31" s="2068" t="s">
        <v>507</v>
      </c>
    </row>
    <row r="32" spans="1:14" s="605" customFormat="1" ht="31.5" customHeight="1" x14ac:dyDescent="0.2">
      <c r="A32" s="2068"/>
      <c r="B32" s="2068"/>
      <c r="C32" s="2068"/>
      <c r="D32" s="1101" t="s">
        <v>1113</v>
      </c>
      <c r="E32" s="1101" t="s">
        <v>1114</v>
      </c>
      <c r="F32" s="1101" t="s">
        <v>1113</v>
      </c>
      <c r="G32" s="1101" t="s">
        <v>1114</v>
      </c>
      <c r="H32" s="1101" t="s">
        <v>1113</v>
      </c>
      <c r="I32" s="1101" t="s">
        <v>1114</v>
      </c>
      <c r="J32" s="2069"/>
      <c r="K32" s="2068"/>
    </row>
    <row r="33" spans="1:14" s="605" customFormat="1" ht="15" customHeight="1" x14ac:dyDescent="0.2">
      <c r="A33" s="2070" t="s">
        <v>508</v>
      </c>
      <c r="B33" s="2070"/>
      <c r="C33" s="1719"/>
      <c r="D33" s="1719">
        <f>SUM(D34:D49)</f>
        <v>153248</v>
      </c>
      <c r="E33" s="1719">
        <f t="shared" ref="E33:I33" si="2">SUM(E34:E49)</f>
        <v>0</v>
      </c>
      <c r="F33" s="1719">
        <f t="shared" si="2"/>
        <v>0</v>
      </c>
      <c r="G33" s="1719">
        <f t="shared" si="2"/>
        <v>0</v>
      </c>
      <c r="H33" s="1719">
        <f t="shared" si="2"/>
        <v>153248</v>
      </c>
      <c r="I33" s="1719">
        <f t="shared" si="2"/>
        <v>0</v>
      </c>
      <c r="J33" s="1719"/>
      <c r="K33" s="1060"/>
      <c r="N33" s="1942"/>
    </row>
    <row r="34" spans="1:14" s="605" customFormat="1" ht="20.25" customHeight="1" x14ac:dyDescent="0.2">
      <c r="A34" s="2071">
        <v>1</v>
      </c>
      <c r="B34" s="2050" t="s">
        <v>2090</v>
      </c>
      <c r="C34" s="562">
        <v>2279</v>
      </c>
      <c r="D34" s="789">
        <v>16800</v>
      </c>
      <c r="E34" s="789"/>
      <c r="F34" s="1726">
        <v>358</v>
      </c>
      <c r="G34" s="789"/>
      <c r="H34" s="776">
        <f t="shared" ref="H34:I49" si="3">D34+F34</f>
        <v>17158</v>
      </c>
      <c r="I34" s="776">
        <f t="shared" si="3"/>
        <v>0</v>
      </c>
      <c r="J34" s="780" t="s">
        <v>2091</v>
      </c>
      <c r="K34" s="2073" t="s">
        <v>2092</v>
      </c>
      <c r="N34" s="1942"/>
    </row>
    <row r="35" spans="1:14" s="605" customFormat="1" ht="20.25" customHeight="1" x14ac:dyDescent="0.2">
      <c r="A35" s="2071"/>
      <c r="B35" s="2050"/>
      <c r="C35" s="601">
        <v>1150</v>
      </c>
      <c r="D35" s="789">
        <v>0</v>
      </c>
      <c r="E35" s="789"/>
      <c r="F35" s="753"/>
      <c r="G35" s="789"/>
      <c r="H35" s="776">
        <f t="shared" si="3"/>
        <v>0</v>
      </c>
      <c r="I35" s="776">
        <f t="shared" si="3"/>
        <v>0</v>
      </c>
      <c r="J35" s="789"/>
      <c r="K35" s="2073"/>
      <c r="N35" s="1942"/>
    </row>
    <row r="36" spans="1:14" s="605" customFormat="1" ht="18.75" customHeight="1" x14ac:dyDescent="0.2">
      <c r="A36" s="2071">
        <v>2</v>
      </c>
      <c r="B36" s="2061" t="s">
        <v>2093</v>
      </c>
      <c r="C36" s="562">
        <v>2121</v>
      </c>
      <c r="D36" s="789">
        <v>330</v>
      </c>
      <c r="E36" s="789"/>
      <c r="F36" s="792"/>
      <c r="G36" s="789"/>
      <c r="H36" s="776">
        <f t="shared" si="3"/>
        <v>330</v>
      </c>
      <c r="I36" s="776">
        <f t="shared" si="3"/>
        <v>0</v>
      </c>
      <c r="J36" s="789"/>
      <c r="K36" s="2073" t="s">
        <v>2094</v>
      </c>
      <c r="N36" s="1942"/>
    </row>
    <row r="37" spans="1:14" s="605" customFormat="1" ht="18.75" customHeight="1" x14ac:dyDescent="0.2">
      <c r="A37" s="2071"/>
      <c r="B37" s="2061"/>
      <c r="C37" s="562">
        <v>2279</v>
      </c>
      <c r="D37" s="789">
        <v>500</v>
      </c>
      <c r="E37" s="789"/>
      <c r="F37" s="753"/>
      <c r="G37" s="789"/>
      <c r="H37" s="776">
        <f t="shared" si="3"/>
        <v>500</v>
      </c>
      <c r="I37" s="776">
        <f t="shared" si="3"/>
        <v>0</v>
      </c>
      <c r="J37" s="780"/>
      <c r="K37" s="2073"/>
      <c r="N37" s="1942"/>
    </row>
    <row r="38" spans="1:14" s="605" customFormat="1" ht="18.75" customHeight="1" x14ac:dyDescent="0.2">
      <c r="A38" s="2071"/>
      <c r="B38" s="2061"/>
      <c r="C38" s="562">
        <v>2122</v>
      </c>
      <c r="D38" s="789">
        <v>1200</v>
      </c>
      <c r="E38" s="789"/>
      <c r="F38" s="789"/>
      <c r="G38" s="789"/>
      <c r="H38" s="776">
        <f t="shared" si="3"/>
        <v>1200</v>
      </c>
      <c r="I38" s="776">
        <f t="shared" si="3"/>
        <v>0</v>
      </c>
      <c r="J38" s="789"/>
      <c r="K38" s="2073"/>
      <c r="N38" s="1942"/>
    </row>
    <row r="39" spans="1:14" s="605" customFormat="1" ht="39" customHeight="1" x14ac:dyDescent="0.2">
      <c r="A39" s="1435">
        <v>3</v>
      </c>
      <c r="B39" s="1433" t="s">
        <v>2095</v>
      </c>
      <c r="C39" s="562">
        <v>2279</v>
      </c>
      <c r="D39" s="789">
        <v>14900</v>
      </c>
      <c r="E39" s="789"/>
      <c r="F39" s="789"/>
      <c r="G39" s="789"/>
      <c r="H39" s="776">
        <f t="shared" si="3"/>
        <v>14900</v>
      </c>
      <c r="I39" s="776">
        <f t="shared" si="3"/>
        <v>0</v>
      </c>
      <c r="J39" s="789"/>
      <c r="K39" s="1430" t="s">
        <v>2096</v>
      </c>
      <c r="N39" s="1942"/>
    </row>
    <row r="40" spans="1:14" s="605" customFormat="1" ht="39.75" customHeight="1" x14ac:dyDescent="0.2">
      <c r="A40" s="1435">
        <v>4</v>
      </c>
      <c r="B40" s="1433" t="s">
        <v>2097</v>
      </c>
      <c r="C40" s="562">
        <v>2121</v>
      </c>
      <c r="D40" s="789">
        <v>174</v>
      </c>
      <c r="E40" s="789"/>
      <c r="F40" s="789"/>
      <c r="G40" s="789"/>
      <c r="H40" s="776">
        <f t="shared" si="3"/>
        <v>174</v>
      </c>
      <c r="I40" s="776">
        <f t="shared" si="3"/>
        <v>0</v>
      </c>
      <c r="J40" s="789"/>
      <c r="K40" s="1430" t="s">
        <v>2098</v>
      </c>
      <c r="N40" s="1942"/>
    </row>
    <row r="41" spans="1:14" s="605" customFormat="1" ht="31.5" customHeight="1" x14ac:dyDescent="0.2">
      <c r="A41" s="2075">
        <v>5</v>
      </c>
      <c r="B41" s="2061" t="s">
        <v>2099</v>
      </c>
      <c r="C41" s="562">
        <v>2239</v>
      </c>
      <c r="D41" s="789">
        <v>1400</v>
      </c>
      <c r="E41" s="789"/>
      <c r="F41" s="789"/>
      <c r="G41" s="789"/>
      <c r="H41" s="776">
        <f t="shared" si="3"/>
        <v>1400</v>
      </c>
      <c r="I41" s="776">
        <f t="shared" si="3"/>
        <v>0</v>
      </c>
      <c r="J41" s="789"/>
      <c r="K41" s="2073" t="s">
        <v>2100</v>
      </c>
      <c r="N41" s="1942"/>
    </row>
    <row r="42" spans="1:14" s="605" customFormat="1" ht="31.5" customHeight="1" x14ac:dyDescent="0.2">
      <c r="A42" s="2075"/>
      <c r="B42" s="2061"/>
      <c r="C42" s="562">
        <v>2231</v>
      </c>
      <c r="D42" s="789">
        <v>600</v>
      </c>
      <c r="E42" s="789"/>
      <c r="F42" s="789"/>
      <c r="G42" s="789"/>
      <c r="H42" s="776">
        <f t="shared" si="3"/>
        <v>600</v>
      </c>
      <c r="I42" s="776">
        <f t="shared" si="3"/>
        <v>0</v>
      </c>
      <c r="J42" s="789"/>
      <c r="K42" s="2073"/>
      <c r="N42" s="1942"/>
    </row>
    <row r="43" spans="1:14" s="605" customFormat="1" ht="19.5" customHeight="1" x14ac:dyDescent="0.2">
      <c r="A43" s="1427">
        <v>7</v>
      </c>
      <c r="B43" s="1433" t="s">
        <v>2101</v>
      </c>
      <c r="C43" s="562">
        <v>2279</v>
      </c>
      <c r="D43" s="789">
        <v>150</v>
      </c>
      <c r="E43" s="789"/>
      <c r="F43" s="789"/>
      <c r="G43" s="789"/>
      <c r="H43" s="776">
        <f t="shared" si="3"/>
        <v>150</v>
      </c>
      <c r="I43" s="776">
        <f t="shared" si="3"/>
        <v>0</v>
      </c>
      <c r="J43" s="789"/>
      <c r="K43" s="587" t="s">
        <v>2102</v>
      </c>
      <c r="N43" s="1942"/>
    </row>
    <row r="44" spans="1:14" s="605" customFormat="1" ht="19.5" customHeight="1" x14ac:dyDescent="0.2">
      <c r="A44" s="2071">
        <v>8</v>
      </c>
      <c r="B44" s="2061" t="s">
        <v>2103</v>
      </c>
      <c r="C44" s="562">
        <v>2279</v>
      </c>
      <c r="D44" s="789">
        <v>81400</v>
      </c>
      <c r="E44" s="789"/>
      <c r="F44" s="789"/>
      <c r="G44" s="789"/>
      <c r="H44" s="776">
        <f t="shared" si="3"/>
        <v>81400</v>
      </c>
      <c r="I44" s="776">
        <f t="shared" si="3"/>
        <v>0</v>
      </c>
      <c r="J44" s="789"/>
      <c r="K44" s="2073" t="s">
        <v>2104</v>
      </c>
      <c r="N44" s="1942"/>
    </row>
    <row r="45" spans="1:14" s="605" customFormat="1" ht="19.5" customHeight="1" x14ac:dyDescent="0.2">
      <c r="A45" s="2071"/>
      <c r="B45" s="2061"/>
      <c r="C45" s="601">
        <v>2222</v>
      </c>
      <c r="D45" s="789">
        <v>1500</v>
      </c>
      <c r="E45" s="789"/>
      <c r="F45" s="789"/>
      <c r="G45" s="789"/>
      <c r="H45" s="776">
        <f t="shared" si="3"/>
        <v>1500</v>
      </c>
      <c r="I45" s="776">
        <f t="shared" si="3"/>
        <v>0</v>
      </c>
      <c r="J45" s="789"/>
      <c r="K45" s="2073"/>
      <c r="N45" s="1942"/>
    </row>
    <row r="46" spans="1:14" s="605" customFormat="1" ht="19.5" customHeight="1" x14ac:dyDescent="0.2">
      <c r="A46" s="2071"/>
      <c r="B46" s="2061"/>
      <c r="C46" s="601">
        <v>2223</v>
      </c>
      <c r="D46" s="789">
        <v>18500</v>
      </c>
      <c r="E46" s="789"/>
      <c r="F46" s="789"/>
      <c r="G46" s="789"/>
      <c r="H46" s="776">
        <f t="shared" si="3"/>
        <v>18500</v>
      </c>
      <c r="I46" s="776">
        <f t="shared" si="3"/>
        <v>0</v>
      </c>
      <c r="J46" s="789"/>
      <c r="K46" s="2073"/>
      <c r="N46" s="1942"/>
    </row>
    <row r="47" spans="1:14" s="605" customFormat="1" ht="28.5" customHeight="1" x14ac:dyDescent="0.2">
      <c r="A47" s="1427">
        <v>9</v>
      </c>
      <c r="B47" s="1432" t="s">
        <v>2105</v>
      </c>
      <c r="C47" s="562">
        <v>2279</v>
      </c>
      <c r="D47" s="789">
        <v>4254</v>
      </c>
      <c r="E47" s="789"/>
      <c r="F47" s="789"/>
      <c r="G47" s="789"/>
      <c r="H47" s="776">
        <f t="shared" si="3"/>
        <v>4254</v>
      </c>
      <c r="I47" s="776">
        <f t="shared" si="3"/>
        <v>0</v>
      </c>
      <c r="J47" s="789"/>
      <c r="K47" s="1727" t="s">
        <v>2106</v>
      </c>
      <c r="N47" s="1942"/>
    </row>
    <row r="48" spans="1:14" s="605" customFormat="1" ht="43.5" customHeight="1" x14ac:dyDescent="0.2">
      <c r="A48" s="587">
        <v>10</v>
      </c>
      <c r="B48" s="780" t="s">
        <v>2107</v>
      </c>
      <c r="C48" s="562">
        <v>3263</v>
      </c>
      <c r="D48" s="789">
        <v>1440</v>
      </c>
      <c r="E48" s="789"/>
      <c r="F48" s="1726">
        <v>-358</v>
      </c>
      <c r="G48" s="789"/>
      <c r="H48" s="776">
        <f t="shared" si="3"/>
        <v>1082</v>
      </c>
      <c r="I48" s="776">
        <f t="shared" si="3"/>
        <v>0</v>
      </c>
      <c r="J48" s="780" t="s">
        <v>2108</v>
      </c>
      <c r="K48" s="1727" t="s">
        <v>2109</v>
      </c>
      <c r="N48" s="1942"/>
    </row>
    <row r="49" spans="1:14" s="605" customFormat="1" ht="43.5" customHeight="1" x14ac:dyDescent="0.2">
      <c r="A49" s="587">
        <v>11</v>
      </c>
      <c r="B49" s="780" t="s">
        <v>2348</v>
      </c>
      <c r="C49" s="562">
        <v>2279</v>
      </c>
      <c r="D49" s="789">
        <f>10100</f>
        <v>10100</v>
      </c>
      <c r="E49" s="789"/>
      <c r="F49" s="789"/>
      <c r="G49" s="789"/>
      <c r="H49" s="776">
        <f t="shared" si="3"/>
        <v>10100</v>
      </c>
      <c r="I49" s="776">
        <f t="shared" si="3"/>
        <v>0</v>
      </c>
      <c r="J49" s="789"/>
      <c r="K49" s="1727" t="s">
        <v>2110</v>
      </c>
      <c r="N49" s="1942"/>
    </row>
    <row r="50" spans="1:14" s="605" customFormat="1" x14ac:dyDescent="0.2">
      <c r="A50" s="2076"/>
      <c r="B50" s="2076"/>
      <c r="C50" s="2076"/>
      <c r="D50" s="2076"/>
      <c r="E50" s="2076"/>
      <c r="F50" s="2076"/>
      <c r="G50" s="2076"/>
      <c r="H50" s="2076"/>
      <c r="I50" s="2076"/>
      <c r="J50" s="2076"/>
      <c r="K50" s="2076"/>
    </row>
    <row r="51" spans="1:14" s="605" customFormat="1" x14ac:dyDescent="0.2">
      <c r="A51" s="1728"/>
      <c r="B51" s="1728"/>
      <c r="C51" s="1728"/>
      <c r="D51" s="1728"/>
      <c r="E51" s="1728"/>
      <c r="F51" s="1728"/>
      <c r="G51" s="1728"/>
      <c r="H51" s="1728"/>
      <c r="I51" s="1728"/>
      <c r="J51" s="1728"/>
      <c r="K51" s="1728"/>
    </row>
    <row r="52" spans="1:14" s="605" customFormat="1" ht="12" customHeight="1" x14ac:dyDescent="0.2">
      <c r="A52" s="549" t="s">
        <v>499</v>
      </c>
      <c r="B52" s="549"/>
      <c r="C52" s="549" t="s">
        <v>1580</v>
      </c>
      <c r="D52" s="549"/>
      <c r="E52" s="549"/>
      <c r="F52" s="549"/>
      <c r="G52" s="549"/>
      <c r="H52" s="549"/>
      <c r="I52" s="549"/>
      <c r="J52" s="549"/>
      <c r="K52" s="549"/>
    </row>
    <row r="53" spans="1:14" s="605" customFormat="1" x14ac:dyDescent="0.2">
      <c r="A53" s="549" t="s">
        <v>500</v>
      </c>
      <c r="B53" s="549"/>
      <c r="C53" s="748" t="s">
        <v>1579</v>
      </c>
      <c r="D53" s="748"/>
      <c r="E53" s="748"/>
      <c r="F53" s="748"/>
      <c r="G53" s="748"/>
      <c r="H53" s="748"/>
      <c r="I53" s="748"/>
      <c r="J53" s="748"/>
      <c r="K53" s="748"/>
    </row>
    <row r="54" spans="1:14" s="605" customFormat="1" ht="25.5" customHeight="1" x14ac:dyDescent="0.2">
      <c r="A54" s="2068" t="s">
        <v>501</v>
      </c>
      <c r="B54" s="2068" t="s">
        <v>502</v>
      </c>
      <c r="C54" s="2068" t="s">
        <v>503</v>
      </c>
      <c r="D54" s="2069" t="s">
        <v>504</v>
      </c>
      <c r="E54" s="2069"/>
      <c r="F54" s="2069" t="s">
        <v>505</v>
      </c>
      <c r="G54" s="2069"/>
      <c r="H54" s="2069" t="s">
        <v>506</v>
      </c>
      <c r="I54" s="2069"/>
      <c r="J54" s="2069" t="s">
        <v>36</v>
      </c>
      <c r="K54" s="2068" t="s">
        <v>507</v>
      </c>
    </row>
    <row r="55" spans="1:14" s="605" customFormat="1" ht="26.25" customHeight="1" x14ac:dyDescent="0.2">
      <c r="A55" s="2068"/>
      <c r="B55" s="2068"/>
      <c r="C55" s="2068"/>
      <c r="D55" s="1101" t="s">
        <v>1113</v>
      </c>
      <c r="E55" s="1101" t="s">
        <v>1114</v>
      </c>
      <c r="F55" s="1101" t="s">
        <v>1113</v>
      </c>
      <c r="G55" s="1101" t="s">
        <v>1114</v>
      </c>
      <c r="H55" s="1101" t="s">
        <v>1113</v>
      </c>
      <c r="I55" s="1101" t="s">
        <v>1114</v>
      </c>
      <c r="J55" s="2069"/>
      <c r="K55" s="2068"/>
    </row>
    <row r="56" spans="1:14" s="605" customFormat="1" ht="12" customHeight="1" x14ac:dyDescent="0.2">
      <c r="A56" s="2070" t="s">
        <v>508</v>
      </c>
      <c r="B56" s="2070"/>
      <c r="C56" s="1060"/>
      <c r="D56" s="1719">
        <f>SUM(D57:D65)</f>
        <v>199857</v>
      </c>
      <c r="E56" s="1719">
        <f t="shared" ref="E56:I56" si="4">SUM(E57:E65)</f>
        <v>0</v>
      </c>
      <c r="F56" s="1719">
        <f t="shared" si="4"/>
        <v>-45121</v>
      </c>
      <c r="G56" s="1719">
        <f t="shared" si="4"/>
        <v>0</v>
      </c>
      <c r="H56" s="1719">
        <f t="shared" si="4"/>
        <v>154736</v>
      </c>
      <c r="I56" s="1719">
        <f t="shared" si="4"/>
        <v>0</v>
      </c>
      <c r="J56" s="1719"/>
      <c r="K56" s="1060"/>
      <c r="N56" s="1942"/>
    </row>
    <row r="57" spans="1:14" s="1109" customFormat="1" ht="25.5" customHeight="1" x14ac:dyDescent="0.2">
      <c r="A57" s="2078">
        <v>1</v>
      </c>
      <c r="B57" s="2072" t="s">
        <v>2111</v>
      </c>
      <c r="C57" s="601">
        <v>2279</v>
      </c>
      <c r="D57" s="563">
        <v>32600</v>
      </c>
      <c r="E57" s="563"/>
      <c r="F57" s="563"/>
      <c r="G57" s="563"/>
      <c r="H57" s="776">
        <f t="shared" ref="H57:I65" si="5">D57+F57</f>
        <v>32600</v>
      </c>
      <c r="I57" s="776">
        <f t="shared" si="5"/>
        <v>0</v>
      </c>
      <c r="J57" s="563"/>
      <c r="K57" s="2081" t="s">
        <v>2112</v>
      </c>
      <c r="N57" s="1942"/>
    </row>
    <row r="58" spans="1:14" s="605" customFormat="1" ht="25.5" customHeight="1" x14ac:dyDescent="0.2">
      <c r="A58" s="2079"/>
      <c r="B58" s="2072"/>
      <c r="C58" s="601">
        <v>3262</v>
      </c>
      <c r="D58" s="1729">
        <v>33421</v>
      </c>
      <c r="E58" s="1719"/>
      <c r="F58" s="1730">
        <v>-30000</v>
      </c>
      <c r="G58" s="1719"/>
      <c r="H58" s="776">
        <f t="shared" si="5"/>
        <v>3421</v>
      </c>
      <c r="I58" s="776">
        <f t="shared" si="5"/>
        <v>0</v>
      </c>
      <c r="J58" s="1719"/>
      <c r="K58" s="2081"/>
      <c r="N58" s="1942"/>
    </row>
    <row r="59" spans="1:14" s="605" customFormat="1" ht="25.5" customHeight="1" x14ac:dyDescent="0.2">
      <c r="A59" s="2080"/>
      <c r="B59" s="2072"/>
      <c r="C59" s="601">
        <v>2231</v>
      </c>
      <c r="D59" s="1729">
        <v>12500</v>
      </c>
      <c r="E59" s="1729"/>
      <c r="F59" s="1729"/>
      <c r="G59" s="1729"/>
      <c r="H59" s="776">
        <f t="shared" si="5"/>
        <v>12500</v>
      </c>
      <c r="I59" s="776">
        <f t="shared" si="5"/>
        <v>0</v>
      </c>
      <c r="J59" s="1729"/>
      <c r="K59" s="2081"/>
      <c r="N59" s="1942"/>
    </row>
    <row r="60" spans="1:14" s="605" customFormat="1" ht="15.75" customHeight="1" x14ac:dyDescent="0.2">
      <c r="A60" s="2078">
        <v>2</v>
      </c>
      <c r="B60" s="2072" t="s">
        <v>2113</v>
      </c>
      <c r="C60" s="601">
        <v>3262</v>
      </c>
      <c r="D60" s="1729">
        <v>8600</v>
      </c>
      <c r="E60" s="1719"/>
      <c r="F60" s="1730">
        <f>6650+3645+155+1079</f>
        <v>11529</v>
      </c>
      <c r="G60" s="1719"/>
      <c r="H60" s="776">
        <f t="shared" si="5"/>
        <v>20129</v>
      </c>
      <c r="I60" s="776">
        <f t="shared" si="5"/>
        <v>0</v>
      </c>
      <c r="J60" s="1731" t="s">
        <v>2114</v>
      </c>
      <c r="K60" s="2081" t="s">
        <v>2115</v>
      </c>
      <c r="N60" s="1942"/>
    </row>
    <row r="61" spans="1:14" s="605" customFormat="1" ht="15.75" customHeight="1" x14ac:dyDescent="0.2">
      <c r="A61" s="2080"/>
      <c r="B61" s="2072"/>
      <c r="C61" s="601">
        <v>2279</v>
      </c>
      <c r="D61" s="1729">
        <v>6650</v>
      </c>
      <c r="E61" s="1719"/>
      <c r="F61" s="1730">
        <v>-6650</v>
      </c>
      <c r="G61" s="1719"/>
      <c r="H61" s="776">
        <f t="shared" si="5"/>
        <v>0</v>
      </c>
      <c r="I61" s="776">
        <f t="shared" si="5"/>
        <v>0</v>
      </c>
      <c r="J61" s="1731" t="s">
        <v>2116</v>
      </c>
      <c r="K61" s="2081"/>
      <c r="N61" s="1942"/>
    </row>
    <row r="62" spans="1:14" s="605" customFormat="1" ht="24.75" customHeight="1" x14ac:dyDescent="0.2">
      <c r="A62" s="1429">
        <v>3</v>
      </c>
      <c r="B62" s="1428" t="s">
        <v>2117</v>
      </c>
      <c r="C62" s="601">
        <v>2261</v>
      </c>
      <c r="D62" s="1729">
        <v>3300</v>
      </c>
      <c r="E62" s="1719"/>
      <c r="F62" s="1719"/>
      <c r="G62" s="1719"/>
      <c r="H62" s="776">
        <f t="shared" si="5"/>
        <v>3300</v>
      </c>
      <c r="I62" s="776">
        <f t="shared" si="5"/>
        <v>0</v>
      </c>
      <c r="J62" s="1719"/>
      <c r="K62" s="917" t="s">
        <v>2118</v>
      </c>
      <c r="N62" s="1942"/>
    </row>
    <row r="63" spans="1:14" s="605" customFormat="1" ht="35.25" customHeight="1" x14ac:dyDescent="0.2">
      <c r="A63" s="1429">
        <v>4</v>
      </c>
      <c r="B63" s="1428" t="s">
        <v>2119</v>
      </c>
      <c r="C63" s="601">
        <v>2262</v>
      </c>
      <c r="D63" s="1729">
        <v>2000</v>
      </c>
      <c r="E63" s="1719"/>
      <c r="F63" s="1719"/>
      <c r="G63" s="1719"/>
      <c r="H63" s="776">
        <f t="shared" si="5"/>
        <v>2000</v>
      </c>
      <c r="I63" s="776">
        <f t="shared" si="5"/>
        <v>0</v>
      </c>
      <c r="J63" s="1719"/>
      <c r="K63" s="1732" t="s">
        <v>2120</v>
      </c>
      <c r="N63" s="1942"/>
    </row>
    <row r="64" spans="1:14" s="605" customFormat="1" ht="39.75" customHeight="1" x14ac:dyDescent="0.2">
      <c r="A64" s="1431">
        <v>5</v>
      </c>
      <c r="B64" s="1433" t="s">
        <v>1983</v>
      </c>
      <c r="C64" s="601">
        <v>5250</v>
      </c>
      <c r="D64" s="1729">
        <v>49000</v>
      </c>
      <c r="E64" s="1719"/>
      <c r="F64" s="1730">
        <v>-20000</v>
      </c>
      <c r="G64" s="1719"/>
      <c r="H64" s="776">
        <f t="shared" si="5"/>
        <v>29000</v>
      </c>
      <c r="I64" s="776">
        <f t="shared" si="5"/>
        <v>0</v>
      </c>
      <c r="J64" s="1731" t="s">
        <v>2121</v>
      </c>
      <c r="K64" s="1424" t="s">
        <v>2122</v>
      </c>
      <c r="N64" s="1942"/>
    </row>
    <row r="65" spans="1:14" s="605" customFormat="1" ht="36" x14ac:dyDescent="0.2">
      <c r="A65" s="1431">
        <v>6</v>
      </c>
      <c r="B65" s="1433" t="s">
        <v>2123</v>
      </c>
      <c r="C65" s="765">
        <v>5240</v>
      </c>
      <c r="D65" s="1729">
        <v>51786</v>
      </c>
      <c r="E65" s="1719"/>
      <c r="F65" s="749"/>
      <c r="G65" s="1719"/>
      <c r="H65" s="776">
        <f t="shared" si="5"/>
        <v>51786</v>
      </c>
      <c r="I65" s="776">
        <f t="shared" si="5"/>
        <v>0</v>
      </c>
      <c r="J65" s="1731"/>
      <c r="K65" s="1727" t="s">
        <v>2124</v>
      </c>
      <c r="N65" s="1942"/>
    </row>
    <row r="66" spans="1:14" x14ac:dyDescent="0.2">
      <c r="A66" s="451" t="s">
        <v>570</v>
      </c>
      <c r="D66" s="589"/>
      <c r="E66" s="605"/>
      <c r="F66" s="605"/>
      <c r="G66" s="605"/>
      <c r="H66" s="605"/>
      <c r="I66" s="605"/>
      <c r="J66" s="605"/>
      <c r="K66" s="605"/>
    </row>
    <row r="67" spans="1:14" x14ac:dyDescent="0.2">
      <c r="A67" s="451" t="s">
        <v>807</v>
      </c>
      <c r="D67" s="589"/>
      <c r="E67" s="605"/>
      <c r="F67" s="605"/>
      <c r="G67" s="605"/>
      <c r="H67" s="605"/>
      <c r="I67" s="605"/>
      <c r="J67" s="605"/>
      <c r="K67" s="605"/>
    </row>
    <row r="68" spans="1:14" x14ac:dyDescent="0.2">
      <c r="B68" s="812" t="s">
        <v>2125</v>
      </c>
      <c r="D68" s="863"/>
      <c r="E68" s="1733"/>
      <c r="F68" s="1733"/>
      <c r="G68" s="1733"/>
      <c r="H68" s="1733"/>
      <c r="I68" s="1733"/>
      <c r="J68" s="1733"/>
      <c r="K68" s="1733"/>
    </row>
    <row r="69" spans="1:14" x14ac:dyDescent="0.2">
      <c r="B69" s="812" t="s">
        <v>2126</v>
      </c>
      <c r="D69" s="611"/>
      <c r="E69" s="611"/>
      <c r="F69" s="611"/>
      <c r="G69" s="611"/>
      <c r="H69" s="611"/>
      <c r="I69" s="611"/>
      <c r="J69" s="611"/>
      <c r="K69" s="611"/>
    </row>
    <row r="70" spans="1:14" x14ac:dyDescent="0.2">
      <c r="A70" s="611"/>
      <c r="B70" s="803" t="s">
        <v>2127</v>
      </c>
      <c r="C70" s="611"/>
      <c r="D70" s="611"/>
      <c r="E70" s="611"/>
      <c r="F70" s="611"/>
      <c r="G70" s="611"/>
      <c r="H70" s="611"/>
      <c r="I70" s="611"/>
      <c r="J70" s="611"/>
      <c r="K70" s="611"/>
    </row>
    <row r="71" spans="1:14" x14ac:dyDescent="0.2">
      <c r="A71" s="611"/>
      <c r="B71" s="803" t="s">
        <v>2128</v>
      </c>
      <c r="C71" s="611"/>
      <c r="D71" s="611"/>
      <c r="E71" s="611"/>
      <c r="F71" s="611"/>
      <c r="G71" s="611"/>
      <c r="H71" s="611"/>
      <c r="I71" s="611"/>
      <c r="J71" s="611"/>
      <c r="K71" s="611"/>
    </row>
    <row r="72" spans="1:14" x14ac:dyDescent="0.2">
      <c r="A72" s="611"/>
      <c r="B72" s="812" t="s">
        <v>1682</v>
      </c>
      <c r="C72" s="611"/>
      <c r="D72" s="611"/>
      <c r="E72" s="611"/>
      <c r="F72" s="611"/>
      <c r="G72" s="611"/>
      <c r="H72" s="611"/>
      <c r="I72" s="611"/>
      <c r="J72" s="611"/>
      <c r="K72" s="611"/>
    </row>
    <row r="73" spans="1:14" x14ac:dyDescent="0.2">
      <c r="A73" s="611"/>
      <c r="B73" s="803" t="s">
        <v>2129</v>
      </c>
      <c r="C73" s="611"/>
      <c r="D73" s="611"/>
      <c r="E73" s="611"/>
      <c r="F73" s="611"/>
      <c r="G73" s="611"/>
      <c r="H73" s="611"/>
      <c r="I73" s="611"/>
      <c r="J73" s="611"/>
      <c r="K73" s="611"/>
    </row>
    <row r="74" spans="1:14" x14ac:dyDescent="0.2">
      <c r="A74" s="611"/>
      <c r="B74" s="803" t="s">
        <v>1924</v>
      </c>
      <c r="C74" s="611"/>
      <c r="D74" s="611"/>
      <c r="E74" s="611"/>
      <c r="F74" s="611"/>
      <c r="G74" s="611"/>
      <c r="H74" s="611"/>
      <c r="I74" s="611"/>
      <c r="J74" s="611"/>
      <c r="K74" s="611"/>
    </row>
    <row r="75" spans="1:14" x14ac:dyDescent="0.2">
      <c r="A75" s="611"/>
      <c r="B75" s="812" t="s">
        <v>2130</v>
      </c>
      <c r="C75" s="611"/>
      <c r="D75" s="611"/>
      <c r="E75" s="611"/>
      <c r="F75" s="611"/>
      <c r="G75" s="611"/>
      <c r="H75" s="611"/>
      <c r="I75" s="611"/>
      <c r="J75" s="611"/>
      <c r="K75" s="611"/>
    </row>
    <row r="76" spans="1:14" x14ac:dyDescent="0.2">
      <c r="A76" s="611"/>
      <c r="B76" s="803" t="s">
        <v>2131</v>
      </c>
      <c r="C76" s="611"/>
      <c r="D76" s="611"/>
      <c r="E76" s="611"/>
      <c r="F76" s="611"/>
      <c r="G76" s="611"/>
      <c r="H76" s="611"/>
      <c r="I76" s="611"/>
      <c r="J76" s="611"/>
      <c r="K76" s="611"/>
    </row>
    <row r="77" spans="1:14" x14ac:dyDescent="0.2">
      <c r="A77" s="611"/>
      <c r="B77" s="803" t="s">
        <v>2132</v>
      </c>
      <c r="C77" s="611"/>
      <c r="D77" s="611"/>
      <c r="E77" s="611"/>
      <c r="F77" s="611"/>
      <c r="G77" s="611"/>
      <c r="H77" s="611"/>
      <c r="I77" s="611"/>
      <c r="J77" s="611"/>
      <c r="K77" s="611"/>
    </row>
    <row r="78" spans="1:14" x14ac:dyDescent="0.2">
      <c r="A78" s="611"/>
      <c r="B78" s="812" t="s">
        <v>2133</v>
      </c>
      <c r="C78" s="611"/>
      <c r="D78" s="611"/>
      <c r="E78" s="611"/>
      <c r="F78" s="611"/>
      <c r="G78" s="611"/>
      <c r="H78" s="611"/>
      <c r="I78" s="611"/>
      <c r="J78" s="611"/>
      <c r="K78" s="611"/>
    </row>
    <row r="79" spans="1:14" x14ac:dyDescent="0.2">
      <c r="A79" s="611"/>
      <c r="B79" s="803" t="s">
        <v>2134</v>
      </c>
      <c r="C79" s="611"/>
      <c r="D79" s="611"/>
      <c r="E79" s="611"/>
      <c r="F79" s="611"/>
      <c r="G79" s="611"/>
      <c r="H79" s="611"/>
      <c r="I79" s="611"/>
      <c r="J79" s="611"/>
      <c r="K79" s="611"/>
    </row>
    <row r="80" spans="1:14" x14ac:dyDescent="0.2">
      <c r="A80" s="611"/>
      <c r="B80" s="803" t="s">
        <v>2135</v>
      </c>
      <c r="C80" s="611"/>
      <c r="D80" s="611"/>
      <c r="E80" s="611"/>
      <c r="F80" s="611"/>
      <c r="G80" s="611"/>
      <c r="H80" s="611"/>
      <c r="I80" s="611"/>
      <c r="J80" s="611"/>
      <c r="K80" s="611"/>
    </row>
    <row r="81" spans="1:11" x14ac:dyDescent="0.2">
      <c r="A81" s="611"/>
      <c r="B81" s="812" t="s">
        <v>2136</v>
      </c>
      <c r="C81" s="611"/>
      <c r="D81" s="611"/>
      <c r="E81" s="611"/>
      <c r="F81" s="611"/>
      <c r="G81" s="611"/>
      <c r="H81" s="611"/>
      <c r="I81" s="611"/>
      <c r="J81" s="611"/>
      <c r="K81" s="611"/>
    </row>
    <row r="82" spans="1:11" x14ac:dyDescent="0.2">
      <c r="B82" s="803" t="s">
        <v>2137</v>
      </c>
      <c r="D82" s="611"/>
      <c r="E82" s="611"/>
      <c r="F82" s="611"/>
      <c r="G82" s="611"/>
      <c r="H82" s="611"/>
      <c r="I82" s="611"/>
      <c r="J82" s="611"/>
      <c r="K82" s="611"/>
    </row>
    <row r="83" spans="1:11" x14ac:dyDescent="0.2">
      <c r="B83" s="803" t="s">
        <v>2138</v>
      </c>
      <c r="D83" s="611"/>
      <c r="E83" s="611"/>
      <c r="F83" s="611"/>
      <c r="G83" s="611"/>
      <c r="H83" s="611"/>
      <c r="I83" s="611"/>
      <c r="J83" s="611"/>
      <c r="K83" s="611"/>
    </row>
    <row r="84" spans="1:11" x14ac:dyDescent="0.2">
      <c r="B84" s="812" t="s">
        <v>2139</v>
      </c>
    </row>
    <row r="85" spans="1:11" x14ac:dyDescent="0.2">
      <c r="B85" s="774" t="s">
        <v>2140</v>
      </c>
    </row>
    <row r="86" spans="1:11" x14ac:dyDescent="0.2">
      <c r="B86" s="774" t="s">
        <v>2141</v>
      </c>
    </row>
    <row r="87" spans="1:11" x14ac:dyDescent="0.2">
      <c r="B87" s="812" t="s">
        <v>2142</v>
      </c>
    </row>
    <row r="88" spans="1:11" x14ac:dyDescent="0.2">
      <c r="B88" s="803" t="s">
        <v>2143</v>
      </c>
    </row>
    <row r="89" spans="1:11" x14ac:dyDescent="0.2">
      <c r="B89" s="803" t="s">
        <v>2144</v>
      </c>
    </row>
    <row r="90" spans="1:11" x14ac:dyDescent="0.2">
      <c r="B90" s="812" t="s">
        <v>2145</v>
      </c>
    </row>
    <row r="91" spans="1:11" x14ac:dyDescent="0.2">
      <c r="B91" s="803" t="s">
        <v>2146</v>
      </c>
    </row>
    <row r="92" spans="1:11" x14ac:dyDescent="0.2">
      <c r="B92" s="803" t="s">
        <v>2147</v>
      </c>
    </row>
    <row r="93" spans="1:11" x14ac:dyDescent="0.2">
      <c r="B93" s="803" t="s">
        <v>2148</v>
      </c>
    </row>
    <row r="94" spans="1:11" x14ac:dyDescent="0.2">
      <c r="B94" s="803" t="s">
        <v>2149</v>
      </c>
    </row>
    <row r="95" spans="1:11" x14ac:dyDescent="0.2">
      <c r="B95" s="803" t="s">
        <v>2150</v>
      </c>
    </row>
    <row r="96" spans="1:11" x14ac:dyDescent="0.2">
      <c r="B96" s="803" t="s">
        <v>2151</v>
      </c>
    </row>
    <row r="97" spans="2:2" x14ac:dyDescent="0.2">
      <c r="B97" s="803" t="s">
        <v>2152</v>
      </c>
    </row>
    <row r="98" spans="2:2" x14ac:dyDescent="0.2">
      <c r="B98" s="803" t="s">
        <v>2153</v>
      </c>
    </row>
    <row r="99" spans="2:2" x14ac:dyDescent="0.2">
      <c r="B99" s="591"/>
    </row>
    <row r="100" spans="2:2" x14ac:dyDescent="0.2">
      <c r="B100" s="812" t="s">
        <v>2154</v>
      </c>
    </row>
    <row r="101" spans="2:2" x14ac:dyDescent="0.2">
      <c r="B101" s="812" t="s">
        <v>2155</v>
      </c>
    </row>
    <row r="102" spans="2:2" x14ac:dyDescent="0.2">
      <c r="B102" s="803" t="s">
        <v>2156</v>
      </c>
    </row>
    <row r="103" spans="2:2" x14ac:dyDescent="0.2">
      <c r="B103" s="812" t="s">
        <v>2157</v>
      </c>
    </row>
    <row r="104" spans="2:2" x14ac:dyDescent="0.2">
      <c r="B104" s="803" t="s">
        <v>2158</v>
      </c>
    </row>
    <row r="105" spans="2:2" x14ac:dyDescent="0.2">
      <c r="B105" s="812" t="s">
        <v>2159</v>
      </c>
    </row>
    <row r="106" spans="2:2" x14ac:dyDescent="0.2">
      <c r="B106" s="803" t="s">
        <v>1858</v>
      </c>
    </row>
    <row r="107" spans="2:2" x14ac:dyDescent="0.2">
      <c r="B107" s="803" t="s">
        <v>2160</v>
      </c>
    </row>
    <row r="108" spans="2:2" x14ac:dyDescent="0.2">
      <c r="B108" s="609" t="s">
        <v>2161</v>
      </c>
    </row>
    <row r="109" spans="2:2" ht="12" customHeight="1" x14ac:dyDescent="0.2">
      <c r="B109" s="1734" t="s">
        <v>2162</v>
      </c>
    </row>
    <row r="110" spans="2:2" x14ac:dyDescent="0.2">
      <c r="B110" s="1735" t="s">
        <v>2163</v>
      </c>
    </row>
    <row r="111" spans="2:2" x14ac:dyDescent="0.2">
      <c r="B111" s="591" t="s">
        <v>2164</v>
      </c>
    </row>
    <row r="112" spans="2:2" x14ac:dyDescent="0.2">
      <c r="B112" s="1735" t="s">
        <v>2165</v>
      </c>
    </row>
    <row r="113" spans="2:3" ht="12" customHeight="1" x14ac:dyDescent="0.2">
      <c r="B113" s="1123" t="s">
        <v>2166</v>
      </c>
    </row>
    <row r="114" spans="2:3" ht="12" customHeight="1" x14ac:dyDescent="0.2">
      <c r="B114" s="1122" t="s">
        <v>2167</v>
      </c>
      <c r="C114" s="1125"/>
    </row>
    <row r="115" spans="2:3" ht="12" customHeight="1" x14ac:dyDescent="0.2">
      <c r="B115" s="1122" t="s">
        <v>2168</v>
      </c>
      <c r="C115" s="1125"/>
    </row>
    <row r="116" spans="2:3" ht="12" customHeight="1" x14ac:dyDescent="0.2">
      <c r="B116" s="1736" t="s">
        <v>2169</v>
      </c>
      <c r="C116" s="1125"/>
    </row>
    <row r="117" spans="2:3" ht="12" customHeight="1" x14ac:dyDescent="0.2">
      <c r="B117" s="1123" t="s">
        <v>2170</v>
      </c>
      <c r="C117" s="1125"/>
    </row>
    <row r="118" spans="2:3" ht="12" customHeight="1" x14ac:dyDescent="0.2">
      <c r="B118" s="1123" t="s">
        <v>2171</v>
      </c>
      <c r="C118" s="1125"/>
    </row>
    <row r="119" spans="2:3" ht="12" customHeight="1" x14ac:dyDescent="0.2">
      <c r="B119" s="1737" t="s">
        <v>2172</v>
      </c>
      <c r="C119" s="1125"/>
    </row>
    <row r="120" spans="2:3" ht="12" customHeight="1" x14ac:dyDescent="0.2">
      <c r="B120" s="1122" t="s">
        <v>2173</v>
      </c>
      <c r="C120" s="1125"/>
    </row>
    <row r="121" spans="2:3" ht="12" customHeight="1" x14ac:dyDescent="0.2">
      <c r="B121" s="1122" t="s">
        <v>2174</v>
      </c>
      <c r="C121" s="1125"/>
    </row>
    <row r="122" spans="2:3" ht="12" customHeight="1" x14ac:dyDescent="0.2">
      <c r="B122" s="1738" t="s">
        <v>2175</v>
      </c>
      <c r="C122" s="1125"/>
    </row>
    <row r="123" spans="2:3" ht="12" customHeight="1" x14ac:dyDescent="0.2">
      <c r="B123" s="1122" t="s">
        <v>2176</v>
      </c>
      <c r="C123" s="1125"/>
    </row>
    <row r="124" spans="2:3" ht="12" customHeight="1" x14ac:dyDescent="0.2">
      <c r="B124" s="1738" t="s">
        <v>2177</v>
      </c>
      <c r="C124" s="1125"/>
    </row>
    <row r="125" spans="2:3" ht="12" customHeight="1" x14ac:dyDescent="0.2">
      <c r="B125" s="1122" t="s">
        <v>2178</v>
      </c>
      <c r="C125" s="1125"/>
    </row>
    <row r="126" spans="2:3" ht="12" customHeight="1" x14ac:dyDescent="0.2">
      <c r="B126" s="1738" t="s">
        <v>2179</v>
      </c>
      <c r="C126" s="1125"/>
    </row>
    <row r="127" spans="2:3" ht="12" customHeight="1" x14ac:dyDescent="0.2">
      <c r="B127" s="1122" t="s">
        <v>2180</v>
      </c>
      <c r="C127" s="1734"/>
    </row>
    <row r="128" spans="2:3" x14ac:dyDescent="0.2">
      <c r="B128" s="812" t="s">
        <v>2181</v>
      </c>
    </row>
    <row r="129" spans="2:3" ht="12" customHeight="1" x14ac:dyDescent="0.2">
      <c r="B129" s="1739" t="s">
        <v>2182</v>
      </c>
    </row>
    <row r="130" spans="2:3" ht="12" customHeight="1" x14ac:dyDescent="0.2">
      <c r="B130" s="1740" t="s">
        <v>2183</v>
      </c>
    </row>
    <row r="131" spans="2:3" ht="12" customHeight="1" x14ac:dyDescent="0.2">
      <c r="B131" s="1122" t="s">
        <v>2184</v>
      </c>
      <c r="C131" s="1741"/>
    </row>
    <row r="132" spans="2:3" ht="12" customHeight="1" x14ac:dyDescent="0.2">
      <c r="B132" s="1122" t="s">
        <v>2185</v>
      </c>
      <c r="C132" s="1741"/>
    </row>
    <row r="133" spans="2:3" x14ac:dyDescent="0.2">
      <c r="B133" s="549"/>
    </row>
    <row r="134" spans="2:3" ht="11.25" customHeight="1" x14ac:dyDescent="0.2">
      <c r="B134" s="1742" t="s">
        <v>2186</v>
      </c>
    </row>
    <row r="135" spans="2:3" x14ac:dyDescent="0.2">
      <c r="B135" s="1743" t="s">
        <v>2187</v>
      </c>
    </row>
    <row r="136" spans="2:3" x14ac:dyDescent="0.2">
      <c r="B136" s="549" t="s">
        <v>2188</v>
      </c>
    </row>
    <row r="138" spans="2:3" x14ac:dyDescent="0.2">
      <c r="B138" s="609" t="s">
        <v>987</v>
      </c>
    </row>
    <row r="139" spans="2:3" x14ac:dyDescent="0.2">
      <c r="B139" s="609" t="s">
        <v>2189</v>
      </c>
    </row>
    <row r="140" spans="2:3" x14ac:dyDescent="0.2">
      <c r="B140" s="451" t="s">
        <v>2190</v>
      </c>
    </row>
    <row r="141" spans="2:3" x14ac:dyDescent="0.2">
      <c r="B141" s="451" t="s">
        <v>2191</v>
      </c>
    </row>
    <row r="142" spans="2:3" x14ac:dyDescent="0.2">
      <c r="B142" s="451" t="s">
        <v>2192</v>
      </c>
    </row>
    <row r="143" spans="2:3" x14ac:dyDescent="0.2">
      <c r="B143" s="451" t="s">
        <v>2193</v>
      </c>
    </row>
    <row r="145" spans="1:14" x14ac:dyDescent="0.2">
      <c r="B145" s="1744" t="s">
        <v>2194</v>
      </c>
    </row>
    <row r="146" spans="1:14" ht="9.75" customHeight="1" x14ac:dyDescent="0.2">
      <c r="B146" s="2049" t="s">
        <v>2195</v>
      </c>
      <c r="C146" s="2049"/>
      <c r="D146" s="2049"/>
      <c r="E146" s="2049"/>
      <c r="F146" s="2049"/>
      <c r="G146" s="2049"/>
      <c r="H146" s="2049"/>
      <c r="I146" s="2049"/>
      <c r="J146" s="2049"/>
      <c r="K146" s="2049"/>
    </row>
    <row r="147" spans="1:14" ht="15" customHeight="1" x14ac:dyDescent="0.2">
      <c r="B147" s="2049"/>
      <c r="C147" s="2049"/>
      <c r="D147" s="2049"/>
      <c r="E147" s="2049"/>
      <c r="F147" s="2049"/>
      <c r="G147" s="2049"/>
      <c r="H147" s="2049"/>
      <c r="I147" s="2049"/>
      <c r="J147" s="2049"/>
      <c r="K147" s="2049"/>
    </row>
    <row r="148" spans="1:14" x14ac:dyDescent="0.2">
      <c r="B148" s="747" t="s">
        <v>2196</v>
      </c>
    </row>
    <row r="149" spans="1:14" x14ac:dyDescent="0.2">
      <c r="B149" s="451" t="s">
        <v>2197</v>
      </c>
    </row>
    <row r="151" spans="1:14" x14ac:dyDescent="0.2">
      <c r="B151" s="1745" t="s">
        <v>2198</v>
      </c>
    </row>
    <row r="152" spans="1:14" x14ac:dyDescent="0.2">
      <c r="B152" s="1746" t="s">
        <v>2199</v>
      </c>
    </row>
    <row r="155" spans="1:14" s="1747" customFormat="1" ht="39.75" customHeight="1" x14ac:dyDescent="0.3">
      <c r="A155" s="2077"/>
      <c r="B155" s="2077"/>
      <c r="C155" s="2077"/>
      <c r="D155" s="2077"/>
      <c r="E155" s="2077"/>
      <c r="F155" s="2077"/>
      <c r="G155" s="2077"/>
      <c r="H155" s="2077"/>
      <c r="I155" s="2077"/>
      <c r="J155" s="2077"/>
      <c r="K155" s="1486"/>
      <c r="L155" s="1486"/>
      <c r="M155" s="1486"/>
      <c r="N155" s="1486"/>
    </row>
  </sheetData>
  <sheetProtection algorithmName="SHA-512" hashValue="TkoRPIMcMrnhOPo7tqbNhM+0RKAPOHwHdxLic4jRP2RMK001KWMVtX/6xVYk+s06D079ZfCHXqXntzjMRpYvaQ==" saltValue="KbUemBrKAFgZtrx3MkowhQ==" spinCount="100000" sheet="1" objects="1" scenarios="1"/>
  <mergeCells count="53">
    <mergeCell ref="B146:K147"/>
    <mergeCell ref="A155:J155"/>
    <mergeCell ref="A56:B56"/>
    <mergeCell ref="A57:A59"/>
    <mergeCell ref="B57:B59"/>
    <mergeCell ref="K57:K59"/>
    <mergeCell ref="A60:A61"/>
    <mergeCell ref="B60:B61"/>
    <mergeCell ref="K60:K61"/>
    <mergeCell ref="A50:K50"/>
    <mergeCell ref="A54:A55"/>
    <mergeCell ref="B54:B55"/>
    <mergeCell ref="C54:C55"/>
    <mergeCell ref="D54:E54"/>
    <mergeCell ref="F54:G54"/>
    <mergeCell ref="H54:I54"/>
    <mergeCell ref="J54:J55"/>
    <mergeCell ref="K54:K55"/>
    <mergeCell ref="A41:A42"/>
    <mergeCell ref="B41:B42"/>
    <mergeCell ref="K41:K42"/>
    <mergeCell ref="A44:A46"/>
    <mergeCell ref="B44:B46"/>
    <mergeCell ref="K44:K46"/>
    <mergeCell ref="A33:B33"/>
    <mergeCell ref="A34:A35"/>
    <mergeCell ref="B34:B35"/>
    <mergeCell ref="K34:K35"/>
    <mergeCell ref="A36:A38"/>
    <mergeCell ref="B36:B38"/>
    <mergeCell ref="K36:K38"/>
    <mergeCell ref="A13:B13"/>
    <mergeCell ref="A21:A27"/>
    <mergeCell ref="B21:B27"/>
    <mergeCell ref="K21:K27"/>
    <mergeCell ref="A31:A32"/>
    <mergeCell ref="B31:B32"/>
    <mergeCell ref="C31:C32"/>
    <mergeCell ref="D31:E31"/>
    <mergeCell ref="F31:G31"/>
    <mergeCell ref="H31:I31"/>
    <mergeCell ref="J31:J32"/>
    <mergeCell ref="K31:K32"/>
    <mergeCell ref="A6:K6"/>
    <mergeCell ref="A8:B8"/>
    <mergeCell ref="A11:A12"/>
    <mergeCell ref="B11:B12"/>
    <mergeCell ref="C11:C12"/>
    <mergeCell ref="D11:E11"/>
    <mergeCell ref="F11:G11"/>
    <mergeCell ref="H11:I11"/>
    <mergeCell ref="J11:J12"/>
    <mergeCell ref="K11:K12"/>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73.pielikums Jūrmalas pilsētas domes
2019.gada 29.augusta saistošajiem noteikumiem Nr.31
(protokols Nr.12, 20.punkts)
 </firstHeader>
    <firstFooter>&amp;L&amp;9&amp;D; &amp;T&amp;R&amp;9&amp;P (&amp;N)</first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J156"/>
  <sheetViews>
    <sheetView view="pageLayout" zoomScaleNormal="100" workbookViewId="0">
      <selection activeCell="L6" sqref="L6"/>
    </sheetView>
  </sheetViews>
  <sheetFormatPr defaultColWidth="9.140625" defaultRowHeight="12" outlineLevelCol="1" x14ac:dyDescent="0.2"/>
  <cols>
    <col min="1" max="1" width="6.140625" style="401" customWidth="1"/>
    <col min="2" max="2" width="17.28515625" style="401" customWidth="1"/>
    <col min="3" max="3" width="18.28515625" style="401" customWidth="1"/>
    <col min="4" max="4" width="10.5703125" style="401" customWidth="1"/>
    <col min="5" max="6" width="12.5703125" style="401" hidden="1" customWidth="1" outlineLevel="1"/>
    <col min="7" max="7" width="14.140625" style="401" customWidth="1" collapsed="1"/>
    <col min="8" max="8" width="29.85546875" style="401" hidden="1" customWidth="1" outlineLevel="1"/>
    <col min="9" max="9" width="17.85546875" style="401" customWidth="1" collapsed="1"/>
    <col min="10" max="10" width="11.7109375" style="401" customWidth="1"/>
    <col min="11" max="16384" width="9.140625" style="401"/>
  </cols>
  <sheetData>
    <row r="1" spans="1:10" x14ac:dyDescent="0.2">
      <c r="I1" s="745" t="s">
        <v>1370</v>
      </c>
    </row>
    <row r="2" spans="1:10" x14ac:dyDescent="0.2">
      <c r="I2" s="745" t="s">
        <v>494</v>
      </c>
    </row>
    <row r="3" spans="1:10" x14ac:dyDescent="0.2">
      <c r="A3" s="2082" t="s">
        <v>2</v>
      </c>
      <c r="B3" s="2082"/>
      <c r="C3" s="730" t="s">
        <v>3</v>
      </c>
      <c r="D3" s="2087"/>
      <c r="E3" s="2087"/>
      <c r="F3" s="2087"/>
      <c r="G3" s="2087"/>
      <c r="H3" s="2087"/>
      <c r="I3" s="2087"/>
    </row>
    <row r="4" spans="1:10" x14ac:dyDescent="0.2">
      <c r="A4" s="2082" t="s">
        <v>4</v>
      </c>
      <c r="B4" s="2082"/>
      <c r="C4" s="2082">
        <v>90000056357</v>
      </c>
      <c r="D4" s="2082"/>
      <c r="E4" s="2082"/>
      <c r="F4" s="2082"/>
      <c r="G4" s="2082"/>
      <c r="H4" s="2082"/>
      <c r="I4" s="2082"/>
    </row>
    <row r="5" spans="1:10" x14ac:dyDescent="0.2">
      <c r="A5" s="730"/>
      <c r="B5" s="730"/>
      <c r="C5" s="730"/>
      <c r="D5" s="730"/>
      <c r="E5" s="730"/>
      <c r="F5" s="730"/>
      <c r="G5" s="730"/>
      <c r="H5" s="730"/>
      <c r="I5" s="730"/>
    </row>
    <row r="6" spans="1:10" ht="15.75" x14ac:dyDescent="0.25">
      <c r="A6" s="2088" t="s">
        <v>1109</v>
      </c>
      <c r="B6" s="2088"/>
      <c r="C6" s="2088"/>
      <c r="D6" s="2088"/>
      <c r="E6" s="2088"/>
      <c r="F6" s="2088"/>
      <c r="G6" s="2088"/>
      <c r="H6" s="2088"/>
      <c r="I6" s="2088"/>
    </row>
    <row r="7" spans="1:10" ht="15.75" x14ac:dyDescent="0.25">
      <c r="A7" s="731"/>
      <c r="B7" s="731"/>
      <c r="C7" s="731"/>
      <c r="D7" s="731"/>
      <c r="E7" s="731"/>
      <c r="F7" s="731"/>
      <c r="G7" s="731"/>
      <c r="H7" s="731"/>
      <c r="I7" s="731"/>
    </row>
    <row r="8" spans="1:10" ht="15.75" x14ac:dyDescent="0.25">
      <c r="A8" s="2082" t="s">
        <v>546</v>
      </c>
      <c r="B8" s="2082"/>
      <c r="C8" s="954" t="s">
        <v>1257</v>
      </c>
      <c r="D8" s="954"/>
      <c r="E8" s="954"/>
      <c r="F8" s="954"/>
      <c r="G8" s="954"/>
      <c r="H8" s="954"/>
      <c r="I8" s="954"/>
    </row>
    <row r="9" spans="1:10" x14ac:dyDescent="0.2">
      <c r="A9" s="2082" t="s">
        <v>499</v>
      </c>
      <c r="B9" s="2082"/>
      <c r="C9" s="747" t="s">
        <v>1258</v>
      </c>
      <c r="D9" s="747"/>
      <c r="E9" s="747"/>
      <c r="F9" s="747"/>
      <c r="G9" s="747"/>
      <c r="H9" s="747"/>
      <c r="I9" s="747"/>
    </row>
    <row r="10" spans="1:10" x14ac:dyDescent="0.2">
      <c r="A10" s="2082" t="s">
        <v>500</v>
      </c>
      <c r="B10" s="2082"/>
      <c r="C10" s="955" t="s">
        <v>1259</v>
      </c>
      <c r="D10" s="956"/>
      <c r="E10" s="956"/>
      <c r="F10" s="956"/>
      <c r="G10" s="956"/>
      <c r="H10" s="956"/>
      <c r="I10" s="956"/>
    </row>
    <row r="11" spans="1:10" ht="48" customHeight="1" x14ac:dyDescent="0.2">
      <c r="A11" s="414" t="s">
        <v>501</v>
      </c>
      <c r="B11" s="2083" t="s">
        <v>502</v>
      </c>
      <c r="C11" s="2083"/>
      <c r="D11" s="414" t="s">
        <v>503</v>
      </c>
      <c r="E11" s="414" t="s">
        <v>504</v>
      </c>
      <c r="F11" s="414" t="s">
        <v>505</v>
      </c>
      <c r="G11" s="414" t="s">
        <v>506</v>
      </c>
      <c r="H11" s="414" t="s">
        <v>36</v>
      </c>
      <c r="I11" s="414" t="s">
        <v>507</v>
      </c>
    </row>
    <row r="12" spans="1:10" ht="12" customHeight="1" x14ac:dyDescent="0.2">
      <c r="A12" s="2084" t="s">
        <v>549</v>
      </c>
      <c r="B12" s="2084"/>
      <c r="C12" s="2084"/>
      <c r="D12" s="957"/>
      <c r="E12" s="958">
        <f>SUM(E13:E14)</f>
        <v>299578</v>
      </c>
      <c r="F12" s="958">
        <f>SUM(F13:F14)</f>
        <v>0</v>
      </c>
      <c r="G12" s="958">
        <f>SUM(G13:G14)</f>
        <v>299578</v>
      </c>
      <c r="H12" s="958"/>
      <c r="I12" s="791"/>
    </row>
    <row r="13" spans="1:10" x14ac:dyDescent="0.2">
      <c r="A13" s="2085">
        <v>1</v>
      </c>
      <c r="B13" s="2086" t="s">
        <v>1260</v>
      </c>
      <c r="C13" s="2086"/>
      <c r="D13" s="959">
        <v>5250</v>
      </c>
      <c r="E13" s="756">
        <v>287369</v>
      </c>
      <c r="F13" s="960"/>
      <c r="G13" s="756">
        <f>E13+F13</f>
        <v>287369</v>
      </c>
      <c r="H13" s="756"/>
      <c r="I13" s="2060" t="s">
        <v>1261</v>
      </c>
      <c r="J13" s="962"/>
    </row>
    <row r="14" spans="1:10" ht="12" customHeight="1" x14ac:dyDescent="0.2">
      <c r="A14" s="2085"/>
      <c r="B14" s="2086"/>
      <c r="C14" s="2086"/>
      <c r="D14" s="959">
        <v>2241</v>
      </c>
      <c r="E14" s="756">
        <f>12000+209</f>
        <v>12209</v>
      </c>
      <c r="F14" s="756"/>
      <c r="G14" s="756">
        <f>E14+F14</f>
        <v>12209</v>
      </c>
      <c r="H14" s="756"/>
      <c r="I14" s="2060"/>
    </row>
    <row r="15" spans="1:10" x14ac:dyDescent="0.2">
      <c r="A15" s="963"/>
      <c r="B15" s="964"/>
      <c r="C15" s="964"/>
      <c r="D15" s="965"/>
      <c r="E15" s="966"/>
      <c r="F15" s="966"/>
      <c r="G15" s="966"/>
      <c r="H15" s="966"/>
      <c r="I15" s="967"/>
    </row>
    <row r="16" spans="1:10" x14ac:dyDescent="0.2">
      <c r="A16" s="2089" t="s">
        <v>499</v>
      </c>
      <c r="B16" s="2089"/>
      <c r="C16" s="968" t="s">
        <v>1262</v>
      </c>
      <c r="D16" s="969"/>
      <c r="E16" s="970"/>
      <c r="F16" s="970"/>
      <c r="G16" s="970"/>
      <c r="H16" s="970"/>
      <c r="I16" s="968"/>
    </row>
    <row r="17" spans="1:9" x14ac:dyDescent="0.2">
      <c r="A17" s="2089" t="s">
        <v>500</v>
      </c>
      <c r="B17" s="2089"/>
      <c r="C17" s="971" t="s">
        <v>1263</v>
      </c>
      <c r="D17" s="972"/>
      <c r="E17" s="973"/>
      <c r="F17" s="973"/>
      <c r="G17" s="973"/>
      <c r="H17" s="973"/>
      <c r="I17" s="974"/>
    </row>
    <row r="18" spans="1:9" ht="48" x14ac:dyDescent="0.2">
      <c r="A18" s="414" t="s">
        <v>501</v>
      </c>
      <c r="B18" s="2083" t="s">
        <v>502</v>
      </c>
      <c r="C18" s="2083"/>
      <c r="D18" s="786" t="s">
        <v>503</v>
      </c>
      <c r="E18" s="414" t="s">
        <v>504</v>
      </c>
      <c r="F18" s="414" t="s">
        <v>505</v>
      </c>
      <c r="G18" s="414" t="s">
        <v>506</v>
      </c>
      <c r="H18" s="414" t="s">
        <v>36</v>
      </c>
      <c r="I18" s="414" t="s">
        <v>507</v>
      </c>
    </row>
    <row r="19" spans="1:9" x14ac:dyDescent="0.2">
      <c r="A19" s="2084" t="s">
        <v>549</v>
      </c>
      <c r="B19" s="2084"/>
      <c r="C19" s="2084"/>
      <c r="D19" s="975"/>
      <c r="E19" s="976">
        <f>SUM(E20)</f>
        <v>66505</v>
      </c>
      <c r="F19" s="976">
        <f t="shared" ref="F19:G19" si="0">SUM(F20)</f>
        <v>0</v>
      </c>
      <c r="G19" s="976">
        <f t="shared" si="0"/>
        <v>66505</v>
      </c>
      <c r="H19" s="976"/>
      <c r="I19" s="756"/>
    </row>
    <row r="20" spans="1:9" ht="21.75" customHeight="1" x14ac:dyDescent="0.2">
      <c r="A20" s="977">
        <v>1</v>
      </c>
      <c r="B20" s="2086" t="s">
        <v>1264</v>
      </c>
      <c r="C20" s="2086"/>
      <c r="D20" s="959">
        <v>5250</v>
      </c>
      <c r="E20" s="756">
        <v>66505</v>
      </c>
      <c r="F20" s="960"/>
      <c r="G20" s="756">
        <f>E20+F20</f>
        <v>66505</v>
      </c>
      <c r="H20" s="756"/>
      <c r="I20" s="764" t="s">
        <v>1265</v>
      </c>
    </row>
    <row r="21" spans="1:9" x14ac:dyDescent="0.2">
      <c r="A21" s="978"/>
      <c r="B21" s="428"/>
      <c r="C21" s="979"/>
      <c r="D21" s="980"/>
      <c r="E21" s="981"/>
      <c r="F21" s="981"/>
      <c r="G21" s="981"/>
      <c r="H21" s="981"/>
      <c r="I21" s="967"/>
    </row>
    <row r="22" spans="1:9" x14ac:dyDescent="0.2">
      <c r="A22" s="2089" t="s">
        <v>499</v>
      </c>
      <c r="B22" s="2089"/>
      <c r="C22" s="968" t="s">
        <v>1266</v>
      </c>
      <c r="D22" s="969"/>
      <c r="E22" s="970"/>
      <c r="F22" s="970"/>
      <c r="G22" s="970"/>
      <c r="H22" s="970"/>
      <c r="I22" s="968"/>
    </row>
    <row r="23" spans="1:9" x14ac:dyDescent="0.2">
      <c r="A23" s="2089" t="s">
        <v>500</v>
      </c>
      <c r="B23" s="2089"/>
      <c r="C23" s="971" t="s">
        <v>1267</v>
      </c>
      <c r="D23" s="972"/>
      <c r="E23" s="973"/>
      <c r="F23" s="973"/>
      <c r="G23" s="973"/>
      <c r="H23" s="973"/>
      <c r="I23" s="974"/>
    </row>
    <row r="24" spans="1:9" ht="48" x14ac:dyDescent="0.2">
      <c r="A24" s="414" t="s">
        <v>501</v>
      </c>
      <c r="B24" s="2083" t="s">
        <v>502</v>
      </c>
      <c r="C24" s="2083"/>
      <c r="D24" s="786" t="s">
        <v>503</v>
      </c>
      <c r="E24" s="414" t="s">
        <v>504</v>
      </c>
      <c r="F24" s="414" t="s">
        <v>505</v>
      </c>
      <c r="G24" s="414" t="s">
        <v>506</v>
      </c>
      <c r="H24" s="414" t="s">
        <v>36</v>
      </c>
      <c r="I24" s="414" t="s">
        <v>507</v>
      </c>
    </row>
    <row r="25" spans="1:9" x14ac:dyDescent="0.2">
      <c r="A25" s="2084" t="s">
        <v>549</v>
      </c>
      <c r="B25" s="2084"/>
      <c r="C25" s="2084"/>
      <c r="D25" s="975"/>
      <c r="E25" s="976">
        <f>SUM(E26)</f>
        <v>710</v>
      </c>
      <c r="F25" s="976">
        <f t="shared" ref="F25:G25" si="1">SUM(F26)</f>
        <v>0</v>
      </c>
      <c r="G25" s="976">
        <f t="shared" si="1"/>
        <v>710</v>
      </c>
      <c r="H25" s="976"/>
      <c r="I25" s="756"/>
    </row>
    <row r="26" spans="1:9" x14ac:dyDescent="0.2">
      <c r="A26" s="977">
        <v>1</v>
      </c>
      <c r="B26" s="2086" t="s">
        <v>1268</v>
      </c>
      <c r="C26" s="2086"/>
      <c r="D26" s="959">
        <v>5250</v>
      </c>
      <c r="E26" s="756">
        <v>710</v>
      </c>
      <c r="F26" s="960"/>
      <c r="G26" s="756">
        <f>E26+F26</f>
        <v>710</v>
      </c>
      <c r="H26" s="756"/>
      <c r="I26" s="764"/>
    </row>
    <row r="27" spans="1:9" x14ac:dyDescent="0.2">
      <c r="A27" s="978"/>
      <c r="B27" s="428"/>
      <c r="C27" s="979"/>
      <c r="D27" s="980"/>
      <c r="E27" s="981"/>
      <c r="F27" s="981"/>
      <c r="G27" s="981"/>
      <c r="H27" s="981"/>
      <c r="I27" s="967"/>
    </row>
    <row r="28" spans="1:9" x14ac:dyDescent="0.2">
      <c r="A28" s="2089" t="s">
        <v>499</v>
      </c>
      <c r="B28" s="2089"/>
      <c r="C28" s="968" t="s">
        <v>1269</v>
      </c>
      <c r="D28" s="982"/>
      <c r="E28" s="968"/>
      <c r="F28" s="968"/>
      <c r="G28" s="968"/>
      <c r="H28" s="968"/>
      <c r="I28" s="968"/>
    </row>
    <row r="29" spans="1:9" x14ac:dyDescent="0.2">
      <c r="A29" s="2089" t="s">
        <v>500</v>
      </c>
      <c r="B29" s="2089"/>
      <c r="C29" s="971" t="s">
        <v>9</v>
      </c>
      <c r="D29" s="983"/>
      <c r="E29" s="974"/>
      <c r="F29" s="974"/>
      <c r="G29" s="974"/>
      <c r="H29" s="974"/>
      <c r="I29" s="974"/>
    </row>
    <row r="30" spans="1:9" ht="48" x14ac:dyDescent="0.2">
      <c r="A30" s="414" t="s">
        <v>501</v>
      </c>
      <c r="B30" s="2083" t="s">
        <v>502</v>
      </c>
      <c r="C30" s="2083"/>
      <c r="D30" s="414" t="s">
        <v>503</v>
      </c>
      <c r="E30" s="414" t="s">
        <v>504</v>
      </c>
      <c r="F30" s="414" t="s">
        <v>505</v>
      </c>
      <c r="G30" s="414" t="s">
        <v>506</v>
      </c>
      <c r="H30" s="414" t="s">
        <v>36</v>
      </c>
      <c r="I30" s="414" t="s">
        <v>507</v>
      </c>
    </row>
    <row r="31" spans="1:9" x14ac:dyDescent="0.2">
      <c r="A31" s="2084" t="s">
        <v>549</v>
      </c>
      <c r="B31" s="2084"/>
      <c r="C31" s="2084"/>
      <c r="D31" s="416"/>
      <c r="E31" s="958">
        <f>SUM(E32:E45)</f>
        <v>328525</v>
      </c>
      <c r="F31" s="958">
        <f>SUM(F32:F45)</f>
        <v>0</v>
      </c>
      <c r="G31" s="958">
        <f>SUM(G32:G45)</f>
        <v>328525</v>
      </c>
      <c r="H31" s="958"/>
      <c r="I31" s="791"/>
    </row>
    <row r="32" spans="1:9" x14ac:dyDescent="0.2">
      <c r="A32" s="2097">
        <v>1</v>
      </c>
      <c r="B32" s="2091" t="s">
        <v>1270</v>
      </c>
      <c r="C32" s="2092"/>
      <c r="D32" s="959">
        <v>5240</v>
      </c>
      <c r="E32" s="756">
        <v>25425</v>
      </c>
      <c r="F32" s="960"/>
      <c r="G32" s="756">
        <f>E32+F32</f>
        <v>25425</v>
      </c>
      <c r="H32" s="756"/>
      <c r="I32" s="2095" t="s">
        <v>1271</v>
      </c>
    </row>
    <row r="33" spans="1:9" x14ac:dyDescent="0.2">
      <c r="A33" s="2098"/>
      <c r="B33" s="2099"/>
      <c r="C33" s="2100"/>
      <c r="D33" s="959">
        <v>2241</v>
      </c>
      <c r="E33" s="756">
        <v>1256</v>
      </c>
      <c r="F33" s="960"/>
      <c r="G33" s="756">
        <f>E33+F33</f>
        <v>1256</v>
      </c>
      <c r="H33" s="756"/>
      <c r="I33" s="2101"/>
    </row>
    <row r="34" spans="1:9" ht="12" customHeight="1" x14ac:dyDescent="0.2">
      <c r="A34" s="2090">
        <v>2</v>
      </c>
      <c r="B34" s="2091" t="s">
        <v>1272</v>
      </c>
      <c r="C34" s="2092"/>
      <c r="D34" s="959">
        <v>5250</v>
      </c>
      <c r="E34" s="756">
        <v>113586</v>
      </c>
      <c r="F34" s="756"/>
      <c r="G34" s="756">
        <f t="shared" ref="G34:G45" si="2">E34+F34</f>
        <v>113586</v>
      </c>
      <c r="H34" s="756"/>
      <c r="I34" s="2095" t="s">
        <v>1273</v>
      </c>
    </row>
    <row r="35" spans="1:9" x14ac:dyDescent="0.2">
      <c r="A35" s="2090"/>
      <c r="B35" s="2093"/>
      <c r="C35" s="2094"/>
      <c r="D35" s="959">
        <v>2241</v>
      </c>
      <c r="E35" s="756">
        <v>11671</v>
      </c>
      <c r="F35" s="756"/>
      <c r="G35" s="756">
        <f t="shared" si="2"/>
        <v>11671</v>
      </c>
      <c r="H35" s="756"/>
      <c r="I35" s="2096"/>
    </row>
    <row r="36" spans="1:9" x14ac:dyDescent="0.2">
      <c r="A36" s="984">
        <v>3</v>
      </c>
      <c r="B36" s="2086" t="s">
        <v>1274</v>
      </c>
      <c r="C36" s="2086"/>
      <c r="D36" s="959">
        <v>2241</v>
      </c>
      <c r="E36" s="756">
        <v>106291</v>
      </c>
      <c r="F36" s="960"/>
      <c r="G36" s="756">
        <f t="shared" si="2"/>
        <v>106291</v>
      </c>
      <c r="H36" s="756"/>
      <c r="I36" s="764" t="s">
        <v>1275</v>
      </c>
    </row>
    <row r="37" spans="1:9" ht="30.75" customHeight="1" x14ac:dyDescent="0.2">
      <c r="A37" s="984">
        <v>4</v>
      </c>
      <c r="B37" s="2050" t="s">
        <v>1276</v>
      </c>
      <c r="C37" s="2050"/>
      <c r="D37" s="959">
        <v>5250</v>
      </c>
      <c r="E37" s="756">
        <v>9144</v>
      </c>
      <c r="F37" s="756"/>
      <c r="G37" s="756">
        <f t="shared" si="2"/>
        <v>9144</v>
      </c>
      <c r="H37" s="756"/>
      <c r="I37" s="764" t="s">
        <v>1277</v>
      </c>
    </row>
    <row r="38" spans="1:9" ht="36.75" customHeight="1" x14ac:dyDescent="0.2">
      <c r="A38" s="977">
        <v>5</v>
      </c>
      <c r="B38" s="2091" t="s">
        <v>1278</v>
      </c>
      <c r="C38" s="2092"/>
      <c r="D38" s="985">
        <v>5240</v>
      </c>
      <c r="E38" s="986">
        <v>3097</v>
      </c>
      <c r="F38" s="986"/>
      <c r="G38" s="756">
        <f t="shared" si="2"/>
        <v>3097</v>
      </c>
      <c r="H38" s="986"/>
      <c r="I38" s="987" t="s">
        <v>1279</v>
      </c>
    </row>
    <row r="39" spans="1:9" ht="18.75" customHeight="1" x14ac:dyDescent="0.2">
      <c r="A39" s="2102">
        <v>6</v>
      </c>
      <c r="B39" s="2104" t="s">
        <v>1280</v>
      </c>
      <c r="C39" s="2105"/>
      <c r="D39" s="985">
        <v>5250</v>
      </c>
      <c r="E39" s="986">
        <v>8997</v>
      </c>
      <c r="F39" s="960"/>
      <c r="G39" s="756">
        <f t="shared" si="2"/>
        <v>8997</v>
      </c>
      <c r="H39" s="756"/>
      <c r="I39" s="2108" t="s">
        <v>1281</v>
      </c>
    </row>
    <row r="40" spans="1:9" ht="18.75" customHeight="1" x14ac:dyDescent="0.2">
      <c r="A40" s="2103"/>
      <c r="B40" s="2106"/>
      <c r="C40" s="2107"/>
      <c r="D40" s="985">
        <v>2241</v>
      </c>
      <c r="E40" s="986">
        <v>10000</v>
      </c>
      <c r="F40" s="986"/>
      <c r="G40" s="756">
        <f t="shared" si="2"/>
        <v>10000</v>
      </c>
      <c r="H40" s="986"/>
      <c r="I40" s="2109"/>
    </row>
    <row r="41" spans="1:9" x14ac:dyDescent="0.2">
      <c r="A41" s="988">
        <v>7</v>
      </c>
      <c r="B41" s="2057" t="s">
        <v>1282</v>
      </c>
      <c r="C41" s="2057"/>
      <c r="D41" s="985">
        <v>2241</v>
      </c>
      <c r="E41" s="986">
        <v>16858</v>
      </c>
      <c r="F41" s="960"/>
      <c r="G41" s="756">
        <f t="shared" si="2"/>
        <v>16858</v>
      </c>
      <c r="H41" s="756"/>
      <c r="I41" s="989" t="s">
        <v>1283</v>
      </c>
    </row>
    <row r="42" spans="1:9" ht="14.25" customHeight="1" x14ac:dyDescent="0.2">
      <c r="A42" s="977">
        <v>8</v>
      </c>
      <c r="B42" s="2110" t="s">
        <v>1284</v>
      </c>
      <c r="C42" s="2110"/>
      <c r="D42" s="959">
        <v>5240</v>
      </c>
      <c r="E42" s="756">
        <v>3464</v>
      </c>
      <c r="F42" s="756"/>
      <c r="G42" s="756">
        <f t="shared" si="2"/>
        <v>3464</v>
      </c>
      <c r="H42" s="756"/>
      <c r="I42" s="764" t="s">
        <v>1285</v>
      </c>
    </row>
    <row r="43" spans="1:9" x14ac:dyDescent="0.2">
      <c r="A43" s="990">
        <v>9</v>
      </c>
      <c r="B43" s="2086" t="s">
        <v>1286</v>
      </c>
      <c r="C43" s="2086"/>
      <c r="D43" s="959">
        <v>2244</v>
      </c>
      <c r="E43" s="756">
        <v>6884</v>
      </c>
      <c r="F43" s="960"/>
      <c r="G43" s="756">
        <f t="shared" si="2"/>
        <v>6884</v>
      </c>
      <c r="H43" s="756"/>
      <c r="I43" s="764" t="s">
        <v>1273</v>
      </c>
    </row>
    <row r="44" spans="1:9" ht="25.5" customHeight="1" x14ac:dyDescent="0.2">
      <c r="A44" s="977">
        <v>10</v>
      </c>
      <c r="B44" s="2086" t="s">
        <v>1287</v>
      </c>
      <c r="C44" s="2086"/>
      <c r="D44" s="959">
        <v>2241</v>
      </c>
      <c r="E44" s="756">
        <v>3000</v>
      </c>
      <c r="F44" s="756"/>
      <c r="G44" s="756">
        <f t="shared" si="2"/>
        <v>3000</v>
      </c>
      <c r="H44" s="756"/>
      <c r="I44" s="764" t="s">
        <v>1273</v>
      </c>
    </row>
    <row r="45" spans="1:9" ht="13.5" customHeight="1" x14ac:dyDescent="0.2">
      <c r="A45" s="977">
        <v>11</v>
      </c>
      <c r="B45" s="2086" t="s">
        <v>1288</v>
      </c>
      <c r="C45" s="2086"/>
      <c r="D45" s="959">
        <v>2239</v>
      </c>
      <c r="E45" s="756">
        <v>8852</v>
      </c>
      <c r="F45" s="756"/>
      <c r="G45" s="756">
        <f t="shared" si="2"/>
        <v>8852</v>
      </c>
      <c r="H45" s="756"/>
      <c r="I45" s="989" t="s">
        <v>1289</v>
      </c>
    </row>
    <row r="46" spans="1:9" x14ac:dyDescent="0.2">
      <c r="A46" s="991"/>
      <c r="B46" s="992"/>
      <c r="C46" s="992"/>
      <c r="D46" s="993"/>
      <c r="E46" s="994"/>
      <c r="F46" s="994"/>
      <c r="G46" s="994"/>
      <c r="H46" s="994"/>
      <c r="I46" s="994"/>
    </row>
    <row r="47" spans="1:9" x14ac:dyDescent="0.2">
      <c r="A47" s="2089" t="s">
        <v>499</v>
      </c>
      <c r="B47" s="2089"/>
      <c r="C47" s="995" t="s">
        <v>1290</v>
      </c>
      <c r="D47" s="982"/>
      <c r="E47" s="995"/>
      <c r="F47" s="995"/>
      <c r="G47" s="995"/>
      <c r="H47" s="995"/>
      <c r="I47" s="995"/>
    </row>
    <row r="48" spans="1:9" x14ac:dyDescent="0.2">
      <c r="A48" s="2089" t="s">
        <v>500</v>
      </c>
      <c r="B48" s="2089"/>
      <c r="C48" s="971" t="s">
        <v>731</v>
      </c>
      <c r="D48" s="996"/>
      <c r="E48" s="997"/>
      <c r="F48" s="997"/>
      <c r="G48" s="997"/>
      <c r="H48" s="997"/>
      <c r="I48" s="997"/>
    </row>
    <row r="49" spans="1:9" ht="48" x14ac:dyDescent="0.2">
      <c r="A49" s="414" t="s">
        <v>501</v>
      </c>
      <c r="B49" s="2083" t="s">
        <v>502</v>
      </c>
      <c r="C49" s="2083"/>
      <c r="D49" s="414" t="s">
        <v>503</v>
      </c>
      <c r="E49" s="414" t="s">
        <v>504</v>
      </c>
      <c r="F49" s="414" t="s">
        <v>505</v>
      </c>
      <c r="G49" s="414" t="s">
        <v>506</v>
      </c>
      <c r="H49" s="414" t="s">
        <v>36</v>
      </c>
      <c r="I49" s="414" t="s">
        <v>507</v>
      </c>
    </row>
    <row r="50" spans="1:9" x14ac:dyDescent="0.2">
      <c r="A50" s="2084" t="s">
        <v>549</v>
      </c>
      <c r="B50" s="2084"/>
      <c r="C50" s="2084"/>
      <c r="D50" s="416"/>
      <c r="E50" s="958">
        <f>SUM(E51:E57)</f>
        <v>182192</v>
      </c>
      <c r="F50" s="958">
        <f t="shared" ref="F50:G50" si="3">SUM(F51:F57)</f>
        <v>0</v>
      </c>
      <c r="G50" s="958">
        <f t="shared" si="3"/>
        <v>182192</v>
      </c>
      <c r="H50" s="958"/>
      <c r="I50" s="998"/>
    </row>
    <row r="51" spans="1:9" x14ac:dyDescent="0.2">
      <c r="A51" s="977">
        <v>1</v>
      </c>
      <c r="B51" s="2050" t="s">
        <v>1291</v>
      </c>
      <c r="C51" s="2050"/>
      <c r="D51" s="959">
        <v>5250</v>
      </c>
      <c r="E51" s="756">
        <v>5850</v>
      </c>
      <c r="F51" s="756"/>
      <c r="G51" s="756">
        <f t="shared" ref="G51:G57" si="4">E51+F51</f>
        <v>5850</v>
      </c>
      <c r="H51" s="756"/>
      <c r="I51" s="764" t="s">
        <v>1292</v>
      </c>
    </row>
    <row r="52" spans="1:9" x14ac:dyDescent="0.2">
      <c r="A52" s="977">
        <v>2</v>
      </c>
      <c r="B52" s="2114" t="s">
        <v>1293</v>
      </c>
      <c r="C52" s="2115"/>
      <c r="D52" s="959">
        <v>5250</v>
      </c>
      <c r="E52" s="756">
        <v>15113</v>
      </c>
      <c r="F52" s="960"/>
      <c r="G52" s="756">
        <f t="shared" si="4"/>
        <v>15113</v>
      </c>
      <c r="H52" s="756"/>
      <c r="I52" s="764" t="s">
        <v>1294</v>
      </c>
    </row>
    <row r="53" spans="1:9" x14ac:dyDescent="0.2">
      <c r="A53" s="977">
        <v>3</v>
      </c>
      <c r="B53" s="2114" t="s">
        <v>1295</v>
      </c>
      <c r="C53" s="2115"/>
      <c r="D53" s="959">
        <v>5250</v>
      </c>
      <c r="E53" s="756">
        <v>5945</v>
      </c>
      <c r="F53" s="960"/>
      <c r="G53" s="756">
        <f t="shared" si="4"/>
        <v>5945</v>
      </c>
      <c r="H53" s="756"/>
      <c r="I53" s="764" t="s">
        <v>1294</v>
      </c>
    </row>
    <row r="54" spans="1:9" x14ac:dyDescent="0.2">
      <c r="A54" s="990">
        <v>4</v>
      </c>
      <c r="B54" s="2114" t="s">
        <v>1296</v>
      </c>
      <c r="C54" s="2115"/>
      <c r="D54" s="959">
        <v>5250</v>
      </c>
      <c r="E54" s="756">
        <v>118349</v>
      </c>
      <c r="F54" s="756"/>
      <c r="G54" s="756">
        <f t="shared" si="4"/>
        <v>118349</v>
      </c>
      <c r="H54" s="756"/>
      <c r="I54" s="764" t="s">
        <v>1294</v>
      </c>
    </row>
    <row r="55" spans="1:9" x14ac:dyDescent="0.2">
      <c r="A55" s="977">
        <v>5</v>
      </c>
      <c r="B55" s="2050" t="s">
        <v>1297</v>
      </c>
      <c r="C55" s="2050"/>
      <c r="D55" s="959">
        <v>5250</v>
      </c>
      <c r="E55" s="756">
        <v>2730</v>
      </c>
      <c r="F55" s="999"/>
      <c r="G55" s="756">
        <f t="shared" si="4"/>
        <v>2730</v>
      </c>
      <c r="H55" s="999"/>
      <c r="I55" s="1000" t="s">
        <v>1285</v>
      </c>
    </row>
    <row r="56" spans="1:9" ht="26.25" customHeight="1" x14ac:dyDescent="0.2">
      <c r="A56" s="977">
        <v>6</v>
      </c>
      <c r="B56" s="2050" t="s">
        <v>1298</v>
      </c>
      <c r="C56" s="2050"/>
      <c r="D56" s="959">
        <v>5250</v>
      </c>
      <c r="E56" s="756">
        <v>31000</v>
      </c>
      <c r="F56" s="756"/>
      <c r="G56" s="756">
        <f t="shared" si="4"/>
        <v>31000</v>
      </c>
      <c r="H56" s="756"/>
      <c r="I56" s="764" t="s">
        <v>1299</v>
      </c>
    </row>
    <row r="57" spans="1:9" x14ac:dyDescent="0.2">
      <c r="A57" s="1001">
        <v>7</v>
      </c>
      <c r="B57" s="2111" t="s">
        <v>1300</v>
      </c>
      <c r="C57" s="2111"/>
      <c r="D57" s="959">
        <v>2241</v>
      </c>
      <c r="E57" s="756">
        <v>3205</v>
      </c>
      <c r="F57" s="960"/>
      <c r="G57" s="756">
        <f t="shared" si="4"/>
        <v>3205</v>
      </c>
      <c r="H57" s="756"/>
      <c r="I57" s="764" t="s">
        <v>1301</v>
      </c>
    </row>
    <row r="58" spans="1:9" x14ac:dyDescent="0.2">
      <c r="A58" s="445"/>
      <c r="B58" s="445"/>
      <c r="C58" s="445"/>
      <c r="D58" s="1002"/>
      <c r="E58" s="446"/>
      <c r="F58" s="446"/>
      <c r="G58" s="446"/>
      <c r="H58" s="446"/>
      <c r="I58" s="1003"/>
    </row>
    <row r="59" spans="1:9" ht="15" customHeight="1" x14ac:dyDescent="0.2">
      <c r="A59" s="2089" t="s">
        <v>499</v>
      </c>
      <c r="B59" s="2089"/>
      <c r="C59" s="968" t="s">
        <v>1302</v>
      </c>
      <c r="D59" s="969"/>
      <c r="E59" s="970"/>
      <c r="F59" s="970"/>
      <c r="G59" s="970"/>
      <c r="H59" s="970"/>
      <c r="I59" s="968"/>
    </row>
    <row r="60" spans="1:9" ht="15" customHeight="1" x14ac:dyDescent="0.2">
      <c r="A60" s="2089" t="s">
        <v>500</v>
      </c>
      <c r="B60" s="2089"/>
      <c r="C60" s="971" t="s">
        <v>1222</v>
      </c>
      <c r="D60" s="972"/>
      <c r="E60" s="973"/>
      <c r="F60" s="973"/>
      <c r="G60" s="973"/>
      <c r="H60" s="973"/>
      <c r="I60" s="974"/>
    </row>
    <row r="61" spans="1:9" ht="48" x14ac:dyDescent="0.2">
      <c r="A61" s="414" t="s">
        <v>501</v>
      </c>
      <c r="B61" s="2083" t="s">
        <v>502</v>
      </c>
      <c r="C61" s="2083"/>
      <c r="D61" s="786" t="s">
        <v>503</v>
      </c>
      <c r="E61" s="414" t="s">
        <v>504</v>
      </c>
      <c r="F61" s="414" t="s">
        <v>505</v>
      </c>
      <c r="G61" s="414" t="s">
        <v>506</v>
      </c>
      <c r="H61" s="414" t="s">
        <v>36</v>
      </c>
      <c r="I61" s="414" t="s">
        <v>507</v>
      </c>
    </row>
    <row r="62" spans="1:9" x14ac:dyDescent="0.2">
      <c r="A62" s="2084" t="s">
        <v>549</v>
      </c>
      <c r="B62" s="2084"/>
      <c r="C62" s="2084"/>
      <c r="D62" s="975"/>
      <c r="E62" s="976">
        <f>SUM(E63)</f>
        <v>1357</v>
      </c>
      <c r="F62" s="976">
        <f t="shared" ref="F62:G62" si="5">SUM(F63)</f>
        <v>5241</v>
      </c>
      <c r="G62" s="976">
        <f t="shared" si="5"/>
        <v>6598</v>
      </c>
      <c r="H62" s="976"/>
      <c r="I62" s="1004"/>
    </row>
    <row r="63" spans="1:9" ht="15" customHeight="1" x14ac:dyDescent="0.2">
      <c r="A63" s="990">
        <v>1</v>
      </c>
      <c r="B63" s="2112" t="s">
        <v>1303</v>
      </c>
      <c r="C63" s="2113"/>
      <c r="D63" s="998">
        <v>2241</v>
      </c>
      <c r="E63" s="1005">
        <v>1357</v>
      </c>
      <c r="F63" s="1006">
        <f>2999+2242</f>
        <v>5241</v>
      </c>
      <c r="G63" s="756">
        <f t="shared" ref="G63" si="6">E63+F63</f>
        <v>6598</v>
      </c>
      <c r="H63" s="756" t="s">
        <v>1304</v>
      </c>
      <c r="I63" s="1000" t="s">
        <v>1305</v>
      </c>
    </row>
    <row r="64" spans="1:9" ht="15" customHeight="1" x14ac:dyDescent="0.2">
      <c r="A64" s="1202"/>
      <c r="B64" s="1203"/>
      <c r="C64" s="1203"/>
      <c r="D64" s="1204"/>
      <c r="E64" s="1205"/>
      <c r="F64" s="1206"/>
      <c r="G64" s="1207"/>
      <c r="H64" s="1207"/>
      <c r="I64" s="1208"/>
    </row>
    <row r="65" spans="1:9" ht="15" customHeight="1" x14ac:dyDescent="0.2">
      <c r="A65" s="1202"/>
      <c r="B65" s="1203"/>
      <c r="C65" s="1203"/>
      <c r="D65" s="1204"/>
      <c r="E65" s="1205"/>
      <c r="F65" s="1206"/>
      <c r="G65" s="1207"/>
      <c r="H65" s="1207"/>
      <c r="I65" s="1208"/>
    </row>
    <row r="66" spans="1:9" x14ac:dyDescent="0.2">
      <c r="A66" s="1007"/>
      <c r="B66" s="1007"/>
      <c r="C66" s="1007"/>
      <c r="D66" s="1008"/>
      <c r="E66" s="1007"/>
      <c r="F66" s="1007"/>
      <c r="G66" s="1007"/>
      <c r="H66" s="1007"/>
      <c r="I66" s="1007"/>
    </row>
    <row r="67" spans="1:9" ht="15" customHeight="1" x14ac:dyDescent="0.2">
      <c r="A67" s="2089" t="s">
        <v>499</v>
      </c>
      <c r="B67" s="2089"/>
      <c r="C67" s="968" t="s">
        <v>1306</v>
      </c>
      <c r="D67" s="969"/>
      <c r="E67" s="970"/>
      <c r="F67" s="970"/>
      <c r="G67" s="970"/>
      <c r="H67" s="970"/>
      <c r="I67" s="968"/>
    </row>
    <row r="68" spans="1:9" ht="15" customHeight="1" x14ac:dyDescent="0.2">
      <c r="A68" s="2089" t="s">
        <v>500</v>
      </c>
      <c r="B68" s="2089"/>
      <c r="C68" s="971" t="s">
        <v>1030</v>
      </c>
      <c r="D68" s="972"/>
      <c r="E68" s="973"/>
      <c r="F68" s="973"/>
      <c r="G68" s="973"/>
      <c r="H68" s="973"/>
      <c r="I68" s="974"/>
    </row>
    <row r="69" spans="1:9" ht="48" x14ac:dyDescent="0.2">
      <c r="A69" s="414" t="s">
        <v>501</v>
      </c>
      <c r="B69" s="2083" t="s">
        <v>502</v>
      </c>
      <c r="C69" s="2083"/>
      <c r="D69" s="786" t="s">
        <v>503</v>
      </c>
      <c r="E69" s="414" t="s">
        <v>504</v>
      </c>
      <c r="F69" s="414" t="s">
        <v>505</v>
      </c>
      <c r="G69" s="414" t="s">
        <v>506</v>
      </c>
      <c r="H69" s="414" t="s">
        <v>36</v>
      </c>
      <c r="I69" s="414" t="s">
        <v>507</v>
      </c>
    </row>
    <row r="70" spans="1:9" x14ac:dyDescent="0.2">
      <c r="A70" s="2084" t="s">
        <v>549</v>
      </c>
      <c r="B70" s="2084"/>
      <c r="C70" s="2084"/>
      <c r="D70" s="975"/>
      <c r="E70" s="976">
        <f>SUM(E71)</f>
        <v>304004</v>
      </c>
      <c r="F70" s="976">
        <f t="shared" ref="F70:G70" si="7">SUM(F71)</f>
        <v>0</v>
      </c>
      <c r="G70" s="976">
        <f t="shared" si="7"/>
        <v>304004</v>
      </c>
      <c r="H70" s="976"/>
      <c r="I70" s="1004"/>
    </row>
    <row r="71" spans="1:9" ht="13.5" customHeight="1" x14ac:dyDescent="0.2">
      <c r="A71" s="990">
        <v>1</v>
      </c>
      <c r="B71" s="2112" t="s">
        <v>1307</v>
      </c>
      <c r="C71" s="2113"/>
      <c r="D71" s="998">
        <v>5250</v>
      </c>
      <c r="E71" s="1005">
        <v>304004</v>
      </c>
      <c r="F71" s="1009"/>
      <c r="G71" s="756">
        <f t="shared" ref="G71" si="8">E71+F71</f>
        <v>304004</v>
      </c>
      <c r="H71" s="1009"/>
      <c r="I71" s="1000" t="s">
        <v>1308</v>
      </c>
    </row>
    <row r="72" spans="1:9" x14ac:dyDescent="0.2">
      <c r="A72" s="1007"/>
      <c r="B72" s="1007"/>
      <c r="C72" s="1007"/>
      <c r="D72" s="1008"/>
      <c r="E72" s="1007"/>
      <c r="F72" s="1007"/>
      <c r="G72" s="1007"/>
      <c r="H72" s="1007"/>
      <c r="I72" s="1007"/>
    </row>
    <row r="73" spans="1:9" x14ac:dyDescent="0.2">
      <c r="A73" s="2089" t="s">
        <v>499</v>
      </c>
      <c r="B73" s="2089"/>
      <c r="C73" s="968" t="s">
        <v>1309</v>
      </c>
      <c r="D73" s="982"/>
      <c r="E73" s="968"/>
      <c r="F73" s="968"/>
      <c r="G73" s="968"/>
      <c r="H73" s="968"/>
      <c r="I73" s="968"/>
    </row>
    <row r="74" spans="1:9" x14ac:dyDescent="0.2">
      <c r="A74" s="2089" t="s">
        <v>500</v>
      </c>
      <c r="B74" s="2089"/>
      <c r="C74" s="971" t="s">
        <v>1310</v>
      </c>
      <c r="D74" s="983"/>
      <c r="E74" s="974"/>
      <c r="F74" s="974"/>
      <c r="G74" s="974"/>
      <c r="H74" s="974"/>
      <c r="I74" s="974"/>
    </row>
    <row r="75" spans="1:9" ht="48" x14ac:dyDescent="0.2">
      <c r="A75" s="414" t="s">
        <v>501</v>
      </c>
      <c r="B75" s="2083" t="s">
        <v>502</v>
      </c>
      <c r="C75" s="2083"/>
      <c r="D75" s="414" t="s">
        <v>503</v>
      </c>
      <c r="E75" s="414" t="s">
        <v>504</v>
      </c>
      <c r="F75" s="414" t="s">
        <v>505</v>
      </c>
      <c r="G75" s="414" t="s">
        <v>506</v>
      </c>
      <c r="H75" s="414" t="s">
        <v>36</v>
      </c>
      <c r="I75" s="414" t="s">
        <v>507</v>
      </c>
    </row>
    <row r="76" spans="1:9" x14ac:dyDescent="0.2">
      <c r="A76" s="2084" t="s">
        <v>549</v>
      </c>
      <c r="B76" s="2084"/>
      <c r="C76" s="2084"/>
      <c r="D76" s="1010"/>
      <c r="E76" s="976">
        <f>SUM(E77:E78)</f>
        <v>175082</v>
      </c>
      <c r="F76" s="976">
        <f t="shared" ref="F76:G76" si="9">SUM(F77:F78)</f>
        <v>0</v>
      </c>
      <c r="G76" s="976">
        <f t="shared" si="9"/>
        <v>175082</v>
      </c>
      <c r="H76" s="976"/>
      <c r="I76" s="764"/>
    </row>
    <row r="77" spans="1:9" ht="12" customHeight="1" x14ac:dyDescent="0.2">
      <c r="A77" s="2090">
        <v>1</v>
      </c>
      <c r="B77" s="2050" t="s">
        <v>1311</v>
      </c>
      <c r="C77" s="2050"/>
      <c r="D77" s="1011" t="s">
        <v>1312</v>
      </c>
      <c r="E77" s="756">
        <v>172532</v>
      </c>
      <c r="F77" s="960"/>
      <c r="G77" s="756">
        <f t="shared" ref="G77:G78" si="10">E77+F77</f>
        <v>172532</v>
      </c>
      <c r="H77" s="756"/>
      <c r="I77" s="2060" t="s">
        <v>1308</v>
      </c>
    </row>
    <row r="78" spans="1:9" x14ac:dyDescent="0.2">
      <c r="A78" s="2090"/>
      <c r="B78" s="2050"/>
      <c r="C78" s="2050"/>
      <c r="D78" s="1011" t="s">
        <v>1313</v>
      </c>
      <c r="E78" s="756">
        <v>2550</v>
      </c>
      <c r="F78" s="960"/>
      <c r="G78" s="756">
        <f t="shared" si="10"/>
        <v>2550</v>
      </c>
      <c r="H78" s="756"/>
      <c r="I78" s="2060"/>
    </row>
    <row r="79" spans="1:9" x14ac:dyDescent="0.2">
      <c r="A79" s="1012"/>
      <c r="B79" s="1013"/>
      <c r="C79" s="1013"/>
      <c r="D79" s="993"/>
      <c r="E79" s="994"/>
      <c r="F79" s="994"/>
      <c r="G79" s="994"/>
      <c r="H79" s="994"/>
      <c r="I79" s="967"/>
    </row>
    <row r="80" spans="1:9" x14ac:dyDescent="0.2">
      <c r="A80" s="2089" t="s">
        <v>499</v>
      </c>
      <c r="B80" s="2089"/>
      <c r="C80" s="968" t="s">
        <v>1314</v>
      </c>
      <c r="D80" s="982"/>
      <c r="E80" s="1014"/>
      <c r="F80" s="1014"/>
      <c r="G80" s="1014"/>
      <c r="H80" s="1014"/>
      <c r="I80" s="1014"/>
    </row>
    <row r="81" spans="1:10" x14ac:dyDescent="0.2">
      <c r="A81" s="2089" t="s">
        <v>500</v>
      </c>
      <c r="B81" s="2089"/>
      <c r="C81" s="971" t="s">
        <v>952</v>
      </c>
      <c r="D81" s="983"/>
      <c r="E81" s="974"/>
      <c r="F81" s="974"/>
      <c r="G81" s="974"/>
      <c r="H81" s="974"/>
      <c r="I81" s="974"/>
    </row>
    <row r="82" spans="1:10" ht="48" x14ac:dyDescent="0.2">
      <c r="A82" s="414" t="s">
        <v>501</v>
      </c>
      <c r="B82" s="2083" t="s">
        <v>502</v>
      </c>
      <c r="C82" s="2083"/>
      <c r="D82" s="414" t="s">
        <v>503</v>
      </c>
      <c r="E82" s="414" t="s">
        <v>504</v>
      </c>
      <c r="F82" s="414" t="s">
        <v>505</v>
      </c>
      <c r="G82" s="414" t="s">
        <v>506</v>
      </c>
      <c r="H82" s="414" t="s">
        <v>36</v>
      </c>
      <c r="I82" s="414" t="s">
        <v>507</v>
      </c>
      <c r="J82" s="1015"/>
    </row>
    <row r="83" spans="1:10" x14ac:dyDescent="0.2">
      <c r="A83" s="2084" t="s">
        <v>549</v>
      </c>
      <c r="B83" s="2084"/>
      <c r="C83" s="2084"/>
      <c r="D83" s="791"/>
      <c r="E83" s="958">
        <f>SUM(E84:E94)</f>
        <v>292911</v>
      </c>
      <c r="F83" s="958">
        <f t="shared" ref="F83:G83" si="11">SUM(F84:F94)</f>
        <v>4826</v>
      </c>
      <c r="G83" s="958">
        <f t="shared" si="11"/>
        <v>297737</v>
      </c>
      <c r="H83" s="958"/>
      <c r="I83" s="764"/>
      <c r="J83" s="1016"/>
    </row>
    <row r="84" spans="1:10" ht="16.5" customHeight="1" x14ac:dyDescent="0.2">
      <c r="A84" s="414">
        <v>1</v>
      </c>
      <c r="B84" s="2086" t="s">
        <v>1300</v>
      </c>
      <c r="C84" s="2086"/>
      <c r="D84" s="998">
        <v>2241</v>
      </c>
      <c r="E84" s="1005">
        <v>25641</v>
      </c>
      <c r="F84" s="1005"/>
      <c r="G84" s="756">
        <f t="shared" ref="G84:G94" si="12">E84+F84</f>
        <v>25641</v>
      </c>
      <c r="H84" s="1005"/>
      <c r="I84" s="2081" t="s">
        <v>1315</v>
      </c>
    </row>
    <row r="85" spans="1:10" ht="23.25" customHeight="1" x14ac:dyDescent="0.2">
      <c r="A85" s="414">
        <v>2</v>
      </c>
      <c r="B85" s="2086" t="s">
        <v>1316</v>
      </c>
      <c r="C85" s="2086"/>
      <c r="D85" s="959">
        <v>5250</v>
      </c>
      <c r="E85" s="1005">
        <v>30000</v>
      </c>
      <c r="F85" s="1005"/>
      <c r="G85" s="756">
        <f t="shared" si="12"/>
        <v>30000</v>
      </c>
      <c r="H85" s="1005"/>
      <c r="I85" s="2081"/>
    </row>
    <row r="86" spans="1:10" x14ac:dyDescent="0.2">
      <c r="A86" s="414">
        <v>3</v>
      </c>
      <c r="B86" s="2050" t="s">
        <v>1317</v>
      </c>
      <c r="C86" s="2050"/>
      <c r="D86" s="959">
        <v>5250</v>
      </c>
      <c r="E86" s="1005">
        <v>45425</v>
      </c>
      <c r="F86" s="976"/>
      <c r="G86" s="756">
        <f t="shared" si="12"/>
        <v>45425</v>
      </c>
      <c r="H86" s="756"/>
      <c r="I86" s="2081"/>
    </row>
    <row r="87" spans="1:10" ht="15" customHeight="1" x14ac:dyDescent="0.2">
      <c r="A87" s="414">
        <v>4</v>
      </c>
      <c r="B87" s="2050" t="s">
        <v>1318</v>
      </c>
      <c r="C87" s="2050"/>
      <c r="D87" s="959">
        <v>5250</v>
      </c>
      <c r="E87" s="1005">
        <v>25046</v>
      </c>
      <c r="F87" s="1005"/>
      <c r="G87" s="756">
        <f t="shared" si="12"/>
        <v>25046</v>
      </c>
      <c r="H87" s="1005"/>
      <c r="I87" s="2081"/>
    </row>
    <row r="88" spans="1:10" ht="12.75" customHeight="1" x14ac:dyDescent="0.2">
      <c r="A88" s="2102">
        <v>5</v>
      </c>
      <c r="B88" s="2104" t="s">
        <v>1319</v>
      </c>
      <c r="C88" s="2105"/>
      <c r="D88" s="985">
        <v>5250</v>
      </c>
      <c r="E88" s="986">
        <v>29694</v>
      </c>
      <c r="F88" s="986"/>
      <c r="G88" s="756">
        <f t="shared" si="12"/>
        <v>29694</v>
      </c>
      <c r="H88" s="756"/>
      <c r="I88" s="2081"/>
    </row>
    <row r="89" spans="1:10" ht="12.75" customHeight="1" x14ac:dyDescent="0.2">
      <c r="A89" s="2103"/>
      <c r="B89" s="2106"/>
      <c r="C89" s="2107"/>
      <c r="D89" s="985">
        <v>2241</v>
      </c>
      <c r="E89" s="986">
        <v>0</v>
      </c>
      <c r="F89" s="1018">
        <v>1813</v>
      </c>
      <c r="G89" s="756">
        <f t="shared" si="12"/>
        <v>1813</v>
      </c>
      <c r="H89" s="756" t="s">
        <v>1304</v>
      </c>
      <c r="I89" s="2081"/>
    </row>
    <row r="90" spans="1:10" ht="12.75" customHeight="1" x14ac:dyDescent="0.2">
      <c r="A90" s="414">
        <v>6</v>
      </c>
      <c r="B90" s="2050" t="s">
        <v>1320</v>
      </c>
      <c r="C90" s="2050"/>
      <c r="D90" s="959">
        <v>5250</v>
      </c>
      <c r="E90" s="1005">
        <v>12990</v>
      </c>
      <c r="F90" s="1019">
        <v>430</v>
      </c>
      <c r="G90" s="756">
        <f t="shared" si="12"/>
        <v>13420</v>
      </c>
      <c r="H90" s="756" t="s">
        <v>1304</v>
      </c>
      <c r="I90" s="2081"/>
    </row>
    <row r="91" spans="1:10" ht="15" customHeight="1" x14ac:dyDescent="0.2">
      <c r="A91" s="977">
        <v>7</v>
      </c>
      <c r="B91" s="2050" t="s">
        <v>1321</v>
      </c>
      <c r="C91" s="2050"/>
      <c r="D91" s="959">
        <v>5250</v>
      </c>
      <c r="E91" s="756">
        <v>28648</v>
      </c>
      <c r="F91" s="756"/>
      <c r="G91" s="756">
        <f t="shared" si="12"/>
        <v>28648</v>
      </c>
      <c r="H91" s="756"/>
      <c r="I91" s="2081"/>
    </row>
    <row r="92" spans="1:10" x14ac:dyDescent="0.2">
      <c r="A92" s="977">
        <v>8</v>
      </c>
      <c r="B92" s="2050" t="s">
        <v>1322</v>
      </c>
      <c r="C92" s="2050"/>
      <c r="D92" s="959">
        <v>5250</v>
      </c>
      <c r="E92" s="756">
        <v>54579</v>
      </c>
      <c r="F92" s="960"/>
      <c r="G92" s="756">
        <f t="shared" si="12"/>
        <v>54579</v>
      </c>
      <c r="H92" s="756"/>
      <c r="I92" s="2081"/>
    </row>
    <row r="93" spans="1:10" s="1020" customFormat="1" ht="15" customHeight="1" x14ac:dyDescent="0.2">
      <c r="A93" s="414">
        <v>9</v>
      </c>
      <c r="B93" s="2050" t="s">
        <v>1323</v>
      </c>
      <c r="C93" s="2050"/>
      <c r="D93" s="959">
        <v>5250</v>
      </c>
      <c r="E93" s="1005">
        <v>16360</v>
      </c>
      <c r="F93" s="1005"/>
      <c r="G93" s="756">
        <f t="shared" si="12"/>
        <v>16360</v>
      </c>
      <c r="H93" s="1005"/>
      <c r="I93" s="2081"/>
    </row>
    <row r="94" spans="1:10" ht="12.75" customHeight="1" x14ac:dyDescent="0.2">
      <c r="A94" s="414">
        <v>10</v>
      </c>
      <c r="B94" s="2050" t="s">
        <v>1324</v>
      </c>
      <c r="C94" s="2050"/>
      <c r="D94" s="959">
        <v>5250</v>
      </c>
      <c r="E94" s="1005">
        <v>24528</v>
      </c>
      <c r="F94" s="1019">
        <v>2583</v>
      </c>
      <c r="G94" s="756">
        <f t="shared" si="12"/>
        <v>27111</v>
      </c>
      <c r="H94" s="756" t="s">
        <v>1304</v>
      </c>
      <c r="I94" s="2081"/>
    </row>
    <row r="95" spans="1:10" ht="12" customHeight="1" x14ac:dyDescent="0.2">
      <c r="A95" s="1021"/>
      <c r="B95" s="1022"/>
      <c r="C95" s="1022"/>
      <c r="D95" s="1023"/>
      <c r="E95" s="1024"/>
      <c r="F95" s="1024"/>
      <c r="G95" s="1024"/>
      <c r="H95" s="1024"/>
      <c r="I95" s="1025"/>
    </row>
    <row r="96" spans="1:10" x14ac:dyDescent="0.2">
      <c r="A96" s="2089" t="s">
        <v>499</v>
      </c>
      <c r="B96" s="2089"/>
      <c r="C96" s="968" t="s">
        <v>1325</v>
      </c>
      <c r="D96" s="982"/>
      <c r="E96" s="968"/>
      <c r="F96" s="968"/>
      <c r="G96" s="968"/>
      <c r="H96" s="968"/>
      <c r="I96" s="770"/>
    </row>
    <row r="97" spans="1:10" x14ac:dyDescent="0.2">
      <c r="A97" s="2089" t="s">
        <v>500</v>
      </c>
      <c r="B97" s="2089"/>
      <c r="C97" s="971" t="s">
        <v>853</v>
      </c>
      <c r="D97" s="983"/>
      <c r="E97" s="974"/>
      <c r="F97" s="974"/>
      <c r="G97" s="974"/>
      <c r="H97" s="974"/>
      <c r="I97" s="770"/>
    </row>
    <row r="98" spans="1:10" ht="48" x14ac:dyDescent="0.2">
      <c r="A98" s="414" t="s">
        <v>501</v>
      </c>
      <c r="B98" s="2083" t="s">
        <v>502</v>
      </c>
      <c r="C98" s="2083"/>
      <c r="D98" s="414" t="s">
        <v>503</v>
      </c>
      <c r="E98" s="414" t="s">
        <v>504</v>
      </c>
      <c r="F98" s="414" t="s">
        <v>505</v>
      </c>
      <c r="G98" s="414" t="s">
        <v>506</v>
      </c>
      <c r="H98" s="414" t="s">
        <v>36</v>
      </c>
      <c r="I98" s="414" t="s">
        <v>507</v>
      </c>
      <c r="J98" s="1015"/>
    </row>
    <row r="99" spans="1:10" x14ac:dyDescent="0.2">
      <c r="A99" s="2084" t="s">
        <v>549</v>
      </c>
      <c r="B99" s="2084"/>
      <c r="C99" s="2084"/>
      <c r="D99" s="416"/>
      <c r="E99" s="958">
        <f>SUM(E100:E110)</f>
        <v>506544</v>
      </c>
      <c r="F99" s="958">
        <f t="shared" ref="F99:G99" si="13">SUM(F100:F110)</f>
        <v>0</v>
      </c>
      <c r="G99" s="958">
        <f t="shared" si="13"/>
        <v>506544</v>
      </c>
      <c r="H99" s="958"/>
      <c r="I99" s="1026"/>
      <c r="J99" s="404"/>
    </row>
    <row r="100" spans="1:10" ht="12" customHeight="1" x14ac:dyDescent="0.2">
      <c r="A100" s="414">
        <v>1</v>
      </c>
      <c r="B100" s="2086" t="s">
        <v>1300</v>
      </c>
      <c r="C100" s="2086"/>
      <c r="D100" s="959">
        <v>2241</v>
      </c>
      <c r="E100" s="756">
        <v>80000</v>
      </c>
      <c r="F100" s="756"/>
      <c r="G100" s="756">
        <f t="shared" ref="G100:G110" si="14">E100+F100</f>
        <v>80000</v>
      </c>
      <c r="H100" s="756"/>
      <c r="I100" s="2060" t="s">
        <v>1326</v>
      </c>
    </row>
    <row r="101" spans="1:10" x14ac:dyDescent="0.2">
      <c r="A101" s="414">
        <v>2</v>
      </c>
      <c r="B101" s="2050" t="s">
        <v>1327</v>
      </c>
      <c r="C101" s="2050"/>
      <c r="D101" s="959">
        <v>5250</v>
      </c>
      <c r="E101" s="756">
        <v>72869</v>
      </c>
      <c r="F101" s="960"/>
      <c r="G101" s="756">
        <f t="shared" si="14"/>
        <v>72869</v>
      </c>
      <c r="H101" s="756"/>
      <c r="I101" s="2060"/>
    </row>
    <row r="102" spans="1:10" ht="12" customHeight="1" x14ac:dyDescent="0.2">
      <c r="A102" s="414">
        <v>3</v>
      </c>
      <c r="B102" s="2050" t="s">
        <v>1328</v>
      </c>
      <c r="C102" s="2050"/>
      <c r="D102" s="959">
        <v>5250</v>
      </c>
      <c r="E102" s="756">
        <v>9015</v>
      </c>
      <c r="F102" s="756"/>
      <c r="G102" s="756">
        <f t="shared" si="14"/>
        <v>9015</v>
      </c>
      <c r="H102" s="756"/>
      <c r="I102" s="2060"/>
    </row>
    <row r="103" spans="1:10" ht="12" customHeight="1" x14ac:dyDescent="0.2">
      <c r="A103" s="414">
        <v>4</v>
      </c>
      <c r="B103" s="2050" t="s">
        <v>1329</v>
      </c>
      <c r="C103" s="2050"/>
      <c r="D103" s="959">
        <v>5250</v>
      </c>
      <c r="E103" s="756">
        <v>71624</v>
      </c>
      <c r="F103" s="756"/>
      <c r="G103" s="756">
        <f t="shared" si="14"/>
        <v>71624</v>
      </c>
      <c r="H103" s="756"/>
      <c r="I103" s="2060"/>
    </row>
    <row r="104" spans="1:10" ht="12" customHeight="1" x14ac:dyDescent="0.2">
      <c r="A104" s="414">
        <v>5</v>
      </c>
      <c r="B104" s="2050" t="s">
        <v>1330</v>
      </c>
      <c r="C104" s="2050"/>
      <c r="D104" s="959">
        <v>5250</v>
      </c>
      <c r="E104" s="756">
        <v>8000</v>
      </c>
      <c r="F104" s="756"/>
      <c r="G104" s="756">
        <f t="shared" si="14"/>
        <v>8000</v>
      </c>
      <c r="H104" s="756"/>
      <c r="I104" s="2060"/>
    </row>
    <row r="105" spans="1:10" ht="12" customHeight="1" x14ac:dyDescent="0.2">
      <c r="A105" s="414">
        <v>6</v>
      </c>
      <c r="B105" s="2050" t="s">
        <v>1331</v>
      </c>
      <c r="C105" s="2050"/>
      <c r="D105" s="959">
        <v>5250</v>
      </c>
      <c r="E105" s="756">
        <v>116764</v>
      </c>
      <c r="F105" s="960"/>
      <c r="G105" s="756">
        <f t="shared" si="14"/>
        <v>116764</v>
      </c>
      <c r="H105" s="756"/>
      <c r="I105" s="2060"/>
    </row>
    <row r="106" spans="1:10" ht="12" customHeight="1" x14ac:dyDescent="0.2">
      <c r="A106" s="414">
        <v>7</v>
      </c>
      <c r="B106" s="2050" t="s">
        <v>1332</v>
      </c>
      <c r="C106" s="2050"/>
      <c r="D106" s="959">
        <v>5250</v>
      </c>
      <c r="E106" s="756">
        <v>48424</v>
      </c>
      <c r="F106" s="756"/>
      <c r="G106" s="756">
        <f t="shared" si="14"/>
        <v>48424</v>
      </c>
      <c r="H106" s="756"/>
      <c r="I106" s="2060"/>
    </row>
    <row r="107" spans="1:10" ht="12" customHeight="1" x14ac:dyDescent="0.2">
      <c r="A107" s="414">
        <v>8</v>
      </c>
      <c r="B107" s="2050" t="s">
        <v>850</v>
      </c>
      <c r="C107" s="2050"/>
      <c r="D107" s="959">
        <v>5250</v>
      </c>
      <c r="E107" s="756">
        <v>52289</v>
      </c>
      <c r="F107" s="960"/>
      <c r="G107" s="756">
        <f t="shared" si="14"/>
        <v>52289</v>
      </c>
      <c r="H107" s="756"/>
      <c r="I107" s="2060"/>
    </row>
    <row r="108" spans="1:10" ht="12" customHeight="1" x14ac:dyDescent="0.2">
      <c r="A108" s="414">
        <v>9</v>
      </c>
      <c r="B108" s="2050" t="s">
        <v>1333</v>
      </c>
      <c r="C108" s="2050"/>
      <c r="D108" s="959">
        <v>5250</v>
      </c>
      <c r="E108" s="756">
        <v>7583</v>
      </c>
      <c r="F108" s="756"/>
      <c r="G108" s="756">
        <f t="shared" si="14"/>
        <v>7583</v>
      </c>
      <c r="H108" s="756"/>
      <c r="I108" s="2060"/>
    </row>
    <row r="109" spans="1:10" ht="12" customHeight="1" x14ac:dyDescent="0.2">
      <c r="A109" s="414">
        <v>10</v>
      </c>
      <c r="B109" s="2050" t="s">
        <v>1334</v>
      </c>
      <c r="C109" s="2050"/>
      <c r="D109" s="959">
        <v>5250</v>
      </c>
      <c r="E109" s="756">
        <v>16520</v>
      </c>
      <c r="F109" s="756"/>
      <c r="G109" s="756">
        <f t="shared" si="14"/>
        <v>16520</v>
      </c>
      <c r="H109" s="756"/>
      <c r="I109" s="2060"/>
    </row>
    <row r="110" spans="1:10" ht="12" customHeight="1" x14ac:dyDescent="0.2">
      <c r="A110" s="414">
        <v>11</v>
      </c>
      <c r="B110" s="2050" t="s">
        <v>991</v>
      </c>
      <c r="C110" s="2050"/>
      <c r="D110" s="959">
        <v>5250</v>
      </c>
      <c r="E110" s="756">
        <v>23456</v>
      </c>
      <c r="F110" s="756"/>
      <c r="G110" s="756">
        <f t="shared" si="14"/>
        <v>23456</v>
      </c>
      <c r="H110" s="756"/>
      <c r="I110" s="2060"/>
    </row>
    <row r="111" spans="1:10" ht="12.75" customHeight="1" x14ac:dyDescent="0.2">
      <c r="A111" s="1027"/>
      <c r="B111" s="1027"/>
      <c r="C111" s="1027"/>
      <c r="D111" s="1028"/>
      <c r="E111" s="1027"/>
      <c r="F111" s="1027"/>
      <c r="G111" s="1027"/>
      <c r="H111" s="1027"/>
      <c r="I111" s="1027"/>
    </row>
    <row r="112" spans="1:10" x14ac:dyDescent="0.2">
      <c r="A112" s="2089" t="s">
        <v>499</v>
      </c>
      <c r="B112" s="2089"/>
      <c r="C112" s="968" t="s">
        <v>1335</v>
      </c>
      <c r="D112" s="982"/>
      <c r="E112" s="968"/>
      <c r="F112" s="968"/>
      <c r="G112" s="968"/>
      <c r="H112" s="968"/>
      <c r="I112" s="968"/>
    </row>
    <row r="113" spans="1:9" x14ac:dyDescent="0.2">
      <c r="A113" s="2089" t="s">
        <v>500</v>
      </c>
      <c r="B113" s="2089"/>
      <c r="C113" s="971" t="s">
        <v>836</v>
      </c>
      <c r="D113" s="983"/>
      <c r="E113" s="974"/>
      <c r="F113" s="974"/>
      <c r="G113" s="974"/>
      <c r="H113" s="974"/>
      <c r="I113" s="974"/>
    </row>
    <row r="114" spans="1:9" ht="48" x14ac:dyDescent="0.2">
      <c r="A114" s="414" t="s">
        <v>501</v>
      </c>
      <c r="B114" s="2083" t="s">
        <v>502</v>
      </c>
      <c r="C114" s="2083"/>
      <c r="D114" s="414" t="s">
        <v>503</v>
      </c>
      <c r="E114" s="414" t="s">
        <v>504</v>
      </c>
      <c r="F114" s="414" t="s">
        <v>505</v>
      </c>
      <c r="G114" s="414" t="s">
        <v>506</v>
      </c>
      <c r="H114" s="414" t="s">
        <v>36</v>
      </c>
      <c r="I114" s="414" t="s">
        <v>507</v>
      </c>
    </row>
    <row r="115" spans="1:9" x14ac:dyDescent="0.2">
      <c r="A115" s="2084" t="s">
        <v>549</v>
      </c>
      <c r="B115" s="2084"/>
      <c r="C115" s="2084"/>
      <c r="D115" s="416"/>
      <c r="E115" s="958">
        <f>SUM(E116:E119)</f>
        <v>36441</v>
      </c>
      <c r="F115" s="958">
        <f t="shared" ref="F115:G115" si="15">SUM(F116:F119)</f>
        <v>0</v>
      </c>
      <c r="G115" s="958">
        <f t="shared" si="15"/>
        <v>36441</v>
      </c>
      <c r="H115" s="958"/>
      <c r="I115" s="1029"/>
    </row>
    <row r="116" spans="1:9" ht="13.5" customHeight="1" x14ac:dyDescent="0.2">
      <c r="A116" s="977">
        <v>1</v>
      </c>
      <c r="B116" s="2050" t="s">
        <v>1082</v>
      </c>
      <c r="C116" s="2050"/>
      <c r="D116" s="959">
        <v>5250</v>
      </c>
      <c r="E116" s="756">
        <v>5660</v>
      </c>
      <c r="F116" s="960"/>
      <c r="G116" s="756">
        <f t="shared" ref="G116:G119" si="16">E116+F116</f>
        <v>5660</v>
      </c>
      <c r="H116" s="756"/>
      <c r="I116" s="764" t="s">
        <v>1336</v>
      </c>
    </row>
    <row r="117" spans="1:9" ht="13.5" customHeight="1" x14ac:dyDescent="0.2">
      <c r="A117" s="977">
        <v>2</v>
      </c>
      <c r="B117" s="2050" t="s">
        <v>1337</v>
      </c>
      <c r="C117" s="2050"/>
      <c r="D117" s="959">
        <v>5250</v>
      </c>
      <c r="E117" s="756">
        <v>22046</v>
      </c>
      <c r="F117" s="756"/>
      <c r="G117" s="756">
        <f t="shared" si="16"/>
        <v>22046</v>
      </c>
      <c r="H117" s="756"/>
      <c r="I117" s="764" t="s">
        <v>1336</v>
      </c>
    </row>
    <row r="118" spans="1:9" ht="13.5" customHeight="1" x14ac:dyDescent="0.2">
      <c r="A118" s="977">
        <v>3</v>
      </c>
      <c r="B118" s="2050" t="s">
        <v>1300</v>
      </c>
      <c r="C118" s="2050"/>
      <c r="D118" s="959">
        <v>2241</v>
      </c>
      <c r="E118" s="756">
        <v>1500</v>
      </c>
      <c r="F118" s="756"/>
      <c r="G118" s="756">
        <f t="shared" si="16"/>
        <v>1500</v>
      </c>
      <c r="H118" s="756"/>
      <c r="I118" s="764" t="s">
        <v>1315</v>
      </c>
    </row>
    <row r="119" spans="1:9" ht="13.5" customHeight="1" x14ac:dyDescent="0.2">
      <c r="A119" s="977">
        <v>4</v>
      </c>
      <c r="B119" s="2050" t="s">
        <v>1338</v>
      </c>
      <c r="C119" s="2050"/>
      <c r="D119" s="959">
        <v>5250</v>
      </c>
      <c r="E119" s="756">
        <v>7235</v>
      </c>
      <c r="F119" s="960"/>
      <c r="G119" s="756">
        <f t="shared" si="16"/>
        <v>7235</v>
      </c>
      <c r="H119" s="756"/>
      <c r="I119" s="764" t="s">
        <v>1336</v>
      </c>
    </row>
    <row r="120" spans="1:9" ht="13.5" customHeight="1" x14ac:dyDescent="0.2">
      <c r="A120" s="445"/>
      <c r="B120" s="445"/>
      <c r="C120" s="445"/>
      <c r="D120" s="1002"/>
      <c r="E120" s="446"/>
      <c r="F120" s="446"/>
      <c r="G120" s="446"/>
      <c r="H120" s="446"/>
      <c r="I120" s="446"/>
    </row>
    <row r="121" spans="1:9" x14ac:dyDescent="0.2">
      <c r="A121" s="2089" t="s">
        <v>499</v>
      </c>
      <c r="B121" s="2089"/>
      <c r="C121" s="968" t="s">
        <v>1339</v>
      </c>
      <c r="D121" s="982"/>
      <c r="E121" s="968"/>
      <c r="F121" s="968"/>
      <c r="G121" s="968"/>
      <c r="H121" s="968"/>
      <c r="I121" s="968"/>
    </row>
    <row r="122" spans="1:9" x14ac:dyDescent="0.2">
      <c r="A122" s="2089" t="s">
        <v>500</v>
      </c>
      <c r="B122" s="2089"/>
      <c r="C122" s="971" t="s">
        <v>360</v>
      </c>
      <c r="D122" s="983"/>
      <c r="E122" s="974"/>
      <c r="F122" s="974"/>
      <c r="G122" s="974"/>
      <c r="H122" s="974"/>
      <c r="I122" s="974"/>
    </row>
    <row r="123" spans="1:9" ht="48" x14ac:dyDescent="0.2">
      <c r="A123" s="414" t="s">
        <v>501</v>
      </c>
      <c r="B123" s="2083" t="s">
        <v>502</v>
      </c>
      <c r="C123" s="2083"/>
      <c r="D123" s="414" t="s">
        <v>503</v>
      </c>
      <c r="E123" s="414" t="s">
        <v>504</v>
      </c>
      <c r="F123" s="414" t="s">
        <v>505</v>
      </c>
      <c r="G123" s="414" t="s">
        <v>506</v>
      </c>
      <c r="H123" s="414" t="s">
        <v>36</v>
      </c>
      <c r="I123" s="414" t="s">
        <v>507</v>
      </c>
    </row>
    <row r="124" spans="1:9" x14ac:dyDescent="0.2">
      <c r="A124" s="2084" t="s">
        <v>549</v>
      </c>
      <c r="B124" s="2084"/>
      <c r="C124" s="2084"/>
      <c r="D124" s="1030"/>
      <c r="E124" s="958">
        <f>SUM(E125:E126)</f>
        <v>29681</v>
      </c>
      <c r="F124" s="958">
        <f t="shared" ref="F124:G124" si="17">SUM(F125:F126)</f>
        <v>0</v>
      </c>
      <c r="G124" s="958">
        <f t="shared" si="17"/>
        <v>29681</v>
      </c>
      <c r="H124" s="958"/>
      <c r="I124" s="1026"/>
    </row>
    <row r="125" spans="1:9" ht="13.5" customHeight="1" x14ac:dyDescent="0.2">
      <c r="A125" s="977">
        <v>1</v>
      </c>
      <c r="B125" s="2086" t="s">
        <v>1340</v>
      </c>
      <c r="C125" s="2086"/>
      <c r="D125" s="959">
        <v>2241</v>
      </c>
      <c r="E125" s="756">
        <f>7473</f>
        <v>7473</v>
      </c>
      <c r="F125" s="756"/>
      <c r="G125" s="756">
        <f t="shared" ref="G125:G126" si="18">E125+F125</f>
        <v>7473</v>
      </c>
      <c r="H125" s="756"/>
      <c r="I125" s="764" t="s">
        <v>1341</v>
      </c>
    </row>
    <row r="126" spans="1:9" ht="25.5" customHeight="1" x14ac:dyDescent="0.2">
      <c r="A126" s="977">
        <v>2</v>
      </c>
      <c r="B126" s="2086" t="s">
        <v>1342</v>
      </c>
      <c r="C126" s="2086"/>
      <c r="D126" s="959">
        <v>5250</v>
      </c>
      <c r="E126" s="756">
        <v>22208</v>
      </c>
      <c r="F126" s="960"/>
      <c r="G126" s="756">
        <f t="shared" si="18"/>
        <v>22208</v>
      </c>
      <c r="H126" s="756"/>
      <c r="I126" s="764"/>
    </row>
    <row r="127" spans="1:9" s="1020" customFormat="1" ht="13.5" customHeight="1" x14ac:dyDescent="0.2">
      <c r="A127" s="1031"/>
      <c r="B127" s="1031"/>
      <c r="C127" s="1031"/>
      <c r="D127" s="1031"/>
      <c r="E127" s="1031"/>
      <c r="F127" s="1031"/>
      <c r="G127" s="1031"/>
      <c r="H127" s="1031"/>
      <c r="I127" s="1032"/>
    </row>
    <row r="128" spans="1:9" s="1020" customFormat="1" x14ac:dyDescent="0.2">
      <c r="A128" s="1033" t="s">
        <v>570</v>
      </c>
      <c r="B128" s="1034"/>
      <c r="C128" s="1034"/>
      <c r="D128" s="1034"/>
      <c r="E128" s="1034"/>
      <c r="F128" s="1034"/>
      <c r="G128" s="1034"/>
      <c r="H128" s="1034"/>
      <c r="I128" s="1034"/>
    </row>
    <row r="129" spans="1:9" s="1020" customFormat="1" x14ac:dyDescent="0.2">
      <c r="A129" s="1035" t="s">
        <v>537</v>
      </c>
      <c r="B129" s="1031"/>
      <c r="C129" s="1031"/>
      <c r="D129" s="1031"/>
      <c r="E129" s="1031"/>
      <c r="F129" s="1031"/>
      <c r="G129" s="1031"/>
      <c r="H129" s="1031"/>
      <c r="I129" s="1032"/>
    </row>
    <row r="130" spans="1:9" x14ac:dyDescent="0.2">
      <c r="A130" s="1036" t="s">
        <v>1343</v>
      </c>
    </row>
    <row r="131" spans="1:9" x14ac:dyDescent="0.2">
      <c r="A131" s="1020" t="s">
        <v>1344</v>
      </c>
      <c r="B131" s="1020"/>
    </row>
    <row r="132" spans="1:9" x14ac:dyDescent="0.2">
      <c r="A132" s="1020" t="s">
        <v>1345</v>
      </c>
      <c r="B132" s="1020"/>
    </row>
    <row r="133" spans="1:9" x14ac:dyDescent="0.2">
      <c r="A133" s="1020" t="s">
        <v>1346</v>
      </c>
      <c r="B133" s="1020"/>
    </row>
    <row r="134" spans="1:9" x14ac:dyDescent="0.2">
      <c r="A134" s="1020" t="s">
        <v>1347</v>
      </c>
      <c r="B134" s="1020"/>
    </row>
    <row r="135" spans="1:9" x14ac:dyDescent="0.2">
      <c r="A135" s="1020" t="s">
        <v>1348</v>
      </c>
      <c r="B135" s="1020"/>
    </row>
    <row r="136" spans="1:9" x14ac:dyDescent="0.2">
      <c r="A136" s="1020" t="s">
        <v>1349</v>
      </c>
      <c r="B136" s="1020"/>
    </row>
    <row r="137" spans="1:9" x14ac:dyDescent="0.2">
      <c r="A137" s="1020" t="s">
        <v>1350</v>
      </c>
      <c r="B137" s="1020"/>
    </row>
    <row r="138" spans="1:9" x14ac:dyDescent="0.2">
      <c r="A138" s="1020" t="s">
        <v>1351</v>
      </c>
      <c r="B138" s="1020"/>
    </row>
    <row r="139" spans="1:9" x14ac:dyDescent="0.2">
      <c r="A139" s="1020" t="s">
        <v>1352</v>
      </c>
      <c r="B139" s="1020"/>
    </row>
    <row r="140" spans="1:9" x14ac:dyDescent="0.2">
      <c r="A140" s="1020" t="s">
        <v>1353</v>
      </c>
      <c r="B140" s="1020"/>
    </row>
    <row r="141" spans="1:9" x14ac:dyDescent="0.2">
      <c r="A141" s="1020" t="s">
        <v>1354</v>
      </c>
      <c r="B141" s="1020"/>
    </row>
    <row r="142" spans="1:9" x14ac:dyDescent="0.2">
      <c r="A142" s="1020" t="s">
        <v>1355</v>
      </c>
      <c r="B142" s="1020"/>
    </row>
    <row r="143" spans="1:9" x14ac:dyDescent="0.2">
      <c r="A143" s="1037" t="s">
        <v>1356</v>
      </c>
      <c r="B143" s="1020"/>
    </row>
    <row r="144" spans="1:9" x14ac:dyDescent="0.2">
      <c r="A144" s="1020" t="s">
        <v>1357</v>
      </c>
      <c r="B144" s="1020"/>
    </row>
    <row r="145" spans="1:2" x14ac:dyDescent="0.2">
      <c r="A145" s="1020" t="s">
        <v>1358</v>
      </c>
      <c r="B145" s="1020"/>
    </row>
    <row r="146" spans="1:2" x14ac:dyDescent="0.2">
      <c r="A146" s="1020" t="s">
        <v>1359</v>
      </c>
      <c r="B146" s="1020"/>
    </row>
    <row r="147" spans="1:2" x14ac:dyDescent="0.2">
      <c r="A147" s="1020" t="s">
        <v>1360</v>
      </c>
      <c r="B147" s="1020"/>
    </row>
    <row r="148" spans="1:2" x14ac:dyDescent="0.2">
      <c r="A148" s="1020" t="s">
        <v>1361</v>
      </c>
      <c r="B148" s="1020"/>
    </row>
    <row r="149" spans="1:2" x14ac:dyDescent="0.2">
      <c r="A149" s="1020" t="s">
        <v>1362</v>
      </c>
      <c r="B149" s="1020"/>
    </row>
    <row r="150" spans="1:2" x14ac:dyDescent="0.2">
      <c r="A150" s="1020" t="s">
        <v>1363</v>
      </c>
      <c r="B150" s="1020"/>
    </row>
    <row r="151" spans="1:2" x14ac:dyDescent="0.2">
      <c r="A151" s="1020" t="s">
        <v>1364</v>
      </c>
      <c r="B151" s="1020"/>
    </row>
    <row r="152" spans="1:2" x14ac:dyDescent="0.2">
      <c r="A152" s="1020" t="s">
        <v>1365</v>
      </c>
      <c r="B152" s="1020"/>
    </row>
    <row r="153" spans="1:2" x14ac:dyDescent="0.2">
      <c r="A153" s="1020" t="s">
        <v>1366</v>
      </c>
      <c r="B153" s="1020"/>
    </row>
    <row r="154" spans="1:2" x14ac:dyDescent="0.2">
      <c r="A154" s="1020" t="s">
        <v>1367</v>
      </c>
      <c r="B154" s="1020"/>
    </row>
    <row r="155" spans="1:2" x14ac:dyDescent="0.2">
      <c r="A155" s="1020" t="s">
        <v>1368</v>
      </c>
      <c r="B155" s="1020"/>
    </row>
    <row r="156" spans="1:2" x14ac:dyDescent="0.2">
      <c r="A156" s="1020" t="s">
        <v>1369</v>
      </c>
      <c r="B156" s="1020"/>
    </row>
  </sheetData>
  <sheetProtection algorithmName="SHA-512" hashValue="CLkOqpAooJhvyv6ktRhVVAg1Vw99dY1bcEks3qr9zw/IVEGZrPZpWfdfsOd+AVL9lHbCqOzVqyP+y1t6Cob+Vw==" saltValue="oOPT9Pn8+b+nEU812o+Iig==" spinCount="100000" sheet="1" objects="1" scenarios="1"/>
  <mergeCells count="118">
    <mergeCell ref="B125:C125"/>
    <mergeCell ref="B126:C126"/>
    <mergeCell ref="B118:C118"/>
    <mergeCell ref="B119:C119"/>
    <mergeCell ref="A121:B121"/>
    <mergeCell ref="A122:B122"/>
    <mergeCell ref="B123:C123"/>
    <mergeCell ref="A124:C124"/>
    <mergeCell ref="A112:B112"/>
    <mergeCell ref="A113:B113"/>
    <mergeCell ref="B114:C114"/>
    <mergeCell ref="A115:C115"/>
    <mergeCell ref="B116:C116"/>
    <mergeCell ref="B117:C117"/>
    <mergeCell ref="I100:I110"/>
    <mergeCell ref="B101:C101"/>
    <mergeCell ref="B102:C102"/>
    <mergeCell ref="B103:C103"/>
    <mergeCell ref="B104:C104"/>
    <mergeCell ref="B88:C89"/>
    <mergeCell ref="B90:C90"/>
    <mergeCell ref="B91:C91"/>
    <mergeCell ref="B92:C92"/>
    <mergeCell ref="B93:C93"/>
    <mergeCell ref="B94:C94"/>
    <mergeCell ref="B105:C105"/>
    <mergeCell ref="B106:C106"/>
    <mergeCell ref="B107:C107"/>
    <mergeCell ref="B108:C108"/>
    <mergeCell ref="B109:C109"/>
    <mergeCell ref="B110:C110"/>
    <mergeCell ref="A96:B96"/>
    <mergeCell ref="A97:B97"/>
    <mergeCell ref="B98:C98"/>
    <mergeCell ref="A99:C99"/>
    <mergeCell ref="B100:C100"/>
    <mergeCell ref="A80:B80"/>
    <mergeCell ref="A81:B81"/>
    <mergeCell ref="B82:C82"/>
    <mergeCell ref="A83:C83"/>
    <mergeCell ref="B84:C84"/>
    <mergeCell ref="I84:I94"/>
    <mergeCell ref="B85:C85"/>
    <mergeCell ref="B86:C86"/>
    <mergeCell ref="B87:C87"/>
    <mergeCell ref="A88:A89"/>
    <mergeCell ref="A74:B74"/>
    <mergeCell ref="B75:C75"/>
    <mergeCell ref="A76:C76"/>
    <mergeCell ref="A77:A78"/>
    <mergeCell ref="B77:C78"/>
    <mergeCell ref="I77:I78"/>
    <mergeCell ref="A67:B67"/>
    <mergeCell ref="A68:B68"/>
    <mergeCell ref="B69:C69"/>
    <mergeCell ref="A70:C70"/>
    <mergeCell ref="B71:C71"/>
    <mergeCell ref="A73:B73"/>
    <mergeCell ref="B57:C57"/>
    <mergeCell ref="A59:B59"/>
    <mergeCell ref="A60:B60"/>
    <mergeCell ref="B61:C61"/>
    <mergeCell ref="A62:C62"/>
    <mergeCell ref="B63:C63"/>
    <mergeCell ref="B51:C51"/>
    <mergeCell ref="B52:C52"/>
    <mergeCell ref="B53:C53"/>
    <mergeCell ref="B54:C54"/>
    <mergeCell ref="B55:C55"/>
    <mergeCell ref="B56:C56"/>
    <mergeCell ref="B44:C44"/>
    <mergeCell ref="B45:C45"/>
    <mergeCell ref="A47:B47"/>
    <mergeCell ref="A48:B48"/>
    <mergeCell ref="B49:C49"/>
    <mergeCell ref="A50:C50"/>
    <mergeCell ref="A39:A40"/>
    <mergeCell ref="B39:C40"/>
    <mergeCell ref="I39:I40"/>
    <mergeCell ref="B41:C41"/>
    <mergeCell ref="B42:C42"/>
    <mergeCell ref="B43:C43"/>
    <mergeCell ref="A34:A35"/>
    <mergeCell ref="B34:C35"/>
    <mergeCell ref="I34:I35"/>
    <mergeCell ref="B36:C36"/>
    <mergeCell ref="B37:C37"/>
    <mergeCell ref="B38:C38"/>
    <mergeCell ref="A29:B29"/>
    <mergeCell ref="B30:C30"/>
    <mergeCell ref="A31:C31"/>
    <mergeCell ref="A32:A33"/>
    <mergeCell ref="B32:C33"/>
    <mergeCell ref="I32:I33"/>
    <mergeCell ref="A22:B22"/>
    <mergeCell ref="A23:B23"/>
    <mergeCell ref="B24:C24"/>
    <mergeCell ref="A25:C25"/>
    <mergeCell ref="B26:C26"/>
    <mergeCell ref="A28:B28"/>
    <mergeCell ref="I13:I14"/>
    <mergeCell ref="A16:B16"/>
    <mergeCell ref="A17:B17"/>
    <mergeCell ref="B18:C18"/>
    <mergeCell ref="A19:C19"/>
    <mergeCell ref="B20:C20"/>
    <mergeCell ref="A9:B9"/>
    <mergeCell ref="A10:B10"/>
    <mergeCell ref="B11:C11"/>
    <mergeCell ref="A12:C12"/>
    <mergeCell ref="A13:A14"/>
    <mergeCell ref="B13:C14"/>
    <mergeCell ref="A3:B3"/>
    <mergeCell ref="D3:I3"/>
    <mergeCell ref="A4:B4"/>
    <mergeCell ref="C4:I4"/>
    <mergeCell ref="A6:I6"/>
    <mergeCell ref="A8:B8"/>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74.pielikums Jūrmalas pilsētas domes
2019.gada 29.augusta saistošajiem noteikumiem Nr.31
(protokols Nr.12, 20.punkts)
 </firstHeader>
    <firstFooter>&amp;L&amp;9&amp;D; &amp;T&amp;R&amp;9&amp;P (&amp;N)</firstFooter>
  </headerFooter>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23"/>
  <sheetViews>
    <sheetView view="pageLayout" zoomScaleNormal="100" workbookViewId="0">
      <selection activeCell="M6" sqref="M6"/>
    </sheetView>
  </sheetViews>
  <sheetFormatPr defaultRowHeight="12" outlineLevelCol="1" x14ac:dyDescent="0.2"/>
  <cols>
    <col min="1" max="1" width="6.140625" style="451" customWidth="1"/>
    <col min="2" max="2" width="34.7109375" style="451" customWidth="1"/>
    <col min="3" max="3" width="10.5703125" style="451" customWidth="1"/>
    <col min="4" max="4" width="11.7109375" style="451" hidden="1" customWidth="1" outlineLevel="1"/>
    <col min="5" max="5" width="11.5703125" style="451" hidden="1" customWidth="1" outlineLevel="1"/>
    <col min="6" max="6" width="14.5703125" style="451" customWidth="1" collapsed="1"/>
    <col min="7" max="7" width="27.42578125" style="451" hidden="1" customWidth="1" outlineLevel="1"/>
    <col min="8" max="8" width="18.42578125" style="1086" customWidth="1" collapsed="1"/>
    <col min="9" max="9" width="26.7109375" style="451" hidden="1" customWidth="1"/>
    <col min="10" max="10" width="0" style="451" hidden="1" customWidth="1"/>
    <col min="11" max="16384" width="9.140625" style="451"/>
  </cols>
  <sheetData>
    <row r="1" spans="1:13" x14ac:dyDescent="0.2">
      <c r="H1" s="953" t="s">
        <v>1535</v>
      </c>
    </row>
    <row r="2" spans="1:13" x14ac:dyDescent="0.2">
      <c r="H2" s="953" t="s">
        <v>494</v>
      </c>
    </row>
    <row r="3" spans="1:13" x14ac:dyDescent="0.2">
      <c r="A3" s="2128" t="s">
        <v>1396</v>
      </c>
      <c r="B3" s="2128"/>
      <c r="C3" s="946" t="s">
        <v>3</v>
      </c>
      <c r="F3" s="549"/>
      <c r="G3" s="549"/>
      <c r="H3" s="549"/>
      <c r="I3" s="549"/>
    </row>
    <row r="4" spans="1:13" x14ac:dyDescent="0.2">
      <c r="A4" s="2128" t="s">
        <v>1397</v>
      </c>
      <c r="B4" s="2128"/>
      <c r="C4" s="946">
        <v>90000056357</v>
      </c>
      <c r="F4" s="549"/>
      <c r="G4" s="549"/>
      <c r="H4" s="549"/>
      <c r="I4" s="549"/>
    </row>
    <row r="5" spans="1:13" ht="15.75" x14ac:dyDescent="0.25">
      <c r="A5" s="2129" t="s">
        <v>496</v>
      </c>
      <c r="B5" s="2129"/>
      <c r="C5" s="2129"/>
      <c r="D5" s="2129"/>
      <c r="E5" s="2129"/>
      <c r="F5" s="2129"/>
      <c r="G5" s="2129"/>
      <c r="H5" s="2129"/>
      <c r="I5" s="2129"/>
    </row>
    <row r="6" spans="1:13" ht="15.75" x14ac:dyDescent="0.25">
      <c r="A6" s="947"/>
      <c r="B6" s="947"/>
      <c r="C6" s="947"/>
      <c r="D6" s="947"/>
      <c r="E6" s="947"/>
      <c r="F6" s="947"/>
      <c r="G6" s="947"/>
      <c r="H6" s="1057"/>
      <c r="I6" s="947"/>
    </row>
    <row r="7" spans="1:13" ht="15.75" x14ac:dyDescent="0.2">
      <c r="A7" s="549" t="s">
        <v>497</v>
      </c>
      <c r="B7" s="549"/>
      <c r="C7" s="1058" t="s">
        <v>1398</v>
      </c>
      <c r="F7" s="1058"/>
      <c r="G7" s="1058"/>
      <c r="H7" s="1058"/>
      <c r="I7" s="1058"/>
      <c r="J7" s="1058"/>
      <c r="K7" s="1058"/>
      <c r="L7" s="1058"/>
      <c r="M7" s="1058"/>
    </row>
    <row r="8" spans="1:13" x14ac:dyDescent="0.2">
      <c r="A8" s="549" t="s">
        <v>499</v>
      </c>
      <c r="B8" s="549"/>
      <c r="C8" s="549" t="s">
        <v>1399</v>
      </c>
      <c r="F8" s="549"/>
      <c r="G8" s="549"/>
      <c r="H8" s="549"/>
      <c r="I8" s="549"/>
      <c r="J8" s="549"/>
      <c r="K8" s="549"/>
      <c r="L8" s="549"/>
    </row>
    <row r="9" spans="1:13" x14ac:dyDescent="0.2">
      <c r="A9" s="549" t="s">
        <v>500</v>
      </c>
      <c r="B9" s="549"/>
      <c r="C9" s="1059" t="s">
        <v>1400</v>
      </c>
      <c r="F9" s="1059"/>
      <c r="G9" s="1059"/>
      <c r="H9" s="1059"/>
      <c r="I9" s="1059"/>
    </row>
    <row r="10" spans="1:13" ht="48" customHeight="1" x14ac:dyDescent="0.2">
      <c r="A10" s="942" t="s">
        <v>501</v>
      </c>
      <c r="B10" s="942" t="s">
        <v>502</v>
      </c>
      <c r="C10" s="942" t="s">
        <v>503</v>
      </c>
      <c r="D10" s="942" t="s">
        <v>504</v>
      </c>
      <c r="E10" s="942" t="s">
        <v>505</v>
      </c>
      <c r="F10" s="942" t="s">
        <v>506</v>
      </c>
      <c r="G10" s="942" t="s">
        <v>36</v>
      </c>
      <c r="H10" s="942" t="s">
        <v>507</v>
      </c>
      <c r="I10" s="942" t="s">
        <v>1401</v>
      </c>
    </row>
    <row r="11" spans="1:13" ht="12.75" customHeight="1" x14ac:dyDescent="0.2">
      <c r="A11" s="2070" t="s">
        <v>549</v>
      </c>
      <c r="B11" s="2070"/>
      <c r="C11" s="1060"/>
      <c r="D11" s="1060">
        <f>SUM(D12:D32)</f>
        <v>2698135</v>
      </c>
      <c r="E11" s="1060">
        <f t="shared" ref="E11:F11" si="0">SUM(E12:E32)</f>
        <v>24613</v>
      </c>
      <c r="F11" s="1060">
        <f t="shared" si="0"/>
        <v>2722748</v>
      </c>
      <c r="G11" s="1060"/>
      <c r="H11" s="1061"/>
      <c r="I11" s="788"/>
    </row>
    <row r="12" spans="1:13" ht="28.5" customHeight="1" x14ac:dyDescent="0.2">
      <c r="A12" s="943">
        <v>1</v>
      </c>
      <c r="B12" s="945" t="s">
        <v>1402</v>
      </c>
      <c r="C12" s="562">
        <v>2244</v>
      </c>
      <c r="D12" s="604">
        <v>686378</v>
      </c>
      <c r="E12" s="604"/>
      <c r="F12" s="789">
        <f>D12+E12</f>
        <v>686378</v>
      </c>
      <c r="G12" s="780"/>
      <c r="H12" s="961" t="s">
        <v>1403</v>
      </c>
      <c r="I12" s="1062" t="s">
        <v>1404</v>
      </c>
    </row>
    <row r="13" spans="1:13" ht="16.5" customHeight="1" x14ac:dyDescent="0.2">
      <c r="A13" s="943">
        <v>2</v>
      </c>
      <c r="B13" s="945" t="s">
        <v>1405</v>
      </c>
      <c r="C13" s="562">
        <v>2244</v>
      </c>
      <c r="D13" s="604">
        <v>327819</v>
      </c>
      <c r="E13" s="604"/>
      <c r="F13" s="789">
        <f t="shared" ref="F13:F32" si="1">D13+E13</f>
        <v>327819</v>
      </c>
      <c r="G13" s="780"/>
      <c r="H13" s="961" t="s">
        <v>1406</v>
      </c>
      <c r="I13" s="1062" t="s">
        <v>1407</v>
      </c>
    </row>
    <row r="14" spans="1:13" ht="16.5" customHeight="1" x14ac:dyDescent="0.2">
      <c r="A14" s="943">
        <v>3</v>
      </c>
      <c r="B14" s="945" t="s">
        <v>1408</v>
      </c>
      <c r="C14" s="562">
        <v>2244</v>
      </c>
      <c r="D14" s="604">
        <v>25070</v>
      </c>
      <c r="E14" s="604"/>
      <c r="F14" s="789">
        <f t="shared" si="1"/>
        <v>25070</v>
      </c>
      <c r="G14" s="780"/>
      <c r="H14" s="961" t="s">
        <v>1406</v>
      </c>
      <c r="I14" s="1062" t="s">
        <v>1407</v>
      </c>
    </row>
    <row r="15" spans="1:13" ht="16.5" customHeight="1" x14ac:dyDescent="0.2">
      <c r="A15" s="943">
        <v>4</v>
      </c>
      <c r="B15" s="945" t="s">
        <v>1409</v>
      </c>
      <c r="C15" s="562"/>
      <c r="D15" s="604"/>
      <c r="E15" s="604"/>
      <c r="F15" s="789"/>
      <c r="G15" s="780"/>
      <c r="H15" s="961"/>
      <c r="I15" s="788"/>
    </row>
    <row r="16" spans="1:13" ht="14.25" customHeight="1" x14ac:dyDescent="0.2">
      <c r="A16" s="2130" t="s">
        <v>1410</v>
      </c>
      <c r="B16" s="2122" t="s">
        <v>1411</v>
      </c>
      <c r="C16" s="562">
        <v>5239</v>
      </c>
      <c r="D16" s="792">
        <v>0</v>
      </c>
      <c r="E16" s="753"/>
      <c r="F16" s="789">
        <f t="shared" si="1"/>
        <v>0</v>
      </c>
      <c r="G16" s="604"/>
      <c r="H16" s="2095" t="s">
        <v>1406</v>
      </c>
      <c r="I16" s="1062" t="s">
        <v>1412</v>
      </c>
      <c r="J16" s="1063" t="s">
        <v>1413</v>
      </c>
    </row>
    <row r="17" spans="1:10" ht="14.25" customHeight="1" x14ac:dyDescent="0.2">
      <c r="A17" s="2131"/>
      <c r="B17" s="2124"/>
      <c r="C17" s="562">
        <v>2312</v>
      </c>
      <c r="D17" s="792">
        <v>13214</v>
      </c>
      <c r="E17" s="753"/>
      <c r="F17" s="789">
        <f t="shared" si="1"/>
        <v>13214</v>
      </c>
      <c r="G17" s="604"/>
      <c r="H17" s="2101"/>
      <c r="I17" s="1062"/>
      <c r="J17" s="1063"/>
    </row>
    <row r="18" spans="1:10" ht="16.5" customHeight="1" x14ac:dyDescent="0.2">
      <c r="A18" s="943" t="s">
        <v>1414</v>
      </c>
      <c r="B18" s="945" t="s">
        <v>1415</v>
      </c>
      <c r="C18" s="562">
        <v>2244</v>
      </c>
      <c r="D18" s="792">
        <v>12421</v>
      </c>
      <c r="E18" s="792"/>
      <c r="F18" s="789">
        <f t="shared" si="1"/>
        <v>12421</v>
      </c>
      <c r="G18" s="780"/>
      <c r="H18" s="961" t="s">
        <v>1406</v>
      </c>
      <c r="I18" s="2127" t="s">
        <v>1407</v>
      </c>
      <c r="J18" s="1063" t="s">
        <v>1413</v>
      </c>
    </row>
    <row r="19" spans="1:10" ht="17.25" customHeight="1" x14ac:dyDescent="0.2">
      <c r="A19" s="943">
        <v>5</v>
      </c>
      <c r="B19" s="945" t="s">
        <v>1416</v>
      </c>
      <c r="C19" s="562">
        <v>2244</v>
      </c>
      <c r="D19" s="604">
        <v>9179</v>
      </c>
      <c r="E19" s="604"/>
      <c r="F19" s="789">
        <f t="shared" si="1"/>
        <v>9179</v>
      </c>
      <c r="G19" s="780"/>
      <c r="H19" s="961" t="s">
        <v>1406</v>
      </c>
      <c r="I19" s="2127"/>
    </row>
    <row r="20" spans="1:10" ht="15" customHeight="1" x14ac:dyDescent="0.2">
      <c r="A20" s="2071">
        <v>6</v>
      </c>
      <c r="B20" s="2072" t="s">
        <v>1417</v>
      </c>
      <c r="C20" s="562">
        <v>2244</v>
      </c>
      <c r="D20" s="604">
        <v>195868</v>
      </c>
      <c r="E20" s="604"/>
      <c r="F20" s="789">
        <f t="shared" si="1"/>
        <v>195868</v>
      </c>
      <c r="G20" s="780"/>
      <c r="H20" s="2060" t="s">
        <v>1418</v>
      </c>
      <c r="I20" s="1062" t="s">
        <v>1407</v>
      </c>
    </row>
    <row r="21" spans="1:10" ht="15" customHeight="1" x14ac:dyDescent="0.2">
      <c r="A21" s="2071"/>
      <c r="B21" s="2072"/>
      <c r="C21" s="755">
        <v>5239</v>
      </c>
      <c r="D21" s="792">
        <v>26000</v>
      </c>
      <c r="E21" s="792"/>
      <c r="F21" s="789">
        <f t="shared" si="1"/>
        <v>26000</v>
      </c>
      <c r="G21" s="1064"/>
      <c r="H21" s="2060"/>
      <c r="I21" s="945" t="s">
        <v>1419</v>
      </c>
      <c r="J21" s="1063" t="s">
        <v>1413</v>
      </c>
    </row>
    <row r="22" spans="1:10" ht="43.5" customHeight="1" x14ac:dyDescent="0.2">
      <c r="A22" s="943">
        <v>7</v>
      </c>
      <c r="B22" s="945" t="s">
        <v>1420</v>
      </c>
      <c r="C22" s="562">
        <v>2244</v>
      </c>
      <c r="D22" s="604">
        <f>271456-19033</f>
        <v>252423</v>
      </c>
      <c r="E22" s="1065">
        <f>-10000-10307</f>
        <v>-20307</v>
      </c>
      <c r="F22" s="789">
        <f t="shared" si="1"/>
        <v>232116</v>
      </c>
      <c r="G22" s="780" t="s">
        <v>1421</v>
      </c>
      <c r="H22" s="961" t="s">
        <v>1422</v>
      </c>
      <c r="I22" s="1062" t="s">
        <v>1423</v>
      </c>
    </row>
    <row r="23" spans="1:10" ht="39.75" customHeight="1" x14ac:dyDescent="0.2">
      <c r="A23" s="943">
        <v>8</v>
      </c>
      <c r="B23" s="945" t="s">
        <v>1424</v>
      </c>
      <c r="C23" s="562">
        <v>2244</v>
      </c>
      <c r="D23" s="604">
        <v>143288</v>
      </c>
      <c r="E23" s="604"/>
      <c r="F23" s="789">
        <f t="shared" si="1"/>
        <v>143288</v>
      </c>
      <c r="G23" s="780"/>
      <c r="H23" s="961" t="s">
        <v>1425</v>
      </c>
      <c r="I23" s="788" t="s">
        <v>1426</v>
      </c>
    </row>
    <row r="24" spans="1:10" ht="29.25" customHeight="1" x14ac:dyDescent="0.2">
      <c r="A24" s="943">
        <v>9</v>
      </c>
      <c r="B24" s="945" t="s">
        <v>1427</v>
      </c>
      <c r="C24" s="562">
        <v>2244</v>
      </c>
      <c r="D24" s="604">
        <v>564759</v>
      </c>
      <c r="E24" s="891"/>
      <c r="F24" s="789">
        <f t="shared" si="1"/>
        <v>564759</v>
      </c>
      <c r="G24" s="780"/>
      <c r="H24" s="961" t="s">
        <v>1428</v>
      </c>
      <c r="I24" s="788" t="s">
        <v>1429</v>
      </c>
    </row>
    <row r="25" spans="1:10" ht="18" customHeight="1" x14ac:dyDescent="0.2">
      <c r="A25" s="943">
        <v>10</v>
      </c>
      <c r="B25" s="945" t="s">
        <v>1430</v>
      </c>
      <c r="C25" s="562">
        <v>2244</v>
      </c>
      <c r="D25" s="604">
        <v>232366</v>
      </c>
      <c r="E25" s="1065">
        <f>10000+432+3000+22851+2330+151+825+5331</f>
        <v>44920</v>
      </c>
      <c r="F25" s="789">
        <f t="shared" si="1"/>
        <v>277286</v>
      </c>
      <c r="G25" s="780" t="s">
        <v>1431</v>
      </c>
      <c r="H25" s="961" t="s">
        <v>1432</v>
      </c>
      <c r="I25" s="788" t="s">
        <v>1426</v>
      </c>
    </row>
    <row r="26" spans="1:10" ht="17.25" customHeight="1" x14ac:dyDescent="0.2">
      <c r="A26" s="943">
        <v>11</v>
      </c>
      <c r="B26" s="945" t="s">
        <v>1433</v>
      </c>
      <c r="C26" s="562">
        <v>2244</v>
      </c>
      <c r="D26" s="604">
        <v>90000</v>
      </c>
      <c r="E26" s="604"/>
      <c r="F26" s="789">
        <f t="shared" si="1"/>
        <v>90000</v>
      </c>
      <c r="G26" s="780"/>
      <c r="H26" s="961" t="s">
        <v>1434</v>
      </c>
      <c r="I26" s="2072" t="s">
        <v>1435</v>
      </c>
    </row>
    <row r="27" spans="1:10" ht="17.25" customHeight="1" x14ac:dyDescent="0.2">
      <c r="A27" s="943">
        <v>12</v>
      </c>
      <c r="B27" s="945" t="s">
        <v>1436</v>
      </c>
      <c r="C27" s="562">
        <v>2244</v>
      </c>
      <c r="D27" s="792">
        <v>8000</v>
      </c>
      <c r="E27" s="792"/>
      <c r="F27" s="789">
        <f t="shared" si="1"/>
        <v>8000</v>
      </c>
      <c r="G27" s="780"/>
      <c r="H27" s="961" t="s">
        <v>1434</v>
      </c>
      <c r="I27" s="2072"/>
      <c r="J27" s="1063" t="s">
        <v>1413</v>
      </c>
    </row>
    <row r="28" spans="1:10" ht="24" x14ac:dyDescent="0.2">
      <c r="A28" s="943">
        <v>13</v>
      </c>
      <c r="B28" s="945" t="s">
        <v>1437</v>
      </c>
      <c r="C28" s="562">
        <v>2279</v>
      </c>
      <c r="D28" s="604">
        <v>30000</v>
      </c>
      <c r="E28" s="604"/>
      <c r="F28" s="789">
        <f t="shared" si="1"/>
        <v>30000</v>
      </c>
      <c r="G28" s="780"/>
      <c r="H28" s="961" t="s">
        <v>1434</v>
      </c>
      <c r="I28" s="2072"/>
    </row>
    <row r="29" spans="1:10" ht="24" x14ac:dyDescent="0.2">
      <c r="A29" s="943">
        <v>14</v>
      </c>
      <c r="B29" s="945" t="s">
        <v>1438</v>
      </c>
      <c r="C29" s="562">
        <v>2244</v>
      </c>
      <c r="D29" s="792">
        <v>15984</v>
      </c>
      <c r="E29" s="792"/>
      <c r="F29" s="789">
        <f t="shared" si="1"/>
        <v>15984</v>
      </c>
      <c r="G29" s="780"/>
      <c r="H29" s="961" t="s">
        <v>1418</v>
      </c>
      <c r="I29" s="788"/>
      <c r="J29" s="1063" t="s">
        <v>1413</v>
      </c>
    </row>
    <row r="30" spans="1:10" ht="27.75" customHeight="1" x14ac:dyDescent="0.2">
      <c r="A30" s="943">
        <v>15</v>
      </c>
      <c r="B30" s="945" t="s">
        <v>1439</v>
      </c>
      <c r="C30" s="562">
        <v>2244</v>
      </c>
      <c r="D30" s="604">
        <v>30769</v>
      </c>
      <c r="E30" s="604"/>
      <c r="F30" s="789">
        <f t="shared" si="1"/>
        <v>30769</v>
      </c>
      <c r="G30" s="780"/>
      <c r="H30" s="961" t="s">
        <v>1418</v>
      </c>
      <c r="I30" s="945" t="s">
        <v>1407</v>
      </c>
    </row>
    <row r="31" spans="1:10" ht="26.25" customHeight="1" x14ac:dyDescent="0.2">
      <c r="A31" s="943">
        <v>16</v>
      </c>
      <c r="B31" s="945" t="s">
        <v>1440</v>
      </c>
      <c r="C31" s="755">
        <v>2244</v>
      </c>
      <c r="D31" s="604">
        <v>9597</v>
      </c>
      <c r="E31" s="604"/>
      <c r="F31" s="789">
        <f t="shared" si="1"/>
        <v>9597</v>
      </c>
      <c r="G31" s="1064"/>
      <c r="H31" s="961" t="s">
        <v>1418</v>
      </c>
      <c r="I31" s="945" t="s">
        <v>1407</v>
      </c>
    </row>
    <row r="32" spans="1:10" ht="26.25" customHeight="1" x14ac:dyDescent="0.2">
      <c r="A32" s="943">
        <v>17</v>
      </c>
      <c r="B32" s="945" t="s">
        <v>1441</v>
      </c>
      <c r="C32" s="755">
        <v>2244</v>
      </c>
      <c r="D32" s="604">
        <v>25000</v>
      </c>
      <c r="E32" s="604"/>
      <c r="F32" s="789">
        <f t="shared" si="1"/>
        <v>25000</v>
      </c>
      <c r="G32" s="1064"/>
      <c r="H32" s="961" t="s">
        <v>1432</v>
      </c>
      <c r="I32" s="944"/>
    </row>
    <row r="33" spans="1:10" x14ac:dyDescent="0.2">
      <c r="A33" s="1066"/>
      <c r="B33" s="1066"/>
      <c r="C33" s="1066"/>
      <c r="D33" s="1066"/>
      <c r="E33" s="1066"/>
      <c r="F33" s="1066"/>
      <c r="G33" s="1066"/>
      <c r="H33" s="1067"/>
      <c r="I33" s="1066"/>
    </row>
    <row r="34" spans="1:10" x14ac:dyDescent="0.2">
      <c r="A34" s="553" t="s">
        <v>499</v>
      </c>
      <c r="B34" s="553"/>
      <c r="C34" s="553" t="s">
        <v>1442</v>
      </c>
      <c r="E34" s="553"/>
      <c r="F34" s="553"/>
      <c r="G34" s="553"/>
      <c r="H34" s="553"/>
      <c r="I34" s="553"/>
    </row>
    <row r="35" spans="1:10" x14ac:dyDescent="0.2">
      <c r="A35" s="553" t="s">
        <v>500</v>
      </c>
      <c r="B35" s="553"/>
      <c r="C35" s="1068" t="s">
        <v>9</v>
      </c>
      <c r="E35" s="1068"/>
      <c r="F35" s="1068"/>
      <c r="G35" s="1068"/>
      <c r="H35" s="1068"/>
      <c r="I35" s="1068"/>
    </row>
    <row r="36" spans="1:10" ht="48" x14ac:dyDescent="0.2">
      <c r="A36" s="942" t="s">
        <v>501</v>
      </c>
      <c r="B36" s="942" t="s">
        <v>502</v>
      </c>
      <c r="C36" s="942" t="s">
        <v>503</v>
      </c>
      <c r="D36" s="942" t="s">
        <v>504</v>
      </c>
      <c r="E36" s="942" t="s">
        <v>505</v>
      </c>
      <c r="F36" s="942" t="s">
        <v>506</v>
      </c>
      <c r="G36" s="942" t="s">
        <v>36</v>
      </c>
      <c r="H36" s="942" t="s">
        <v>507</v>
      </c>
      <c r="I36" s="942" t="s">
        <v>1401</v>
      </c>
    </row>
    <row r="37" spans="1:10" x14ac:dyDescent="0.2">
      <c r="A37" s="2070" t="s">
        <v>549</v>
      </c>
      <c r="B37" s="2070"/>
      <c r="C37" s="1060"/>
      <c r="D37" s="1060">
        <f>SUM(D38:D59)</f>
        <v>561044</v>
      </c>
      <c r="E37" s="1060">
        <f>SUM(E38:E59)</f>
        <v>-2289</v>
      </c>
      <c r="F37" s="1060">
        <f>SUM(F38:F59)</f>
        <v>558755</v>
      </c>
      <c r="G37" s="1060"/>
      <c r="H37" s="1060"/>
      <c r="I37" s="788"/>
    </row>
    <row r="38" spans="1:10" ht="24" x14ac:dyDescent="0.2">
      <c r="A38" s="943">
        <v>1</v>
      </c>
      <c r="B38" s="945" t="s">
        <v>1443</v>
      </c>
      <c r="C38" s="1069"/>
      <c r="D38" s="604"/>
      <c r="E38" s="604"/>
      <c r="F38" s="604"/>
      <c r="G38" s="1069"/>
      <c r="H38" s="756"/>
      <c r="I38" s="788"/>
    </row>
    <row r="39" spans="1:10" ht="16.5" customHeight="1" x14ac:dyDescent="0.2">
      <c r="A39" s="1070" t="s">
        <v>895</v>
      </c>
      <c r="B39" s="945" t="s">
        <v>1444</v>
      </c>
      <c r="C39" s="562">
        <v>2243</v>
      </c>
      <c r="D39" s="604">
        <v>5731</v>
      </c>
      <c r="E39" s="1065">
        <v>1952</v>
      </c>
      <c r="F39" s="604">
        <f t="shared" ref="F39:F59" si="2">D39+E39</f>
        <v>7683</v>
      </c>
      <c r="G39" s="2117" t="s">
        <v>1445</v>
      </c>
      <c r="H39" s="961" t="s">
        <v>1406</v>
      </c>
      <c r="I39" s="2072" t="s">
        <v>1446</v>
      </c>
    </row>
    <row r="40" spans="1:10" ht="16.5" customHeight="1" x14ac:dyDescent="0.2">
      <c r="A40" s="1070" t="s">
        <v>901</v>
      </c>
      <c r="B40" s="945" t="s">
        <v>1447</v>
      </c>
      <c r="C40" s="562">
        <v>2312</v>
      </c>
      <c r="D40" s="604">
        <v>38937</v>
      </c>
      <c r="E40" s="1065">
        <v>-1952</v>
      </c>
      <c r="F40" s="604">
        <f t="shared" si="2"/>
        <v>36985</v>
      </c>
      <c r="G40" s="2126"/>
      <c r="H40" s="961" t="s">
        <v>1406</v>
      </c>
      <c r="I40" s="2072"/>
    </row>
    <row r="41" spans="1:10" ht="18" customHeight="1" x14ac:dyDescent="0.2">
      <c r="A41" s="943">
        <v>2</v>
      </c>
      <c r="B41" s="945" t="s">
        <v>1448</v>
      </c>
      <c r="C41" s="562">
        <v>5239</v>
      </c>
      <c r="D41" s="604">
        <v>10000</v>
      </c>
      <c r="E41" s="604"/>
      <c r="F41" s="604">
        <f t="shared" si="2"/>
        <v>10000</v>
      </c>
      <c r="G41" s="562"/>
      <c r="H41" s="961" t="s">
        <v>1406</v>
      </c>
      <c r="I41" s="788" t="s">
        <v>1449</v>
      </c>
    </row>
    <row r="42" spans="1:10" ht="28.5" customHeight="1" x14ac:dyDescent="0.2">
      <c r="A42" s="943">
        <v>3</v>
      </c>
      <c r="B42" s="945" t="s">
        <v>1450</v>
      </c>
      <c r="C42" s="562"/>
      <c r="D42" s="604"/>
      <c r="E42" s="604"/>
      <c r="F42" s="604"/>
      <c r="G42" s="562"/>
      <c r="H42" s="961"/>
      <c r="I42" s="788"/>
    </row>
    <row r="43" spans="1:10" ht="27" customHeight="1" x14ac:dyDescent="0.2">
      <c r="A43" s="943" t="s">
        <v>1451</v>
      </c>
      <c r="B43" s="945" t="s">
        <v>1452</v>
      </c>
      <c r="C43" s="562">
        <v>5240</v>
      </c>
      <c r="D43" s="792">
        <v>404000</v>
      </c>
      <c r="E43" s="753"/>
      <c r="F43" s="604">
        <f t="shared" si="2"/>
        <v>404000</v>
      </c>
      <c r="G43" s="780"/>
      <c r="H43" s="961" t="s">
        <v>1453</v>
      </c>
      <c r="I43" s="788" t="s">
        <v>1454</v>
      </c>
      <c r="J43" s="1071" t="s">
        <v>1455</v>
      </c>
    </row>
    <row r="44" spans="1:10" ht="29.25" customHeight="1" x14ac:dyDescent="0.2">
      <c r="A44" s="943" t="s">
        <v>1456</v>
      </c>
      <c r="B44" s="945" t="s">
        <v>1457</v>
      </c>
      <c r="C44" s="562">
        <v>2243</v>
      </c>
      <c r="D44" s="792">
        <v>50820</v>
      </c>
      <c r="E44" s="792"/>
      <c r="F44" s="604">
        <f t="shared" si="2"/>
        <v>50820</v>
      </c>
      <c r="G44" s="562"/>
      <c r="H44" s="961" t="s">
        <v>1458</v>
      </c>
      <c r="I44" s="788" t="s">
        <v>1459</v>
      </c>
      <c r="J44" s="802" t="s">
        <v>1455</v>
      </c>
    </row>
    <row r="45" spans="1:10" ht="16.5" customHeight="1" x14ac:dyDescent="0.2">
      <c r="A45" s="943" t="s">
        <v>1460</v>
      </c>
      <c r="B45" s="945" t="s">
        <v>1461</v>
      </c>
      <c r="C45" s="562">
        <v>2244</v>
      </c>
      <c r="D45" s="792">
        <v>1000</v>
      </c>
      <c r="E45" s="792"/>
      <c r="F45" s="604">
        <f t="shared" si="2"/>
        <v>1000</v>
      </c>
      <c r="G45" s="562"/>
      <c r="H45" s="961" t="s">
        <v>1462</v>
      </c>
      <c r="I45" s="788"/>
      <c r="J45" s="802" t="s">
        <v>1455</v>
      </c>
    </row>
    <row r="46" spans="1:10" ht="14.25" customHeight="1" x14ac:dyDescent="0.2">
      <c r="A46" s="2078">
        <v>4</v>
      </c>
      <c r="B46" s="2122" t="s">
        <v>1463</v>
      </c>
      <c r="C46" s="562">
        <v>5239</v>
      </c>
      <c r="D46" s="604">
        <v>0</v>
      </c>
      <c r="E46" s="763"/>
      <c r="F46" s="604">
        <f t="shared" si="2"/>
        <v>0</v>
      </c>
      <c r="G46" s="604"/>
      <c r="H46" s="2095" t="s">
        <v>1406</v>
      </c>
      <c r="I46" s="788" t="s">
        <v>1464</v>
      </c>
    </row>
    <row r="47" spans="1:10" ht="14.25" customHeight="1" x14ac:dyDescent="0.2">
      <c r="A47" s="2080"/>
      <c r="B47" s="2124"/>
      <c r="C47" s="562">
        <v>2312</v>
      </c>
      <c r="D47" s="604">
        <v>12099</v>
      </c>
      <c r="E47" s="1065">
        <v>-432</v>
      </c>
      <c r="F47" s="604">
        <f t="shared" si="2"/>
        <v>11667</v>
      </c>
      <c r="G47" s="604" t="s">
        <v>1465</v>
      </c>
      <c r="H47" s="2101"/>
      <c r="I47" s="788"/>
    </row>
    <row r="48" spans="1:10" ht="14.25" customHeight="1" x14ac:dyDescent="0.2">
      <c r="A48" s="2071">
        <v>5</v>
      </c>
      <c r="B48" s="2072" t="s">
        <v>1466</v>
      </c>
      <c r="C48" s="562">
        <v>2244</v>
      </c>
      <c r="D48" s="604">
        <v>2000</v>
      </c>
      <c r="E48" s="604"/>
      <c r="F48" s="604">
        <f t="shared" si="2"/>
        <v>2000</v>
      </c>
      <c r="G48" s="562"/>
      <c r="H48" s="2060" t="s">
        <v>1406</v>
      </c>
      <c r="I48" s="788"/>
    </row>
    <row r="49" spans="1:12" ht="14.25" customHeight="1" x14ac:dyDescent="0.2">
      <c r="A49" s="2071"/>
      <c r="B49" s="2072"/>
      <c r="C49" s="562">
        <v>2390</v>
      </c>
      <c r="D49" s="604">
        <v>900</v>
      </c>
      <c r="E49" s="604"/>
      <c r="F49" s="604">
        <f t="shared" si="2"/>
        <v>900</v>
      </c>
      <c r="G49" s="562"/>
      <c r="H49" s="2060"/>
      <c r="I49" s="788"/>
    </row>
    <row r="50" spans="1:12" ht="14.25" customHeight="1" x14ac:dyDescent="0.2">
      <c r="A50" s="2071"/>
      <c r="B50" s="2072"/>
      <c r="C50" s="562">
        <v>2312</v>
      </c>
      <c r="D50" s="604">
        <v>1000</v>
      </c>
      <c r="E50" s="604"/>
      <c r="F50" s="604">
        <f t="shared" si="2"/>
        <v>1000</v>
      </c>
      <c r="G50" s="562"/>
      <c r="H50" s="2060"/>
      <c r="I50" s="788"/>
    </row>
    <row r="51" spans="1:12" ht="14.25" customHeight="1" x14ac:dyDescent="0.2">
      <c r="A51" s="2071"/>
      <c r="B51" s="2072"/>
      <c r="C51" s="562">
        <v>2279</v>
      </c>
      <c r="D51" s="604">
        <v>1000</v>
      </c>
      <c r="E51" s="763"/>
      <c r="F51" s="604">
        <f t="shared" si="2"/>
        <v>1000</v>
      </c>
      <c r="G51" s="780"/>
      <c r="H51" s="2060"/>
      <c r="I51" s="788"/>
    </row>
    <row r="52" spans="1:12" ht="14.25" customHeight="1" x14ac:dyDescent="0.2">
      <c r="A52" s="2071"/>
      <c r="B52" s="2072"/>
      <c r="C52" s="562">
        <v>5239</v>
      </c>
      <c r="D52" s="604">
        <v>0</v>
      </c>
      <c r="E52" s="763"/>
      <c r="F52" s="604">
        <f t="shared" si="2"/>
        <v>0</v>
      </c>
      <c r="G52" s="562"/>
      <c r="H52" s="2060"/>
      <c r="I52" s="788"/>
    </row>
    <row r="53" spans="1:12" ht="14.25" customHeight="1" x14ac:dyDescent="0.2">
      <c r="A53" s="2071">
        <v>6</v>
      </c>
      <c r="B53" s="2072" t="s">
        <v>1467</v>
      </c>
      <c r="C53" s="562">
        <v>2244</v>
      </c>
      <c r="D53" s="604">
        <v>15249</v>
      </c>
      <c r="E53" s="1065">
        <v>-1422</v>
      </c>
      <c r="F53" s="604">
        <f t="shared" si="2"/>
        <v>13827</v>
      </c>
      <c r="G53" s="780" t="s">
        <v>2386</v>
      </c>
      <c r="H53" s="2060" t="s">
        <v>1406</v>
      </c>
      <c r="I53" s="1072" t="s">
        <v>1468</v>
      </c>
    </row>
    <row r="54" spans="1:12" ht="14.25" customHeight="1" x14ac:dyDescent="0.2">
      <c r="A54" s="2071"/>
      <c r="B54" s="2072"/>
      <c r="C54" s="562">
        <v>2223</v>
      </c>
      <c r="D54" s="604">
        <v>5703</v>
      </c>
      <c r="E54" s="604"/>
      <c r="F54" s="604">
        <f t="shared" si="2"/>
        <v>5703</v>
      </c>
      <c r="G54" s="562"/>
      <c r="H54" s="2060"/>
      <c r="I54" s="1072" t="s">
        <v>1469</v>
      </c>
    </row>
    <row r="55" spans="1:12" ht="14.25" customHeight="1" x14ac:dyDescent="0.2">
      <c r="A55" s="2071"/>
      <c r="B55" s="2072"/>
      <c r="C55" s="562">
        <v>2243</v>
      </c>
      <c r="D55" s="604">
        <v>3605</v>
      </c>
      <c r="E55" s="604"/>
      <c r="F55" s="604">
        <f t="shared" si="2"/>
        <v>3605</v>
      </c>
      <c r="G55" s="562"/>
      <c r="H55" s="2060"/>
      <c r="I55" s="788" t="s">
        <v>1470</v>
      </c>
    </row>
    <row r="56" spans="1:12" ht="14.25" customHeight="1" x14ac:dyDescent="0.2">
      <c r="A56" s="2119">
        <v>7</v>
      </c>
      <c r="B56" s="2122" t="s">
        <v>1471</v>
      </c>
      <c r="C56" s="755">
        <v>5239</v>
      </c>
      <c r="D56" s="604">
        <v>0</v>
      </c>
      <c r="E56" s="763"/>
      <c r="F56" s="604">
        <f t="shared" si="2"/>
        <v>0</v>
      </c>
      <c r="G56" s="604"/>
      <c r="H56" s="2117" t="s">
        <v>1406</v>
      </c>
      <c r="I56" s="1073" t="s">
        <v>1472</v>
      </c>
    </row>
    <row r="57" spans="1:12" ht="14.25" customHeight="1" x14ac:dyDescent="0.2">
      <c r="A57" s="2120"/>
      <c r="B57" s="2123"/>
      <c r="C57" s="755">
        <v>2312</v>
      </c>
      <c r="D57" s="604">
        <v>6000</v>
      </c>
      <c r="E57" s="1065">
        <v>-2605</v>
      </c>
      <c r="F57" s="604">
        <f t="shared" si="2"/>
        <v>3395</v>
      </c>
      <c r="G57" s="2117" t="s">
        <v>1473</v>
      </c>
      <c r="H57" s="2125"/>
      <c r="I57" s="1073"/>
    </row>
    <row r="58" spans="1:12" ht="14.25" customHeight="1" x14ac:dyDescent="0.2">
      <c r="A58" s="2121"/>
      <c r="B58" s="2124"/>
      <c r="C58" s="755">
        <v>2390</v>
      </c>
      <c r="D58" s="604">
        <v>0</v>
      </c>
      <c r="E58" s="1065">
        <v>2605</v>
      </c>
      <c r="F58" s="604">
        <f t="shared" si="2"/>
        <v>2605</v>
      </c>
      <c r="G58" s="2126"/>
      <c r="H58" s="2126"/>
      <c r="I58" s="1073"/>
    </row>
    <row r="59" spans="1:12" ht="18" customHeight="1" x14ac:dyDescent="0.2">
      <c r="A59" s="1070">
        <v>8</v>
      </c>
      <c r="B59" s="945" t="s">
        <v>1474</v>
      </c>
      <c r="C59" s="755">
        <v>2314</v>
      </c>
      <c r="D59" s="604">
        <v>3000</v>
      </c>
      <c r="E59" s="1065">
        <v>-435</v>
      </c>
      <c r="F59" s="604">
        <f t="shared" si="2"/>
        <v>2565</v>
      </c>
      <c r="G59" s="780" t="s">
        <v>2386</v>
      </c>
      <c r="H59" s="1074" t="s">
        <v>1475</v>
      </c>
      <c r="I59" s="1073" t="s">
        <v>1476</v>
      </c>
    </row>
    <row r="60" spans="1:12" x14ac:dyDescent="0.2">
      <c r="A60" s="1066"/>
      <c r="B60" s="1066"/>
      <c r="C60" s="1066"/>
      <c r="D60" s="1075"/>
      <c r="E60" s="1075"/>
      <c r="F60" s="1066"/>
      <c r="G60" s="1066"/>
      <c r="H60" s="1075"/>
      <c r="I60" s="1066"/>
    </row>
    <row r="61" spans="1:12" x14ac:dyDescent="0.2">
      <c r="A61" s="553" t="s">
        <v>499</v>
      </c>
      <c r="B61" s="553"/>
      <c r="C61" s="757" t="s">
        <v>1290</v>
      </c>
      <c r="E61" s="757"/>
      <c r="F61" s="757"/>
      <c r="G61" s="757"/>
      <c r="H61" s="757"/>
      <c r="I61" s="757"/>
      <c r="J61" s="757"/>
      <c r="K61" s="757"/>
      <c r="L61" s="757"/>
    </row>
    <row r="62" spans="1:12" x14ac:dyDescent="0.2">
      <c r="A62" s="553" t="s">
        <v>500</v>
      </c>
      <c r="B62" s="553"/>
      <c r="C62" s="1068" t="s">
        <v>731</v>
      </c>
      <c r="E62" s="1068"/>
      <c r="F62" s="1068"/>
      <c r="G62" s="1068"/>
      <c r="H62" s="1068"/>
      <c r="I62" s="1068"/>
    </row>
    <row r="63" spans="1:12" ht="48" x14ac:dyDescent="0.2">
      <c r="A63" s="942" t="s">
        <v>501</v>
      </c>
      <c r="B63" s="942" t="s">
        <v>502</v>
      </c>
      <c r="C63" s="942" t="s">
        <v>503</v>
      </c>
      <c r="D63" s="942" t="s">
        <v>504</v>
      </c>
      <c r="E63" s="942" t="s">
        <v>505</v>
      </c>
      <c r="F63" s="942" t="s">
        <v>506</v>
      </c>
      <c r="G63" s="942" t="s">
        <v>36</v>
      </c>
      <c r="H63" s="942" t="s">
        <v>507</v>
      </c>
      <c r="I63" s="942" t="s">
        <v>1401</v>
      </c>
    </row>
    <row r="64" spans="1:12" x14ac:dyDescent="0.2">
      <c r="A64" s="2070" t="s">
        <v>549</v>
      </c>
      <c r="B64" s="2070"/>
      <c r="C64" s="1060"/>
      <c r="D64" s="1060">
        <f>SUM(D65:D79)</f>
        <v>211222</v>
      </c>
      <c r="E64" s="1060">
        <f t="shared" ref="E64:F64" si="3">SUM(E65:E79)</f>
        <v>-14513</v>
      </c>
      <c r="F64" s="1060">
        <f t="shared" si="3"/>
        <v>196709</v>
      </c>
      <c r="G64" s="1060"/>
      <c r="H64" s="1060"/>
      <c r="I64" s="788"/>
    </row>
    <row r="65" spans="1:10" ht="14.25" customHeight="1" x14ac:dyDescent="0.2">
      <c r="A65" s="2071">
        <v>1</v>
      </c>
      <c r="B65" s="2072" t="s">
        <v>1477</v>
      </c>
      <c r="C65" s="562">
        <v>2244</v>
      </c>
      <c r="D65" s="604">
        <v>15000</v>
      </c>
      <c r="E65" s="1065">
        <v>-3861</v>
      </c>
      <c r="F65" s="789">
        <f>D65+E65</f>
        <v>11139</v>
      </c>
      <c r="G65" s="2117" t="s">
        <v>1478</v>
      </c>
      <c r="H65" s="2060" t="s">
        <v>1479</v>
      </c>
      <c r="I65" s="788" t="s">
        <v>1480</v>
      </c>
    </row>
    <row r="66" spans="1:10" ht="14.25" customHeight="1" x14ac:dyDescent="0.2">
      <c r="A66" s="2071"/>
      <c r="B66" s="2072"/>
      <c r="C66" s="562">
        <v>2312</v>
      </c>
      <c r="D66" s="604">
        <v>4100</v>
      </c>
      <c r="E66" s="1065">
        <v>861</v>
      </c>
      <c r="F66" s="789">
        <f t="shared" ref="F66:F79" si="4">D66+E66</f>
        <v>4961</v>
      </c>
      <c r="G66" s="2118"/>
      <c r="H66" s="2060"/>
      <c r="I66" s="788"/>
    </row>
    <row r="67" spans="1:10" ht="14.25" customHeight="1" x14ac:dyDescent="0.2">
      <c r="A67" s="2071"/>
      <c r="B67" s="2072"/>
      <c r="C67" s="562">
        <v>2390</v>
      </c>
      <c r="D67" s="604">
        <v>200</v>
      </c>
      <c r="E67" s="604"/>
      <c r="F67" s="789">
        <f t="shared" si="4"/>
        <v>200</v>
      </c>
      <c r="G67" s="562"/>
      <c r="H67" s="2060"/>
      <c r="I67" s="788" t="s">
        <v>1481</v>
      </c>
    </row>
    <row r="68" spans="1:10" ht="14.25" customHeight="1" x14ac:dyDescent="0.2">
      <c r="A68" s="2071"/>
      <c r="B68" s="2072"/>
      <c r="C68" s="562">
        <v>5250</v>
      </c>
      <c r="D68" s="604">
        <v>2000</v>
      </c>
      <c r="E68" s="1065">
        <v>-1057</v>
      </c>
      <c r="F68" s="789">
        <f t="shared" si="4"/>
        <v>943</v>
      </c>
      <c r="G68" s="780" t="s">
        <v>2386</v>
      </c>
      <c r="H68" s="2060"/>
      <c r="I68" s="788"/>
    </row>
    <row r="69" spans="1:10" ht="14.25" customHeight="1" x14ac:dyDescent="0.2">
      <c r="A69" s="943">
        <v>2</v>
      </c>
      <c r="B69" s="945" t="s">
        <v>1482</v>
      </c>
      <c r="C69" s="562">
        <v>2279</v>
      </c>
      <c r="D69" s="604">
        <v>1634</v>
      </c>
      <c r="E69" s="604"/>
      <c r="F69" s="789">
        <f t="shared" si="4"/>
        <v>1634</v>
      </c>
      <c r="G69" s="562"/>
      <c r="H69" s="961" t="s">
        <v>1483</v>
      </c>
      <c r="I69" s="788" t="s">
        <v>1484</v>
      </c>
    </row>
    <row r="70" spans="1:10" ht="14.25" customHeight="1" x14ac:dyDescent="0.2">
      <c r="A70" s="2071">
        <v>3</v>
      </c>
      <c r="B70" s="2072" t="s">
        <v>1485</v>
      </c>
      <c r="C70" s="562">
        <v>2244</v>
      </c>
      <c r="D70" s="604">
        <v>10000</v>
      </c>
      <c r="E70" s="1065">
        <v>4582</v>
      </c>
      <c r="F70" s="789">
        <f t="shared" si="4"/>
        <v>14582</v>
      </c>
      <c r="G70" s="587" t="s">
        <v>1486</v>
      </c>
      <c r="H70" s="2060" t="s">
        <v>1487</v>
      </c>
      <c r="I70" s="788" t="s">
        <v>1488</v>
      </c>
    </row>
    <row r="71" spans="1:10" ht="14.25" customHeight="1" x14ac:dyDescent="0.2">
      <c r="A71" s="2071"/>
      <c r="B71" s="2072"/>
      <c r="C71" s="562">
        <v>2244</v>
      </c>
      <c r="D71" s="604"/>
      <c r="E71" s="1065"/>
      <c r="F71" s="789">
        <f t="shared" si="4"/>
        <v>0</v>
      </c>
      <c r="G71" s="562"/>
      <c r="H71" s="2060"/>
      <c r="I71" s="1073"/>
    </row>
    <row r="72" spans="1:10" ht="14.25" customHeight="1" x14ac:dyDescent="0.2">
      <c r="A72" s="2071"/>
      <c r="B72" s="2072"/>
      <c r="C72" s="562">
        <v>5240</v>
      </c>
      <c r="D72" s="604">
        <v>1500</v>
      </c>
      <c r="E72" s="1065">
        <v>-151</v>
      </c>
      <c r="F72" s="789">
        <f t="shared" si="4"/>
        <v>1349</v>
      </c>
      <c r="G72" s="562"/>
      <c r="H72" s="2060"/>
      <c r="I72" s="1073"/>
    </row>
    <row r="73" spans="1:10" ht="14.25" customHeight="1" x14ac:dyDescent="0.2">
      <c r="A73" s="2071"/>
      <c r="B73" s="2072"/>
      <c r="C73" s="755">
        <v>2312</v>
      </c>
      <c r="D73" s="792">
        <v>35000</v>
      </c>
      <c r="E73" s="1076">
        <f>-4582-22851</f>
        <v>-27433</v>
      </c>
      <c r="F73" s="789">
        <f t="shared" si="4"/>
        <v>7567</v>
      </c>
      <c r="G73" s="587" t="s">
        <v>1489</v>
      </c>
      <c r="H73" s="2060"/>
      <c r="I73" s="945" t="s">
        <v>1490</v>
      </c>
      <c r="J73" s="1071" t="s">
        <v>1455</v>
      </c>
    </row>
    <row r="74" spans="1:10" ht="14.25" customHeight="1" x14ac:dyDescent="0.2">
      <c r="A74" s="2071"/>
      <c r="B74" s="2072"/>
      <c r="C74" s="755">
        <v>5250</v>
      </c>
      <c r="D74" s="792">
        <v>115800</v>
      </c>
      <c r="E74" s="1076">
        <f>10655+4221</f>
        <v>14876</v>
      </c>
      <c r="F74" s="789">
        <f t="shared" si="4"/>
        <v>130676</v>
      </c>
      <c r="G74" s="587" t="s">
        <v>2387</v>
      </c>
      <c r="H74" s="2060"/>
      <c r="I74" s="945" t="s">
        <v>1491</v>
      </c>
      <c r="J74" s="1071" t="s">
        <v>1455</v>
      </c>
    </row>
    <row r="75" spans="1:10" ht="14.25" customHeight="1" x14ac:dyDescent="0.2">
      <c r="A75" s="2116">
        <v>4</v>
      </c>
      <c r="B75" s="2072" t="s">
        <v>1492</v>
      </c>
      <c r="C75" s="562">
        <v>2243</v>
      </c>
      <c r="D75" s="604">
        <v>10396</v>
      </c>
      <c r="E75" s="604"/>
      <c r="F75" s="789">
        <f t="shared" si="4"/>
        <v>10396</v>
      </c>
      <c r="G75" s="562"/>
      <c r="H75" s="2060" t="s">
        <v>1493</v>
      </c>
      <c r="I75" s="945" t="s">
        <v>1494</v>
      </c>
    </row>
    <row r="76" spans="1:10" ht="14.25" customHeight="1" x14ac:dyDescent="0.2">
      <c r="A76" s="2116"/>
      <c r="B76" s="2072"/>
      <c r="C76" s="562">
        <v>5239</v>
      </c>
      <c r="D76" s="604">
        <v>8380</v>
      </c>
      <c r="E76" s="1065">
        <v>-2330</v>
      </c>
      <c r="F76" s="789">
        <f t="shared" si="4"/>
        <v>6050</v>
      </c>
      <c r="G76" s="587" t="s">
        <v>1495</v>
      </c>
      <c r="H76" s="2060"/>
      <c r="I76" s="945" t="s">
        <v>1496</v>
      </c>
    </row>
    <row r="77" spans="1:10" ht="27" customHeight="1" x14ac:dyDescent="0.2">
      <c r="A77" s="943">
        <v>5</v>
      </c>
      <c r="B77" s="945" t="s">
        <v>1497</v>
      </c>
      <c r="C77" s="562">
        <v>5239</v>
      </c>
      <c r="D77" s="604">
        <v>4212</v>
      </c>
      <c r="E77" s="604"/>
      <c r="F77" s="789">
        <f t="shared" si="4"/>
        <v>4212</v>
      </c>
      <c r="G77" s="562"/>
      <c r="H77" s="961" t="s">
        <v>1479</v>
      </c>
      <c r="I77" s="945" t="s">
        <v>1498</v>
      </c>
    </row>
    <row r="78" spans="1:10" ht="24" hidden="1" x14ac:dyDescent="0.2">
      <c r="A78" s="943">
        <v>6</v>
      </c>
      <c r="B78" s="945" t="s">
        <v>1499</v>
      </c>
      <c r="C78" s="601"/>
      <c r="D78" s="563"/>
      <c r="E78" s="563"/>
      <c r="F78" s="789">
        <f t="shared" si="4"/>
        <v>0</v>
      </c>
      <c r="G78" s="601"/>
      <c r="H78" s="961"/>
      <c r="I78" s="945" t="s">
        <v>1500</v>
      </c>
    </row>
    <row r="79" spans="1:10" ht="25.5" customHeight="1" x14ac:dyDescent="0.2">
      <c r="A79" s="943">
        <v>6</v>
      </c>
      <c r="B79" s="945" t="s">
        <v>1501</v>
      </c>
      <c r="C79" s="562">
        <v>5250</v>
      </c>
      <c r="D79" s="604">
        <v>3000</v>
      </c>
      <c r="E79" s="604"/>
      <c r="F79" s="789">
        <f t="shared" si="4"/>
        <v>3000</v>
      </c>
      <c r="G79" s="562"/>
      <c r="H79" s="961" t="s">
        <v>1493</v>
      </c>
      <c r="I79" s="1062" t="s">
        <v>1502</v>
      </c>
    </row>
    <row r="80" spans="1:10" x14ac:dyDescent="0.2">
      <c r="A80" s="1077"/>
      <c r="B80" s="944"/>
      <c r="C80" s="1078"/>
      <c r="D80" s="1078"/>
      <c r="E80" s="1078"/>
      <c r="F80" s="1078"/>
      <c r="G80" s="1078"/>
      <c r="H80" s="1078"/>
      <c r="I80" s="1077"/>
    </row>
    <row r="81" spans="1:10" x14ac:dyDescent="0.2">
      <c r="A81" s="553" t="s">
        <v>499</v>
      </c>
      <c r="B81" s="553"/>
      <c r="C81" s="757" t="s">
        <v>1503</v>
      </c>
      <c r="E81" s="757"/>
      <c r="F81" s="757"/>
      <c r="G81" s="757"/>
      <c r="H81" s="757"/>
      <c r="I81" s="757"/>
    </row>
    <row r="82" spans="1:10" x14ac:dyDescent="0.2">
      <c r="A82" s="553" t="s">
        <v>500</v>
      </c>
      <c r="B82" s="553"/>
      <c r="C82" s="1068" t="s">
        <v>952</v>
      </c>
      <c r="E82" s="1068"/>
      <c r="F82" s="1068"/>
      <c r="G82" s="1068"/>
      <c r="H82" s="1068"/>
      <c r="I82" s="1068"/>
    </row>
    <row r="83" spans="1:10" ht="48" x14ac:dyDescent="0.2">
      <c r="A83" s="942" t="s">
        <v>501</v>
      </c>
      <c r="B83" s="942" t="s">
        <v>502</v>
      </c>
      <c r="C83" s="942" t="s">
        <v>503</v>
      </c>
      <c r="D83" s="942" t="s">
        <v>504</v>
      </c>
      <c r="E83" s="942" t="s">
        <v>505</v>
      </c>
      <c r="F83" s="942" t="s">
        <v>506</v>
      </c>
      <c r="G83" s="942" t="s">
        <v>36</v>
      </c>
      <c r="H83" s="942" t="s">
        <v>507</v>
      </c>
      <c r="I83" s="942" t="s">
        <v>1401</v>
      </c>
    </row>
    <row r="84" spans="1:10" x14ac:dyDescent="0.2">
      <c r="A84" s="2070" t="s">
        <v>549</v>
      </c>
      <c r="B84" s="2070"/>
      <c r="C84" s="1060"/>
      <c r="D84" s="1060">
        <f>SUM(D85)</f>
        <v>250000</v>
      </c>
      <c r="E84" s="1060">
        <f t="shared" ref="E84:F84" si="5">SUM(E85)</f>
        <v>0</v>
      </c>
      <c r="F84" s="1060">
        <f t="shared" si="5"/>
        <v>250000</v>
      </c>
      <c r="G84" s="1060"/>
      <c r="H84" s="1060"/>
      <c r="I84" s="788"/>
    </row>
    <row r="85" spans="1:10" ht="27" customHeight="1" x14ac:dyDescent="0.2">
      <c r="A85" s="943">
        <v>1</v>
      </c>
      <c r="B85" s="788" t="s">
        <v>1504</v>
      </c>
      <c r="C85" s="562">
        <v>5240</v>
      </c>
      <c r="D85" s="792">
        <v>250000</v>
      </c>
      <c r="E85" s="792"/>
      <c r="F85" s="789">
        <f>D85+E85</f>
        <v>250000</v>
      </c>
      <c r="G85" s="562"/>
      <c r="H85" s="1017" t="s">
        <v>1505</v>
      </c>
      <c r="I85" s="788" t="s">
        <v>1506</v>
      </c>
      <c r="J85" s="1071" t="s">
        <v>1455</v>
      </c>
    </row>
    <row r="86" spans="1:10" ht="12" customHeight="1" x14ac:dyDescent="0.2">
      <c r="A86" s="1077"/>
      <c r="B86" s="944"/>
      <c r="C86" s="1078"/>
      <c r="D86" s="1078"/>
      <c r="E86" s="1078"/>
      <c r="F86" s="1078"/>
      <c r="G86" s="1078"/>
      <c r="H86" s="1078"/>
      <c r="I86" s="1077"/>
    </row>
    <row r="87" spans="1:10" x14ac:dyDescent="0.2">
      <c r="A87" s="553" t="s">
        <v>570</v>
      </c>
      <c r="B87" s="553"/>
      <c r="C87" s="553"/>
      <c r="D87" s="553"/>
      <c r="E87" s="553"/>
      <c r="F87" s="553"/>
      <c r="G87" s="553"/>
      <c r="H87" s="1079"/>
      <c r="I87" s="553"/>
    </row>
    <row r="88" spans="1:10" x14ac:dyDescent="0.2">
      <c r="A88" s="774" t="s">
        <v>1507</v>
      </c>
      <c r="B88" s="774"/>
      <c r="C88" s="774"/>
      <c r="D88" s="774"/>
      <c r="E88" s="774"/>
      <c r="F88" s="774"/>
      <c r="G88" s="774"/>
      <c r="H88" s="1080"/>
      <c r="I88" s="774"/>
    </row>
    <row r="89" spans="1:10" x14ac:dyDescent="0.2">
      <c r="A89" s="774"/>
      <c r="B89" s="757" t="s">
        <v>1508</v>
      </c>
      <c r="C89" s="774"/>
      <c r="D89" s="774"/>
      <c r="E89" s="774"/>
      <c r="F89" s="774"/>
      <c r="G89" s="774"/>
      <c r="H89" s="1080"/>
      <c r="I89" s="774"/>
    </row>
    <row r="90" spans="1:10" x14ac:dyDescent="0.2">
      <c r="A90" s="774"/>
      <c r="B90" s="757" t="s">
        <v>1509</v>
      </c>
      <c r="C90" s="774"/>
      <c r="D90" s="774"/>
      <c r="E90" s="774"/>
      <c r="F90" s="774"/>
      <c r="G90" s="774"/>
      <c r="H90" s="1080"/>
      <c r="I90" s="774"/>
    </row>
    <row r="91" spans="1:10" x14ac:dyDescent="0.2">
      <c r="A91" s="1081"/>
      <c r="B91" s="1082"/>
      <c r="C91" s="774"/>
      <c r="D91" s="774"/>
      <c r="E91" s="774"/>
      <c r="F91" s="774"/>
      <c r="G91" s="774"/>
      <c r="H91" s="1080"/>
      <c r="I91" s="774"/>
    </row>
    <row r="92" spans="1:10" x14ac:dyDescent="0.2">
      <c r="A92" s="774" t="s">
        <v>954</v>
      </c>
      <c r="B92" s="757"/>
      <c r="C92" s="774"/>
      <c r="D92" s="774"/>
      <c r="E92" s="774"/>
      <c r="F92" s="774"/>
      <c r="G92" s="774"/>
      <c r="H92" s="1080"/>
      <c r="I92" s="774"/>
    </row>
    <row r="93" spans="1:10" x14ac:dyDescent="0.2">
      <c r="A93" s="774"/>
      <c r="B93" s="757" t="s">
        <v>1510</v>
      </c>
      <c r="C93" s="774"/>
      <c r="D93" s="774"/>
      <c r="E93" s="774"/>
      <c r="F93" s="774"/>
      <c r="G93" s="774"/>
      <c r="H93" s="1080"/>
      <c r="I93" s="774"/>
    </row>
    <row r="94" spans="1:10" x14ac:dyDescent="0.2">
      <c r="A94" s="1083"/>
      <c r="B94" s="757" t="s">
        <v>1511</v>
      </c>
      <c r="C94" s="1084"/>
      <c r="D94" s="1084"/>
      <c r="E94" s="1084"/>
      <c r="F94" s="1084"/>
      <c r="G94" s="1084"/>
      <c r="H94" s="1085"/>
      <c r="I94" s="1084"/>
    </row>
    <row r="95" spans="1:10" x14ac:dyDescent="0.2">
      <c r="A95" s="774"/>
      <c r="B95" s="757" t="s">
        <v>1512</v>
      </c>
      <c r="C95" s="774"/>
      <c r="D95" s="1080"/>
      <c r="E95" s="1080"/>
      <c r="F95" s="774"/>
      <c r="G95" s="774"/>
      <c r="H95" s="774"/>
    </row>
    <row r="96" spans="1:10" x14ac:dyDescent="0.2">
      <c r="A96" s="774"/>
      <c r="B96" s="757" t="s">
        <v>1513</v>
      </c>
      <c r="C96" s="774"/>
      <c r="D96" s="1080"/>
      <c r="E96" s="1080"/>
      <c r="F96" s="774"/>
      <c r="G96" s="774"/>
      <c r="H96" s="774"/>
    </row>
    <row r="97" spans="1:9" x14ac:dyDescent="0.2">
      <c r="A97" s="774"/>
      <c r="B97" s="757" t="s">
        <v>1514</v>
      </c>
      <c r="C97" s="774"/>
      <c r="D97" s="774"/>
      <c r="E97" s="774"/>
      <c r="F97" s="774"/>
      <c r="G97" s="774"/>
      <c r="H97" s="1080"/>
      <c r="I97" s="774"/>
    </row>
    <row r="98" spans="1:9" x14ac:dyDescent="0.2">
      <c r="A98" s="774"/>
      <c r="B98" s="757" t="s">
        <v>1515</v>
      </c>
      <c r="C98" s="774"/>
      <c r="D98" s="774"/>
      <c r="E98" s="774"/>
      <c r="F98" s="774"/>
      <c r="G98" s="774"/>
      <c r="H98" s="1080"/>
      <c r="I98" s="774"/>
    </row>
    <row r="99" spans="1:9" x14ac:dyDescent="0.2">
      <c r="A99" s="774"/>
      <c r="B99" s="757" t="s">
        <v>1516</v>
      </c>
      <c r="C99" s="774"/>
      <c r="D99" s="774"/>
      <c r="E99" s="774"/>
      <c r="F99" s="774"/>
      <c r="G99" s="774"/>
      <c r="H99" s="1080"/>
      <c r="I99" s="774"/>
    </row>
    <row r="100" spans="1:9" x14ac:dyDescent="0.2">
      <c r="A100" s="774"/>
      <c r="B100" s="757" t="s">
        <v>1517</v>
      </c>
      <c r="C100" s="774"/>
      <c r="D100" s="774"/>
      <c r="E100" s="774"/>
      <c r="F100" s="774"/>
      <c r="G100" s="774"/>
      <c r="H100" s="1080"/>
      <c r="I100" s="774"/>
    </row>
    <row r="101" spans="1:9" x14ac:dyDescent="0.2">
      <c r="A101" s="774"/>
      <c r="B101" s="757" t="s">
        <v>1518</v>
      </c>
      <c r="C101" s="774"/>
      <c r="D101" s="774"/>
      <c r="E101" s="774"/>
      <c r="F101" s="774"/>
      <c r="G101" s="774"/>
      <c r="H101" s="1080"/>
      <c r="I101" s="774"/>
    </row>
    <row r="102" spans="1:9" x14ac:dyDescent="0.2">
      <c r="A102" s="774"/>
      <c r="B102" s="757" t="s">
        <v>1519</v>
      </c>
      <c r="C102" s="774"/>
      <c r="D102" s="774"/>
      <c r="E102" s="774"/>
      <c r="F102" s="774"/>
      <c r="G102" s="774"/>
      <c r="H102" s="1080"/>
      <c r="I102" s="774"/>
    </row>
    <row r="103" spans="1:9" x14ac:dyDescent="0.2">
      <c r="A103" s="774"/>
      <c r="B103" s="757" t="s">
        <v>1520</v>
      </c>
      <c r="C103" s="774"/>
      <c r="D103" s="774"/>
      <c r="E103" s="774"/>
      <c r="F103" s="774"/>
      <c r="G103" s="774"/>
      <c r="H103" s="1080"/>
      <c r="I103" s="774"/>
    </row>
    <row r="104" spans="1:9" x14ac:dyDescent="0.2">
      <c r="A104" s="774"/>
      <c r="B104" s="757" t="s">
        <v>1521</v>
      </c>
      <c r="C104" s="774"/>
      <c r="D104" s="774"/>
      <c r="E104" s="774"/>
      <c r="F104" s="774"/>
      <c r="G104" s="774"/>
      <c r="H104" s="1080"/>
      <c r="I104" s="774"/>
    </row>
    <row r="105" spans="1:9" x14ac:dyDescent="0.2">
      <c r="A105" s="774"/>
      <c r="B105" s="757" t="s">
        <v>1522</v>
      </c>
      <c r="C105" s="774"/>
      <c r="D105" s="774"/>
      <c r="E105" s="774"/>
      <c r="F105" s="774"/>
      <c r="G105" s="774"/>
      <c r="H105" s="1080"/>
      <c r="I105" s="774"/>
    </row>
    <row r="106" spans="1:9" x14ac:dyDescent="0.2">
      <c r="A106" s="774"/>
      <c r="B106" s="757" t="s">
        <v>1523</v>
      </c>
      <c r="C106" s="774"/>
      <c r="D106" s="774"/>
      <c r="E106" s="774"/>
      <c r="F106" s="774"/>
      <c r="G106" s="774"/>
      <c r="H106" s="1080"/>
      <c r="I106" s="774"/>
    </row>
    <row r="107" spans="1:9" x14ac:dyDescent="0.2">
      <c r="A107" s="774"/>
      <c r="B107" s="757" t="s">
        <v>1524</v>
      </c>
      <c r="C107" s="774"/>
      <c r="D107" s="774"/>
      <c r="E107" s="774"/>
      <c r="F107" s="774"/>
      <c r="G107" s="774"/>
      <c r="H107" s="1080"/>
      <c r="I107" s="774"/>
    </row>
    <row r="108" spans="1:9" x14ac:dyDescent="0.2">
      <c r="A108" s="774"/>
      <c r="B108" s="757" t="s">
        <v>1525</v>
      </c>
      <c r="C108" s="774"/>
      <c r="D108" s="774"/>
      <c r="E108" s="774"/>
      <c r="F108" s="774"/>
      <c r="G108" s="774"/>
      <c r="H108" s="1080"/>
      <c r="I108" s="774"/>
    </row>
    <row r="109" spans="1:9" x14ac:dyDescent="0.2">
      <c r="A109" s="774"/>
      <c r="B109" s="757" t="s">
        <v>1526</v>
      </c>
      <c r="C109" s="774"/>
      <c r="D109" s="774"/>
      <c r="E109" s="774"/>
      <c r="F109" s="774"/>
      <c r="G109" s="774"/>
      <c r="H109" s="1080"/>
      <c r="I109" s="774"/>
    </row>
    <row r="110" spans="1:9" x14ac:dyDescent="0.2">
      <c r="A110" s="774"/>
      <c r="B110" s="757" t="s">
        <v>1527</v>
      </c>
      <c r="C110" s="774"/>
      <c r="D110" s="774"/>
      <c r="E110" s="774"/>
      <c r="F110" s="774"/>
      <c r="G110" s="774"/>
      <c r="H110" s="1080"/>
      <c r="I110" s="774"/>
    </row>
    <row r="111" spans="1:9" ht="12" customHeight="1" x14ac:dyDescent="0.2">
      <c r="A111" s="774"/>
      <c r="B111" s="757" t="s">
        <v>1528</v>
      </c>
      <c r="C111" s="774"/>
      <c r="D111" s="774"/>
      <c r="E111" s="774"/>
      <c r="F111" s="774"/>
      <c r="G111" s="774"/>
      <c r="H111" s="1080"/>
      <c r="I111" s="774"/>
    </row>
    <row r="112" spans="1:9" x14ac:dyDescent="0.2">
      <c r="A112" s="774"/>
      <c r="B112" s="757" t="s">
        <v>1529</v>
      </c>
      <c r="C112" s="774"/>
      <c r="D112" s="774"/>
      <c r="E112" s="774"/>
      <c r="F112" s="774"/>
      <c r="G112" s="774"/>
      <c r="H112" s="1080"/>
      <c r="I112" s="774"/>
    </row>
    <row r="113" spans="1:9" x14ac:dyDescent="0.2">
      <c r="A113" s="774"/>
      <c r="B113" s="757" t="s">
        <v>1530</v>
      </c>
      <c r="C113" s="774"/>
      <c r="D113" s="774"/>
      <c r="E113" s="774"/>
      <c r="F113" s="774"/>
      <c r="G113" s="774"/>
      <c r="H113" s="1080"/>
      <c r="I113" s="774"/>
    </row>
    <row r="114" spans="1:9" x14ac:dyDescent="0.2">
      <c r="A114" s="774" t="s">
        <v>1531</v>
      </c>
      <c r="B114" s="757"/>
      <c r="C114" s="774"/>
      <c r="D114" s="774"/>
      <c r="E114" s="774"/>
      <c r="F114" s="774"/>
      <c r="G114" s="774"/>
      <c r="H114" s="1080"/>
      <c r="I114" s="774"/>
    </row>
    <row r="115" spans="1:9" x14ac:dyDescent="0.2">
      <c r="A115" s="774"/>
      <c r="B115" s="757" t="s">
        <v>1532</v>
      </c>
      <c r="C115" s="774"/>
      <c r="D115" s="774"/>
      <c r="E115" s="774"/>
      <c r="F115" s="774"/>
      <c r="G115" s="774"/>
      <c r="H115" s="1080"/>
      <c r="I115" s="774"/>
    </row>
    <row r="116" spans="1:9" x14ac:dyDescent="0.2">
      <c r="A116" s="774"/>
      <c r="B116" s="757" t="s">
        <v>1533</v>
      </c>
      <c r="C116" s="774"/>
      <c r="D116" s="774"/>
      <c r="E116" s="774"/>
      <c r="F116" s="774"/>
      <c r="G116" s="774"/>
      <c r="H116" s="1080"/>
      <c r="I116" s="774"/>
    </row>
    <row r="117" spans="1:9" x14ac:dyDescent="0.2">
      <c r="A117" s="774"/>
      <c r="B117" s="757" t="s">
        <v>1534</v>
      </c>
      <c r="C117" s="774"/>
      <c r="D117" s="774"/>
      <c r="E117" s="774"/>
      <c r="F117" s="774"/>
      <c r="G117" s="774"/>
      <c r="H117" s="1080"/>
      <c r="I117" s="774"/>
    </row>
    <row r="118" spans="1:9" x14ac:dyDescent="0.2">
      <c r="A118" s="553"/>
      <c r="B118" s="803"/>
      <c r="C118" s="553"/>
      <c r="D118" s="553"/>
      <c r="E118" s="553"/>
      <c r="F118" s="553"/>
      <c r="G118" s="553"/>
      <c r="H118" s="1079"/>
      <c r="I118" s="553"/>
    </row>
    <row r="119" spans="1:9" x14ac:dyDescent="0.2">
      <c r="A119" s="553"/>
      <c r="B119" s="553"/>
      <c r="C119" s="553"/>
      <c r="D119" s="553"/>
      <c r="E119" s="553"/>
      <c r="F119" s="553"/>
      <c r="G119" s="553"/>
      <c r="H119" s="1079"/>
      <c r="I119" s="553"/>
    </row>
    <row r="120" spans="1:9" x14ac:dyDescent="0.2">
      <c r="A120" s="553"/>
      <c r="B120" s="553"/>
      <c r="C120" s="553"/>
      <c r="D120" s="553"/>
      <c r="E120" s="553"/>
      <c r="F120" s="553"/>
      <c r="G120" s="553"/>
      <c r="H120" s="1079"/>
      <c r="I120" s="553"/>
    </row>
    <row r="121" spans="1:9" x14ac:dyDescent="0.2">
      <c r="A121" s="553"/>
      <c r="B121" s="553"/>
      <c r="C121" s="553"/>
      <c r="D121" s="553"/>
      <c r="E121" s="553"/>
      <c r="F121" s="553"/>
      <c r="G121" s="553"/>
      <c r="H121" s="1079"/>
      <c r="I121" s="553"/>
    </row>
    <row r="122" spans="1:9" x14ac:dyDescent="0.2">
      <c r="A122" s="553"/>
      <c r="B122" s="553"/>
      <c r="C122" s="553"/>
      <c r="D122" s="553"/>
      <c r="E122" s="553"/>
      <c r="F122" s="553"/>
      <c r="G122" s="553"/>
      <c r="H122" s="1079"/>
      <c r="I122" s="553"/>
    </row>
    <row r="123" spans="1:9" x14ac:dyDescent="0.2">
      <c r="A123" s="553"/>
      <c r="B123" s="553"/>
      <c r="C123" s="553"/>
      <c r="D123" s="553"/>
      <c r="E123" s="553"/>
      <c r="F123" s="553"/>
      <c r="G123" s="553"/>
      <c r="H123" s="1079"/>
      <c r="I123" s="553"/>
    </row>
  </sheetData>
  <sheetProtection algorithmName="SHA-512" hashValue="tnE0ewgMXCmSpv8IE/PX86WJ+A9MrIUNZay284v+WWmnWVTO6K7gK2VWCArJSr3pCaa6Xam8P05I6a0luE0vfA==" saltValue="A5gAFFp+X3zdnY6w0o500A==" spinCount="100000" sheet="1" objects="1" scenarios="1"/>
  <mergeCells count="40">
    <mergeCell ref="A3:B3"/>
    <mergeCell ref="A4:B4"/>
    <mergeCell ref="A5:I5"/>
    <mergeCell ref="A11:B11"/>
    <mergeCell ref="A16:A17"/>
    <mergeCell ref="B16:B17"/>
    <mergeCell ref="H16:H17"/>
    <mergeCell ref="A48:A52"/>
    <mergeCell ref="B48:B52"/>
    <mergeCell ref="H48:H52"/>
    <mergeCell ref="I18:I19"/>
    <mergeCell ref="A20:A21"/>
    <mergeCell ref="B20:B21"/>
    <mergeCell ref="H20:H21"/>
    <mergeCell ref="I26:I28"/>
    <mergeCell ref="A37:B37"/>
    <mergeCell ref="G39:G40"/>
    <mergeCell ref="I39:I40"/>
    <mergeCell ref="A46:A47"/>
    <mergeCell ref="B46:B47"/>
    <mergeCell ref="H46:H47"/>
    <mergeCell ref="A53:A55"/>
    <mergeCell ref="B53:B55"/>
    <mergeCell ref="H53:H55"/>
    <mergeCell ref="A56:A58"/>
    <mergeCell ref="B56:B58"/>
    <mergeCell ref="H56:H58"/>
    <mergeCell ref="G57:G58"/>
    <mergeCell ref="A75:A76"/>
    <mergeCell ref="B75:B76"/>
    <mergeCell ref="H75:H76"/>
    <mergeCell ref="A84:B84"/>
    <mergeCell ref="A64:B64"/>
    <mergeCell ref="A65:A68"/>
    <mergeCell ref="B65:B68"/>
    <mergeCell ref="G65:G66"/>
    <mergeCell ref="H65:H68"/>
    <mergeCell ref="A70:A74"/>
    <mergeCell ref="B70:B74"/>
    <mergeCell ref="H70:H74"/>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75.pielikums Jūrmalas pilsētas domes
2019.gada 29.augusta saistošajiem noteikumiem Nr.31
(protokols Nr.12, 20.punkts)
 </firstHeader>
    <firstFooter>&amp;L&amp;9&amp;D; &amp;T&amp;R&amp;9&amp;P (&amp;N)</first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M172"/>
  <sheetViews>
    <sheetView view="pageLayout" zoomScaleNormal="100" workbookViewId="0">
      <selection activeCell="L7" sqref="L7"/>
    </sheetView>
  </sheetViews>
  <sheetFormatPr defaultColWidth="9.140625" defaultRowHeight="12" outlineLevelCol="1" x14ac:dyDescent="0.2"/>
  <cols>
    <col min="1" max="1" width="6.140625" style="401" customWidth="1"/>
    <col min="2" max="2" width="26.85546875" style="401" customWidth="1"/>
    <col min="3" max="3" width="10.5703125" style="401" customWidth="1"/>
    <col min="4" max="4" width="12.28515625" style="401" hidden="1" customWidth="1" outlineLevel="1"/>
    <col min="5" max="5" width="11.140625" style="401" hidden="1" customWidth="1" outlineLevel="1"/>
    <col min="6" max="6" width="13.5703125" style="401" customWidth="1" collapsed="1"/>
    <col min="7" max="7" width="36.28515625" style="401" hidden="1" customWidth="1" outlineLevel="1"/>
    <col min="8" max="8" width="20.5703125" style="401" customWidth="1" collapsed="1"/>
    <col min="9" max="16384" width="9.140625" style="401"/>
  </cols>
  <sheetData>
    <row r="1" spans="1:9" x14ac:dyDescent="0.2">
      <c r="H1" s="745" t="s">
        <v>889</v>
      </c>
    </row>
    <row r="2" spans="1:9" x14ac:dyDescent="0.2">
      <c r="H2" s="745" t="s">
        <v>494</v>
      </c>
    </row>
    <row r="3" spans="1:9" x14ac:dyDescent="0.2">
      <c r="A3" s="2082" t="s">
        <v>890</v>
      </c>
      <c r="B3" s="2082"/>
      <c r="C3" s="746" t="s">
        <v>3</v>
      </c>
      <c r="D3" s="746"/>
      <c r="E3" s="746"/>
      <c r="F3" s="746"/>
      <c r="G3" s="746"/>
      <c r="H3" s="746"/>
    </row>
    <row r="4" spans="1:9" x14ac:dyDescent="0.2">
      <c r="A4" s="401" t="s">
        <v>891</v>
      </c>
      <c r="C4" s="1045">
        <v>90000056357</v>
      </c>
    </row>
    <row r="5" spans="1:9" ht="15.75" x14ac:dyDescent="0.25">
      <c r="A5" s="2154" t="s">
        <v>496</v>
      </c>
      <c r="B5" s="2154"/>
      <c r="C5" s="2154"/>
      <c r="D5" s="2154"/>
      <c r="E5" s="2154"/>
      <c r="F5" s="2154"/>
      <c r="G5" s="2154"/>
      <c r="H5" s="2154"/>
    </row>
    <row r="6" spans="1:9" ht="15.75" x14ac:dyDescent="0.25">
      <c r="A6" s="1048"/>
      <c r="B6" s="1048"/>
      <c r="C6" s="1048"/>
      <c r="D6" s="1048"/>
      <c r="E6" s="1048"/>
      <c r="F6" s="1048"/>
      <c r="G6" s="1048"/>
      <c r="H6" s="1048"/>
    </row>
    <row r="7" spans="1:9" ht="15.75" x14ac:dyDescent="0.25">
      <c r="A7" s="747" t="s">
        <v>497</v>
      </c>
      <c r="B7" s="747"/>
      <c r="C7" s="551" t="s">
        <v>892</v>
      </c>
      <c r="D7" s="551"/>
      <c r="E7" s="551"/>
      <c r="F7" s="551"/>
      <c r="G7" s="551"/>
      <c r="H7" s="551"/>
      <c r="I7" s="551"/>
    </row>
    <row r="8" spans="1:9" x14ac:dyDescent="0.2">
      <c r="A8" s="747" t="s">
        <v>499</v>
      </c>
      <c r="B8" s="747"/>
      <c r="C8" s="549" t="s">
        <v>887</v>
      </c>
      <c r="D8" s="549"/>
      <c r="E8" s="549"/>
      <c r="F8" s="549"/>
      <c r="G8" s="549"/>
      <c r="H8" s="549"/>
      <c r="I8" s="549"/>
    </row>
    <row r="9" spans="1:9" x14ac:dyDescent="0.2">
      <c r="A9" s="747" t="s">
        <v>500</v>
      </c>
      <c r="B9" s="747"/>
      <c r="C9" s="748" t="s">
        <v>836</v>
      </c>
      <c r="D9" s="748"/>
      <c r="E9" s="748"/>
      <c r="F9" s="748"/>
      <c r="G9" s="748"/>
      <c r="H9" s="748"/>
      <c r="I9" s="549"/>
    </row>
    <row r="10" spans="1:9" ht="12" customHeight="1" x14ac:dyDescent="0.2">
      <c r="A10" s="2147" t="s">
        <v>501</v>
      </c>
      <c r="B10" s="2147" t="s">
        <v>502</v>
      </c>
      <c r="C10" s="2137" t="s">
        <v>503</v>
      </c>
      <c r="D10" s="2139" t="s">
        <v>504</v>
      </c>
      <c r="E10" s="2139" t="s">
        <v>505</v>
      </c>
      <c r="F10" s="2139" t="s">
        <v>506</v>
      </c>
      <c r="G10" s="2139" t="s">
        <v>36</v>
      </c>
      <c r="H10" s="2139" t="s">
        <v>507</v>
      </c>
      <c r="I10" s="549"/>
    </row>
    <row r="11" spans="1:9" ht="38.25" customHeight="1" x14ac:dyDescent="0.2">
      <c r="A11" s="2148"/>
      <c r="B11" s="2148"/>
      <c r="C11" s="2138"/>
      <c r="D11" s="2140"/>
      <c r="E11" s="2140"/>
      <c r="F11" s="2140"/>
      <c r="G11" s="2140"/>
      <c r="H11" s="2140"/>
    </row>
    <row r="12" spans="1:9" s="451" customFormat="1" ht="15" customHeight="1" x14ac:dyDescent="0.2">
      <c r="A12" s="2143" t="s">
        <v>549</v>
      </c>
      <c r="B12" s="2144"/>
      <c r="C12" s="749"/>
      <c r="D12" s="749">
        <f>D13+D39</f>
        <v>38543</v>
      </c>
      <c r="E12" s="749">
        <f>E13+E39</f>
        <v>32024</v>
      </c>
      <c r="F12" s="749">
        <f>F13+F39</f>
        <v>70567</v>
      </c>
      <c r="G12" s="750"/>
      <c r="H12" s="751"/>
      <c r="I12" s="401"/>
    </row>
    <row r="13" spans="1:9" s="451" customFormat="1" ht="15" customHeight="1" x14ac:dyDescent="0.2">
      <c r="A13" s="752" t="s">
        <v>893</v>
      </c>
      <c r="B13" s="884" t="s">
        <v>894</v>
      </c>
      <c r="C13" s="753"/>
      <c r="D13" s="753">
        <f>SUM(D14:D38)</f>
        <v>19170</v>
      </c>
      <c r="E13" s="753">
        <f>SUM(E14:E38)</f>
        <v>33978</v>
      </c>
      <c r="F13" s="753">
        <f>SUM(F14:F38)</f>
        <v>53148</v>
      </c>
      <c r="G13" s="754"/>
      <c r="H13" s="601"/>
      <c r="I13" s="401"/>
    </row>
    <row r="14" spans="1:9" s="757" customFormat="1" ht="15" customHeight="1" x14ac:dyDescent="0.2">
      <c r="A14" s="2120" t="s">
        <v>895</v>
      </c>
      <c r="B14" s="2155" t="s">
        <v>896</v>
      </c>
      <c r="C14" s="755">
        <v>2262</v>
      </c>
      <c r="D14" s="564">
        <v>160</v>
      </c>
      <c r="E14" s="756"/>
      <c r="F14" s="756">
        <f>SUM(D14:E14)</f>
        <v>160</v>
      </c>
      <c r="G14" s="756"/>
      <c r="H14" s="2156" t="s">
        <v>897</v>
      </c>
      <c r="I14" s="401"/>
    </row>
    <row r="15" spans="1:9" ht="15" customHeight="1" x14ac:dyDescent="0.2">
      <c r="A15" s="2120"/>
      <c r="B15" s="2152"/>
      <c r="C15" s="755">
        <v>2314</v>
      </c>
      <c r="D15" s="564">
        <v>2094</v>
      </c>
      <c r="E15" s="758">
        <f>64+140</f>
        <v>204</v>
      </c>
      <c r="F15" s="756">
        <f t="shared" ref="F15:F56" si="0">SUM(D15:E15)</f>
        <v>2298</v>
      </c>
      <c r="G15" s="433" t="s">
        <v>898</v>
      </c>
      <c r="H15" s="2157"/>
    </row>
    <row r="16" spans="1:9" ht="15" customHeight="1" x14ac:dyDescent="0.2">
      <c r="A16" s="2120"/>
      <c r="B16" s="2152"/>
      <c r="C16" s="755">
        <v>2363</v>
      </c>
      <c r="D16" s="564">
        <v>1215</v>
      </c>
      <c r="E16" s="758">
        <v>-120</v>
      </c>
      <c r="F16" s="756">
        <f t="shared" si="0"/>
        <v>1095</v>
      </c>
      <c r="G16" s="756" t="s">
        <v>899</v>
      </c>
      <c r="H16" s="2157"/>
    </row>
    <row r="17" spans="1:8" ht="15" customHeight="1" x14ac:dyDescent="0.2">
      <c r="A17" s="2120"/>
      <c r="B17" s="2152"/>
      <c r="C17" s="755">
        <v>2264</v>
      </c>
      <c r="D17" s="564">
        <v>2700</v>
      </c>
      <c r="E17" s="758">
        <f>-375-50-9</f>
        <v>-434</v>
      </c>
      <c r="F17" s="756">
        <f t="shared" si="0"/>
        <v>2266</v>
      </c>
      <c r="G17" s="756" t="s">
        <v>898</v>
      </c>
      <c r="H17" s="2157"/>
    </row>
    <row r="18" spans="1:8" ht="15" customHeight="1" x14ac:dyDescent="0.2">
      <c r="A18" s="2120"/>
      <c r="B18" s="2152"/>
      <c r="C18" s="755">
        <v>1150</v>
      </c>
      <c r="D18" s="564">
        <v>3136</v>
      </c>
      <c r="E18" s="758">
        <f>-108-267</f>
        <v>-375</v>
      </c>
      <c r="F18" s="756">
        <f t="shared" si="0"/>
        <v>2761</v>
      </c>
      <c r="G18" s="756" t="s">
        <v>898</v>
      </c>
      <c r="H18" s="2157"/>
    </row>
    <row r="19" spans="1:8" ht="15" customHeight="1" x14ac:dyDescent="0.2">
      <c r="A19" s="2120"/>
      <c r="B19" s="2152"/>
      <c r="C19" s="755">
        <v>1210</v>
      </c>
      <c r="D19" s="564">
        <v>278</v>
      </c>
      <c r="E19" s="758">
        <v>-18</v>
      </c>
      <c r="F19" s="756">
        <f t="shared" si="0"/>
        <v>260</v>
      </c>
      <c r="G19" s="433" t="s">
        <v>898</v>
      </c>
      <c r="H19" s="2157"/>
    </row>
    <row r="20" spans="1:8" ht="15" customHeight="1" x14ac:dyDescent="0.2">
      <c r="A20" s="2120"/>
      <c r="B20" s="2152"/>
      <c r="C20" s="755">
        <v>2279</v>
      </c>
      <c r="D20" s="564">
        <v>730</v>
      </c>
      <c r="E20" s="758">
        <f>267</f>
        <v>267</v>
      </c>
      <c r="F20" s="756">
        <f t="shared" si="0"/>
        <v>997</v>
      </c>
      <c r="G20" s="433" t="s">
        <v>898</v>
      </c>
      <c r="H20" s="2157"/>
    </row>
    <row r="21" spans="1:8" ht="15" customHeight="1" x14ac:dyDescent="0.2">
      <c r="A21" s="2120"/>
      <c r="B21" s="2152"/>
      <c r="C21" s="755">
        <v>2370</v>
      </c>
      <c r="D21" s="564">
        <v>1400</v>
      </c>
      <c r="E21" s="758">
        <f>375-8</f>
        <v>367</v>
      </c>
      <c r="F21" s="756">
        <f t="shared" si="0"/>
        <v>1767</v>
      </c>
      <c r="G21" s="433" t="s">
        <v>898</v>
      </c>
      <c r="H21" s="2157"/>
    </row>
    <row r="22" spans="1:8" ht="15" customHeight="1" x14ac:dyDescent="0.2">
      <c r="A22" s="2120"/>
      <c r="B22" s="2152"/>
      <c r="C22" s="755">
        <v>2239</v>
      </c>
      <c r="D22" s="564">
        <v>80</v>
      </c>
      <c r="E22" s="758">
        <v>108</v>
      </c>
      <c r="F22" s="756">
        <f t="shared" si="0"/>
        <v>188</v>
      </c>
      <c r="G22" s="433" t="s">
        <v>898</v>
      </c>
      <c r="H22" s="2157"/>
    </row>
    <row r="23" spans="1:8" ht="15" customHeight="1" x14ac:dyDescent="0.2">
      <c r="A23" s="2120"/>
      <c r="B23" s="2152"/>
      <c r="C23" s="755">
        <v>2361</v>
      </c>
      <c r="D23" s="564">
        <v>0</v>
      </c>
      <c r="E23" s="758">
        <f>31324+120+148+34+60+773+22+330+455+190+60+500+200</f>
        <v>34216</v>
      </c>
      <c r="F23" s="756">
        <f t="shared" si="0"/>
        <v>34216</v>
      </c>
      <c r="G23" s="433" t="s">
        <v>900</v>
      </c>
      <c r="H23" s="2157"/>
    </row>
    <row r="24" spans="1:8" ht="15" customHeight="1" x14ac:dyDescent="0.2">
      <c r="A24" s="2120"/>
      <c r="B24" s="2152"/>
      <c r="C24" s="755">
        <v>2248</v>
      </c>
      <c r="D24" s="564">
        <v>0</v>
      </c>
      <c r="E24" s="758">
        <f>18+9+8</f>
        <v>35</v>
      </c>
      <c r="F24" s="756">
        <f t="shared" si="0"/>
        <v>35</v>
      </c>
      <c r="G24" s="433" t="s">
        <v>898</v>
      </c>
      <c r="H24" s="2157"/>
    </row>
    <row r="25" spans="1:8" ht="15" customHeight="1" x14ac:dyDescent="0.2">
      <c r="A25" s="2120"/>
      <c r="B25" s="2152"/>
      <c r="C25" s="755">
        <v>2311</v>
      </c>
      <c r="D25" s="564">
        <v>0</v>
      </c>
      <c r="E25" s="758">
        <v>50</v>
      </c>
      <c r="F25" s="756">
        <f t="shared" si="0"/>
        <v>50</v>
      </c>
      <c r="G25" s="433" t="s">
        <v>898</v>
      </c>
      <c r="H25" s="2157"/>
    </row>
    <row r="26" spans="1:8" ht="15" customHeight="1" x14ac:dyDescent="0.2">
      <c r="A26" s="2119" t="s">
        <v>901</v>
      </c>
      <c r="B26" s="2122" t="s">
        <v>902</v>
      </c>
      <c r="C26" s="755">
        <v>1150</v>
      </c>
      <c r="D26" s="564">
        <v>770</v>
      </c>
      <c r="E26" s="756"/>
      <c r="F26" s="756">
        <f t="shared" si="0"/>
        <v>770</v>
      </c>
      <c r="G26" s="427"/>
      <c r="H26" s="2141" t="s">
        <v>903</v>
      </c>
    </row>
    <row r="27" spans="1:8" ht="15" customHeight="1" x14ac:dyDescent="0.2">
      <c r="A27" s="2120"/>
      <c r="B27" s="2123"/>
      <c r="C27" s="755">
        <v>1210</v>
      </c>
      <c r="D27" s="564">
        <v>173</v>
      </c>
      <c r="E27" s="756"/>
      <c r="F27" s="756">
        <f t="shared" si="0"/>
        <v>173</v>
      </c>
      <c r="G27" s="427"/>
      <c r="H27" s="2141"/>
    </row>
    <row r="28" spans="1:8" ht="15" customHeight="1" x14ac:dyDescent="0.2">
      <c r="A28" s="2120"/>
      <c r="B28" s="2123"/>
      <c r="C28" s="755">
        <v>2314</v>
      </c>
      <c r="D28" s="564">
        <v>2405</v>
      </c>
      <c r="E28" s="758">
        <v>-148</v>
      </c>
      <c r="F28" s="756">
        <f t="shared" si="0"/>
        <v>2257</v>
      </c>
      <c r="G28" s="759" t="s">
        <v>904</v>
      </c>
      <c r="H28" s="2141"/>
    </row>
    <row r="29" spans="1:8" ht="15" customHeight="1" x14ac:dyDescent="0.2">
      <c r="A29" s="2120"/>
      <c r="B29" s="2123"/>
      <c r="C29" s="755">
        <v>2264</v>
      </c>
      <c r="D29" s="564">
        <v>300</v>
      </c>
      <c r="E29" s="756"/>
      <c r="F29" s="756">
        <f t="shared" si="0"/>
        <v>300</v>
      </c>
      <c r="G29" s="427"/>
      <c r="H29" s="2141"/>
    </row>
    <row r="30" spans="1:8" ht="15" customHeight="1" x14ac:dyDescent="0.2">
      <c r="A30" s="2120"/>
      <c r="B30" s="2123"/>
      <c r="C30" s="755">
        <v>2363</v>
      </c>
      <c r="D30" s="564">
        <v>180</v>
      </c>
      <c r="E30" s="756"/>
      <c r="F30" s="756">
        <f t="shared" si="0"/>
        <v>180</v>
      </c>
      <c r="G30" s="427"/>
      <c r="H30" s="2141"/>
    </row>
    <row r="31" spans="1:8" ht="15" customHeight="1" x14ac:dyDescent="0.2">
      <c r="A31" s="2121"/>
      <c r="B31" s="2124"/>
      <c r="C31" s="755">
        <v>2262</v>
      </c>
      <c r="D31" s="564">
        <v>300</v>
      </c>
      <c r="E31" s="756"/>
      <c r="F31" s="756">
        <f t="shared" si="0"/>
        <v>300</v>
      </c>
      <c r="G31" s="433"/>
      <c r="H31" s="2141"/>
    </row>
    <row r="32" spans="1:8" ht="15" customHeight="1" x14ac:dyDescent="0.2">
      <c r="A32" s="2120" t="s">
        <v>905</v>
      </c>
      <c r="B32" s="2152" t="s">
        <v>906</v>
      </c>
      <c r="C32" s="755">
        <v>1150</v>
      </c>
      <c r="D32" s="564">
        <v>1616</v>
      </c>
      <c r="E32" s="758">
        <v>-140</v>
      </c>
      <c r="F32" s="756">
        <f t="shared" si="0"/>
        <v>1476</v>
      </c>
      <c r="G32" s="760" t="s">
        <v>907</v>
      </c>
      <c r="H32" s="2141" t="s">
        <v>908</v>
      </c>
    </row>
    <row r="33" spans="1:8" ht="15" customHeight="1" x14ac:dyDescent="0.2">
      <c r="A33" s="2120"/>
      <c r="B33" s="2152"/>
      <c r="C33" s="755">
        <v>1210</v>
      </c>
      <c r="D33" s="564">
        <v>233</v>
      </c>
      <c r="E33" s="758">
        <v>-34</v>
      </c>
      <c r="F33" s="756">
        <f t="shared" si="0"/>
        <v>199</v>
      </c>
      <c r="G33" s="760" t="s">
        <v>907</v>
      </c>
      <c r="H33" s="2141"/>
    </row>
    <row r="34" spans="1:8" ht="15" customHeight="1" x14ac:dyDescent="0.2">
      <c r="A34" s="2120"/>
      <c r="B34" s="2152"/>
      <c r="C34" s="755">
        <v>2363</v>
      </c>
      <c r="D34" s="564">
        <v>80</v>
      </c>
      <c r="E34" s="756"/>
      <c r="F34" s="756">
        <f t="shared" si="0"/>
        <v>80</v>
      </c>
      <c r="G34" s="433"/>
      <c r="H34" s="2141"/>
    </row>
    <row r="35" spans="1:8" ht="15" customHeight="1" x14ac:dyDescent="0.2">
      <c r="A35" s="2120"/>
      <c r="B35" s="2152"/>
      <c r="C35" s="755">
        <v>2314</v>
      </c>
      <c r="D35" s="564">
        <v>830</v>
      </c>
      <c r="E35" s="756"/>
      <c r="F35" s="756">
        <f t="shared" si="0"/>
        <v>830</v>
      </c>
      <c r="G35" s="433"/>
      <c r="H35" s="2141"/>
    </row>
    <row r="36" spans="1:8" ht="15" customHeight="1" x14ac:dyDescent="0.2">
      <c r="A36" s="2120"/>
      <c r="B36" s="2152"/>
      <c r="C36" s="755">
        <v>2264</v>
      </c>
      <c r="D36" s="564">
        <v>150</v>
      </c>
      <c r="E36" s="433"/>
      <c r="F36" s="756">
        <f t="shared" si="0"/>
        <v>150</v>
      </c>
      <c r="G36" s="433"/>
      <c r="H36" s="2141"/>
    </row>
    <row r="37" spans="1:8" ht="15" customHeight="1" x14ac:dyDescent="0.2">
      <c r="A37" s="2120"/>
      <c r="B37" s="2152"/>
      <c r="C37" s="755">
        <v>2231</v>
      </c>
      <c r="D37" s="564">
        <v>300</v>
      </c>
      <c r="E37" s="433"/>
      <c r="F37" s="756">
        <f t="shared" si="0"/>
        <v>300</v>
      </c>
      <c r="G37" s="433"/>
      <c r="H37" s="2141"/>
    </row>
    <row r="38" spans="1:8" ht="15" customHeight="1" x14ac:dyDescent="0.2">
      <c r="A38" s="2121"/>
      <c r="B38" s="2153"/>
      <c r="C38" s="755">
        <v>2311</v>
      </c>
      <c r="D38" s="564">
        <v>40</v>
      </c>
      <c r="E38" s="433"/>
      <c r="F38" s="756">
        <f t="shared" si="0"/>
        <v>40</v>
      </c>
      <c r="G38" s="433"/>
      <c r="H38" s="2141"/>
    </row>
    <row r="39" spans="1:8" ht="30" customHeight="1" x14ac:dyDescent="0.2">
      <c r="A39" s="761" t="s">
        <v>909</v>
      </c>
      <c r="B39" s="884" t="s">
        <v>910</v>
      </c>
      <c r="C39" s="762"/>
      <c r="D39" s="762">
        <f>SUM(D40:D56)</f>
        <v>19373</v>
      </c>
      <c r="E39" s="762">
        <f>SUM(E40:E56)</f>
        <v>-1954</v>
      </c>
      <c r="F39" s="762">
        <f t="shared" ref="F39" si="1">SUM(F40:F56)</f>
        <v>17419</v>
      </c>
      <c r="G39" s="763"/>
      <c r="H39" s="764"/>
    </row>
    <row r="40" spans="1:8" ht="15" customHeight="1" x14ac:dyDescent="0.2">
      <c r="A40" s="2150" t="s">
        <v>911</v>
      </c>
      <c r="B40" s="2151" t="s">
        <v>912</v>
      </c>
      <c r="C40" s="765">
        <v>2363</v>
      </c>
      <c r="D40" s="766">
        <v>160</v>
      </c>
      <c r="E40" s="756"/>
      <c r="F40" s="756">
        <f t="shared" si="0"/>
        <v>160</v>
      </c>
      <c r="G40" s="433"/>
      <c r="H40" s="2141" t="s">
        <v>913</v>
      </c>
    </row>
    <row r="41" spans="1:8" ht="15" customHeight="1" x14ac:dyDescent="0.2">
      <c r="A41" s="2150"/>
      <c r="B41" s="2151"/>
      <c r="C41" s="765">
        <v>2314</v>
      </c>
      <c r="D41" s="766">
        <f>4055+348</f>
        <v>4403</v>
      </c>
      <c r="E41" s="756"/>
      <c r="F41" s="756">
        <f t="shared" si="0"/>
        <v>4403</v>
      </c>
      <c r="G41" s="756"/>
      <c r="H41" s="2141"/>
    </row>
    <row r="42" spans="1:8" ht="15" customHeight="1" x14ac:dyDescent="0.2">
      <c r="A42" s="2150"/>
      <c r="B42" s="2151"/>
      <c r="C42" s="765">
        <v>2322</v>
      </c>
      <c r="D42" s="766">
        <v>60</v>
      </c>
      <c r="E42" s="767">
        <v>-60</v>
      </c>
      <c r="F42" s="756">
        <f t="shared" si="0"/>
        <v>0</v>
      </c>
      <c r="G42" s="768" t="s">
        <v>914</v>
      </c>
      <c r="H42" s="2141"/>
    </row>
    <row r="43" spans="1:8" ht="15" customHeight="1" x14ac:dyDescent="0.2">
      <c r="A43" s="2150"/>
      <c r="B43" s="2151"/>
      <c r="C43" s="765">
        <v>2370</v>
      </c>
      <c r="D43" s="766">
        <v>150</v>
      </c>
      <c r="E43" s="768"/>
      <c r="F43" s="756">
        <f t="shared" si="0"/>
        <v>150</v>
      </c>
      <c r="G43" s="768"/>
      <c r="H43" s="2141"/>
    </row>
    <row r="44" spans="1:8" ht="15" customHeight="1" x14ac:dyDescent="0.2">
      <c r="A44" s="2150"/>
      <c r="B44" s="2151"/>
      <c r="C44" s="765">
        <v>2279</v>
      </c>
      <c r="D44" s="766">
        <v>360</v>
      </c>
      <c r="E44" s="767">
        <v>-64</v>
      </c>
      <c r="F44" s="756">
        <f t="shared" si="0"/>
        <v>296</v>
      </c>
      <c r="G44" s="769" t="s">
        <v>915</v>
      </c>
      <c r="H44" s="2141"/>
    </row>
    <row r="45" spans="1:8" ht="15" customHeight="1" x14ac:dyDescent="0.2">
      <c r="A45" s="2150"/>
      <c r="B45" s="2151"/>
      <c r="C45" s="765">
        <v>2262</v>
      </c>
      <c r="D45" s="766">
        <v>2425</v>
      </c>
      <c r="E45" s="758">
        <v>-773</v>
      </c>
      <c r="F45" s="756">
        <f t="shared" si="0"/>
        <v>1652</v>
      </c>
      <c r="G45" s="756" t="s">
        <v>916</v>
      </c>
      <c r="H45" s="2141"/>
    </row>
    <row r="46" spans="1:8" ht="15" customHeight="1" x14ac:dyDescent="0.2">
      <c r="A46" s="2150"/>
      <c r="B46" s="2151"/>
      <c r="C46" s="765">
        <v>1150</v>
      </c>
      <c r="D46" s="766">
        <v>3942</v>
      </c>
      <c r="E46" s="756"/>
      <c r="F46" s="756">
        <f t="shared" si="0"/>
        <v>3942</v>
      </c>
      <c r="G46" s="756"/>
      <c r="H46" s="2141"/>
    </row>
    <row r="47" spans="1:8" ht="15" customHeight="1" x14ac:dyDescent="0.2">
      <c r="A47" s="2150"/>
      <c r="B47" s="2151"/>
      <c r="C47" s="765">
        <v>1210</v>
      </c>
      <c r="D47" s="766">
        <v>236</v>
      </c>
      <c r="E47" s="758">
        <v>-22</v>
      </c>
      <c r="F47" s="756">
        <f t="shared" si="0"/>
        <v>214</v>
      </c>
      <c r="G47" s="756" t="s">
        <v>917</v>
      </c>
      <c r="H47" s="2141"/>
    </row>
    <row r="48" spans="1:8" ht="15" customHeight="1" x14ac:dyDescent="0.2">
      <c r="A48" s="2150"/>
      <c r="B48" s="2151"/>
      <c r="C48" s="765">
        <v>2219</v>
      </c>
      <c r="D48" s="766">
        <v>250</v>
      </c>
      <c r="E48" s="756"/>
      <c r="F48" s="756">
        <f t="shared" si="0"/>
        <v>250</v>
      </c>
      <c r="G48" s="756"/>
      <c r="H48" s="2141"/>
    </row>
    <row r="49" spans="1:9" ht="15" customHeight="1" x14ac:dyDescent="0.2">
      <c r="A49" s="2150"/>
      <c r="B49" s="2151"/>
      <c r="C49" s="765">
        <v>2311</v>
      </c>
      <c r="D49" s="766">
        <v>100</v>
      </c>
      <c r="E49" s="756"/>
      <c r="F49" s="756">
        <f t="shared" si="0"/>
        <v>100</v>
      </c>
      <c r="G49" s="756" t="s">
        <v>533</v>
      </c>
      <c r="H49" s="2141"/>
    </row>
    <row r="50" spans="1:9" ht="15" customHeight="1" x14ac:dyDescent="0.2">
      <c r="A50" s="2150"/>
      <c r="B50" s="2151"/>
      <c r="C50" s="765">
        <v>2231</v>
      </c>
      <c r="D50" s="766">
        <f>925-348</f>
        <v>577</v>
      </c>
      <c r="E50" s="756"/>
      <c r="F50" s="756">
        <f t="shared" si="0"/>
        <v>577</v>
      </c>
      <c r="G50" s="756"/>
      <c r="H50" s="2141"/>
      <c r="I50" s="770"/>
    </row>
    <row r="51" spans="1:9" ht="15" customHeight="1" x14ac:dyDescent="0.2">
      <c r="A51" s="2150"/>
      <c r="B51" s="2151"/>
      <c r="C51" s="765">
        <v>6422</v>
      </c>
      <c r="D51" s="766">
        <v>2000</v>
      </c>
      <c r="E51" s="756"/>
      <c r="F51" s="756">
        <f t="shared" si="0"/>
        <v>2000</v>
      </c>
      <c r="G51" s="756"/>
      <c r="H51" s="2141"/>
      <c r="I51" s="770"/>
    </row>
    <row r="52" spans="1:9" ht="15" customHeight="1" x14ac:dyDescent="0.2">
      <c r="A52" s="2150" t="s">
        <v>918</v>
      </c>
      <c r="B52" s="2151" t="s">
        <v>896</v>
      </c>
      <c r="C52" s="765">
        <v>2262</v>
      </c>
      <c r="D52" s="766">
        <v>2600</v>
      </c>
      <c r="E52" s="758">
        <v>-330</v>
      </c>
      <c r="F52" s="756">
        <f t="shared" si="0"/>
        <v>2270</v>
      </c>
      <c r="G52" s="756" t="s">
        <v>919</v>
      </c>
      <c r="H52" s="2141" t="s">
        <v>920</v>
      </c>
      <c r="I52" s="771"/>
    </row>
    <row r="53" spans="1:9" ht="15" customHeight="1" x14ac:dyDescent="0.2">
      <c r="A53" s="2150"/>
      <c r="B53" s="2151"/>
      <c r="C53" s="765">
        <v>2363</v>
      </c>
      <c r="D53" s="766">
        <v>1260</v>
      </c>
      <c r="E53" s="758">
        <v>-455</v>
      </c>
      <c r="F53" s="756">
        <f t="shared" si="0"/>
        <v>805</v>
      </c>
      <c r="G53" s="756" t="s">
        <v>919</v>
      </c>
      <c r="H53" s="2141"/>
      <c r="I53" s="456"/>
    </row>
    <row r="54" spans="1:9" ht="15" customHeight="1" x14ac:dyDescent="0.2">
      <c r="A54" s="2150"/>
      <c r="B54" s="2151"/>
      <c r="C54" s="765">
        <v>2279</v>
      </c>
      <c r="D54" s="766">
        <v>490</v>
      </c>
      <c r="E54" s="758">
        <v>-190</v>
      </c>
      <c r="F54" s="756">
        <f t="shared" si="0"/>
        <v>300</v>
      </c>
      <c r="G54" s="756" t="s">
        <v>919</v>
      </c>
      <c r="H54" s="2141"/>
      <c r="I54" s="456"/>
    </row>
    <row r="55" spans="1:9" ht="15" customHeight="1" x14ac:dyDescent="0.2">
      <c r="A55" s="2150"/>
      <c r="B55" s="2151"/>
      <c r="C55" s="765">
        <v>2314</v>
      </c>
      <c r="D55" s="766">
        <v>300</v>
      </c>
      <c r="E55" s="756"/>
      <c r="F55" s="756">
        <f t="shared" si="0"/>
        <v>300</v>
      </c>
      <c r="G55" s="433"/>
      <c r="H55" s="2141"/>
      <c r="I55" s="456"/>
    </row>
    <row r="56" spans="1:9" ht="15" customHeight="1" x14ac:dyDescent="0.2">
      <c r="A56" s="2150"/>
      <c r="B56" s="2151"/>
      <c r="C56" s="765">
        <v>2231</v>
      </c>
      <c r="D56" s="766">
        <v>60</v>
      </c>
      <c r="E56" s="758">
        <v>-60</v>
      </c>
      <c r="F56" s="756">
        <f t="shared" si="0"/>
        <v>0</v>
      </c>
      <c r="G56" s="433" t="s">
        <v>921</v>
      </c>
      <c r="H56" s="2141"/>
      <c r="I56" s="456"/>
    </row>
    <row r="57" spans="1:9" x14ac:dyDescent="0.2">
      <c r="A57" s="757"/>
      <c r="B57" s="757"/>
      <c r="C57" s="757"/>
      <c r="D57" s="757"/>
      <c r="E57" s="757"/>
      <c r="F57" s="757"/>
      <c r="G57" s="757"/>
      <c r="H57" s="757"/>
      <c r="I57" s="456"/>
    </row>
    <row r="58" spans="1:9" x14ac:dyDescent="0.2">
      <c r="A58" s="747" t="s">
        <v>499</v>
      </c>
      <c r="B58" s="747"/>
      <c r="C58" s="553" t="s">
        <v>732</v>
      </c>
      <c r="D58" s="553"/>
      <c r="E58" s="553"/>
      <c r="F58" s="553"/>
      <c r="G58" s="553"/>
      <c r="H58" s="553"/>
      <c r="I58" s="553"/>
    </row>
    <row r="59" spans="1:9" x14ac:dyDescent="0.2">
      <c r="A59" s="747" t="s">
        <v>500</v>
      </c>
      <c r="B59" s="747"/>
      <c r="C59" s="748" t="s">
        <v>836</v>
      </c>
      <c r="D59" s="748"/>
      <c r="E59" s="748"/>
      <c r="F59" s="748"/>
      <c r="G59" s="748"/>
      <c r="H59" s="748"/>
      <c r="I59" s="553"/>
    </row>
    <row r="60" spans="1:9" ht="12" customHeight="1" x14ac:dyDescent="0.2">
      <c r="A60" s="2147" t="s">
        <v>501</v>
      </c>
      <c r="B60" s="2147" t="s">
        <v>502</v>
      </c>
      <c r="C60" s="2137" t="s">
        <v>503</v>
      </c>
      <c r="D60" s="2139" t="s">
        <v>504</v>
      </c>
      <c r="E60" s="2139" t="s">
        <v>505</v>
      </c>
      <c r="F60" s="2139" t="s">
        <v>506</v>
      </c>
      <c r="G60" s="2139" t="s">
        <v>36</v>
      </c>
      <c r="H60" s="2139" t="s">
        <v>507</v>
      </c>
      <c r="I60" s="553"/>
    </row>
    <row r="61" spans="1:9" ht="38.25" customHeight="1" x14ac:dyDescent="0.2">
      <c r="A61" s="2148"/>
      <c r="B61" s="2148"/>
      <c r="C61" s="2138"/>
      <c r="D61" s="2140"/>
      <c r="E61" s="2140"/>
      <c r="F61" s="2140"/>
      <c r="G61" s="2140"/>
      <c r="H61" s="2140"/>
      <c r="I61" s="553"/>
    </row>
    <row r="62" spans="1:9" s="451" customFormat="1" x14ac:dyDescent="0.2">
      <c r="A62" s="2143" t="s">
        <v>549</v>
      </c>
      <c r="B62" s="2144"/>
      <c r="C62" s="749"/>
      <c r="D62" s="749">
        <f>SUM(D63:D73)</f>
        <v>16064</v>
      </c>
      <c r="E62" s="749">
        <f>SUM(E63:E73)</f>
        <v>1200</v>
      </c>
      <c r="F62" s="749">
        <f t="shared" ref="F62" si="2">SUM(F63:F73)</f>
        <v>17264</v>
      </c>
      <c r="G62" s="750"/>
      <c r="H62" s="751"/>
      <c r="I62" s="401"/>
    </row>
    <row r="63" spans="1:9" ht="15" customHeight="1" x14ac:dyDescent="0.2">
      <c r="A63" s="2068">
        <v>1</v>
      </c>
      <c r="B63" s="2149" t="s">
        <v>922</v>
      </c>
      <c r="C63" s="772">
        <v>2363</v>
      </c>
      <c r="D63" s="773">
        <v>472</v>
      </c>
      <c r="E63" s="756"/>
      <c r="F63" s="756">
        <f t="shared" ref="F63:F73" si="3">SUM(D63:E63)</f>
        <v>472</v>
      </c>
      <c r="G63" s="750"/>
      <c r="H63" s="2141" t="s">
        <v>923</v>
      </c>
      <c r="I63" s="774"/>
    </row>
    <row r="64" spans="1:9" ht="15" customHeight="1" x14ac:dyDescent="0.2">
      <c r="A64" s="2068"/>
      <c r="B64" s="2149"/>
      <c r="C64" s="775">
        <v>2314</v>
      </c>
      <c r="D64" s="773">
        <v>5165</v>
      </c>
      <c r="E64" s="433"/>
      <c r="F64" s="756">
        <f t="shared" si="3"/>
        <v>5165</v>
      </c>
      <c r="G64" s="750"/>
      <c r="H64" s="2141"/>
      <c r="I64" s="774"/>
    </row>
    <row r="65" spans="1:11" ht="15" customHeight="1" x14ac:dyDescent="0.2">
      <c r="A65" s="2068"/>
      <c r="B65" s="2149"/>
      <c r="C65" s="775">
        <v>2279</v>
      </c>
      <c r="D65" s="773">
        <v>140</v>
      </c>
      <c r="E65" s="756"/>
      <c r="F65" s="756">
        <f t="shared" si="3"/>
        <v>140</v>
      </c>
      <c r="G65" s="750"/>
      <c r="H65" s="2141"/>
      <c r="I65" s="774"/>
    </row>
    <row r="66" spans="1:11" ht="15" customHeight="1" x14ac:dyDescent="0.2">
      <c r="A66" s="2068"/>
      <c r="B66" s="2149"/>
      <c r="C66" s="775">
        <v>2262</v>
      </c>
      <c r="D66" s="773">
        <v>900</v>
      </c>
      <c r="E66" s="758">
        <v>-300</v>
      </c>
      <c r="F66" s="756">
        <f t="shared" si="3"/>
        <v>600</v>
      </c>
      <c r="G66" s="773" t="s">
        <v>924</v>
      </c>
      <c r="H66" s="2141"/>
      <c r="I66" s="774"/>
    </row>
    <row r="67" spans="1:11" ht="15" customHeight="1" x14ac:dyDescent="0.2">
      <c r="A67" s="2068"/>
      <c r="B67" s="2149"/>
      <c r="C67" s="775">
        <v>1150</v>
      </c>
      <c r="D67" s="773">
        <v>2382</v>
      </c>
      <c r="E67" s="433"/>
      <c r="F67" s="756">
        <f t="shared" si="3"/>
        <v>2382</v>
      </c>
      <c r="G67" s="750"/>
      <c r="H67" s="2141"/>
      <c r="I67" s="774"/>
    </row>
    <row r="68" spans="1:11" ht="15" customHeight="1" x14ac:dyDescent="0.2">
      <c r="A68" s="2068"/>
      <c r="B68" s="2149"/>
      <c r="C68" s="775">
        <v>1210</v>
      </c>
      <c r="D68" s="773">
        <v>578</v>
      </c>
      <c r="E68" s="433"/>
      <c r="F68" s="756">
        <f t="shared" si="3"/>
        <v>578</v>
      </c>
      <c r="G68" s="750"/>
      <c r="H68" s="2141"/>
      <c r="I68" s="774"/>
    </row>
    <row r="69" spans="1:11" ht="15" customHeight="1" x14ac:dyDescent="0.2">
      <c r="A69" s="2068">
        <v>2</v>
      </c>
      <c r="B69" s="2149" t="s">
        <v>925</v>
      </c>
      <c r="C69" s="775">
        <v>2314</v>
      </c>
      <c r="D69" s="773">
        <v>4268</v>
      </c>
      <c r="E69" s="433"/>
      <c r="F69" s="756">
        <f t="shared" si="3"/>
        <v>4268</v>
      </c>
      <c r="G69" s="750"/>
      <c r="H69" s="2141" t="s">
        <v>923</v>
      </c>
      <c r="I69" s="774"/>
    </row>
    <row r="70" spans="1:11" ht="15" customHeight="1" x14ac:dyDescent="0.2">
      <c r="A70" s="2068"/>
      <c r="B70" s="2149"/>
      <c r="C70" s="775">
        <v>1150</v>
      </c>
      <c r="D70" s="773">
        <f>1042+450</f>
        <v>1492</v>
      </c>
      <c r="E70" s="758">
        <f>600+600</f>
        <v>1200</v>
      </c>
      <c r="F70" s="756">
        <f t="shared" si="3"/>
        <v>2692</v>
      </c>
      <c r="G70" s="773" t="s">
        <v>926</v>
      </c>
      <c r="H70" s="2141"/>
      <c r="I70" s="774"/>
    </row>
    <row r="71" spans="1:11" ht="15" customHeight="1" x14ac:dyDescent="0.2">
      <c r="A71" s="2068"/>
      <c r="B71" s="2149"/>
      <c r="C71" s="775">
        <v>1210</v>
      </c>
      <c r="D71" s="773">
        <f>253+94</f>
        <v>347</v>
      </c>
      <c r="E71" s="758">
        <v>300</v>
      </c>
      <c r="F71" s="756">
        <f t="shared" si="3"/>
        <v>647</v>
      </c>
      <c r="G71" s="773" t="s">
        <v>926</v>
      </c>
      <c r="H71" s="2141"/>
      <c r="I71" s="774"/>
    </row>
    <row r="72" spans="1:11" ht="15" customHeight="1" x14ac:dyDescent="0.2">
      <c r="A72" s="2068"/>
      <c r="B72" s="2149"/>
      <c r="C72" s="775">
        <v>2262</v>
      </c>
      <c r="D72" s="773">
        <v>300</v>
      </c>
      <c r="E72" s="433"/>
      <c r="F72" s="756">
        <f t="shared" si="3"/>
        <v>300</v>
      </c>
      <c r="G72" s="750"/>
      <c r="H72" s="2141"/>
      <c r="I72" s="774"/>
    </row>
    <row r="73" spans="1:11" ht="15" customHeight="1" x14ac:dyDescent="0.2">
      <c r="A73" s="2068"/>
      <c r="B73" s="2149"/>
      <c r="C73" s="775">
        <v>2279</v>
      </c>
      <c r="D73" s="773">
        <v>20</v>
      </c>
      <c r="E73" s="433"/>
      <c r="F73" s="756">
        <f t="shared" si="3"/>
        <v>20</v>
      </c>
      <c r="G73" s="750"/>
      <c r="H73" s="2141"/>
      <c r="I73" s="774"/>
    </row>
    <row r="74" spans="1:11" x14ac:dyDescent="0.2">
      <c r="A74" s="757"/>
      <c r="B74" s="757"/>
      <c r="C74" s="757"/>
      <c r="D74" s="757"/>
      <c r="E74" s="757"/>
      <c r="F74" s="757"/>
      <c r="G74" s="757"/>
      <c r="H74" s="757"/>
      <c r="I74" s="774"/>
    </row>
    <row r="75" spans="1:11" x14ac:dyDescent="0.2">
      <c r="A75" s="747" t="s">
        <v>499</v>
      </c>
      <c r="B75" s="747"/>
      <c r="C75" s="553" t="s">
        <v>879</v>
      </c>
      <c r="D75" s="553"/>
      <c r="E75" s="553"/>
      <c r="F75" s="553"/>
      <c r="G75" s="553"/>
      <c r="H75" s="553"/>
      <c r="I75" s="553"/>
      <c r="J75" s="553"/>
      <c r="K75" s="553"/>
    </row>
    <row r="76" spans="1:11" x14ac:dyDescent="0.2">
      <c r="A76" s="747" t="s">
        <v>500</v>
      </c>
      <c r="B76" s="747"/>
      <c r="C76" s="748" t="s">
        <v>836</v>
      </c>
      <c r="D76" s="748"/>
      <c r="E76" s="748"/>
      <c r="F76" s="748"/>
      <c r="G76" s="748"/>
      <c r="H76" s="748"/>
      <c r="I76" s="553"/>
    </row>
    <row r="77" spans="1:11" ht="12" customHeight="1" x14ac:dyDescent="0.2">
      <c r="A77" s="2145" t="s">
        <v>501</v>
      </c>
      <c r="B77" s="2147" t="s">
        <v>502</v>
      </c>
      <c r="C77" s="2137" t="s">
        <v>503</v>
      </c>
      <c r="D77" s="2139" t="s">
        <v>504</v>
      </c>
      <c r="E77" s="2139" t="s">
        <v>505</v>
      </c>
      <c r="F77" s="2139" t="s">
        <v>506</v>
      </c>
      <c r="G77" s="2139" t="s">
        <v>36</v>
      </c>
      <c r="H77" s="2139" t="s">
        <v>507</v>
      </c>
      <c r="I77" s="553"/>
    </row>
    <row r="78" spans="1:11" ht="38.25" customHeight="1" x14ac:dyDescent="0.2">
      <c r="A78" s="2146"/>
      <c r="B78" s="2148"/>
      <c r="C78" s="2138"/>
      <c r="D78" s="2140"/>
      <c r="E78" s="2140"/>
      <c r="F78" s="2140"/>
      <c r="G78" s="2140"/>
      <c r="H78" s="2140"/>
    </row>
    <row r="79" spans="1:11" s="451" customFormat="1" x14ac:dyDescent="0.2">
      <c r="A79" s="2143" t="s">
        <v>549</v>
      </c>
      <c r="B79" s="2144"/>
      <c r="C79" s="749"/>
      <c r="D79" s="749">
        <f>SUM(D80:D105)</f>
        <v>139946</v>
      </c>
      <c r="E79" s="749">
        <f>SUM(E80:E105)</f>
        <v>-59</v>
      </c>
      <c r="F79" s="749">
        <f t="shared" ref="F79" si="4">SUM(F80:F105)</f>
        <v>139887</v>
      </c>
      <c r="G79" s="750"/>
      <c r="H79" s="751"/>
      <c r="I79" s="401"/>
    </row>
    <row r="80" spans="1:11" ht="12" customHeight="1" x14ac:dyDescent="0.2">
      <c r="A80" s="2071">
        <v>1</v>
      </c>
      <c r="B80" s="2072" t="s">
        <v>927</v>
      </c>
      <c r="C80" s="755">
        <v>2314</v>
      </c>
      <c r="D80" s="776">
        <v>4206</v>
      </c>
      <c r="E80" s="777">
        <f>-600</f>
        <v>-600</v>
      </c>
      <c r="F80" s="756">
        <f t="shared" ref="F80:F103" si="5">SUM(D80:E80)</f>
        <v>3606</v>
      </c>
      <c r="G80" s="564" t="s">
        <v>928</v>
      </c>
      <c r="H80" s="2141" t="s">
        <v>929</v>
      </c>
      <c r="I80" s="774"/>
    </row>
    <row r="81" spans="1:9" ht="12" customHeight="1" x14ac:dyDescent="0.2">
      <c r="A81" s="2071"/>
      <c r="B81" s="2072"/>
      <c r="C81" s="755">
        <v>2363</v>
      </c>
      <c r="D81" s="776">
        <v>100</v>
      </c>
      <c r="E81" s="778"/>
      <c r="F81" s="756">
        <f t="shared" si="5"/>
        <v>100</v>
      </c>
      <c r="G81" s="564"/>
      <c r="H81" s="2141"/>
      <c r="I81" s="774"/>
    </row>
    <row r="82" spans="1:9" ht="12" customHeight="1" x14ac:dyDescent="0.2">
      <c r="A82" s="2071"/>
      <c r="B82" s="2072"/>
      <c r="C82" s="755">
        <v>2231</v>
      </c>
      <c r="D82" s="776">
        <v>3374</v>
      </c>
      <c r="E82" s="777">
        <v>1600</v>
      </c>
      <c r="F82" s="756">
        <f t="shared" si="5"/>
        <v>4974</v>
      </c>
      <c r="G82" s="564" t="s">
        <v>930</v>
      </c>
      <c r="H82" s="2141"/>
      <c r="I82" s="774"/>
    </row>
    <row r="83" spans="1:9" ht="12" customHeight="1" x14ac:dyDescent="0.2">
      <c r="A83" s="2071"/>
      <c r="B83" s="2072"/>
      <c r="C83" s="755">
        <v>1150</v>
      </c>
      <c r="D83" s="776">
        <v>5197</v>
      </c>
      <c r="E83" s="778"/>
      <c r="F83" s="756">
        <f t="shared" si="5"/>
        <v>5197</v>
      </c>
      <c r="G83" s="564"/>
      <c r="H83" s="2141"/>
      <c r="I83" s="774"/>
    </row>
    <row r="84" spans="1:9" ht="12" customHeight="1" x14ac:dyDescent="0.2">
      <c r="A84" s="2071"/>
      <c r="B84" s="2072"/>
      <c r="C84" s="755">
        <v>1210</v>
      </c>
      <c r="D84" s="776">
        <v>768</v>
      </c>
      <c r="E84" s="778"/>
      <c r="F84" s="756">
        <f t="shared" si="5"/>
        <v>768</v>
      </c>
      <c r="G84" s="564"/>
      <c r="H84" s="2141"/>
      <c r="I84" s="774"/>
    </row>
    <row r="85" spans="1:9" ht="12" customHeight="1" x14ac:dyDescent="0.2">
      <c r="A85" s="2071"/>
      <c r="B85" s="2072"/>
      <c r="C85" s="755">
        <v>2279</v>
      </c>
      <c r="D85" s="776">
        <f>6761-544</f>
        <v>6217</v>
      </c>
      <c r="E85" s="777">
        <f>-300-1600-600</f>
        <v>-2500</v>
      </c>
      <c r="F85" s="756">
        <f t="shared" si="5"/>
        <v>3717</v>
      </c>
      <c r="G85" s="564" t="s">
        <v>931</v>
      </c>
      <c r="H85" s="2141"/>
    </row>
    <row r="86" spans="1:9" ht="15" customHeight="1" x14ac:dyDescent="0.2">
      <c r="A86" s="2071"/>
      <c r="B86" s="2072"/>
      <c r="C86" s="755">
        <v>2262</v>
      </c>
      <c r="D86" s="776">
        <v>1220</v>
      </c>
      <c r="E86" s="777">
        <f>300+500</f>
        <v>800</v>
      </c>
      <c r="F86" s="756">
        <f t="shared" si="5"/>
        <v>2020</v>
      </c>
      <c r="G86" s="57" t="s">
        <v>932</v>
      </c>
      <c r="H86" s="2141"/>
    </row>
    <row r="87" spans="1:9" ht="15" customHeight="1" x14ac:dyDescent="0.2">
      <c r="A87" s="2071"/>
      <c r="B87" s="2072"/>
      <c r="C87" s="755">
        <v>2235</v>
      </c>
      <c r="D87" s="776">
        <v>3600</v>
      </c>
      <c r="E87" s="778"/>
      <c r="F87" s="756">
        <f t="shared" si="5"/>
        <v>3600</v>
      </c>
      <c r="G87" s="564"/>
      <c r="H87" s="2141"/>
    </row>
    <row r="88" spans="1:9" ht="15" customHeight="1" x14ac:dyDescent="0.2">
      <c r="A88" s="2071"/>
      <c r="B88" s="2072"/>
      <c r="C88" s="755">
        <v>2121</v>
      </c>
      <c r="D88" s="776">
        <v>0</v>
      </c>
      <c r="E88" s="777">
        <f>1323</f>
        <v>1323</v>
      </c>
      <c r="F88" s="756">
        <f t="shared" si="5"/>
        <v>1323</v>
      </c>
      <c r="G88" s="779" t="s">
        <v>933</v>
      </c>
      <c r="H88" s="2141"/>
    </row>
    <row r="89" spans="1:9" x14ac:dyDescent="0.2">
      <c r="A89" s="2071"/>
      <c r="B89" s="2072"/>
      <c r="C89" s="755">
        <v>2122</v>
      </c>
      <c r="D89" s="776">
        <v>0</v>
      </c>
      <c r="E89" s="777">
        <f>18</f>
        <v>18</v>
      </c>
      <c r="F89" s="756">
        <f t="shared" si="5"/>
        <v>18</v>
      </c>
      <c r="G89" s="779" t="s">
        <v>934</v>
      </c>
      <c r="H89" s="2141"/>
    </row>
    <row r="90" spans="1:9" ht="12" customHeight="1" x14ac:dyDescent="0.2">
      <c r="A90" s="2071">
        <v>2</v>
      </c>
      <c r="B90" s="2072" t="s">
        <v>935</v>
      </c>
      <c r="C90" s="755">
        <v>1150</v>
      </c>
      <c r="D90" s="776">
        <v>300</v>
      </c>
      <c r="E90" s="777">
        <v>-300</v>
      </c>
      <c r="F90" s="756">
        <f t="shared" si="5"/>
        <v>0</v>
      </c>
      <c r="G90" s="564" t="s">
        <v>936</v>
      </c>
      <c r="H90" s="2141" t="s">
        <v>937</v>
      </c>
    </row>
    <row r="91" spans="1:9" ht="12" customHeight="1" x14ac:dyDescent="0.2">
      <c r="A91" s="2071"/>
      <c r="B91" s="2072"/>
      <c r="C91" s="755">
        <v>2231</v>
      </c>
      <c r="D91" s="776">
        <v>1150</v>
      </c>
      <c r="E91" s="778"/>
      <c r="F91" s="756">
        <f t="shared" si="5"/>
        <v>1150</v>
      </c>
      <c r="G91" s="564"/>
      <c r="H91" s="2141"/>
    </row>
    <row r="92" spans="1:9" ht="12" customHeight="1" x14ac:dyDescent="0.2">
      <c r="A92" s="2071"/>
      <c r="B92" s="2072"/>
      <c r="C92" s="755">
        <v>2262</v>
      </c>
      <c r="D92" s="776">
        <v>900</v>
      </c>
      <c r="E92" s="777">
        <v>-362</v>
      </c>
      <c r="F92" s="756">
        <f t="shared" si="5"/>
        <v>538</v>
      </c>
      <c r="G92" s="564" t="s">
        <v>938</v>
      </c>
      <c r="H92" s="2141"/>
    </row>
    <row r="93" spans="1:9" ht="12" customHeight="1" x14ac:dyDescent="0.2">
      <c r="A93" s="2071"/>
      <c r="B93" s="2072"/>
      <c r="C93" s="755">
        <v>2279</v>
      </c>
      <c r="D93" s="776">
        <v>450</v>
      </c>
      <c r="E93" s="778"/>
      <c r="F93" s="756">
        <f t="shared" si="5"/>
        <v>450</v>
      </c>
      <c r="G93" s="564"/>
      <c r="H93" s="2141"/>
    </row>
    <row r="94" spans="1:9" ht="12" customHeight="1" x14ac:dyDescent="0.2">
      <c r="A94" s="2071"/>
      <c r="B94" s="2072"/>
      <c r="C94" s="755">
        <v>2314</v>
      </c>
      <c r="D94" s="776">
        <f>4035-825</f>
        <v>3210</v>
      </c>
      <c r="E94" s="778"/>
      <c r="F94" s="756">
        <f t="shared" si="5"/>
        <v>3210</v>
      </c>
      <c r="G94" s="564"/>
      <c r="H94" s="2141"/>
    </row>
    <row r="95" spans="1:9" ht="12" customHeight="1" x14ac:dyDescent="0.2">
      <c r="A95" s="2071"/>
      <c r="B95" s="2072"/>
      <c r="C95" s="755">
        <v>2363</v>
      </c>
      <c r="D95" s="776">
        <v>850</v>
      </c>
      <c r="E95" s="778"/>
      <c r="F95" s="756">
        <f t="shared" si="5"/>
        <v>850</v>
      </c>
      <c r="G95" s="564"/>
      <c r="H95" s="2141"/>
    </row>
    <row r="96" spans="1:9" ht="12" customHeight="1" x14ac:dyDescent="0.2">
      <c r="A96" s="2071"/>
      <c r="B96" s="2072"/>
      <c r="C96" s="755">
        <v>6422</v>
      </c>
      <c r="D96" s="776">
        <f>24433+825</f>
        <v>25258</v>
      </c>
      <c r="E96" s="778"/>
      <c r="F96" s="756">
        <f t="shared" si="5"/>
        <v>25258</v>
      </c>
      <c r="G96" s="780"/>
      <c r="H96" s="2141"/>
    </row>
    <row r="97" spans="1:9" ht="12" customHeight="1" x14ac:dyDescent="0.2">
      <c r="A97" s="2071">
        <v>3</v>
      </c>
      <c r="B97" s="2072" t="s">
        <v>939</v>
      </c>
      <c r="C97" s="755">
        <v>2314</v>
      </c>
      <c r="D97" s="776">
        <v>530</v>
      </c>
      <c r="E97" s="778"/>
      <c r="F97" s="756">
        <f t="shared" si="5"/>
        <v>530</v>
      </c>
      <c r="G97" s="564"/>
      <c r="H97" s="2141" t="s">
        <v>940</v>
      </c>
    </row>
    <row r="98" spans="1:9" ht="12" customHeight="1" x14ac:dyDescent="0.2">
      <c r="A98" s="2071"/>
      <c r="B98" s="2072"/>
      <c r="C98" s="755">
        <v>2262</v>
      </c>
      <c r="D98" s="776">
        <v>900</v>
      </c>
      <c r="E98" s="777">
        <v>362</v>
      </c>
      <c r="F98" s="756">
        <f t="shared" si="5"/>
        <v>1262</v>
      </c>
      <c r="G98" s="564" t="s">
        <v>941</v>
      </c>
      <c r="H98" s="2141"/>
    </row>
    <row r="99" spans="1:9" ht="12" customHeight="1" x14ac:dyDescent="0.2">
      <c r="A99" s="2071"/>
      <c r="B99" s="2072"/>
      <c r="C99" s="755">
        <v>2279</v>
      </c>
      <c r="D99" s="776">
        <v>75300</v>
      </c>
      <c r="E99" s="777">
        <f>319+300</f>
        <v>619</v>
      </c>
      <c r="F99" s="756">
        <f t="shared" si="5"/>
        <v>75919</v>
      </c>
      <c r="G99" s="604" t="s">
        <v>942</v>
      </c>
      <c r="H99" s="2141"/>
    </row>
    <row r="100" spans="1:9" ht="12" customHeight="1" x14ac:dyDescent="0.2">
      <c r="A100" s="2071"/>
      <c r="B100" s="2072"/>
      <c r="C100" s="755">
        <v>2263</v>
      </c>
      <c r="D100" s="776">
        <v>0</v>
      </c>
      <c r="E100" s="778"/>
      <c r="F100" s="756">
        <f t="shared" si="5"/>
        <v>0</v>
      </c>
      <c r="G100" s="564"/>
      <c r="H100" s="2141"/>
    </row>
    <row r="101" spans="1:9" ht="12" customHeight="1" x14ac:dyDescent="0.2">
      <c r="A101" s="2071"/>
      <c r="B101" s="2072"/>
      <c r="C101" s="755">
        <v>2363</v>
      </c>
      <c r="D101" s="776">
        <v>600</v>
      </c>
      <c r="E101" s="778"/>
      <c r="F101" s="756">
        <f t="shared" si="5"/>
        <v>600</v>
      </c>
      <c r="G101" s="564"/>
      <c r="H101" s="2141"/>
    </row>
    <row r="102" spans="1:9" ht="12" customHeight="1" x14ac:dyDescent="0.2">
      <c r="A102" s="2071"/>
      <c r="B102" s="2072"/>
      <c r="C102" s="755">
        <v>1150</v>
      </c>
      <c r="D102" s="776">
        <f>625-17</f>
        <v>608</v>
      </c>
      <c r="E102" s="777">
        <v>-319</v>
      </c>
      <c r="F102" s="756">
        <f t="shared" si="5"/>
        <v>289</v>
      </c>
      <c r="G102" s="564" t="s">
        <v>943</v>
      </c>
      <c r="H102" s="2141"/>
    </row>
    <row r="103" spans="1:9" ht="12" customHeight="1" x14ac:dyDescent="0.2">
      <c r="A103" s="2071"/>
      <c r="B103" s="2072"/>
      <c r="C103" s="755">
        <v>1210</v>
      </c>
      <c r="D103" s="776">
        <f>53+17</f>
        <v>70</v>
      </c>
      <c r="E103" s="778"/>
      <c r="F103" s="756">
        <f t="shared" si="5"/>
        <v>70</v>
      </c>
      <c r="G103" s="564"/>
      <c r="H103" s="2141"/>
    </row>
    <row r="104" spans="1:9" ht="12" customHeight="1" x14ac:dyDescent="0.2">
      <c r="A104" s="2071">
        <v>4</v>
      </c>
      <c r="B104" s="2061" t="s">
        <v>944</v>
      </c>
      <c r="C104" s="755">
        <v>1150</v>
      </c>
      <c r="D104" s="564">
        <v>4140</v>
      </c>
      <c r="E104" s="777">
        <v>-500</v>
      </c>
      <c r="F104" s="756">
        <f t="shared" ref="F104:F105" si="6">SUM(D104:E104)</f>
        <v>3640</v>
      </c>
      <c r="G104" s="564" t="s">
        <v>945</v>
      </c>
      <c r="H104" s="2141" t="s">
        <v>946</v>
      </c>
    </row>
    <row r="105" spans="1:9" ht="12" customHeight="1" x14ac:dyDescent="0.2">
      <c r="A105" s="2071"/>
      <c r="B105" s="2061"/>
      <c r="C105" s="755">
        <v>1210</v>
      </c>
      <c r="D105" s="564">
        <v>998</v>
      </c>
      <c r="E105" s="777">
        <v>-200</v>
      </c>
      <c r="F105" s="756">
        <f t="shared" si="6"/>
        <v>798</v>
      </c>
      <c r="G105" s="564" t="s">
        <v>945</v>
      </c>
      <c r="H105" s="2141"/>
    </row>
    <row r="108" spans="1:9" x14ac:dyDescent="0.2">
      <c r="A108" s="2142" t="s">
        <v>10</v>
      </c>
      <c r="B108" s="2142"/>
      <c r="C108" s="781" t="s">
        <v>947</v>
      </c>
      <c r="D108" s="781"/>
      <c r="E108" s="781"/>
      <c r="F108" s="781"/>
      <c r="G108" s="781"/>
      <c r="H108" s="781"/>
      <c r="I108" s="781"/>
    </row>
    <row r="109" spans="1:9" x14ac:dyDescent="0.2">
      <c r="A109" s="782" t="s">
        <v>500</v>
      </c>
      <c r="B109" s="783"/>
      <c r="C109" s="784" t="s">
        <v>853</v>
      </c>
      <c r="D109" s="784"/>
      <c r="E109" s="784"/>
      <c r="F109" s="784"/>
      <c r="G109" s="785"/>
      <c r="H109" s="785"/>
      <c r="I109" s="781"/>
    </row>
    <row r="110" spans="1:9" ht="12" customHeight="1" x14ac:dyDescent="0.2">
      <c r="A110" s="2068" t="s">
        <v>501</v>
      </c>
      <c r="B110" s="2068" t="s">
        <v>502</v>
      </c>
      <c r="C110" s="2055" t="s">
        <v>503</v>
      </c>
      <c r="D110" s="2069" t="s">
        <v>504</v>
      </c>
      <c r="E110" s="2069" t="s">
        <v>505</v>
      </c>
      <c r="F110" s="2069" t="s">
        <v>506</v>
      </c>
      <c r="G110" s="2139" t="s">
        <v>36</v>
      </c>
      <c r="H110" s="2139" t="s">
        <v>507</v>
      </c>
      <c r="I110" s="553"/>
    </row>
    <row r="111" spans="1:9" ht="38.25" customHeight="1" x14ac:dyDescent="0.2">
      <c r="A111" s="2068"/>
      <c r="B111" s="2068"/>
      <c r="C111" s="2055"/>
      <c r="D111" s="2069"/>
      <c r="E111" s="2069"/>
      <c r="F111" s="2069"/>
      <c r="G111" s="2140"/>
      <c r="H111" s="2140"/>
    </row>
    <row r="112" spans="1:9" x14ac:dyDescent="0.2">
      <c r="A112" s="2132" t="s">
        <v>549</v>
      </c>
      <c r="B112" s="2132"/>
      <c r="C112" s="762"/>
      <c r="D112" s="762">
        <f>D113+D114</f>
        <v>8323</v>
      </c>
      <c r="E112" s="762">
        <f t="shared" ref="E112:F112" si="7">E113+E114</f>
        <v>0</v>
      </c>
      <c r="F112" s="762">
        <f t="shared" si="7"/>
        <v>8323</v>
      </c>
      <c r="G112" s="778"/>
      <c r="H112" s="778"/>
      <c r="I112" s="781"/>
    </row>
    <row r="113" spans="1:13" x14ac:dyDescent="0.2">
      <c r="A113" s="586">
        <v>1</v>
      </c>
      <c r="B113" s="787" t="s">
        <v>948</v>
      </c>
      <c r="C113" s="562">
        <v>2370</v>
      </c>
      <c r="D113" s="776">
        <v>350</v>
      </c>
      <c r="E113" s="776"/>
      <c r="F113" s="756">
        <f t="shared" ref="F113:F114" si="8">SUM(D113:E113)</f>
        <v>350</v>
      </c>
      <c r="G113" s="562"/>
      <c r="H113" s="2134" t="s">
        <v>949</v>
      </c>
    </row>
    <row r="114" spans="1:13" x14ac:dyDescent="0.2">
      <c r="A114" s="586">
        <v>2</v>
      </c>
      <c r="B114" s="788" t="s">
        <v>950</v>
      </c>
      <c r="C114" s="562">
        <v>2239</v>
      </c>
      <c r="D114" s="789">
        <v>7973</v>
      </c>
      <c r="E114" s="789"/>
      <c r="F114" s="756">
        <f t="shared" si="8"/>
        <v>7973</v>
      </c>
      <c r="G114" s="562"/>
      <c r="H114" s="2135"/>
    </row>
    <row r="117" spans="1:13" x14ac:dyDescent="0.2">
      <c r="A117" s="2136" t="s">
        <v>499</v>
      </c>
      <c r="B117" s="2136"/>
      <c r="C117" s="553" t="s">
        <v>951</v>
      </c>
      <c r="D117" s="553"/>
      <c r="E117" s="553"/>
      <c r="F117" s="553"/>
      <c r="G117" s="553"/>
      <c r="H117" s="553"/>
      <c r="I117" s="553"/>
    </row>
    <row r="118" spans="1:13" x14ac:dyDescent="0.2">
      <c r="A118" s="782" t="s">
        <v>500</v>
      </c>
      <c r="B118" s="553"/>
      <c r="C118" s="790" t="s">
        <v>952</v>
      </c>
      <c r="D118" s="790"/>
      <c r="E118" s="790"/>
      <c r="F118" s="790"/>
      <c r="G118" s="790"/>
      <c r="H118" s="790"/>
      <c r="I118" s="553"/>
    </row>
    <row r="119" spans="1:13" ht="12" customHeight="1" x14ac:dyDescent="0.2">
      <c r="A119" s="2068" t="s">
        <v>501</v>
      </c>
      <c r="B119" s="2068" t="s">
        <v>502</v>
      </c>
      <c r="C119" s="2137" t="s">
        <v>503</v>
      </c>
      <c r="D119" s="2139" t="s">
        <v>504</v>
      </c>
      <c r="E119" s="2139" t="s">
        <v>505</v>
      </c>
      <c r="F119" s="2139" t="s">
        <v>506</v>
      </c>
      <c r="G119" s="2139" t="s">
        <v>36</v>
      </c>
      <c r="H119" s="2139" t="s">
        <v>507</v>
      </c>
      <c r="I119" s="553"/>
    </row>
    <row r="120" spans="1:13" ht="38.25" customHeight="1" x14ac:dyDescent="0.2">
      <c r="A120" s="2068"/>
      <c r="B120" s="2068"/>
      <c r="C120" s="2138"/>
      <c r="D120" s="2140"/>
      <c r="E120" s="2140"/>
      <c r="F120" s="2140"/>
      <c r="G120" s="2140"/>
      <c r="H120" s="2140"/>
    </row>
    <row r="121" spans="1:13" x14ac:dyDescent="0.2">
      <c r="A121" s="2132" t="s">
        <v>549</v>
      </c>
      <c r="B121" s="2132"/>
      <c r="C121" s="762"/>
      <c r="D121" s="762">
        <f>D122</f>
        <v>215134</v>
      </c>
      <c r="E121" s="762">
        <f t="shared" ref="E121" si="9">E122</f>
        <v>0</v>
      </c>
      <c r="F121" s="762">
        <f>F122</f>
        <v>215134</v>
      </c>
      <c r="G121" s="778"/>
      <c r="H121" s="778"/>
      <c r="I121" s="781"/>
    </row>
    <row r="122" spans="1:13" ht="24" x14ac:dyDescent="0.2">
      <c r="A122" s="791">
        <v>1</v>
      </c>
      <c r="B122" s="788" t="s">
        <v>953</v>
      </c>
      <c r="C122" s="562">
        <v>3262</v>
      </c>
      <c r="D122" s="792">
        <f>160000+55134</f>
        <v>215134</v>
      </c>
      <c r="E122" s="792"/>
      <c r="F122" s="756">
        <f t="shared" ref="F122" si="10">SUM(D122:E122)</f>
        <v>215134</v>
      </c>
      <c r="G122" s="563"/>
      <c r="H122" s="793" t="s">
        <v>949</v>
      </c>
    </row>
    <row r="123" spans="1:13" x14ac:dyDescent="0.2">
      <c r="A123" s="1209"/>
      <c r="B123" s="1077"/>
      <c r="C123" s="1187"/>
      <c r="D123" s="931"/>
      <c r="E123" s="931"/>
      <c r="F123" s="966"/>
      <c r="G123" s="916"/>
      <c r="H123" s="1210"/>
    </row>
    <row r="125" spans="1:13" x14ac:dyDescent="0.2">
      <c r="A125" s="553" t="s">
        <v>570</v>
      </c>
      <c r="B125" s="553"/>
      <c r="C125" s="794"/>
      <c r="D125" s="794"/>
      <c r="E125" s="794"/>
      <c r="F125" s="794"/>
      <c r="G125" s="451"/>
      <c r="H125" s="795"/>
      <c r="I125" s="796"/>
      <c r="J125" s="451"/>
      <c r="K125" s="451"/>
      <c r="L125" s="451"/>
      <c r="M125" s="451"/>
    </row>
    <row r="126" spans="1:13" x14ac:dyDescent="0.2">
      <c r="A126" s="553" t="s">
        <v>807</v>
      </c>
      <c r="B126" s="553"/>
      <c r="C126" s="553"/>
      <c r="D126" s="794"/>
      <c r="E126" s="794"/>
      <c r="F126" s="794"/>
      <c r="G126" s="794"/>
      <c r="H126" s="451"/>
      <c r="I126" s="795"/>
      <c r="J126" s="451"/>
      <c r="K126" s="451"/>
      <c r="L126" s="451"/>
      <c r="M126" s="451"/>
    </row>
    <row r="127" spans="1:13" x14ac:dyDescent="0.2">
      <c r="A127" s="797" t="s">
        <v>954</v>
      </c>
      <c r="B127" s="774"/>
      <c r="C127" s="798"/>
      <c r="D127" s="794"/>
      <c r="E127" s="794"/>
      <c r="F127" s="794"/>
      <c r="G127" s="794"/>
      <c r="H127" s="451"/>
      <c r="I127" s="795"/>
      <c r="J127" s="451"/>
      <c r="K127" s="451"/>
      <c r="L127" s="451"/>
      <c r="M127" s="451"/>
    </row>
    <row r="128" spans="1:13" x14ac:dyDescent="0.2">
      <c r="A128" s="774" t="s">
        <v>955</v>
      </c>
      <c r="B128" s="798"/>
      <c r="C128" s="794"/>
      <c r="D128" s="794"/>
      <c r="E128" s="794"/>
      <c r="F128" s="794"/>
      <c r="G128" s="794"/>
      <c r="H128" s="451"/>
      <c r="I128" s="795"/>
      <c r="J128" s="451"/>
      <c r="K128" s="451"/>
      <c r="L128" s="451"/>
      <c r="M128" s="451"/>
    </row>
    <row r="129" spans="1:13" x14ac:dyDescent="0.2">
      <c r="A129" s="774" t="s">
        <v>956</v>
      </c>
      <c r="B129" s="798"/>
      <c r="C129" s="794"/>
      <c r="D129" s="794"/>
      <c r="E129" s="794"/>
      <c r="F129" s="794"/>
      <c r="G129" s="794"/>
      <c r="H129" s="451"/>
      <c r="I129" s="795"/>
      <c r="J129" s="451"/>
      <c r="K129" s="451"/>
      <c r="L129" s="451"/>
      <c r="M129" s="451"/>
    </row>
    <row r="130" spans="1:13" x14ac:dyDescent="0.2">
      <c r="A130" s="757"/>
      <c r="B130" s="799" t="s">
        <v>957</v>
      </c>
      <c r="C130" s="800"/>
      <c r="D130" s="800"/>
      <c r="E130" s="800"/>
      <c r="F130" s="800"/>
      <c r="G130" s="800"/>
      <c r="H130" s="801"/>
      <c r="I130" s="802"/>
      <c r="J130" s="801"/>
      <c r="K130" s="801"/>
      <c r="L130" s="801"/>
      <c r="M130" s="801"/>
    </row>
    <row r="131" spans="1:13" x14ac:dyDescent="0.2">
      <c r="A131" s="757" t="s">
        <v>958</v>
      </c>
      <c r="B131" s="799"/>
      <c r="C131" s="800"/>
      <c r="D131" s="800"/>
      <c r="E131" s="800"/>
      <c r="F131" s="800"/>
      <c r="G131" s="800"/>
      <c r="H131" s="801"/>
      <c r="I131" s="802"/>
      <c r="J131" s="801"/>
      <c r="K131" s="801"/>
      <c r="L131" s="801"/>
      <c r="M131" s="801"/>
    </row>
    <row r="132" spans="1:13" x14ac:dyDescent="0.2">
      <c r="A132" s="757" t="s">
        <v>959</v>
      </c>
      <c r="B132" s="799"/>
      <c r="C132" s="800"/>
      <c r="D132" s="800"/>
      <c r="E132" s="800"/>
      <c r="F132" s="800"/>
      <c r="G132" s="800"/>
      <c r="H132" s="801"/>
      <c r="I132" s="802"/>
      <c r="J132" s="801"/>
      <c r="K132" s="801"/>
      <c r="L132" s="801"/>
      <c r="M132" s="801"/>
    </row>
    <row r="133" spans="1:13" x14ac:dyDescent="0.2">
      <c r="A133" s="757"/>
      <c r="B133" s="799" t="s">
        <v>960</v>
      </c>
      <c r="C133" s="800"/>
      <c r="D133" s="800"/>
      <c r="E133" s="800"/>
      <c r="F133" s="800"/>
      <c r="G133" s="800"/>
      <c r="H133" s="801"/>
      <c r="I133" s="802"/>
      <c r="J133" s="801"/>
      <c r="K133" s="801"/>
      <c r="L133" s="801"/>
      <c r="M133" s="801"/>
    </row>
    <row r="134" spans="1:13" x14ac:dyDescent="0.2">
      <c r="A134" s="757"/>
      <c r="B134" s="799" t="s">
        <v>961</v>
      </c>
      <c r="C134" s="800"/>
      <c r="D134" s="800"/>
      <c r="E134" s="800"/>
      <c r="F134" s="800"/>
      <c r="G134" s="800"/>
      <c r="H134" s="801"/>
      <c r="I134" s="802"/>
      <c r="J134" s="801"/>
      <c r="K134" s="801"/>
      <c r="L134" s="801"/>
      <c r="M134" s="801"/>
    </row>
    <row r="135" spans="1:13" x14ac:dyDescent="0.2">
      <c r="A135" s="757" t="s">
        <v>962</v>
      </c>
      <c r="B135" s="799"/>
      <c r="C135" s="800"/>
      <c r="D135" s="800"/>
      <c r="E135" s="800"/>
      <c r="F135" s="800"/>
      <c r="G135" s="800"/>
      <c r="H135" s="801"/>
      <c r="I135" s="802"/>
      <c r="J135" s="801"/>
      <c r="K135" s="801"/>
      <c r="L135" s="801"/>
      <c r="M135" s="801"/>
    </row>
    <row r="136" spans="1:13" x14ac:dyDescent="0.2">
      <c r="A136" s="757"/>
      <c r="B136" s="799" t="s">
        <v>963</v>
      </c>
      <c r="C136" s="800"/>
      <c r="D136" s="800"/>
      <c r="E136" s="800"/>
      <c r="F136" s="800"/>
      <c r="G136" s="800"/>
      <c r="H136" s="801"/>
      <c r="I136" s="802"/>
      <c r="J136" s="801"/>
      <c r="K136" s="801"/>
      <c r="L136" s="801"/>
      <c r="M136" s="801"/>
    </row>
    <row r="137" spans="1:13" x14ac:dyDescent="0.2">
      <c r="A137" s="757"/>
      <c r="B137" s="799" t="s">
        <v>964</v>
      </c>
      <c r="C137" s="800"/>
      <c r="D137" s="800"/>
      <c r="E137" s="800"/>
      <c r="F137" s="800"/>
      <c r="G137" s="800"/>
      <c r="H137" s="801"/>
      <c r="I137" s="802"/>
      <c r="J137" s="801"/>
      <c r="K137" s="801"/>
      <c r="L137" s="801"/>
      <c r="M137" s="801"/>
    </row>
    <row r="138" spans="1:13" x14ac:dyDescent="0.2">
      <c r="A138" s="757" t="s">
        <v>965</v>
      </c>
      <c r="B138" s="798"/>
      <c r="C138" s="800"/>
      <c r="D138" s="800"/>
      <c r="E138" s="800"/>
      <c r="F138" s="800"/>
      <c r="G138" s="800"/>
      <c r="H138" s="801"/>
      <c r="I138" s="802"/>
      <c r="J138" s="801"/>
      <c r="K138" s="801"/>
      <c r="L138" s="801"/>
      <c r="M138" s="801"/>
    </row>
    <row r="139" spans="1:13" x14ac:dyDescent="0.2">
      <c r="A139" s="803"/>
      <c r="B139" s="757" t="s">
        <v>966</v>
      </c>
      <c r="C139" s="800"/>
      <c r="D139" s="800"/>
      <c r="E139" s="800"/>
      <c r="F139" s="800"/>
      <c r="G139" s="800"/>
      <c r="H139" s="801"/>
      <c r="I139" s="802"/>
      <c r="J139" s="801"/>
      <c r="K139" s="801"/>
      <c r="L139" s="801"/>
      <c r="M139" s="801"/>
    </row>
    <row r="140" spans="1:13" x14ac:dyDescent="0.2">
      <c r="A140" s="757"/>
      <c r="B140" s="757" t="s">
        <v>967</v>
      </c>
      <c r="C140" s="800"/>
      <c r="D140" s="800"/>
      <c r="E140" s="800"/>
      <c r="F140" s="800"/>
      <c r="G140" s="800"/>
      <c r="H140" s="801"/>
      <c r="I140" s="802"/>
      <c r="J140" s="801"/>
      <c r="K140" s="801"/>
      <c r="L140" s="801"/>
      <c r="M140" s="801"/>
    </row>
    <row r="141" spans="1:13" x14ac:dyDescent="0.2">
      <c r="A141" s="798"/>
      <c r="B141" s="757" t="s">
        <v>968</v>
      </c>
      <c r="C141" s="800"/>
      <c r="D141" s="800"/>
      <c r="E141" s="800"/>
      <c r="F141" s="800"/>
      <c r="G141" s="800"/>
      <c r="H141" s="801"/>
      <c r="I141" s="802"/>
      <c r="J141" s="801"/>
      <c r="K141" s="801"/>
      <c r="L141" s="801"/>
      <c r="M141" s="801"/>
    </row>
    <row r="142" spans="1:13" x14ac:dyDescent="0.2">
      <c r="A142" s="799" t="s">
        <v>969</v>
      </c>
      <c r="B142" s="757"/>
      <c r="C142" s="800"/>
      <c r="D142" s="800"/>
      <c r="E142" s="800"/>
      <c r="F142" s="800"/>
      <c r="G142" s="800"/>
      <c r="H142" s="801"/>
      <c r="I142" s="802"/>
      <c r="J142" s="801"/>
      <c r="K142" s="801"/>
      <c r="L142" s="801"/>
      <c r="M142" s="801"/>
    </row>
    <row r="143" spans="1:13" x14ac:dyDescent="0.2">
      <c r="A143" s="798"/>
      <c r="B143" s="757" t="s">
        <v>970</v>
      </c>
      <c r="C143" s="800"/>
      <c r="D143" s="800"/>
      <c r="E143" s="800"/>
      <c r="F143" s="800"/>
      <c r="G143" s="800"/>
      <c r="H143" s="801"/>
      <c r="I143" s="802"/>
      <c r="J143" s="801"/>
      <c r="K143" s="801"/>
      <c r="L143" s="801"/>
      <c r="M143" s="801"/>
    </row>
    <row r="144" spans="1:13" x14ac:dyDescent="0.2">
      <c r="A144" s="803"/>
      <c r="B144" s="798"/>
      <c r="C144" s="757"/>
      <c r="D144" s="800"/>
      <c r="E144" s="800"/>
      <c r="F144" s="800"/>
      <c r="G144" s="800"/>
      <c r="H144" s="801"/>
      <c r="I144" s="802"/>
      <c r="J144" s="801"/>
      <c r="K144" s="801"/>
      <c r="L144" s="801"/>
      <c r="M144" s="801"/>
    </row>
    <row r="145" spans="1:13" x14ac:dyDescent="0.2">
      <c r="A145" s="804" t="s">
        <v>971</v>
      </c>
      <c r="B145" s="803"/>
      <c r="C145" s="799"/>
      <c r="D145" s="799"/>
      <c r="E145" s="800"/>
      <c r="F145" s="800"/>
      <c r="G145" s="800"/>
      <c r="H145" s="801"/>
      <c r="I145" s="802"/>
      <c r="J145" s="801"/>
      <c r="K145" s="801"/>
      <c r="L145" s="801"/>
      <c r="M145" s="801"/>
    </row>
    <row r="146" spans="1:13" ht="12.75" x14ac:dyDescent="0.2">
      <c r="A146" s="757" t="s">
        <v>959</v>
      </c>
      <c r="B146" s="803"/>
      <c r="C146" s="799"/>
      <c r="D146" s="800"/>
      <c r="E146" s="805"/>
      <c r="F146" s="805"/>
      <c r="G146" s="800"/>
      <c r="H146" s="801"/>
      <c r="I146" s="802"/>
      <c r="J146" s="801"/>
      <c r="K146" s="801"/>
      <c r="L146" s="801"/>
      <c r="M146" s="801"/>
    </row>
    <row r="147" spans="1:13" x14ac:dyDescent="0.2">
      <c r="A147" s="451"/>
      <c r="B147" s="799" t="s">
        <v>972</v>
      </c>
      <c r="C147" s="798"/>
      <c r="D147" s="798"/>
      <c r="E147" s="798"/>
      <c r="F147" s="798"/>
      <c r="G147" s="798"/>
      <c r="H147" s="798"/>
      <c r="I147" s="798"/>
      <c r="J147" s="801"/>
      <c r="K147" s="801"/>
      <c r="L147" s="801"/>
      <c r="M147" s="801"/>
    </row>
    <row r="148" spans="1:13" x14ac:dyDescent="0.2">
      <c r="A148" s="757" t="s">
        <v>962</v>
      </c>
      <c r="B148" s="803"/>
      <c r="C148" s="799"/>
      <c r="D148" s="800"/>
      <c r="E148" s="800"/>
      <c r="F148" s="806"/>
      <c r="G148" s="806"/>
      <c r="H148" s="807"/>
      <c r="I148" s="807"/>
      <c r="J148" s="801"/>
      <c r="K148" s="801"/>
      <c r="L148" s="801"/>
      <c r="M148" s="801"/>
    </row>
    <row r="149" spans="1:13" x14ac:dyDescent="0.2">
      <c r="A149" s="451"/>
      <c r="B149" s="799" t="s">
        <v>973</v>
      </c>
      <c r="C149" s="798"/>
      <c r="D149" s="798"/>
      <c r="E149" s="798"/>
      <c r="F149" s="800"/>
      <c r="G149" s="800"/>
      <c r="H149" s="801"/>
      <c r="I149" s="802"/>
      <c r="J149" s="801"/>
      <c r="K149" s="801"/>
      <c r="L149" s="801"/>
      <c r="M149" s="801"/>
    </row>
    <row r="150" spans="1:13" x14ac:dyDescent="0.2">
      <c r="A150" s="803"/>
      <c r="B150" s="807"/>
      <c r="C150" s="807"/>
      <c r="D150" s="806"/>
      <c r="E150" s="806"/>
      <c r="F150" s="800"/>
      <c r="G150" s="800"/>
      <c r="H150" s="801"/>
      <c r="I150" s="802"/>
      <c r="J150" s="801"/>
      <c r="K150" s="801"/>
      <c r="L150" s="801"/>
      <c r="M150" s="801"/>
    </row>
    <row r="151" spans="1:13" x14ac:dyDescent="0.2">
      <c r="A151" s="804" t="s">
        <v>974</v>
      </c>
      <c r="B151" s="799"/>
      <c r="C151" s="799"/>
      <c r="D151" s="799"/>
      <c r="E151" s="799"/>
      <c r="F151" s="799"/>
      <c r="G151" s="799"/>
      <c r="H151" s="802"/>
      <c r="I151" s="808"/>
      <c r="J151" s="801"/>
      <c r="K151" s="801"/>
      <c r="L151" s="801"/>
      <c r="M151" s="801"/>
    </row>
    <row r="152" spans="1:13" x14ac:dyDescent="0.2">
      <c r="A152" s="799" t="s">
        <v>975</v>
      </c>
      <c r="B152" s="799"/>
      <c r="C152" s="799"/>
      <c r="D152" s="799"/>
      <c r="E152" s="799"/>
      <c r="F152" s="799"/>
      <c r="G152" s="799"/>
      <c r="H152" s="802"/>
      <c r="I152" s="808"/>
      <c r="J152" s="801"/>
      <c r="K152" s="801"/>
      <c r="L152" s="801"/>
      <c r="M152" s="801"/>
    </row>
    <row r="153" spans="1:13" x14ac:dyDescent="0.2">
      <c r="A153" s="799" t="s">
        <v>976</v>
      </c>
      <c r="B153" s="799"/>
      <c r="C153" s="799"/>
      <c r="D153" s="799"/>
      <c r="E153" s="799"/>
      <c r="F153" s="799"/>
      <c r="G153" s="799"/>
      <c r="H153" s="809"/>
      <c r="I153" s="808"/>
      <c r="J153" s="801"/>
      <c r="K153" s="801"/>
      <c r="L153" s="801"/>
      <c r="M153" s="801"/>
    </row>
    <row r="154" spans="1:13" x14ac:dyDescent="0.2">
      <c r="A154" s="810"/>
      <c r="B154" s="799" t="s">
        <v>977</v>
      </c>
      <c r="C154" s="799"/>
      <c r="D154" s="799"/>
      <c r="E154" s="799"/>
      <c r="F154" s="799"/>
      <c r="G154" s="799"/>
      <c r="H154" s="799"/>
      <c r="I154" s="808"/>
      <c r="J154" s="801"/>
      <c r="K154" s="801"/>
      <c r="L154" s="801"/>
      <c r="M154" s="801"/>
    </row>
    <row r="155" spans="1:13" x14ac:dyDescent="0.2">
      <c r="A155" s="810"/>
      <c r="B155" s="799" t="s">
        <v>978</v>
      </c>
      <c r="C155" s="799"/>
      <c r="D155" s="799"/>
      <c r="E155" s="799"/>
      <c r="F155" s="799"/>
      <c r="G155" s="799"/>
      <c r="H155" s="799"/>
      <c r="I155" s="808"/>
      <c r="J155" s="801"/>
      <c r="K155" s="801"/>
      <c r="L155" s="801"/>
      <c r="M155" s="801"/>
    </row>
    <row r="156" spans="1:13" x14ac:dyDescent="0.2">
      <c r="A156" s="803"/>
      <c r="B156" s="803"/>
      <c r="C156" s="811"/>
      <c r="D156" s="811"/>
      <c r="E156" s="811"/>
      <c r="F156" s="811"/>
      <c r="G156" s="811"/>
      <c r="H156" s="811"/>
      <c r="I156" s="811"/>
      <c r="J156" s="801"/>
      <c r="K156" s="801"/>
      <c r="L156" s="801"/>
      <c r="M156" s="801"/>
    </row>
    <row r="157" spans="1:13" x14ac:dyDescent="0.2">
      <c r="A157" s="812" t="s">
        <v>979</v>
      </c>
      <c r="B157" s="807"/>
      <c r="C157" s="807"/>
      <c r="D157" s="806"/>
      <c r="E157" s="806"/>
      <c r="F157" s="806"/>
      <c r="G157" s="811"/>
      <c r="H157" s="811"/>
      <c r="I157" s="811"/>
      <c r="J157" s="801"/>
      <c r="K157" s="801"/>
      <c r="L157" s="801"/>
      <c r="M157" s="801"/>
    </row>
    <row r="158" spans="1:13" x14ac:dyDescent="0.2">
      <c r="A158" s="810" t="s">
        <v>980</v>
      </c>
      <c r="B158" s="451"/>
      <c r="C158" s="807"/>
      <c r="D158" s="807"/>
      <c r="E158" s="807"/>
      <c r="F158" s="807"/>
      <c r="G158" s="811"/>
      <c r="H158" s="811"/>
      <c r="I158" s="811"/>
      <c r="J158" s="801"/>
      <c r="K158" s="801"/>
      <c r="L158" s="801"/>
      <c r="M158" s="801"/>
    </row>
    <row r="159" spans="1:13" x14ac:dyDescent="0.2">
      <c r="A159" s="803"/>
      <c r="B159" s="757" t="s">
        <v>981</v>
      </c>
      <c r="C159" s="813"/>
      <c r="D159" s="813"/>
      <c r="E159" s="813"/>
      <c r="F159" s="813"/>
      <c r="G159" s="811"/>
      <c r="H159" s="811"/>
      <c r="I159" s="811"/>
      <c r="J159" s="801"/>
      <c r="K159" s="801"/>
      <c r="L159" s="801"/>
      <c r="M159" s="801"/>
    </row>
    <row r="160" spans="1:13" x14ac:dyDescent="0.2">
      <c r="A160" s="803"/>
      <c r="B160" s="810" t="s">
        <v>982</v>
      </c>
      <c r="C160" s="813"/>
      <c r="D160" s="813"/>
      <c r="E160" s="813"/>
      <c r="F160" s="813"/>
      <c r="G160" s="811"/>
      <c r="H160" s="811"/>
      <c r="I160" s="811"/>
      <c r="J160" s="801"/>
      <c r="K160" s="801"/>
      <c r="L160" s="801"/>
      <c r="M160" s="801"/>
    </row>
    <row r="161" spans="1:13" x14ac:dyDescent="0.2">
      <c r="A161" s="803"/>
      <c r="B161" s="798"/>
      <c r="C161" s="801"/>
      <c r="D161" s="800"/>
      <c r="E161" s="800"/>
      <c r="F161" s="800"/>
      <c r="G161" s="800"/>
      <c r="H161" s="801"/>
      <c r="I161" s="802"/>
      <c r="J161" s="801"/>
      <c r="K161" s="801"/>
      <c r="L161" s="801"/>
      <c r="M161" s="801"/>
    </row>
    <row r="162" spans="1:13" x14ac:dyDescent="0.2">
      <c r="A162" s="812" t="s">
        <v>983</v>
      </c>
      <c r="B162" s="803"/>
      <c r="C162" s="803"/>
      <c r="D162" s="800"/>
      <c r="E162" s="800"/>
      <c r="F162" s="800"/>
      <c r="G162" s="800"/>
      <c r="H162" s="801"/>
      <c r="I162" s="814"/>
      <c r="J162" s="801"/>
      <c r="K162" s="801"/>
      <c r="L162" s="801"/>
      <c r="M162" s="801"/>
    </row>
    <row r="163" spans="1:13" ht="15" x14ac:dyDescent="0.2">
      <c r="A163" s="803" t="s">
        <v>984</v>
      </c>
      <c r="B163" s="451"/>
      <c r="C163" s="815"/>
      <c r="D163" s="816"/>
      <c r="E163" s="816"/>
      <c r="F163" s="816"/>
      <c r="G163" s="800"/>
      <c r="H163" s="817"/>
      <c r="I163" s="814"/>
      <c r="J163" s="801"/>
      <c r="K163" s="801"/>
      <c r="L163" s="801"/>
      <c r="M163" s="801"/>
    </row>
    <row r="164" spans="1:13" x14ac:dyDescent="0.2">
      <c r="A164" s="803"/>
      <c r="B164" s="803" t="s">
        <v>985</v>
      </c>
      <c r="C164" s="815"/>
      <c r="D164" s="818"/>
      <c r="E164" s="818"/>
      <c r="F164" s="818"/>
      <c r="G164" s="818"/>
      <c r="H164" s="817"/>
      <c r="I164" s="814"/>
      <c r="J164" s="801"/>
      <c r="K164" s="801"/>
      <c r="L164" s="801"/>
      <c r="M164" s="801"/>
    </row>
    <row r="165" spans="1:13" x14ac:dyDescent="0.2">
      <c r="A165" s="803"/>
      <c r="B165" s="803" t="s">
        <v>986</v>
      </c>
      <c r="C165" s="815"/>
      <c r="D165" s="818"/>
      <c r="E165" s="818"/>
      <c r="F165" s="818"/>
      <c r="G165" s="818"/>
      <c r="H165" s="817"/>
      <c r="I165" s="802"/>
      <c r="J165" s="801"/>
      <c r="K165" s="801"/>
      <c r="L165" s="801"/>
      <c r="M165" s="801"/>
    </row>
    <row r="166" spans="1:13" x14ac:dyDescent="0.2">
      <c r="A166" s="803"/>
      <c r="B166" s="803"/>
      <c r="C166" s="815"/>
      <c r="D166" s="818"/>
      <c r="E166" s="818"/>
      <c r="F166" s="818"/>
      <c r="G166" s="818"/>
      <c r="H166" s="817"/>
      <c r="I166" s="802"/>
      <c r="J166" s="801"/>
      <c r="K166" s="801"/>
      <c r="L166" s="801"/>
      <c r="M166" s="801"/>
    </row>
    <row r="167" spans="1:13" x14ac:dyDescent="0.2">
      <c r="A167" s="819" t="s">
        <v>987</v>
      </c>
      <c r="B167" s="801"/>
      <c r="C167" s="803"/>
      <c r="D167" s="800"/>
      <c r="E167" s="800"/>
      <c r="F167" s="800"/>
      <c r="G167" s="800"/>
      <c r="H167" s="801"/>
      <c r="I167" s="802"/>
      <c r="J167" s="801"/>
      <c r="K167" s="801"/>
      <c r="L167" s="801"/>
      <c r="M167" s="801"/>
    </row>
    <row r="168" spans="1:13" x14ac:dyDescent="0.2">
      <c r="A168" s="2133" t="s">
        <v>988</v>
      </c>
      <c r="B168" s="2133"/>
      <c r="C168" s="2133"/>
      <c r="D168" s="2133"/>
      <c r="E168" s="2133"/>
      <c r="F168" s="2133"/>
      <c r="G168" s="2133"/>
      <c r="H168" s="2133"/>
      <c r="I168" s="803"/>
      <c r="J168" s="803"/>
      <c r="K168" s="803"/>
      <c r="L168" s="803"/>
      <c r="M168" s="803"/>
    </row>
    <row r="169" spans="1:13" ht="27.75" customHeight="1" x14ac:dyDescent="0.2">
      <c r="A169" s="2133" t="s">
        <v>989</v>
      </c>
      <c r="B169" s="2133"/>
      <c r="C169" s="2133"/>
      <c r="D169" s="2133"/>
      <c r="E169" s="2133"/>
      <c r="F169" s="2133"/>
      <c r="G169" s="2133"/>
      <c r="H169" s="2133"/>
      <c r="I169" s="2133"/>
      <c r="J169" s="2133"/>
      <c r="K169" s="2133"/>
      <c r="L169" s="2133"/>
      <c r="M169" s="820"/>
    </row>
    <row r="172" spans="1:13" ht="12.75" x14ac:dyDescent="0.2">
      <c r="A172" s="821"/>
    </row>
  </sheetData>
  <sheetProtection algorithmName="SHA-512" hashValue="t29SbkgImXicvBihrkMsFa8C9m6gGV35I4sn0EJ2ZbaRiCzhrVhaDMIGJxH53ZFRt0QjCBR3WbVIKFRaK+jZ3g==" saltValue="+y88WXRqoPvb1TSHjqR8Rg==" spinCount="100000" sheet="1" objects="1" scenarios="1"/>
  <mergeCells count="85">
    <mergeCell ref="A12:B12"/>
    <mergeCell ref="A14:A25"/>
    <mergeCell ref="A169:L169"/>
    <mergeCell ref="A3:B3"/>
    <mergeCell ref="A5:H5"/>
    <mergeCell ref="A10:A11"/>
    <mergeCell ref="B10:B11"/>
    <mergeCell ref="C10:C11"/>
    <mergeCell ref="D10:D11"/>
    <mergeCell ref="E10:E11"/>
    <mergeCell ref="F10:F11"/>
    <mergeCell ref="G10:G11"/>
    <mergeCell ref="H10:H11"/>
    <mergeCell ref="B14:B25"/>
    <mergeCell ref="H14:H25"/>
    <mergeCell ref="A32:A38"/>
    <mergeCell ref="B32:B38"/>
    <mergeCell ref="H32:H38"/>
    <mergeCell ref="A26:A31"/>
    <mergeCell ref="B26:B31"/>
    <mergeCell ref="H26:H31"/>
    <mergeCell ref="A40:A51"/>
    <mergeCell ref="B40:B51"/>
    <mergeCell ref="H40:H51"/>
    <mergeCell ref="A69:A73"/>
    <mergeCell ref="B69:B73"/>
    <mergeCell ref="H69:H73"/>
    <mergeCell ref="A52:A56"/>
    <mergeCell ref="B52:B56"/>
    <mergeCell ref="H52:H56"/>
    <mergeCell ref="A60:A61"/>
    <mergeCell ref="B60:B61"/>
    <mergeCell ref="C60:C61"/>
    <mergeCell ref="D60:D61"/>
    <mergeCell ref="E60:E61"/>
    <mergeCell ref="F60:F61"/>
    <mergeCell ref="G60:G61"/>
    <mergeCell ref="H60:H61"/>
    <mergeCell ref="A62:B62"/>
    <mergeCell ref="A63:A68"/>
    <mergeCell ref="B63:B68"/>
    <mergeCell ref="H63:H68"/>
    <mergeCell ref="G77:G78"/>
    <mergeCell ref="H77:H78"/>
    <mergeCell ref="A79:B79"/>
    <mergeCell ref="A80:A89"/>
    <mergeCell ref="B80:B89"/>
    <mergeCell ref="H80:H89"/>
    <mergeCell ref="A77:A78"/>
    <mergeCell ref="B77:B78"/>
    <mergeCell ref="C77:C78"/>
    <mergeCell ref="D77:D78"/>
    <mergeCell ref="E77:E78"/>
    <mergeCell ref="F77:F78"/>
    <mergeCell ref="A90:A96"/>
    <mergeCell ref="B90:B96"/>
    <mergeCell ref="H90:H96"/>
    <mergeCell ref="A97:A103"/>
    <mergeCell ref="B97:B103"/>
    <mergeCell ref="H97:H103"/>
    <mergeCell ref="A104:A105"/>
    <mergeCell ref="B104:B105"/>
    <mergeCell ref="H104:H105"/>
    <mergeCell ref="A108:B108"/>
    <mergeCell ref="A110:A111"/>
    <mergeCell ref="B110:B111"/>
    <mergeCell ref="C110:C111"/>
    <mergeCell ref="D110:D111"/>
    <mergeCell ref="E110:E111"/>
    <mergeCell ref="F110:F111"/>
    <mergeCell ref="G110:G111"/>
    <mergeCell ref="H110:H111"/>
    <mergeCell ref="A121:B121"/>
    <mergeCell ref="A168:H168"/>
    <mergeCell ref="A112:B112"/>
    <mergeCell ref="H113:H114"/>
    <mergeCell ref="A117:B117"/>
    <mergeCell ref="A119:A120"/>
    <mergeCell ref="B119:B120"/>
    <mergeCell ref="C119:C120"/>
    <mergeCell ref="D119:D120"/>
    <mergeCell ref="E119:E120"/>
    <mergeCell ref="F119:F120"/>
    <mergeCell ref="G119:G120"/>
    <mergeCell ref="H119:H120"/>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76.pielikums Jūrmalas pilsētas domes
2019.gada 29.augusta saistošajiem noteikumiem Nr.31
(protokols Nr.12, 20.punkts)
 </firstHeader>
    <firstFooter>&amp;L&amp;9&amp;D; &amp;T&amp;R&amp;9&amp;P (&amp;N)</first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152"/>
  <sheetViews>
    <sheetView view="pageLayout" zoomScaleNormal="100" workbookViewId="0">
      <selection activeCell="N5" sqref="N5"/>
    </sheetView>
  </sheetViews>
  <sheetFormatPr defaultRowHeight="12" outlineLevelCol="1" x14ac:dyDescent="0.25"/>
  <cols>
    <col min="1" max="1" width="4" style="774" customWidth="1"/>
    <col min="2" max="2" width="17.28515625" style="774" customWidth="1"/>
    <col min="3" max="3" width="17.85546875" style="774" customWidth="1"/>
    <col min="4" max="4" width="10.5703125" style="774" customWidth="1"/>
    <col min="5" max="5" width="10.42578125" style="774" hidden="1" customWidth="1" outlineLevel="1"/>
    <col min="6" max="6" width="9.85546875" style="774" hidden="1" customWidth="1" outlineLevel="1"/>
    <col min="7" max="7" width="11" style="774" hidden="1" customWidth="1" outlineLevel="1"/>
    <col min="8" max="8" width="9.85546875" style="774" hidden="1" customWidth="1" outlineLevel="1"/>
    <col min="9" max="9" width="11" style="774" customWidth="1" collapsed="1"/>
    <col min="10" max="10" width="9.85546875" style="774" customWidth="1"/>
    <col min="11" max="11" width="27.85546875" style="774" hidden="1" customWidth="1" outlineLevel="1"/>
    <col min="12" max="12" width="24.42578125" style="774" customWidth="1" collapsed="1"/>
    <col min="13" max="13" width="9.140625" style="774"/>
    <col min="14" max="14" width="18.5703125" style="774" customWidth="1"/>
    <col min="15" max="254" width="9.140625" style="774"/>
    <col min="255" max="255" width="13.5703125" style="774" customWidth="1"/>
    <col min="256" max="256" width="17.28515625" style="774" customWidth="1"/>
    <col min="257" max="257" width="11.7109375" style="774" customWidth="1"/>
    <col min="258" max="258" width="11.85546875" style="774" customWidth="1"/>
    <col min="259" max="259" width="9.42578125" style="774" customWidth="1"/>
    <col min="260" max="260" width="11.140625" style="774" customWidth="1"/>
    <col min="261" max="261" width="9.5703125" style="774" customWidth="1"/>
    <col min="262" max="262" width="11.5703125" style="774" customWidth="1"/>
    <col min="263" max="263" width="9.7109375" style="774" customWidth="1"/>
    <col min="264" max="264" width="10.5703125" style="774" customWidth="1"/>
    <col min="265" max="265" width="10.42578125" style="774" customWidth="1"/>
    <col min="266" max="266" width="9.85546875" style="774" customWidth="1"/>
    <col min="267" max="267" width="23.85546875" style="774" customWidth="1"/>
    <col min="268" max="268" width="51.7109375" style="774" customWidth="1"/>
    <col min="269" max="510" width="9.140625" style="774"/>
    <col min="511" max="511" width="13.5703125" style="774" customWidth="1"/>
    <col min="512" max="512" width="17.28515625" style="774" customWidth="1"/>
    <col min="513" max="513" width="11.7109375" style="774" customWidth="1"/>
    <col min="514" max="514" width="11.85546875" style="774" customWidth="1"/>
    <col min="515" max="515" width="9.42578125" style="774" customWidth="1"/>
    <col min="516" max="516" width="11.140625" style="774" customWidth="1"/>
    <col min="517" max="517" width="9.5703125" style="774" customWidth="1"/>
    <col min="518" max="518" width="11.5703125" style="774" customWidth="1"/>
    <col min="519" max="519" width="9.7109375" style="774" customWidth="1"/>
    <col min="520" max="520" width="10.5703125" style="774" customWidth="1"/>
    <col min="521" max="521" width="10.42578125" style="774" customWidth="1"/>
    <col min="522" max="522" width="9.85546875" style="774" customWidth="1"/>
    <col min="523" max="523" width="23.85546875" style="774" customWidth="1"/>
    <col min="524" max="524" width="51.7109375" style="774" customWidth="1"/>
    <col min="525" max="766" width="9.140625" style="774"/>
    <col min="767" max="767" width="13.5703125" style="774" customWidth="1"/>
    <col min="768" max="768" width="17.28515625" style="774" customWidth="1"/>
    <col min="769" max="769" width="11.7109375" style="774" customWidth="1"/>
    <col min="770" max="770" width="11.85546875" style="774" customWidth="1"/>
    <col min="771" max="771" width="9.42578125" style="774" customWidth="1"/>
    <col min="772" max="772" width="11.140625" style="774" customWidth="1"/>
    <col min="773" max="773" width="9.5703125" style="774" customWidth="1"/>
    <col min="774" max="774" width="11.5703125" style="774" customWidth="1"/>
    <col min="775" max="775" width="9.7109375" style="774" customWidth="1"/>
    <col min="776" max="776" width="10.5703125" style="774" customWidth="1"/>
    <col min="777" max="777" width="10.42578125" style="774" customWidth="1"/>
    <col min="778" max="778" width="9.85546875" style="774" customWidth="1"/>
    <col min="779" max="779" width="23.85546875" style="774" customWidth="1"/>
    <col min="780" max="780" width="51.7109375" style="774" customWidth="1"/>
    <col min="781" max="1022" width="9.140625" style="774"/>
    <col min="1023" max="1023" width="13.5703125" style="774" customWidth="1"/>
    <col min="1024" max="1024" width="17.28515625" style="774" customWidth="1"/>
    <col min="1025" max="1025" width="11.7109375" style="774" customWidth="1"/>
    <col min="1026" max="1026" width="11.85546875" style="774" customWidth="1"/>
    <col min="1027" max="1027" width="9.42578125" style="774" customWidth="1"/>
    <col min="1028" max="1028" width="11.140625" style="774" customWidth="1"/>
    <col min="1029" max="1029" width="9.5703125" style="774" customWidth="1"/>
    <col min="1030" max="1030" width="11.5703125" style="774" customWidth="1"/>
    <col min="1031" max="1031" width="9.7109375" style="774" customWidth="1"/>
    <col min="1032" max="1032" width="10.5703125" style="774" customWidth="1"/>
    <col min="1033" max="1033" width="10.42578125" style="774" customWidth="1"/>
    <col min="1034" max="1034" width="9.85546875" style="774" customWidth="1"/>
    <col min="1035" max="1035" width="23.85546875" style="774" customWidth="1"/>
    <col min="1036" max="1036" width="51.7109375" style="774" customWidth="1"/>
    <col min="1037" max="1278" width="9.140625" style="774"/>
    <col min="1279" max="1279" width="13.5703125" style="774" customWidth="1"/>
    <col min="1280" max="1280" width="17.28515625" style="774" customWidth="1"/>
    <col min="1281" max="1281" width="11.7109375" style="774" customWidth="1"/>
    <col min="1282" max="1282" width="11.85546875" style="774" customWidth="1"/>
    <col min="1283" max="1283" width="9.42578125" style="774" customWidth="1"/>
    <col min="1284" max="1284" width="11.140625" style="774" customWidth="1"/>
    <col min="1285" max="1285" width="9.5703125" style="774" customWidth="1"/>
    <col min="1286" max="1286" width="11.5703125" style="774" customWidth="1"/>
    <col min="1287" max="1287" width="9.7109375" style="774" customWidth="1"/>
    <col min="1288" max="1288" width="10.5703125" style="774" customWidth="1"/>
    <col min="1289" max="1289" width="10.42578125" style="774" customWidth="1"/>
    <col min="1290" max="1290" width="9.85546875" style="774" customWidth="1"/>
    <col min="1291" max="1291" width="23.85546875" style="774" customWidth="1"/>
    <col min="1292" max="1292" width="51.7109375" style="774" customWidth="1"/>
    <col min="1293" max="1534" width="9.140625" style="774"/>
    <col min="1535" max="1535" width="13.5703125" style="774" customWidth="1"/>
    <col min="1536" max="1536" width="17.28515625" style="774" customWidth="1"/>
    <col min="1537" max="1537" width="11.7109375" style="774" customWidth="1"/>
    <col min="1538" max="1538" width="11.85546875" style="774" customWidth="1"/>
    <col min="1539" max="1539" width="9.42578125" style="774" customWidth="1"/>
    <col min="1540" max="1540" width="11.140625" style="774" customWidth="1"/>
    <col min="1541" max="1541" width="9.5703125" style="774" customWidth="1"/>
    <col min="1542" max="1542" width="11.5703125" style="774" customWidth="1"/>
    <col min="1543" max="1543" width="9.7109375" style="774" customWidth="1"/>
    <col min="1544" max="1544" width="10.5703125" style="774" customWidth="1"/>
    <col min="1545" max="1545" width="10.42578125" style="774" customWidth="1"/>
    <col min="1546" max="1546" width="9.85546875" style="774" customWidth="1"/>
    <col min="1547" max="1547" width="23.85546875" style="774" customWidth="1"/>
    <col min="1548" max="1548" width="51.7109375" style="774" customWidth="1"/>
    <col min="1549" max="1790" width="9.140625" style="774"/>
    <col min="1791" max="1791" width="13.5703125" style="774" customWidth="1"/>
    <col min="1792" max="1792" width="17.28515625" style="774" customWidth="1"/>
    <col min="1793" max="1793" width="11.7109375" style="774" customWidth="1"/>
    <col min="1794" max="1794" width="11.85546875" style="774" customWidth="1"/>
    <col min="1795" max="1795" width="9.42578125" style="774" customWidth="1"/>
    <col min="1796" max="1796" width="11.140625" style="774" customWidth="1"/>
    <col min="1797" max="1797" width="9.5703125" style="774" customWidth="1"/>
    <col min="1798" max="1798" width="11.5703125" style="774" customWidth="1"/>
    <col min="1799" max="1799" width="9.7109375" style="774" customWidth="1"/>
    <col min="1800" max="1800" width="10.5703125" style="774" customWidth="1"/>
    <col min="1801" max="1801" width="10.42578125" style="774" customWidth="1"/>
    <col min="1802" max="1802" width="9.85546875" style="774" customWidth="1"/>
    <col min="1803" max="1803" width="23.85546875" style="774" customWidth="1"/>
    <col min="1804" max="1804" width="51.7109375" style="774" customWidth="1"/>
    <col min="1805" max="2046" width="9.140625" style="774"/>
    <col min="2047" max="2047" width="13.5703125" style="774" customWidth="1"/>
    <col min="2048" max="2048" width="17.28515625" style="774" customWidth="1"/>
    <col min="2049" max="2049" width="11.7109375" style="774" customWidth="1"/>
    <col min="2050" max="2050" width="11.85546875" style="774" customWidth="1"/>
    <col min="2051" max="2051" width="9.42578125" style="774" customWidth="1"/>
    <col min="2052" max="2052" width="11.140625" style="774" customWidth="1"/>
    <col min="2053" max="2053" width="9.5703125" style="774" customWidth="1"/>
    <col min="2054" max="2054" width="11.5703125" style="774" customWidth="1"/>
    <col min="2055" max="2055" width="9.7109375" style="774" customWidth="1"/>
    <col min="2056" max="2056" width="10.5703125" style="774" customWidth="1"/>
    <col min="2057" max="2057" width="10.42578125" style="774" customWidth="1"/>
    <col min="2058" max="2058" width="9.85546875" style="774" customWidth="1"/>
    <col min="2059" max="2059" width="23.85546875" style="774" customWidth="1"/>
    <col min="2060" max="2060" width="51.7109375" style="774" customWidth="1"/>
    <col min="2061" max="2302" width="9.140625" style="774"/>
    <col min="2303" max="2303" width="13.5703125" style="774" customWidth="1"/>
    <col min="2304" max="2304" width="17.28515625" style="774" customWidth="1"/>
    <col min="2305" max="2305" width="11.7109375" style="774" customWidth="1"/>
    <col min="2306" max="2306" width="11.85546875" style="774" customWidth="1"/>
    <col min="2307" max="2307" width="9.42578125" style="774" customWidth="1"/>
    <col min="2308" max="2308" width="11.140625" style="774" customWidth="1"/>
    <col min="2309" max="2309" width="9.5703125" style="774" customWidth="1"/>
    <col min="2310" max="2310" width="11.5703125" style="774" customWidth="1"/>
    <col min="2311" max="2311" width="9.7109375" style="774" customWidth="1"/>
    <col min="2312" max="2312" width="10.5703125" style="774" customWidth="1"/>
    <col min="2313" max="2313" width="10.42578125" style="774" customWidth="1"/>
    <col min="2314" max="2314" width="9.85546875" style="774" customWidth="1"/>
    <col min="2315" max="2315" width="23.85546875" style="774" customWidth="1"/>
    <col min="2316" max="2316" width="51.7109375" style="774" customWidth="1"/>
    <col min="2317" max="2558" width="9.140625" style="774"/>
    <col min="2559" max="2559" width="13.5703125" style="774" customWidth="1"/>
    <col min="2560" max="2560" width="17.28515625" style="774" customWidth="1"/>
    <col min="2561" max="2561" width="11.7109375" style="774" customWidth="1"/>
    <col min="2562" max="2562" width="11.85546875" style="774" customWidth="1"/>
    <col min="2563" max="2563" width="9.42578125" style="774" customWidth="1"/>
    <col min="2564" max="2564" width="11.140625" style="774" customWidth="1"/>
    <col min="2565" max="2565" width="9.5703125" style="774" customWidth="1"/>
    <col min="2566" max="2566" width="11.5703125" style="774" customWidth="1"/>
    <col min="2567" max="2567" width="9.7109375" style="774" customWidth="1"/>
    <col min="2568" max="2568" width="10.5703125" style="774" customWidth="1"/>
    <col min="2569" max="2569" width="10.42578125" style="774" customWidth="1"/>
    <col min="2570" max="2570" width="9.85546875" style="774" customWidth="1"/>
    <col min="2571" max="2571" width="23.85546875" style="774" customWidth="1"/>
    <col min="2572" max="2572" width="51.7109375" style="774" customWidth="1"/>
    <col min="2573" max="2814" width="9.140625" style="774"/>
    <col min="2815" max="2815" width="13.5703125" style="774" customWidth="1"/>
    <col min="2816" max="2816" width="17.28515625" style="774" customWidth="1"/>
    <col min="2817" max="2817" width="11.7109375" style="774" customWidth="1"/>
    <col min="2818" max="2818" width="11.85546875" style="774" customWidth="1"/>
    <col min="2819" max="2819" width="9.42578125" style="774" customWidth="1"/>
    <col min="2820" max="2820" width="11.140625" style="774" customWidth="1"/>
    <col min="2821" max="2821" width="9.5703125" style="774" customWidth="1"/>
    <col min="2822" max="2822" width="11.5703125" style="774" customWidth="1"/>
    <col min="2823" max="2823" width="9.7109375" style="774" customWidth="1"/>
    <col min="2824" max="2824" width="10.5703125" style="774" customWidth="1"/>
    <col min="2825" max="2825" width="10.42578125" style="774" customWidth="1"/>
    <col min="2826" max="2826" width="9.85546875" style="774" customWidth="1"/>
    <col min="2827" max="2827" width="23.85546875" style="774" customWidth="1"/>
    <col min="2828" max="2828" width="51.7109375" style="774" customWidth="1"/>
    <col min="2829" max="3070" width="9.140625" style="774"/>
    <col min="3071" max="3071" width="13.5703125" style="774" customWidth="1"/>
    <col min="3072" max="3072" width="17.28515625" style="774" customWidth="1"/>
    <col min="3073" max="3073" width="11.7109375" style="774" customWidth="1"/>
    <col min="3074" max="3074" width="11.85546875" style="774" customWidth="1"/>
    <col min="3075" max="3075" width="9.42578125" style="774" customWidth="1"/>
    <col min="3076" max="3076" width="11.140625" style="774" customWidth="1"/>
    <col min="3077" max="3077" width="9.5703125" style="774" customWidth="1"/>
    <col min="3078" max="3078" width="11.5703125" style="774" customWidth="1"/>
    <col min="3079" max="3079" width="9.7109375" style="774" customWidth="1"/>
    <col min="3080" max="3080" width="10.5703125" style="774" customWidth="1"/>
    <col min="3081" max="3081" width="10.42578125" style="774" customWidth="1"/>
    <col min="3082" max="3082" width="9.85546875" style="774" customWidth="1"/>
    <col min="3083" max="3083" width="23.85546875" style="774" customWidth="1"/>
    <col min="3084" max="3084" width="51.7109375" style="774" customWidth="1"/>
    <col min="3085" max="3326" width="9.140625" style="774"/>
    <col min="3327" max="3327" width="13.5703125" style="774" customWidth="1"/>
    <col min="3328" max="3328" width="17.28515625" style="774" customWidth="1"/>
    <col min="3329" max="3329" width="11.7109375" style="774" customWidth="1"/>
    <col min="3330" max="3330" width="11.85546875" style="774" customWidth="1"/>
    <col min="3331" max="3331" width="9.42578125" style="774" customWidth="1"/>
    <col min="3332" max="3332" width="11.140625" style="774" customWidth="1"/>
    <col min="3333" max="3333" width="9.5703125" style="774" customWidth="1"/>
    <col min="3334" max="3334" width="11.5703125" style="774" customWidth="1"/>
    <col min="3335" max="3335" width="9.7109375" style="774" customWidth="1"/>
    <col min="3336" max="3336" width="10.5703125" style="774" customWidth="1"/>
    <col min="3337" max="3337" width="10.42578125" style="774" customWidth="1"/>
    <col min="3338" max="3338" width="9.85546875" style="774" customWidth="1"/>
    <col min="3339" max="3339" width="23.85546875" style="774" customWidth="1"/>
    <col min="3340" max="3340" width="51.7109375" style="774" customWidth="1"/>
    <col min="3341" max="3582" width="9.140625" style="774"/>
    <col min="3583" max="3583" width="13.5703125" style="774" customWidth="1"/>
    <col min="3584" max="3584" width="17.28515625" style="774" customWidth="1"/>
    <col min="3585" max="3585" width="11.7109375" style="774" customWidth="1"/>
    <col min="3586" max="3586" width="11.85546875" style="774" customWidth="1"/>
    <col min="3587" max="3587" width="9.42578125" style="774" customWidth="1"/>
    <col min="3588" max="3588" width="11.140625" style="774" customWidth="1"/>
    <col min="3589" max="3589" width="9.5703125" style="774" customWidth="1"/>
    <col min="3590" max="3590" width="11.5703125" style="774" customWidth="1"/>
    <col min="3591" max="3591" width="9.7109375" style="774" customWidth="1"/>
    <col min="3592" max="3592" width="10.5703125" style="774" customWidth="1"/>
    <col min="3593" max="3593" width="10.42578125" style="774" customWidth="1"/>
    <col min="3594" max="3594" width="9.85546875" style="774" customWidth="1"/>
    <col min="3595" max="3595" width="23.85546875" style="774" customWidth="1"/>
    <col min="3596" max="3596" width="51.7109375" style="774" customWidth="1"/>
    <col min="3597" max="3838" width="9.140625" style="774"/>
    <col min="3839" max="3839" width="13.5703125" style="774" customWidth="1"/>
    <col min="3840" max="3840" width="17.28515625" style="774" customWidth="1"/>
    <col min="3841" max="3841" width="11.7109375" style="774" customWidth="1"/>
    <col min="3842" max="3842" width="11.85546875" style="774" customWidth="1"/>
    <col min="3843" max="3843" width="9.42578125" style="774" customWidth="1"/>
    <col min="3844" max="3844" width="11.140625" style="774" customWidth="1"/>
    <col min="3845" max="3845" width="9.5703125" style="774" customWidth="1"/>
    <col min="3846" max="3846" width="11.5703125" style="774" customWidth="1"/>
    <col min="3847" max="3847" width="9.7109375" style="774" customWidth="1"/>
    <col min="3848" max="3848" width="10.5703125" style="774" customWidth="1"/>
    <col min="3849" max="3849" width="10.42578125" style="774" customWidth="1"/>
    <col min="3850" max="3850" width="9.85546875" style="774" customWidth="1"/>
    <col min="3851" max="3851" width="23.85546875" style="774" customWidth="1"/>
    <col min="3852" max="3852" width="51.7109375" style="774" customWidth="1"/>
    <col min="3853" max="4094" width="9.140625" style="774"/>
    <col min="4095" max="4095" width="13.5703125" style="774" customWidth="1"/>
    <col min="4096" max="4096" width="17.28515625" style="774" customWidth="1"/>
    <col min="4097" max="4097" width="11.7109375" style="774" customWidth="1"/>
    <col min="4098" max="4098" width="11.85546875" style="774" customWidth="1"/>
    <col min="4099" max="4099" width="9.42578125" style="774" customWidth="1"/>
    <col min="4100" max="4100" width="11.140625" style="774" customWidth="1"/>
    <col min="4101" max="4101" width="9.5703125" style="774" customWidth="1"/>
    <col min="4102" max="4102" width="11.5703125" style="774" customWidth="1"/>
    <col min="4103" max="4103" width="9.7109375" style="774" customWidth="1"/>
    <col min="4104" max="4104" width="10.5703125" style="774" customWidth="1"/>
    <col min="4105" max="4105" width="10.42578125" style="774" customWidth="1"/>
    <col min="4106" max="4106" width="9.85546875" style="774" customWidth="1"/>
    <col min="4107" max="4107" width="23.85546875" style="774" customWidth="1"/>
    <col min="4108" max="4108" width="51.7109375" style="774" customWidth="1"/>
    <col min="4109" max="4350" width="9.140625" style="774"/>
    <col min="4351" max="4351" width="13.5703125" style="774" customWidth="1"/>
    <col min="4352" max="4352" width="17.28515625" style="774" customWidth="1"/>
    <col min="4353" max="4353" width="11.7109375" style="774" customWidth="1"/>
    <col min="4354" max="4354" width="11.85546875" style="774" customWidth="1"/>
    <col min="4355" max="4355" width="9.42578125" style="774" customWidth="1"/>
    <col min="4356" max="4356" width="11.140625" style="774" customWidth="1"/>
    <col min="4357" max="4357" width="9.5703125" style="774" customWidth="1"/>
    <col min="4358" max="4358" width="11.5703125" style="774" customWidth="1"/>
    <col min="4359" max="4359" width="9.7109375" style="774" customWidth="1"/>
    <col min="4360" max="4360" width="10.5703125" style="774" customWidth="1"/>
    <col min="4361" max="4361" width="10.42578125" style="774" customWidth="1"/>
    <col min="4362" max="4362" width="9.85546875" style="774" customWidth="1"/>
    <col min="4363" max="4363" width="23.85546875" style="774" customWidth="1"/>
    <col min="4364" max="4364" width="51.7109375" style="774" customWidth="1"/>
    <col min="4365" max="4606" width="9.140625" style="774"/>
    <col min="4607" max="4607" width="13.5703125" style="774" customWidth="1"/>
    <col min="4608" max="4608" width="17.28515625" style="774" customWidth="1"/>
    <col min="4609" max="4609" width="11.7109375" style="774" customWidth="1"/>
    <col min="4610" max="4610" width="11.85546875" style="774" customWidth="1"/>
    <col min="4611" max="4611" width="9.42578125" style="774" customWidth="1"/>
    <col min="4612" max="4612" width="11.140625" style="774" customWidth="1"/>
    <col min="4613" max="4613" width="9.5703125" style="774" customWidth="1"/>
    <col min="4614" max="4614" width="11.5703125" style="774" customWidth="1"/>
    <col min="4615" max="4615" width="9.7109375" style="774" customWidth="1"/>
    <col min="4616" max="4616" width="10.5703125" style="774" customWidth="1"/>
    <col min="4617" max="4617" width="10.42578125" style="774" customWidth="1"/>
    <col min="4618" max="4618" width="9.85546875" style="774" customWidth="1"/>
    <col min="4619" max="4619" width="23.85546875" style="774" customWidth="1"/>
    <col min="4620" max="4620" width="51.7109375" style="774" customWidth="1"/>
    <col min="4621" max="4862" width="9.140625" style="774"/>
    <col min="4863" max="4863" width="13.5703125" style="774" customWidth="1"/>
    <col min="4864" max="4864" width="17.28515625" style="774" customWidth="1"/>
    <col min="4865" max="4865" width="11.7109375" style="774" customWidth="1"/>
    <col min="4866" max="4866" width="11.85546875" style="774" customWidth="1"/>
    <col min="4867" max="4867" width="9.42578125" style="774" customWidth="1"/>
    <col min="4868" max="4868" width="11.140625" style="774" customWidth="1"/>
    <col min="4869" max="4869" width="9.5703125" style="774" customWidth="1"/>
    <col min="4870" max="4870" width="11.5703125" style="774" customWidth="1"/>
    <col min="4871" max="4871" width="9.7109375" style="774" customWidth="1"/>
    <col min="4872" max="4872" width="10.5703125" style="774" customWidth="1"/>
    <col min="4873" max="4873" width="10.42578125" style="774" customWidth="1"/>
    <col min="4874" max="4874" width="9.85546875" style="774" customWidth="1"/>
    <col min="4875" max="4875" width="23.85546875" style="774" customWidth="1"/>
    <col min="4876" max="4876" width="51.7109375" style="774" customWidth="1"/>
    <col min="4877" max="5118" width="9.140625" style="774"/>
    <col min="5119" max="5119" width="13.5703125" style="774" customWidth="1"/>
    <col min="5120" max="5120" width="17.28515625" style="774" customWidth="1"/>
    <col min="5121" max="5121" width="11.7109375" style="774" customWidth="1"/>
    <col min="5122" max="5122" width="11.85546875" style="774" customWidth="1"/>
    <col min="5123" max="5123" width="9.42578125" style="774" customWidth="1"/>
    <col min="5124" max="5124" width="11.140625" style="774" customWidth="1"/>
    <col min="5125" max="5125" width="9.5703125" style="774" customWidth="1"/>
    <col min="5126" max="5126" width="11.5703125" style="774" customWidth="1"/>
    <col min="5127" max="5127" width="9.7109375" style="774" customWidth="1"/>
    <col min="5128" max="5128" width="10.5703125" style="774" customWidth="1"/>
    <col min="5129" max="5129" width="10.42578125" style="774" customWidth="1"/>
    <col min="5130" max="5130" width="9.85546875" style="774" customWidth="1"/>
    <col min="5131" max="5131" width="23.85546875" style="774" customWidth="1"/>
    <col min="5132" max="5132" width="51.7109375" style="774" customWidth="1"/>
    <col min="5133" max="5374" width="9.140625" style="774"/>
    <col min="5375" max="5375" width="13.5703125" style="774" customWidth="1"/>
    <col min="5376" max="5376" width="17.28515625" style="774" customWidth="1"/>
    <col min="5377" max="5377" width="11.7109375" style="774" customWidth="1"/>
    <col min="5378" max="5378" width="11.85546875" style="774" customWidth="1"/>
    <col min="5379" max="5379" width="9.42578125" style="774" customWidth="1"/>
    <col min="5380" max="5380" width="11.140625" style="774" customWidth="1"/>
    <col min="5381" max="5381" width="9.5703125" style="774" customWidth="1"/>
    <col min="5382" max="5382" width="11.5703125" style="774" customWidth="1"/>
    <col min="5383" max="5383" width="9.7109375" style="774" customWidth="1"/>
    <col min="5384" max="5384" width="10.5703125" style="774" customWidth="1"/>
    <col min="5385" max="5385" width="10.42578125" style="774" customWidth="1"/>
    <col min="5386" max="5386" width="9.85546875" style="774" customWidth="1"/>
    <col min="5387" max="5387" width="23.85546875" style="774" customWidth="1"/>
    <col min="5388" max="5388" width="51.7109375" style="774" customWidth="1"/>
    <col min="5389" max="5630" width="9.140625" style="774"/>
    <col min="5631" max="5631" width="13.5703125" style="774" customWidth="1"/>
    <col min="5632" max="5632" width="17.28515625" style="774" customWidth="1"/>
    <col min="5633" max="5633" width="11.7109375" style="774" customWidth="1"/>
    <col min="5634" max="5634" width="11.85546875" style="774" customWidth="1"/>
    <col min="5635" max="5635" width="9.42578125" style="774" customWidth="1"/>
    <col min="5636" max="5636" width="11.140625" style="774" customWidth="1"/>
    <col min="5637" max="5637" width="9.5703125" style="774" customWidth="1"/>
    <col min="5638" max="5638" width="11.5703125" style="774" customWidth="1"/>
    <col min="5639" max="5639" width="9.7109375" style="774" customWidth="1"/>
    <col min="5640" max="5640" width="10.5703125" style="774" customWidth="1"/>
    <col min="5641" max="5641" width="10.42578125" style="774" customWidth="1"/>
    <col min="5642" max="5642" width="9.85546875" style="774" customWidth="1"/>
    <col min="5643" max="5643" width="23.85546875" style="774" customWidth="1"/>
    <col min="5644" max="5644" width="51.7109375" style="774" customWidth="1"/>
    <col min="5645" max="5886" width="9.140625" style="774"/>
    <col min="5887" max="5887" width="13.5703125" style="774" customWidth="1"/>
    <col min="5888" max="5888" width="17.28515625" style="774" customWidth="1"/>
    <col min="5889" max="5889" width="11.7109375" style="774" customWidth="1"/>
    <col min="5890" max="5890" width="11.85546875" style="774" customWidth="1"/>
    <col min="5891" max="5891" width="9.42578125" style="774" customWidth="1"/>
    <col min="5892" max="5892" width="11.140625" style="774" customWidth="1"/>
    <col min="5893" max="5893" width="9.5703125" style="774" customWidth="1"/>
    <col min="5894" max="5894" width="11.5703125" style="774" customWidth="1"/>
    <col min="5895" max="5895" width="9.7109375" style="774" customWidth="1"/>
    <col min="5896" max="5896" width="10.5703125" style="774" customWidth="1"/>
    <col min="5897" max="5897" width="10.42578125" style="774" customWidth="1"/>
    <col min="5898" max="5898" width="9.85546875" style="774" customWidth="1"/>
    <col min="5899" max="5899" width="23.85546875" style="774" customWidth="1"/>
    <col min="5900" max="5900" width="51.7109375" style="774" customWidth="1"/>
    <col min="5901" max="6142" width="9.140625" style="774"/>
    <col min="6143" max="6143" width="13.5703125" style="774" customWidth="1"/>
    <col min="6144" max="6144" width="17.28515625" style="774" customWidth="1"/>
    <col min="6145" max="6145" width="11.7109375" style="774" customWidth="1"/>
    <col min="6146" max="6146" width="11.85546875" style="774" customWidth="1"/>
    <col min="6147" max="6147" width="9.42578125" style="774" customWidth="1"/>
    <col min="6148" max="6148" width="11.140625" style="774" customWidth="1"/>
    <col min="6149" max="6149" width="9.5703125" style="774" customWidth="1"/>
    <col min="6150" max="6150" width="11.5703125" style="774" customWidth="1"/>
    <col min="6151" max="6151" width="9.7109375" style="774" customWidth="1"/>
    <col min="6152" max="6152" width="10.5703125" style="774" customWidth="1"/>
    <col min="6153" max="6153" width="10.42578125" style="774" customWidth="1"/>
    <col min="6154" max="6154" width="9.85546875" style="774" customWidth="1"/>
    <col min="6155" max="6155" width="23.85546875" style="774" customWidth="1"/>
    <col min="6156" max="6156" width="51.7109375" style="774" customWidth="1"/>
    <col min="6157" max="6398" width="9.140625" style="774"/>
    <col min="6399" max="6399" width="13.5703125" style="774" customWidth="1"/>
    <col min="6400" max="6400" width="17.28515625" style="774" customWidth="1"/>
    <col min="6401" max="6401" width="11.7109375" style="774" customWidth="1"/>
    <col min="6402" max="6402" width="11.85546875" style="774" customWidth="1"/>
    <col min="6403" max="6403" width="9.42578125" style="774" customWidth="1"/>
    <col min="6404" max="6404" width="11.140625" style="774" customWidth="1"/>
    <col min="6405" max="6405" width="9.5703125" style="774" customWidth="1"/>
    <col min="6406" max="6406" width="11.5703125" style="774" customWidth="1"/>
    <col min="6407" max="6407" width="9.7109375" style="774" customWidth="1"/>
    <col min="6408" max="6408" width="10.5703125" style="774" customWidth="1"/>
    <col min="6409" max="6409" width="10.42578125" style="774" customWidth="1"/>
    <col min="6410" max="6410" width="9.85546875" style="774" customWidth="1"/>
    <col min="6411" max="6411" width="23.85546875" style="774" customWidth="1"/>
    <col min="6412" max="6412" width="51.7109375" style="774" customWidth="1"/>
    <col min="6413" max="6654" width="9.140625" style="774"/>
    <col min="6655" max="6655" width="13.5703125" style="774" customWidth="1"/>
    <col min="6656" max="6656" width="17.28515625" style="774" customWidth="1"/>
    <col min="6657" max="6657" width="11.7109375" style="774" customWidth="1"/>
    <col min="6658" max="6658" width="11.85546875" style="774" customWidth="1"/>
    <col min="6659" max="6659" width="9.42578125" style="774" customWidth="1"/>
    <col min="6660" max="6660" width="11.140625" style="774" customWidth="1"/>
    <col min="6661" max="6661" width="9.5703125" style="774" customWidth="1"/>
    <col min="6662" max="6662" width="11.5703125" style="774" customWidth="1"/>
    <col min="6663" max="6663" width="9.7109375" style="774" customWidth="1"/>
    <col min="6664" max="6664" width="10.5703125" style="774" customWidth="1"/>
    <col min="6665" max="6665" width="10.42578125" style="774" customWidth="1"/>
    <col min="6666" max="6666" width="9.85546875" style="774" customWidth="1"/>
    <col min="6667" max="6667" width="23.85546875" style="774" customWidth="1"/>
    <col min="6668" max="6668" width="51.7109375" style="774" customWidth="1"/>
    <col min="6669" max="6910" width="9.140625" style="774"/>
    <col min="6911" max="6911" width="13.5703125" style="774" customWidth="1"/>
    <col min="6912" max="6912" width="17.28515625" style="774" customWidth="1"/>
    <col min="6913" max="6913" width="11.7109375" style="774" customWidth="1"/>
    <col min="6914" max="6914" width="11.85546875" style="774" customWidth="1"/>
    <col min="6915" max="6915" width="9.42578125" style="774" customWidth="1"/>
    <col min="6916" max="6916" width="11.140625" style="774" customWidth="1"/>
    <col min="6917" max="6917" width="9.5703125" style="774" customWidth="1"/>
    <col min="6918" max="6918" width="11.5703125" style="774" customWidth="1"/>
    <col min="6919" max="6919" width="9.7109375" style="774" customWidth="1"/>
    <col min="6920" max="6920" width="10.5703125" style="774" customWidth="1"/>
    <col min="6921" max="6921" width="10.42578125" style="774" customWidth="1"/>
    <col min="6922" max="6922" width="9.85546875" style="774" customWidth="1"/>
    <col min="6923" max="6923" width="23.85546875" style="774" customWidth="1"/>
    <col min="6924" max="6924" width="51.7109375" style="774" customWidth="1"/>
    <col min="6925" max="7166" width="9.140625" style="774"/>
    <col min="7167" max="7167" width="13.5703125" style="774" customWidth="1"/>
    <col min="7168" max="7168" width="17.28515625" style="774" customWidth="1"/>
    <col min="7169" max="7169" width="11.7109375" style="774" customWidth="1"/>
    <col min="7170" max="7170" width="11.85546875" style="774" customWidth="1"/>
    <col min="7171" max="7171" width="9.42578125" style="774" customWidth="1"/>
    <col min="7172" max="7172" width="11.140625" style="774" customWidth="1"/>
    <col min="7173" max="7173" width="9.5703125" style="774" customWidth="1"/>
    <col min="7174" max="7174" width="11.5703125" style="774" customWidth="1"/>
    <col min="7175" max="7175" width="9.7109375" style="774" customWidth="1"/>
    <col min="7176" max="7176" width="10.5703125" style="774" customWidth="1"/>
    <col min="7177" max="7177" width="10.42578125" style="774" customWidth="1"/>
    <col min="7178" max="7178" width="9.85546875" style="774" customWidth="1"/>
    <col min="7179" max="7179" width="23.85546875" style="774" customWidth="1"/>
    <col min="7180" max="7180" width="51.7109375" style="774" customWidth="1"/>
    <col min="7181" max="7422" width="9.140625" style="774"/>
    <col min="7423" max="7423" width="13.5703125" style="774" customWidth="1"/>
    <col min="7424" max="7424" width="17.28515625" style="774" customWidth="1"/>
    <col min="7425" max="7425" width="11.7109375" style="774" customWidth="1"/>
    <col min="7426" max="7426" width="11.85546875" style="774" customWidth="1"/>
    <col min="7427" max="7427" width="9.42578125" style="774" customWidth="1"/>
    <col min="7428" max="7428" width="11.140625" style="774" customWidth="1"/>
    <col min="7429" max="7429" width="9.5703125" style="774" customWidth="1"/>
    <col min="7430" max="7430" width="11.5703125" style="774" customWidth="1"/>
    <col min="7431" max="7431" width="9.7109375" style="774" customWidth="1"/>
    <col min="7432" max="7432" width="10.5703125" style="774" customWidth="1"/>
    <col min="7433" max="7433" width="10.42578125" style="774" customWidth="1"/>
    <col min="7434" max="7434" width="9.85546875" style="774" customWidth="1"/>
    <col min="7435" max="7435" width="23.85546875" style="774" customWidth="1"/>
    <col min="7436" max="7436" width="51.7109375" style="774" customWidth="1"/>
    <col min="7437" max="7678" width="9.140625" style="774"/>
    <col min="7679" max="7679" width="13.5703125" style="774" customWidth="1"/>
    <col min="7680" max="7680" width="17.28515625" style="774" customWidth="1"/>
    <col min="7681" max="7681" width="11.7109375" style="774" customWidth="1"/>
    <col min="7682" max="7682" width="11.85546875" style="774" customWidth="1"/>
    <col min="7683" max="7683" width="9.42578125" style="774" customWidth="1"/>
    <col min="7684" max="7684" width="11.140625" style="774" customWidth="1"/>
    <col min="7685" max="7685" width="9.5703125" style="774" customWidth="1"/>
    <col min="7686" max="7686" width="11.5703125" style="774" customWidth="1"/>
    <col min="7687" max="7687" width="9.7109375" style="774" customWidth="1"/>
    <col min="7688" max="7688" width="10.5703125" style="774" customWidth="1"/>
    <col min="7689" max="7689" width="10.42578125" style="774" customWidth="1"/>
    <col min="7690" max="7690" width="9.85546875" style="774" customWidth="1"/>
    <col min="7691" max="7691" width="23.85546875" style="774" customWidth="1"/>
    <col min="7692" max="7692" width="51.7109375" style="774" customWidth="1"/>
    <col min="7693" max="7934" width="9.140625" style="774"/>
    <col min="7935" max="7935" width="13.5703125" style="774" customWidth="1"/>
    <col min="7936" max="7936" width="17.28515625" style="774" customWidth="1"/>
    <col min="7937" max="7937" width="11.7109375" style="774" customWidth="1"/>
    <col min="7938" max="7938" width="11.85546875" style="774" customWidth="1"/>
    <col min="7939" max="7939" width="9.42578125" style="774" customWidth="1"/>
    <col min="7940" max="7940" width="11.140625" style="774" customWidth="1"/>
    <col min="7941" max="7941" width="9.5703125" style="774" customWidth="1"/>
    <col min="7942" max="7942" width="11.5703125" style="774" customWidth="1"/>
    <col min="7943" max="7943" width="9.7109375" style="774" customWidth="1"/>
    <col min="7944" max="7944" width="10.5703125" style="774" customWidth="1"/>
    <col min="7945" max="7945" width="10.42578125" style="774" customWidth="1"/>
    <col min="7946" max="7946" width="9.85546875" style="774" customWidth="1"/>
    <col min="7947" max="7947" width="23.85546875" style="774" customWidth="1"/>
    <col min="7948" max="7948" width="51.7109375" style="774" customWidth="1"/>
    <col min="7949" max="8190" width="9.140625" style="774"/>
    <col min="8191" max="8191" width="13.5703125" style="774" customWidth="1"/>
    <col min="8192" max="8192" width="17.28515625" style="774" customWidth="1"/>
    <col min="8193" max="8193" width="11.7109375" style="774" customWidth="1"/>
    <col min="8194" max="8194" width="11.85546875" style="774" customWidth="1"/>
    <col min="8195" max="8195" width="9.42578125" style="774" customWidth="1"/>
    <col min="8196" max="8196" width="11.140625" style="774" customWidth="1"/>
    <col min="8197" max="8197" width="9.5703125" style="774" customWidth="1"/>
    <col min="8198" max="8198" width="11.5703125" style="774" customWidth="1"/>
    <col min="8199" max="8199" width="9.7109375" style="774" customWidth="1"/>
    <col min="8200" max="8200" width="10.5703125" style="774" customWidth="1"/>
    <col min="8201" max="8201" width="10.42578125" style="774" customWidth="1"/>
    <col min="8202" max="8202" width="9.85546875" style="774" customWidth="1"/>
    <col min="8203" max="8203" width="23.85546875" style="774" customWidth="1"/>
    <col min="8204" max="8204" width="51.7109375" style="774" customWidth="1"/>
    <col min="8205" max="8446" width="9.140625" style="774"/>
    <col min="8447" max="8447" width="13.5703125" style="774" customWidth="1"/>
    <col min="8448" max="8448" width="17.28515625" style="774" customWidth="1"/>
    <col min="8449" max="8449" width="11.7109375" style="774" customWidth="1"/>
    <col min="8450" max="8450" width="11.85546875" style="774" customWidth="1"/>
    <col min="8451" max="8451" width="9.42578125" style="774" customWidth="1"/>
    <col min="8452" max="8452" width="11.140625" style="774" customWidth="1"/>
    <col min="8453" max="8453" width="9.5703125" style="774" customWidth="1"/>
    <col min="8454" max="8454" width="11.5703125" style="774" customWidth="1"/>
    <col min="8455" max="8455" width="9.7109375" style="774" customWidth="1"/>
    <col min="8456" max="8456" width="10.5703125" style="774" customWidth="1"/>
    <col min="8457" max="8457" width="10.42578125" style="774" customWidth="1"/>
    <col min="8458" max="8458" width="9.85546875" style="774" customWidth="1"/>
    <col min="8459" max="8459" width="23.85546875" style="774" customWidth="1"/>
    <col min="8460" max="8460" width="51.7109375" style="774" customWidth="1"/>
    <col min="8461" max="8702" width="9.140625" style="774"/>
    <col min="8703" max="8703" width="13.5703125" style="774" customWidth="1"/>
    <col min="8704" max="8704" width="17.28515625" style="774" customWidth="1"/>
    <col min="8705" max="8705" width="11.7109375" style="774" customWidth="1"/>
    <col min="8706" max="8706" width="11.85546875" style="774" customWidth="1"/>
    <col min="8707" max="8707" width="9.42578125" style="774" customWidth="1"/>
    <col min="8708" max="8708" width="11.140625" style="774" customWidth="1"/>
    <col min="8709" max="8709" width="9.5703125" style="774" customWidth="1"/>
    <col min="8710" max="8710" width="11.5703125" style="774" customWidth="1"/>
    <col min="8711" max="8711" width="9.7109375" style="774" customWidth="1"/>
    <col min="8712" max="8712" width="10.5703125" style="774" customWidth="1"/>
    <col min="8713" max="8713" width="10.42578125" style="774" customWidth="1"/>
    <col min="8714" max="8714" width="9.85546875" style="774" customWidth="1"/>
    <col min="8715" max="8715" width="23.85546875" style="774" customWidth="1"/>
    <col min="8716" max="8716" width="51.7109375" style="774" customWidth="1"/>
    <col min="8717" max="8958" width="9.140625" style="774"/>
    <col min="8959" max="8959" width="13.5703125" style="774" customWidth="1"/>
    <col min="8960" max="8960" width="17.28515625" style="774" customWidth="1"/>
    <col min="8961" max="8961" width="11.7109375" style="774" customWidth="1"/>
    <col min="8962" max="8962" width="11.85546875" style="774" customWidth="1"/>
    <col min="8963" max="8963" width="9.42578125" style="774" customWidth="1"/>
    <col min="8964" max="8964" width="11.140625" style="774" customWidth="1"/>
    <col min="8965" max="8965" width="9.5703125" style="774" customWidth="1"/>
    <col min="8966" max="8966" width="11.5703125" style="774" customWidth="1"/>
    <col min="8967" max="8967" width="9.7109375" style="774" customWidth="1"/>
    <col min="8968" max="8968" width="10.5703125" style="774" customWidth="1"/>
    <col min="8969" max="8969" width="10.42578125" style="774" customWidth="1"/>
    <col min="8970" max="8970" width="9.85546875" style="774" customWidth="1"/>
    <col min="8971" max="8971" width="23.85546875" style="774" customWidth="1"/>
    <col min="8972" max="8972" width="51.7109375" style="774" customWidth="1"/>
    <col min="8973" max="9214" width="9.140625" style="774"/>
    <col min="9215" max="9215" width="13.5703125" style="774" customWidth="1"/>
    <col min="9216" max="9216" width="17.28515625" style="774" customWidth="1"/>
    <col min="9217" max="9217" width="11.7109375" style="774" customWidth="1"/>
    <col min="9218" max="9218" width="11.85546875" style="774" customWidth="1"/>
    <col min="9219" max="9219" width="9.42578125" style="774" customWidth="1"/>
    <col min="9220" max="9220" width="11.140625" style="774" customWidth="1"/>
    <col min="9221" max="9221" width="9.5703125" style="774" customWidth="1"/>
    <col min="9222" max="9222" width="11.5703125" style="774" customWidth="1"/>
    <col min="9223" max="9223" width="9.7109375" style="774" customWidth="1"/>
    <col min="9224" max="9224" width="10.5703125" style="774" customWidth="1"/>
    <col min="9225" max="9225" width="10.42578125" style="774" customWidth="1"/>
    <col min="9226" max="9226" width="9.85546875" style="774" customWidth="1"/>
    <col min="9227" max="9227" width="23.85546875" style="774" customWidth="1"/>
    <col min="9228" max="9228" width="51.7109375" style="774" customWidth="1"/>
    <col min="9229" max="9470" width="9.140625" style="774"/>
    <col min="9471" max="9471" width="13.5703125" style="774" customWidth="1"/>
    <col min="9472" max="9472" width="17.28515625" style="774" customWidth="1"/>
    <col min="9473" max="9473" width="11.7109375" style="774" customWidth="1"/>
    <col min="9474" max="9474" width="11.85546875" style="774" customWidth="1"/>
    <col min="9475" max="9475" width="9.42578125" style="774" customWidth="1"/>
    <col min="9476" max="9476" width="11.140625" style="774" customWidth="1"/>
    <col min="9477" max="9477" width="9.5703125" style="774" customWidth="1"/>
    <col min="9478" max="9478" width="11.5703125" style="774" customWidth="1"/>
    <col min="9479" max="9479" width="9.7109375" style="774" customWidth="1"/>
    <col min="9480" max="9480" width="10.5703125" style="774" customWidth="1"/>
    <col min="9481" max="9481" width="10.42578125" style="774" customWidth="1"/>
    <col min="9482" max="9482" width="9.85546875" style="774" customWidth="1"/>
    <col min="9483" max="9483" width="23.85546875" style="774" customWidth="1"/>
    <col min="9484" max="9484" width="51.7109375" style="774" customWidth="1"/>
    <col min="9485" max="9726" width="9.140625" style="774"/>
    <col min="9727" max="9727" width="13.5703125" style="774" customWidth="1"/>
    <col min="9728" max="9728" width="17.28515625" style="774" customWidth="1"/>
    <col min="9729" max="9729" width="11.7109375" style="774" customWidth="1"/>
    <col min="9730" max="9730" width="11.85546875" style="774" customWidth="1"/>
    <col min="9731" max="9731" width="9.42578125" style="774" customWidth="1"/>
    <col min="9732" max="9732" width="11.140625" style="774" customWidth="1"/>
    <col min="9733" max="9733" width="9.5703125" style="774" customWidth="1"/>
    <col min="9734" max="9734" width="11.5703125" style="774" customWidth="1"/>
    <col min="9735" max="9735" width="9.7109375" style="774" customWidth="1"/>
    <col min="9736" max="9736" width="10.5703125" style="774" customWidth="1"/>
    <col min="9737" max="9737" width="10.42578125" style="774" customWidth="1"/>
    <col min="9738" max="9738" width="9.85546875" style="774" customWidth="1"/>
    <col min="9739" max="9739" width="23.85546875" style="774" customWidth="1"/>
    <col min="9740" max="9740" width="51.7109375" style="774" customWidth="1"/>
    <col min="9741" max="9982" width="9.140625" style="774"/>
    <col min="9983" max="9983" width="13.5703125" style="774" customWidth="1"/>
    <col min="9984" max="9984" width="17.28515625" style="774" customWidth="1"/>
    <col min="9985" max="9985" width="11.7109375" style="774" customWidth="1"/>
    <col min="9986" max="9986" width="11.85546875" style="774" customWidth="1"/>
    <col min="9987" max="9987" width="9.42578125" style="774" customWidth="1"/>
    <col min="9988" max="9988" width="11.140625" style="774" customWidth="1"/>
    <col min="9989" max="9989" width="9.5703125" style="774" customWidth="1"/>
    <col min="9990" max="9990" width="11.5703125" style="774" customWidth="1"/>
    <col min="9991" max="9991" width="9.7109375" style="774" customWidth="1"/>
    <col min="9992" max="9992" width="10.5703125" style="774" customWidth="1"/>
    <col min="9993" max="9993" width="10.42578125" style="774" customWidth="1"/>
    <col min="9994" max="9994" width="9.85546875" style="774" customWidth="1"/>
    <col min="9995" max="9995" width="23.85546875" style="774" customWidth="1"/>
    <col min="9996" max="9996" width="51.7109375" style="774" customWidth="1"/>
    <col min="9997" max="10238" width="9.140625" style="774"/>
    <col min="10239" max="10239" width="13.5703125" style="774" customWidth="1"/>
    <col min="10240" max="10240" width="17.28515625" style="774" customWidth="1"/>
    <col min="10241" max="10241" width="11.7109375" style="774" customWidth="1"/>
    <col min="10242" max="10242" width="11.85546875" style="774" customWidth="1"/>
    <col min="10243" max="10243" width="9.42578125" style="774" customWidth="1"/>
    <col min="10244" max="10244" width="11.140625" style="774" customWidth="1"/>
    <col min="10245" max="10245" width="9.5703125" style="774" customWidth="1"/>
    <col min="10246" max="10246" width="11.5703125" style="774" customWidth="1"/>
    <col min="10247" max="10247" width="9.7109375" style="774" customWidth="1"/>
    <col min="10248" max="10248" width="10.5703125" style="774" customWidth="1"/>
    <col min="10249" max="10249" width="10.42578125" style="774" customWidth="1"/>
    <col min="10250" max="10250" width="9.85546875" style="774" customWidth="1"/>
    <col min="10251" max="10251" width="23.85546875" style="774" customWidth="1"/>
    <col min="10252" max="10252" width="51.7109375" style="774" customWidth="1"/>
    <col min="10253" max="10494" width="9.140625" style="774"/>
    <col min="10495" max="10495" width="13.5703125" style="774" customWidth="1"/>
    <col min="10496" max="10496" width="17.28515625" style="774" customWidth="1"/>
    <col min="10497" max="10497" width="11.7109375" style="774" customWidth="1"/>
    <col min="10498" max="10498" width="11.85546875" style="774" customWidth="1"/>
    <col min="10499" max="10499" width="9.42578125" style="774" customWidth="1"/>
    <col min="10500" max="10500" width="11.140625" style="774" customWidth="1"/>
    <col min="10501" max="10501" width="9.5703125" style="774" customWidth="1"/>
    <col min="10502" max="10502" width="11.5703125" style="774" customWidth="1"/>
    <col min="10503" max="10503" width="9.7109375" style="774" customWidth="1"/>
    <col min="10504" max="10504" width="10.5703125" style="774" customWidth="1"/>
    <col min="10505" max="10505" width="10.42578125" style="774" customWidth="1"/>
    <col min="10506" max="10506" width="9.85546875" style="774" customWidth="1"/>
    <col min="10507" max="10507" width="23.85546875" style="774" customWidth="1"/>
    <col min="10508" max="10508" width="51.7109375" style="774" customWidth="1"/>
    <col min="10509" max="10750" width="9.140625" style="774"/>
    <col min="10751" max="10751" width="13.5703125" style="774" customWidth="1"/>
    <col min="10752" max="10752" width="17.28515625" style="774" customWidth="1"/>
    <col min="10753" max="10753" width="11.7109375" style="774" customWidth="1"/>
    <col min="10754" max="10754" width="11.85546875" style="774" customWidth="1"/>
    <col min="10755" max="10755" width="9.42578125" style="774" customWidth="1"/>
    <col min="10756" max="10756" width="11.140625" style="774" customWidth="1"/>
    <col min="10757" max="10757" width="9.5703125" style="774" customWidth="1"/>
    <col min="10758" max="10758" width="11.5703125" style="774" customWidth="1"/>
    <col min="10759" max="10759" width="9.7109375" style="774" customWidth="1"/>
    <col min="10760" max="10760" width="10.5703125" style="774" customWidth="1"/>
    <col min="10761" max="10761" width="10.42578125" style="774" customWidth="1"/>
    <col min="10762" max="10762" width="9.85546875" style="774" customWidth="1"/>
    <col min="10763" max="10763" width="23.85546875" style="774" customWidth="1"/>
    <col min="10764" max="10764" width="51.7109375" style="774" customWidth="1"/>
    <col min="10765" max="11006" width="9.140625" style="774"/>
    <col min="11007" max="11007" width="13.5703125" style="774" customWidth="1"/>
    <col min="11008" max="11008" width="17.28515625" style="774" customWidth="1"/>
    <col min="11009" max="11009" width="11.7109375" style="774" customWidth="1"/>
    <col min="11010" max="11010" width="11.85546875" style="774" customWidth="1"/>
    <col min="11011" max="11011" width="9.42578125" style="774" customWidth="1"/>
    <col min="11012" max="11012" width="11.140625" style="774" customWidth="1"/>
    <col min="11013" max="11013" width="9.5703125" style="774" customWidth="1"/>
    <col min="11014" max="11014" width="11.5703125" style="774" customWidth="1"/>
    <col min="11015" max="11015" width="9.7109375" style="774" customWidth="1"/>
    <col min="11016" max="11016" width="10.5703125" style="774" customWidth="1"/>
    <col min="11017" max="11017" width="10.42578125" style="774" customWidth="1"/>
    <col min="11018" max="11018" width="9.85546875" style="774" customWidth="1"/>
    <col min="11019" max="11019" width="23.85546875" style="774" customWidth="1"/>
    <col min="11020" max="11020" width="51.7109375" style="774" customWidth="1"/>
    <col min="11021" max="11262" width="9.140625" style="774"/>
    <col min="11263" max="11263" width="13.5703125" style="774" customWidth="1"/>
    <col min="11264" max="11264" width="17.28515625" style="774" customWidth="1"/>
    <col min="11265" max="11265" width="11.7109375" style="774" customWidth="1"/>
    <col min="11266" max="11266" width="11.85546875" style="774" customWidth="1"/>
    <col min="11267" max="11267" width="9.42578125" style="774" customWidth="1"/>
    <col min="11268" max="11268" width="11.140625" style="774" customWidth="1"/>
    <col min="11269" max="11269" width="9.5703125" style="774" customWidth="1"/>
    <col min="11270" max="11270" width="11.5703125" style="774" customWidth="1"/>
    <col min="11271" max="11271" width="9.7109375" style="774" customWidth="1"/>
    <col min="11272" max="11272" width="10.5703125" style="774" customWidth="1"/>
    <col min="11273" max="11273" width="10.42578125" style="774" customWidth="1"/>
    <col min="11274" max="11274" width="9.85546875" style="774" customWidth="1"/>
    <col min="11275" max="11275" width="23.85546875" style="774" customWidth="1"/>
    <col min="11276" max="11276" width="51.7109375" style="774" customWidth="1"/>
    <col min="11277" max="11518" width="9.140625" style="774"/>
    <col min="11519" max="11519" width="13.5703125" style="774" customWidth="1"/>
    <col min="11520" max="11520" width="17.28515625" style="774" customWidth="1"/>
    <col min="11521" max="11521" width="11.7109375" style="774" customWidth="1"/>
    <col min="11522" max="11522" width="11.85546875" style="774" customWidth="1"/>
    <col min="11523" max="11523" width="9.42578125" style="774" customWidth="1"/>
    <col min="11524" max="11524" width="11.140625" style="774" customWidth="1"/>
    <col min="11525" max="11525" width="9.5703125" style="774" customWidth="1"/>
    <col min="11526" max="11526" width="11.5703125" style="774" customWidth="1"/>
    <col min="11527" max="11527" width="9.7109375" style="774" customWidth="1"/>
    <col min="11528" max="11528" width="10.5703125" style="774" customWidth="1"/>
    <col min="11529" max="11529" width="10.42578125" style="774" customWidth="1"/>
    <col min="11530" max="11530" width="9.85546875" style="774" customWidth="1"/>
    <col min="11531" max="11531" width="23.85546875" style="774" customWidth="1"/>
    <col min="11532" max="11532" width="51.7109375" style="774" customWidth="1"/>
    <col min="11533" max="11774" width="9.140625" style="774"/>
    <col min="11775" max="11775" width="13.5703125" style="774" customWidth="1"/>
    <col min="11776" max="11776" width="17.28515625" style="774" customWidth="1"/>
    <col min="11777" max="11777" width="11.7109375" style="774" customWidth="1"/>
    <col min="11778" max="11778" width="11.85546875" style="774" customWidth="1"/>
    <col min="11779" max="11779" width="9.42578125" style="774" customWidth="1"/>
    <col min="11780" max="11780" width="11.140625" style="774" customWidth="1"/>
    <col min="11781" max="11781" width="9.5703125" style="774" customWidth="1"/>
    <col min="11782" max="11782" width="11.5703125" style="774" customWidth="1"/>
    <col min="11783" max="11783" width="9.7109375" style="774" customWidth="1"/>
    <col min="11784" max="11784" width="10.5703125" style="774" customWidth="1"/>
    <col min="11785" max="11785" width="10.42578125" style="774" customWidth="1"/>
    <col min="11786" max="11786" width="9.85546875" style="774" customWidth="1"/>
    <col min="11787" max="11787" width="23.85546875" style="774" customWidth="1"/>
    <col min="11788" max="11788" width="51.7109375" style="774" customWidth="1"/>
    <col min="11789" max="12030" width="9.140625" style="774"/>
    <col min="12031" max="12031" width="13.5703125" style="774" customWidth="1"/>
    <col min="12032" max="12032" width="17.28515625" style="774" customWidth="1"/>
    <col min="12033" max="12033" width="11.7109375" style="774" customWidth="1"/>
    <col min="12034" max="12034" width="11.85546875" style="774" customWidth="1"/>
    <col min="12035" max="12035" width="9.42578125" style="774" customWidth="1"/>
    <col min="12036" max="12036" width="11.140625" style="774" customWidth="1"/>
    <col min="12037" max="12037" width="9.5703125" style="774" customWidth="1"/>
    <col min="12038" max="12038" width="11.5703125" style="774" customWidth="1"/>
    <col min="12039" max="12039" width="9.7109375" style="774" customWidth="1"/>
    <col min="12040" max="12040" width="10.5703125" style="774" customWidth="1"/>
    <col min="12041" max="12041" width="10.42578125" style="774" customWidth="1"/>
    <col min="12042" max="12042" width="9.85546875" style="774" customWidth="1"/>
    <col min="12043" max="12043" width="23.85546875" style="774" customWidth="1"/>
    <col min="12044" max="12044" width="51.7109375" style="774" customWidth="1"/>
    <col min="12045" max="12286" width="9.140625" style="774"/>
    <col min="12287" max="12287" width="13.5703125" style="774" customWidth="1"/>
    <col min="12288" max="12288" width="17.28515625" style="774" customWidth="1"/>
    <col min="12289" max="12289" width="11.7109375" style="774" customWidth="1"/>
    <col min="12290" max="12290" width="11.85546875" style="774" customWidth="1"/>
    <col min="12291" max="12291" width="9.42578125" style="774" customWidth="1"/>
    <col min="12292" max="12292" width="11.140625" style="774" customWidth="1"/>
    <col min="12293" max="12293" width="9.5703125" style="774" customWidth="1"/>
    <col min="12294" max="12294" width="11.5703125" style="774" customWidth="1"/>
    <col min="12295" max="12295" width="9.7109375" style="774" customWidth="1"/>
    <col min="12296" max="12296" width="10.5703125" style="774" customWidth="1"/>
    <col min="12297" max="12297" width="10.42578125" style="774" customWidth="1"/>
    <col min="12298" max="12298" width="9.85546875" style="774" customWidth="1"/>
    <col min="12299" max="12299" width="23.85546875" style="774" customWidth="1"/>
    <col min="12300" max="12300" width="51.7109375" style="774" customWidth="1"/>
    <col min="12301" max="12542" width="9.140625" style="774"/>
    <col min="12543" max="12543" width="13.5703125" style="774" customWidth="1"/>
    <col min="12544" max="12544" width="17.28515625" style="774" customWidth="1"/>
    <col min="12545" max="12545" width="11.7109375" style="774" customWidth="1"/>
    <col min="12546" max="12546" width="11.85546875" style="774" customWidth="1"/>
    <col min="12547" max="12547" width="9.42578125" style="774" customWidth="1"/>
    <col min="12548" max="12548" width="11.140625" style="774" customWidth="1"/>
    <col min="12549" max="12549" width="9.5703125" style="774" customWidth="1"/>
    <col min="12550" max="12550" width="11.5703125" style="774" customWidth="1"/>
    <col min="12551" max="12551" width="9.7109375" style="774" customWidth="1"/>
    <col min="12552" max="12552" width="10.5703125" style="774" customWidth="1"/>
    <col min="12553" max="12553" width="10.42578125" style="774" customWidth="1"/>
    <col min="12554" max="12554" width="9.85546875" style="774" customWidth="1"/>
    <col min="12555" max="12555" width="23.85546875" style="774" customWidth="1"/>
    <col min="12556" max="12556" width="51.7109375" style="774" customWidth="1"/>
    <col min="12557" max="12798" width="9.140625" style="774"/>
    <col min="12799" max="12799" width="13.5703125" style="774" customWidth="1"/>
    <col min="12800" max="12800" width="17.28515625" style="774" customWidth="1"/>
    <col min="12801" max="12801" width="11.7109375" style="774" customWidth="1"/>
    <col min="12802" max="12802" width="11.85546875" style="774" customWidth="1"/>
    <col min="12803" max="12803" width="9.42578125" style="774" customWidth="1"/>
    <col min="12804" max="12804" width="11.140625" style="774" customWidth="1"/>
    <col min="12805" max="12805" width="9.5703125" style="774" customWidth="1"/>
    <col min="12806" max="12806" width="11.5703125" style="774" customWidth="1"/>
    <col min="12807" max="12807" width="9.7109375" style="774" customWidth="1"/>
    <col min="12808" max="12808" width="10.5703125" style="774" customWidth="1"/>
    <col min="12809" max="12809" width="10.42578125" style="774" customWidth="1"/>
    <col min="12810" max="12810" width="9.85546875" style="774" customWidth="1"/>
    <col min="12811" max="12811" width="23.85546875" style="774" customWidth="1"/>
    <col min="12812" max="12812" width="51.7109375" style="774" customWidth="1"/>
    <col min="12813" max="13054" width="9.140625" style="774"/>
    <col min="13055" max="13055" width="13.5703125" style="774" customWidth="1"/>
    <col min="13056" max="13056" width="17.28515625" style="774" customWidth="1"/>
    <col min="13057" max="13057" width="11.7109375" style="774" customWidth="1"/>
    <col min="13058" max="13058" width="11.85546875" style="774" customWidth="1"/>
    <col min="13059" max="13059" width="9.42578125" style="774" customWidth="1"/>
    <col min="13060" max="13060" width="11.140625" style="774" customWidth="1"/>
    <col min="13061" max="13061" width="9.5703125" style="774" customWidth="1"/>
    <col min="13062" max="13062" width="11.5703125" style="774" customWidth="1"/>
    <col min="13063" max="13063" width="9.7109375" style="774" customWidth="1"/>
    <col min="13064" max="13064" width="10.5703125" style="774" customWidth="1"/>
    <col min="13065" max="13065" width="10.42578125" style="774" customWidth="1"/>
    <col min="13066" max="13066" width="9.85546875" style="774" customWidth="1"/>
    <col min="13067" max="13067" width="23.85546875" style="774" customWidth="1"/>
    <col min="13068" max="13068" width="51.7109375" style="774" customWidth="1"/>
    <col min="13069" max="13310" width="9.140625" style="774"/>
    <col min="13311" max="13311" width="13.5703125" style="774" customWidth="1"/>
    <col min="13312" max="13312" width="17.28515625" style="774" customWidth="1"/>
    <col min="13313" max="13313" width="11.7109375" style="774" customWidth="1"/>
    <col min="13314" max="13314" width="11.85546875" style="774" customWidth="1"/>
    <col min="13315" max="13315" width="9.42578125" style="774" customWidth="1"/>
    <col min="13316" max="13316" width="11.140625" style="774" customWidth="1"/>
    <col min="13317" max="13317" width="9.5703125" style="774" customWidth="1"/>
    <col min="13318" max="13318" width="11.5703125" style="774" customWidth="1"/>
    <col min="13319" max="13319" width="9.7109375" style="774" customWidth="1"/>
    <col min="13320" max="13320" width="10.5703125" style="774" customWidth="1"/>
    <col min="13321" max="13321" width="10.42578125" style="774" customWidth="1"/>
    <col min="13322" max="13322" width="9.85546875" style="774" customWidth="1"/>
    <col min="13323" max="13323" width="23.85546875" style="774" customWidth="1"/>
    <col min="13324" max="13324" width="51.7109375" style="774" customWidth="1"/>
    <col min="13325" max="13566" width="9.140625" style="774"/>
    <col min="13567" max="13567" width="13.5703125" style="774" customWidth="1"/>
    <col min="13568" max="13568" width="17.28515625" style="774" customWidth="1"/>
    <col min="13569" max="13569" width="11.7109375" style="774" customWidth="1"/>
    <col min="13570" max="13570" width="11.85546875" style="774" customWidth="1"/>
    <col min="13571" max="13571" width="9.42578125" style="774" customWidth="1"/>
    <col min="13572" max="13572" width="11.140625" style="774" customWidth="1"/>
    <col min="13573" max="13573" width="9.5703125" style="774" customWidth="1"/>
    <col min="13574" max="13574" width="11.5703125" style="774" customWidth="1"/>
    <col min="13575" max="13575" width="9.7109375" style="774" customWidth="1"/>
    <col min="13576" max="13576" width="10.5703125" style="774" customWidth="1"/>
    <col min="13577" max="13577" width="10.42578125" style="774" customWidth="1"/>
    <col min="13578" max="13578" width="9.85546875" style="774" customWidth="1"/>
    <col min="13579" max="13579" width="23.85546875" style="774" customWidth="1"/>
    <col min="13580" max="13580" width="51.7109375" style="774" customWidth="1"/>
    <col min="13581" max="13822" width="9.140625" style="774"/>
    <col min="13823" max="13823" width="13.5703125" style="774" customWidth="1"/>
    <col min="13824" max="13824" width="17.28515625" style="774" customWidth="1"/>
    <col min="13825" max="13825" width="11.7109375" style="774" customWidth="1"/>
    <col min="13826" max="13826" width="11.85546875" style="774" customWidth="1"/>
    <col min="13827" max="13827" width="9.42578125" style="774" customWidth="1"/>
    <col min="13828" max="13828" width="11.140625" style="774" customWidth="1"/>
    <col min="13829" max="13829" width="9.5703125" style="774" customWidth="1"/>
    <col min="13830" max="13830" width="11.5703125" style="774" customWidth="1"/>
    <col min="13831" max="13831" width="9.7109375" style="774" customWidth="1"/>
    <col min="13832" max="13832" width="10.5703125" style="774" customWidth="1"/>
    <col min="13833" max="13833" width="10.42578125" style="774" customWidth="1"/>
    <col min="13834" max="13834" width="9.85546875" style="774" customWidth="1"/>
    <col min="13835" max="13835" width="23.85546875" style="774" customWidth="1"/>
    <col min="13836" max="13836" width="51.7109375" style="774" customWidth="1"/>
    <col min="13837" max="14078" width="9.140625" style="774"/>
    <col min="14079" max="14079" width="13.5703125" style="774" customWidth="1"/>
    <col min="14080" max="14080" width="17.28515625" style="774" customWidth="1"/>
    <col min="14081" max="14081" width="11.7109375" style="774" customWidth="1"/>
    <col min="14082" max="14082" width="11.85546875" style="774" customWidth="1"/>
    <col min="14083" max="14083" width="9.42578125" style="774" customWidth="1"/>
    <col min="14084" max="14084" width="11.140625" style="774" customWidth="1"/>
    <col min="14085" max="14085" width="9.5703125" style="774" customWidth="1"/>
    <col min="14086" max="14086" width="11.5703125" style="774" customWidth="1"/>
    <col min="14087" max="14087" width="9.7109375" style="774" customWidth="1"/>
    <col min="14088" max="14088" width="10.5703125" style="774" customWidth="1"/>
    <col min="14089" max="14089" width="10.42578125" style="774" customWidth="1"/>
    <col min="14090" max="14090" width="9.85546875" style="774" customWidth="1"/>
    <col min="14091" max="14091" width="23.85546875" style="774" customWidth="1"/>
    <col min="14092" max="14092" width="51.7109375" style="774" customWidth="1"/>
    <col min="14093" max="14334" width="9.140625" style="774"/>
    <col min="14335" max="14335" width="13.5703125" style="774" customWidth="1"/>
    <col min="14336" max="14336" width="17.28515625" style="774" customWidth="1"/>
    <col min="14337" max="14337" width="11.7109375" style="774" customWidth="1"/>
    <col min="14338" max="14338" width="11.85546875" style="774" customWidth="1"/>
    <col min="14339" max="14339" width="9.42578125" style="774" customWidth="1"/>
    <col min="14340" max="14340" width="11.140625" style="774" customWidth="1"/>
    <col min="14341" max="14341" width="9.5703125" style="774" customWidth="1"/>
    <col min="14342" max="14342" width="11.5703125" style="774" customWidth="1"/>
    <col min="14343" max="14343" width="9.7109375" style="774" customWidth="1"/>
    <col min="14344" max="14344" width="10.5703125" style="774" customWidth="1"/>
    <col min="14345" max="14345" width="10.42578125" style="774" customWidth="1"/>
    <col min="14346" max="14346" width="9.85546875" style="774" customWidth="1"/>
    <col min="14347" max="14347" width="23.85546875" style="774" customWidth="1"/>
    <col min="14348" max="14348" width="51.7109375" style="774" customWidth="1"/>
    <col min="14349" max="14590" width="9.140625" style="774"/>
    <col min="14591" max="14591" width="13.5703125" style="774" customWidth="1"/>
    <col min="14592" max="14592" width="17.28515625" style="774" customWidth="1"/>
    <col min="14593" max="14593" width="11.7109375" style="774" customWidth="1"/>
    <col min="14594" max="14594" width="11.85546875" style="774" customWidth="1"/>
    <col min="14595" max="14595" width="9.42578125" style="774" customWidth="1"/>
    <col min="14596" max="14596" width="11.140625" style="774" customWidth="1"/>
    <col min="14597" max="14597" width="9.5703125" style="774" customWidth="1"/>
    <col min="14598" max="14598" width="11.5703125" style="774" customWidth="1"/>
    <col min="14599" max="14599" width="9.7109375" style="774" customWidth="1"/>
    <col min="14600" max="14600" width="10.5703125" style="774" customWidth="1"/>
    <col min="14601" max="14601" width="10.42578125" style="774" customWidth="1"/>
    <col min="14602" max="14602" width="9.85546875" style="774" customWidth="1"/>
    <col min="14603" max="14603" width="23.85546875" style="774" customWidth="1"/>
    <col min="14604" max="14604" width="51.7109375" style="774" customWidth="1"/>
    <col min="14605" max="14846" width="9.140625" style="774"/>
    <col min="14847" max="14847" width="13.5703125" style="774" customWidth="1"/>
    <col min="14848" max="14848" width="17.28515625" style="774" customWidth="1"/>
    <col min="14849" max="14849" width="11.7109375" style="774" customWidth="1"/>
    <col min="14850" max="14850" width="11.85546875" style="774" customWidth="1"/>
    <col min="14851" max="14851" width="9.42578125" style="774" customWidth="1"/>
    <col min="14852" max="14852" width="11.140625" style="774" customWidth="1"/>
    <col min="14853" max="14853" width="9.5703125" style="774" customWidth="1"/>
    <col min="14854" max="14854" width="11.5703125" style="774" customWidth="1"/>
    <col min="14855" max="14855" width="9.7109375" style="774" customWidth="1"/>
    <col min="14856" max="14856" width="10.5703125" style="774" customWidth="1"/>
    <col min="14857" max="14857" width="10.42578125" style="774" customWidth="1"/>
    <col min="14858" max="14858" width="9.85546875" style="774" customWidth="1"/>
    <col min="14859" max="14859" width="23.85546875" style="774" customWidth="1"/>
    <col min="14860" max="14860" width="51.7109375" style="774" customWidth="1"/>
    <col min="14861" max="15102" width="9.140625" style="774"/>
    <col min="15103" max="15103" width="13.5703125" style="774" customWidth="1"/>
    <col min="15104" max="15104" width="17.28515625" style="774" customWidth="1"/>
    <col min="15105" max="15105" width="11.7109375" style="774" customWidth="1"/>
    <col min="15106" max="15106" width="11.85546875" style="774" customWidth="1"/>
    <col min="15107" max="15107" width="9.42578125" style="774" customWidth="1"/>
    <col min="15108" max="15108" width="11.140625" style="774" customWidth="1"/>
    <col min="15109" max="15109" width="9.5703125" style="774" customWidth="1"/>
    <col min="15110" max="15110" width="11.5703125" style="774" customWidth="1"/>
    <col min="15111" max="15111" width="9.7109375" style="774" customWidth="1"/>
    <col min="15112" max="15112" width="10.5703125" style="774" customWidth="1"/>
    <col min="15113" max="15113" width="10.42578125" style="774" customWidth="1"/>
    <col min="15114" max="15114" width="9.85546875" style="774" customWidth="1"/>
    <col min="15115" max="15115" width="23.85546875" style="774" customWidth="1"/>
    <col min="15116" max="15116" width="51.7109375" style="774" customWidth="1"/>
    <col min="15117" max="15358" width="9.140625" style="774"/>
    <col min="15359" max="15359" width="13.5703125" style="774" customWidth="1"/>
    <col min="15360" max="15360" width="17.28515625" style="774" customWidth="1"/>
    <col min="15361" max="15361" width="11.7109375" style="774" customWidth="1"/>
    <col min="15362" max="15362" width="11.85546875" style="774" customWidth="1"/>
    <col min="15363" max="15363" width="9.42578125" style="774" customWidth="1"/>
    <col min="15364" max="15364" width="11.140625" style="774" customWidth="1"/>
    <col min="15365" max="15365" width="9.5703125" style="774" customWidth="1"/>
    <col min="15366" max="15366" width="11.5703125" style="774" customWidth="1"/>
    <col min="15367" max="15367" width="9.7109375" style="774" customWidth="1"/>
    <col min="15368" max="15368" width="10.5703125" style="774" customWidth="1"/>
    <col min="15369" max="15369" width="10.42578125" style="774" customWidth="1"/>
    <col min="15370" max="15370" width="9.85546875" style="774" customWidth="1"/>
    <col min="15371" max="15371" width="23.85546875" style="774" customWidth="1"/>
    <col min="15372" max="15372" width="51.7109375" style="774" customWidth="1"/>
    <col min="15373" max="15614" width="9.140625" style="774"/>
    <col min="15615" max="15615" width="13.5703125" style="774" customWidth="1"/>
    <col min="15616" max="15616" width="17.28515625" style="774" customWidth="1"/>
    <col min="15617" max="15617" width="11.7109375" style="774" customWidth="1"/>
    <col min="15618" max="15618" width="11.85546875" style="774" customWidth="1"/>
    <col min="15619" max="15619" width="9.42578125" style="774" customWidth="1"/>
    <col min="15620" max="15620" width="11.140625" style="774" customWidth="1"/>
    <col min="15621" max="15621" width="9.5703125" style="774" customWidth="1"/>
    <col min="15622" max="15622" width="11.5703125" style="774" customWidth="1"/>
    <col min="15623" max="15623" width="9.7109375" style="774" customWidth="1"/>
    <col min="15624" max="15624" width="10.5703125" style="774" customWidth="1"/>
    <col min="15625" max="15625" width="10.42578125" style="774" customWidth="1"/>
    <col min="15626" max="15626" width="9.85546875" style="774" customWidth="1"/>
    <col min="15627" max="15627" width="23.85546875" style="774" customWidth="1"/>
    <col min="15628" max="15628" width="51.7109375" style="774" customWidth="1"/>
    <col min="15629" max="15870" width="9.140625" style="774"/>
    <col min="15871" max="15871" width="13.5703125" style="774" customWidth="1"/>
    <col min="15872" max="15872" width="17.28515625" style="774" customWidth="1"/>
    <col min="15873" max="15873" width="11.7109375" style="774" customWidth="1"/>
    <col min="15874" max="15874" width="11.85546875" style="774" customWidth="1"/>
    <col min="15875" max="15875" width="9.42578125" style="774" customWidth="1"/>
    <col min="15876" max="15876" width="11.140625" style="774" customWidth="1"/>
    <col min="15877" max="15877" width="9.5703125" style="774" customWidth="1"/>
    <col min="15878" max="15878" width="11.5703125" style="774" customWidth="1"/>
    <col min="15879" max="15879" width="9.7109375" style="774" customWidth="1"/>
    <col min="15880" max="15880" width="10.5703125" style="774" customWidth="1"/>
    <col min="15881" max="15881" width="10.42578125" style="774" customWidth="1"/>
    <col min="15882" max="15882" width="9.85546875" style="774" customWidth="1"/>
    <col min="15883" max="15883" width="23.85546875" style="774" customWidth="1"/>
    <col min="15884" max="15884" width="51.7109375" style="774" customWidth="1"/>
    <col min="15885" max="16126" width="9.140625" style="774"/>
    <col min="16127" max="16127" width="13.5703125" style="774" customWidth="1"/>
    <col min="16128" max="16128" width="17.28515625" style="774" customWidth="1"/>
    <col min="16129" max="16129" width="11.7109375" style="774" customWidth="1"/>
    <col min="16130" max="16130" width="11.85546875" style="774" customWidth="1"/>
    <col min="16131" max="16131" width="9.42578125" style="774" customWidth="1"/>
    <col min="16132" max="16132" width="11.140625" style="774" customWidth="1"/>
    <col min="16133" max="16133" width="9.5703125" style="774" customWidth="1"/>
    <col min="16134" max="16134" width="11.5703125" style="774" customWidth="1"/>
    <col min="16135" max="16135" width="9.7109375" style="774" customWidth="1"/>
    <col min="16136" max="16136" width="10.5703125" style="774" customWidth="1"/>
    <col min="16137" max="16137" width="10.42578125" style="774" customWidth="1"/>
    <col min="16138" max="16138" width="9.85546875" style="774" customWidth="1"/>
    <col min="16139" max="16139" width="23.85546875" style="774" customWidth="1"/>
    <col min="16140" max="16140" width="51.7109375" style="774" customWidth="1"/>
    <col min="16141" max="16384" width="9.140625" style="774"/>
  </cols>
  <sheetData>
    <row r="1" spans="1:12" x14ac:dyDescent="0.2">
      <c r="L1" s="1047" t="s">
        <v>1710</v>
      </c>
    </row>
    <row r="2" spans="1:12" x14ac:dyDescent="0.2">
      <c r="L2" s="1047" t="s">
        <v>494</v>
      </c>
    </row>
    <row r="3" spans="1:12" x14ac:dyDescent="0.25">
      <c r="A3" s="2136" t="s">
        <v>2</v>
      </c>
      <c r="B3" s="2136"/>
      <c r="C3" s="2136" t="s">
        <v>3</v>
      </c>
      <c r="D3" s="2136"/>
      <c r="E3" s="2136"/>
      <c r="F3" s="2136"/>
      <c r="G3" s="2136"/>
      <c r="H3" s="2136"/>
      <c r="I3" s="2136"/>
      <c r="J3" s="2136"/>
      <c r="K3" s="2136"/>
      <c r="L3" s="2136"/>
    </row>
    <row r="4" spans="1:12" x14ac:dyDescent="0.25">
      <c r="A4" s="2136" t="s">
        <v>4</v>
      </c>
      <c r="B4" s="2136"/>
      <c r="C4" s="2136">
        <v>90000056357</v>
      </c>
      <c r="D4" s="2136"/>
      <c r="E4" s="2136"/>
      <c r="F4" s="2136"/>
      <c r="G4" s="2136"/>
      <c r="H4" s="2136"/>
      <c r="I4" s="2136"/>
      <c r="J4" s="2136"/>
      <c r="K4" s="2136"/>
      <c r="L4" s="2136"/>
    </row>
    <row r="5" spans="1:12" ht="15.75" x14ac:dyDescent="0.25">
      <c r="A5" s="2158" t="s">
        <v>1581</v>
      </c>
      <c r="B5" s="2158"/>
      <c r="C5" s="2158"/>
      <c r="D5" s="2158"/>
      <c r="E5" s="2158"/>
      <c r="F5" s="2158"/>
      <c r="G5" s="2158"/>
      <c r="H5" s="2158"/>
      <c r="I5" s="2158"/>
      <c r="J5" s="2158"/>
      <c r="K5" s="2158"/>
      <c r="L5" s="2158"/>
    </row>
    <row r="6" spans="1:12" ht="9" customHeight="1" x14ac:dyDescent="0.25">
      <c r="A6" s="1098"/>
      <c r="B6" s="1098"/>
      <c r="C6" s="1098"/>
      <c r="D6" s="1098"/>
      <c r="E6" s="1098"/>
      <c r="F6" s="1098"/>
      <c r="G6" s="1098"/>
      <c r="H6" s="1098"/>
      <c r="I6" s="1098"/>
      <c r="J6" s="1098"/>
      <c r="K6" s="1098"/>
      <c r="L6" s="1098"/>
    </row>
    <row r="7" spans="1:12" ht="15.75" x14ac:dyDescent="0.25">
      <c r="A7" s="2136" t="s">
        <v>497</v>
      </c>
      <c r="B7" s="2136"/>
      <c r="C7" s="1099" t="s">
        <v>1582</v>
      </c>
      <c r="D7" s="1099"/>
      <c r="E7" s="1099"/>
      <c r="F7" s="1099"/>
      <c r="G7" s="1099"/>
      <c r="H7" s="1099"/>
      <c r="I7" s="1099"/>
      <c r="J7" s="1099"/>
      <c r="K7" s="1099"/>
      <c r="L7" s="1099"/>
    </row>
    <row r="8" spans="1:12" x14ac:dyDescent="0.25">
      <c r="A8" s="2136" t="s">
        <v>499</v>
      </c>
      <c r="B8" s="2136"/>
      <c r="C8" s="757" t="s">
        <v>1583</v>
      </c>
      <c r="D8" s="757"/>
      <c r="E8" s="757"/>
      <c r="F8" s="757"/>
      <c r="G8" s="757"/>
      <c r="H8" s="757"/>
      <c r="I8" s="757"/>
      <c r="J8" s="757"/>
      <c r="K8" s="757"/>
      <c r="L8" s="757"/>
    </row>
    <row r="9" spans="1:12" x14ac:dyDescent="0.25">
      <c r="A9" s="2136" t="s">
        <v>500</v>
      </c>
      <c r="B9" s="2136"/>
      <c r="C9" s="1100" t="s">
        <v>1584</v>
      </c>
      <c r="D9" s="797"/>
      <c r="E9" s="797"/>
      <c r="F9" s="797"/>
      <c r="G9" s="797"/>
      <c r="H9" s="797"/>
      <c r="I9" s="797"/>
      <c r="J9" s="797"/>
      <c r="K9" s="797"/>
      <c r="L9" s="797"/>
    </row>
    <row r="10" spans="1:12" ht="24" customHeight="1" x14ac:dyDescent="0.25">
      <c r="A10" s="2083" t="s">
        <v>501</v>
      </c>
      <c r="B10" s="2083" t="s">
        <v>502</v>
      </c>
      <c r="C10" s="2083"/>
      <c r="D10" s="2083" t="s">
        <v>503</v>
      </c>
      <c r="E10" s="2069" t="s">
        <v>504</v>
      </c>
      <c r="F10" s="2069"/>
      <c r="G10" s="2069" t="s">
        <v>505</v>
      </c>
      <c r="H10" s="2069"/>
      <c r="I10" s="2069" t="s">
        <v>506</v>
      </c>
      <c r="J10" s="2069"/>
      <c r="K10" s="2069" t="s">
        <v>36</v>
      </c>
      <c r="L10" s="2083" t="s">
        <v>507</v>
      </c>
    </row>
    <row r="11" spans="1:12" ht="25.5" customHeight="1" x14ac:dyDescent="0.25">
      <c r="A11" s="2083"/>
      <c r="B11" s="2083"/>
      <c r="C11" s="2083"/>
      <c r="D11" s="2083"/>
      <c r="E11" s="1101" t="s">
        <v>1113</v>
      </c>
      <c r="F11" s="1101" t="s">
        <v>1114</v>
      </c>
      <c r="G11" s="1101" t="s">
        <v>1113</v>
      </c>
      <c r="H11" s="1101" t="s">
        <v>1114</v>
      </c>
      <c r="I11" s="1101" t="s">
        <v>1113</v>
      </c>
      <c r="J11" s="1101" t="s">
        <v>1114</v>
      </c>
      <c r="K11" s="2069"/>
      <c r="L11" s="2083"/>
    </row>
    <row r="12" spans="1:12" x14ac:dyDescent="0.25">
      <c r="A12" s="2084" t="s">
        <v>549</v>
      </c>
      <c r="B12" s="2084"/>
      <c r="C12" s="2084"/>
      <c r="D12" s="958"/>
      <c r="E12" s="958">
        <f t="shared" ref="E12:J12" si="0">SUM(E13:E30)</f>
        <v>205115</v>
      </c>
      <c r="F12" s="958">
        <f t="shared" si="0"/>
        <v>5265</v>
      </c>
      <c r="G12" s="958">
        <f t="shared" si="0"/>
        <v>0</v>
      </c>
      <c r="H12" s="958">
        <f t="shared" si="0"/>
        <v>0</v>
      </c>
      <c r="I12" s="958">
        <f t="shared" si="0"/>
        <v>205115</v>
      </c>
      <c r="J12" s="958">
        <f t="shared" si="0"/>
        <v>5265</v>
      </c>
      <c r="K12" s="958"/>
      <c r="L12" s="958"/>
    </row>
    <row r="13" spans="1:12" x14ac:dyDescent="0.25">
      <c r="A13" s="1102">
        <v>1</v>
      </c>
      <c r="B13" s="2159" t="s">
        <v>1585</v>
      </c>
      <c r="C13" s="2159"/>
      <c r="D13" s="1103"/>
      <c r="E13" s="433"/>
      <c r="F13" s="433"/>
      <c r="G13" s="433"/>
      <c r="H13" s="433"/>
      <c r="I13" s="433"/>
      <c r="J13" s="433"/>
      <c r="K13" s="433"/>
      <c r="L13" s="1104"/>
    </row>
    <row r="14" spans="1:12" ht="24" x14ac:dyDescent="0.25">
      <c r="A14" s="1105" t="s">
        <v>895</v>
      </c>
      <c r="B14" s="2086" t="s">
        <v>1586</v>
      </c>
      <c r="C14" s="2086"/>
      <c r="D14" s="1106">
        <v>2314</v>
      </c>
      <c r="E14" s="433">
        <v>29000</v>
      </c>
      <c r="F14" s="433"/>
      <c r="G14" s="433"/>
      <c r="H14" s="433"/>
      <c r="I14" s="433">
        <f>E14+H14</f>
        <v>29000</v>
      </c>
      <c r="J14" s="433">
        <f>F14+H14</f>
        <v>0</v>
      </c>
      <c r="K14" s="433"/>
      <c r="L14" s="1046" t="s">
        <v>1587</v>
      </c>
    </row>
    <row r="15" spans="1:12" ht="36" x14ac:dyDescent="0.25">
      <c r="A15" s="1044" t="s">
        <v>901</v>
      </c>
      <c r="B15" s="2086" t="s">
        <v>1588</v>
      </c>
      <c r="C15" s="2086"/>
      <c r="D15" s="1106">
        <v>2232</v>
      </c>
      <c r="E15" s="433">
        <v>5500</v>
      </c>
      <c r="F15" s="433"/>
      <c r="G15" s="433"/>
      <c r="H15" s="433"/>
      <c r="I15" s="433">
        <f t="shared" ref="I15:I30" si="1">E15+H15</f>
        <v>5500</v>
      </c>
      <c r="J15" s="433">
        <f t="shared" ref="J15:J30" si="2">F15+H15</f>
        <v>0</v>
      </c>
      <c r="K15" s="433"/>
      <c r="L15" s="1046" t="s">
        <v>1589</v>
      </c>
    </row>
    <row r="16" spans="1:12" ht="36" x14ac:dyDescent="0.25">
      <c r="A16" s="1044" t="s">
        <v>905</v>
      </c>
      <c r="B16" s="2086" t="s">
        <v>1590</v>
      </c>
      <c r="C16" s="2086"/>
      <c r="D16" s="1106">
        <v>5140</v>
      </c>
      <c r="E16" s="433">
        <v>11775</v>
      </c>
      <c r="F16" s="433"/>
      <c r="G16" s="433"/>
      <c r="H16" s="433"/>
      <c r="I16" s="433">
        <f t="shared" si="1"/>
        <v>11775</v>
      </c>
      <c r="J16" s="433">
        <f t="shared" si="2"/>
        <v>0</v>
      </c>
      <c r="K16" s="433"/>
      <c r="L16" s="1046" t="s">
        <v>1591</v>
      </c>
    </row>
    <row r="17" spans="1:12" ht="84" customHeight="1" x14ac:dyDescent="0.25">
      <c r="A17" s="2090" t="s">
        <v>1592</v>
      </c>
      <c r="B17" s="2050" t="s">
        <v>1593</v>
      </c>
      <c r="C17" s="2050"/>
      <c r="D17" s="1106">
        <v>2239</v>
      </c>
      <c r="E17" s="433">
        <v>100000</v>
      </c>
      <c r="F17" s="433">
        <v>2200</v>
      </c>
      <c r="G17" s="433"/>
      <c r="H17" s="433"/>
      <c r="I17" s="433">
        <f t="shared" si="1"/>
        <v>100000</v>
      </c>
      <c r="J17" s="433">
        <f t="shared" si="2"/>
        <v>2200</v>
      </c>
      <c r="K17" s="433"/>
      <c r="L17" s="2085" t="s">
        <v>1594</v>
      </c>
    </row>
    <row r="18" spans="1:12" ht="206.25" hidden="1" customHeight="1" x14ac:dyDescent="0.25">
      <c r="A18" s="2090"/>
      <c r="B18" s="2050"/>
      <c r="C18" s="2050"/>
      <c r="D18" s="1106">
        <v>5239</v>
      </c>
      <c r="E18" s="433"/>
      <c r="F18" s="433"/>
      <c r="G18" s="433"/>
      <c r="H18" s="433"/>
      <c r="I18" s="433">
        <f t="shared" si="1"/>
        <v>0</v>
      </c>
      <c r="J18" s="433">
        <f t="shared" si="2"/>
        <v>0</v>
      </c>
      <c r="K18" s="433"/>
      <c r="L18" s="2085"/>
    </row>
    <row r="19" spans="1:12" ht="61.5" customHeight="1" x14ac:dyDescent="0.25">
      <c r="A19" s="1044" t="s">
        <v>1595</v>
      </c>
      <c r="B19" s="2050" t="s">
        <v>1596</v>
      </c>
      <c r="C19" s="2050"/>
      <c r="D19" s="1106">
        <v>2239</v>
      </c>
      <c r="E19" s="433">
        <v>20000</v>
      </c>
      <c r="F19" s="433"/>
      <c r="G19" s="433"/>
      <c r="H19" s="433"/>
      <c r="I19" s="433">
        <f t="shared" si="1"/>
        <v>20000</v>
      </c>
      <c r="J19" s="433">
        <f t="shared" si="2"/>
        <v>0</v>
      </c>
      <c r="K19" s="433"/>
      <c r="L19" s="1046" t="s">
        <v>1597</v>
      </c>
    </row>
    <row r="20" spans="1:12" ht="24" hidden="1" x14ac:dyDescent="0.25">
      <c r="A20" s="1044" t="s">
        <v>1598</v>
      </c>
      <c r="B20" s="2050" t="s">
        <v>1599</v>
      </c>
      <c r="C20" s="2050"/>
      <c r="D20" s="1106">
        <v>5234</v>
      </c>
      <c r="E20" s="433"/>
      <c r="F20" s="433"/>
      <c r="G20" s="433"/>
      <c r="H20" s="433"/>
      <c r="I20" s="433">
        <f t="shared" si="1"/>
        <v>0</v>
      </c>
      <c r="J20" s="433">
        <f t="shared" si="2"/>
        <v>0</v>
      </c>
      <c r="K20" s="433"/>
      <c r="L20" s="1043" t="s">
        <v>1600</v>
      </c>
    </row>
    <row r="21" spans="1:12" ht="24" hidden="1" x14ac:dyDescent="0.25">
      <c r="A21" s="1044" t="s">
        <v>1601</v>
      </c>
      <c r="B21" s="2050" t="s">
        <v>1602</v>
      </c>
      <c r="C21" s="2050"/>
      <c r="D21" s="1106">
        <v>2259</v>
      </c>
      <c r="E21" s="433"/>
      <c r="F21" s="433"/>
      <c r="G21" s="433"/>
      <c r="H21" s="433"/>
      <c r="I21" s="433">
        <f t="shared" si="1"/>
        <v>0</v>
      </c>
      <c r="J21" s="433">
        <f t="shared" si="2"/>
        <v>0</v>
      </c>
      <c r="K21" s="433"/>
      <c r="L21" s="1043" t="s">
        <v>1603</v>
      </c>
    </row>
    <row r="22" spans="1:12" ht="26.25" customHeight="1" x14ac:dyDescent="0.25">
      <c r="A22" s="1044" t="s">
        <v>1598</v>
      </c>
      <c r="B22" s="2050" t="s">
        <v>1604</v>
      </c>
      <c r="C22" s="2050"/>
      <c r="D22" s="1106">
        <v>5110</v>
      </c>
      <c r="E22" s="433">
        <v>20000</v>
      </c>
      <c r="F22" s="433"/>
      <c r="G22" s="433"/>
      <c r="H22" s="433"/>
      <c r="I22" s="433">
        <f t="shared" si="1"/>
        <v>20000</v>
      </c>
      <c r="J22" s="433">
        <f t="shared" si="2"/>
        <v>0</v>
      </c>
      <c r="K22" s="433"/>
      <c r="L22" s="1043" t="s">
        <v>1605</v>
      </c>
    </row>
    <row r="23" spans="1:12" ht="26.25" customHeight="1" x14ac:dyDescent="0.25">
      <c r="A23" s="1044" t="s">
        <v>1601</v>
      </c>
      <c r="B23" s="2161" t="s">
        <v>1606</v>
      </c>
      <c r="C23" s="2161"/>
      <c r="D23" s="1106">
        <v>5239</v>
      </c>
      <c r="E23" s="433">
        <v>8500</v>
      </c>
      <c r="F23" s="433"/>
      <c r="G23" s="433"/>
      <c r="H23" s="433"/>
      <c r="I23" s="433">
        <f t="shared" si="1"/>
        <v>8500</v>
      </c>
      <c r="J23" s="433">
        <f t="shared" si="2"/>
        <v>0</v>
      </c>
      <c r="K23" s="433"/>
      <c r="L23" s="1046" t="s">
        <v>1607</v>
      </c>
    </row>
    <row r="24" spans="1:12" ht="28.5" customHeight="1" x14ac:dyDescent="0.25">
      <c r="A24" s="1044" t="s">
        <v>1608</v>
      </c>
      <c r="B24" s="2086" t="s">
        <v>1609</v>
      </c>
      <c r="C24" s="2086"/>
      <c r="D24" s="1106">
        <v>2231</v>
      </c>
      <c r="E24" s="433">
        <v>4000</v>
      </c>
      <c r="F24" s="433"/>
      <c r="G24" s="433"/>
      <c r="H24" s="433"/>
      <c r="I24" s="433">
        <f t="shared" si="1"/>
        <v>4000</v>
      </c>
      <c r="J24" s="433">
        <f t="shared" si="2"/>
        <v>0</v>
      </c>
      <c r="K24" s="433"/>
      <c r="L24" s="1046" t="s">
        <v>1610</v>
      </c>
    </row>
    <row r="25" spans="1:12" x14ac:dyDescent="0.25">
      <c r="A25" s="1102">
        <v>2</v>
      </c>
      <c r="B25" s="2160" t="s">
        <v>1611</v>
      </c>
      <c r="C25" s="2160"/>
      <c r="D25" s="1106"/>
      <c r="E25" s="433"/>
      <c r="F25" s="433"/>
      <c r="G25" s="433"/>
      <c r="H25" s="433"/>
      <c r="I25" s="433">
        <f t="shared" si="1"/>
        <v>0</v>
      </c>
      <c r="J25" s="433">
        <f t="shared" si="2"/>
        <v>0</v>
      </c>
      <c r="K25" s="433"/>
      <c r="L25" s="1046"/>
    </row>
    <row r="26" spans="1:12" s="1109" customFormat="1" ht="15.75" customHeight="1" x14ac:dyDescent="0.25">
      <c r="A26" s="2163" t="s">
        <v>911</v>
      </c>
      <c r="B26" s="2149" t="s">
        <v>1612</v>
      </c>
      <c r="C26" s="2149"/>
      <c r="D26" s="751">
        <v>2312</v>
      </c>
      <c r="E26" s="1107">
        <v>5700</v>
      </c>
      <c r="F26" s="1107"/>
      <c r="G26" s="1108"/>
      <c r="H26" s="1107"/>
      <c r="I26" s="433">
        <f t="shared" si="1"/>
        <v>5700</v>
      </c>
      <c r="J26" s="433">
        <f t="shared" si="2"/>
        <v>0</v>
      </c>
      <c r="K26" s="563"/>
      <c r="L26" s="2141" t="s">
        <v>1613</v>
      </c>
    </row>
    <row r="27" spans="1:12" s="1109" customFormat="1" ht="15.75" customHeight="1" x14ac:dyDescent="0.25">
      <c r="A27" s="2075"/>
      <c r="B27" s="2149"/>
      <c r="C27" s="2149"/>
      <c r="D27" s="751">
        <v>2243</v>
      </c>
      <c r="E27" s="1107">
        <v>110</v>
      </c>
      <c r="F27" s="1107"/>
      <c r="G27" s="1107"/>
      <c r="H27" s="1107"/>
      <c r="I27" s="433">
        <f t="shared" si="1"/>
        <v>110</v>
      </c>
      <c r="J27" s="433">
        <f t="shared" si="2"/>
        <v>0</v>
      </c>
      <c r="K27" s="1107"/>
      <c r="L27" s="2141"/>
    </row>
    <row r="28" spans="1:12" s="1109" customFormat="1" ht="15.75" customHeight="1" x14ac:dyDescent="0.25">
      <c r="A28" s="2075"/>
      <c r="B28" s="2149"/>
      <c r="C28" s="2149"/>
      <c r="D28" s="751">
        <v>2279</v>
      </c>
      <c r="E28" s="1107">
        <v>530</v>
      </c>
      <c r="F28" s="1107"/>
      <c r="G28" s="1107"/>
      <c r="H28" s="1107"/>
      <c r="I28" s="433">
        <f t="shared" si="1"/>
        <v>530</v>
      </c>
      <c r="J28" s="433">
        <f t="shared" si="2"/>
        <v>0</v>
      </c>
      <c r="K28" s="1107"/>
      <c r="L28" s="2141"/>
    </row>
    <row r="29" spans="1:12" x14ac:dyDescent="0.25">
      <c r="A29" s="1102">
        <v>3</v>
      </c>
      <c r="B29" s="2160" t="s">
        <v>1614</v>
      </c>
      <c r="C29" s="2160"/>
      <c r="D29" s="751">
        <v>2512</v>
      </c>
      <c r="E29" s="433"/>
      <c r="F29" s="756">
        <v>1175</v>
      </c>
      <c r="G29" s="756"/>
      <c r="H29" s="756"/>
      <c r="I29" s="433">
        <f t="shared" si="1"/>
        <v>0</v>
      </c>
      <c r="J29" s="433">
        <f t="shared" si="2"/>
        <v>1175</v>
      </c>
      <c r="K29" s="756"/>
      <c r="L29" s="1046" t="s">
        <v>1615</v>
      </c>
    </row>
    <row r="30" spans="1:12" s="1109" customFormat="1" ht="24.75" customHeight="1" x14ac:dyDescent="0.25">
      <c r="A30" s="1050">
        <v>4</v>
      </c>
      <c r="B30" s="2162" t="s">
        <v>1616</v>
      </c>
      <c r="C30" s="2162"/>
      <c r="D30" s="751">
        <v>2390</v>
      </c>
      <c r="E30" s="1107"/>
      <c r="F30" s="1107">
        <v>1890</v>
      </c>
      <c r="G30" s="1107"/>
      <c r="H30" s="1107"/>
      <c r="I30" s="433">
        <f t="shared" si="1"/>
        <v>0</v>
      </c>
      <c r="J30" s="433">
        <f t="shared" si="2"/>
        <v>1890</v>
      </c>
      <c r="K30" s="1107"/>
      <c r="L30" s="1046" t="s">
        <v>1615</v>
      </c>
    </row>
    <row r="31" spans="1:12" x14ac:dyDescent="0.2">
      <c r="A31" s="456"/>
      <c r="B31" s="456"/>
      <c r="C31" s="456"/>
      <c r="D31" s="456"/>
      <c r="E31" s="456"/>
      <c r="F31" s="456"/>
      <c r="G31" s="456"/>
      <c r="H31" s="456"/>
      <c r="I31" s="456"/>
      <c r="J31" s="456"/>
      <c r="K31" s="456"/>
    </row>
    <row r="32" spans="1:12" x14ac:dyDescent="0.25">
      <c r="A32" s="2136" t="s">
        <v>499</v>
      </c>
      <c r="B32" s="2136"/>
      <c r="C32" s="757" t="s">
        <v>1617</v>
      </c>
      <c r="D32" s="757"/>
      <c r="E32" s="757"/>
      <c r="F32" s="757"/>
      <c r="G32" s="757"/>
      <c r="H32" s="757"/>
      <c r="I32" s="757"/>
      <c r="J32" s="757"/>
      <c r="K32" s="757"/>
      <c r="L32" s="757"/>
    </row>
    <row r="33" spans="1:12" x14ac:dyDescent="0.25">
      <c r="A33" s="2136" t="s">
        <v>500</v>
      </c>
      <c r="B33" s="2136"/>
      <c r="C33" s="1100" t="s">
        <v>1584</v>
      </c>
      <c r="D33" s="797"/>
      <c r="E33" s="797"/>
      <c r="F33" s="797"/>
      <c r="G33" s="797"/>
      <c r="H33" s="797"/>
      <c r="I33" s="797"/>
      <c r="J33" s="797"/>
      <c r="K33" s="797"/>
      <c r="L33" s="797"/>
    </row>
    <row r="34" spans="1:12" ht="26.25" customHeight="1" x14ac:dyDescent="0.25">
      <c r="A34" s="2083" t="s">
        <v>501</v>
      </c>
      <c r="B34" s="2083" t="s">
        <v>502</v>
      </c>
      <c r="C34" s="2083"/>
      <c r="D34" s="2083" t="s">
        <v>503</v>
      </c>
      <c r="E34" s="2069" t="s">
        <v>504</v>
      </c>
      <c r="F34" s="2069"/>
      <c r="G34" s="2069" t="s">
        <v>505</v>
      </c>
      <c r="H34" s="2069"/>
      <c r="I34" s="2069" t="s">
        <v>506</v>
      </c>
      <c r="J34" s="2069"/>
      <c r="K34" s="2069" t="s">
        <v>36</v>
      </c>
      <c r="L34" s="2083" t="s">
        <v>507</v>
      </c>
    </row>
    <row r="35" spans="1:12" ht="29.25" customHeight="1" x14ac:dyDescent="0.25">
      <c r="A35" s="2083"/>
      <c r="B35" s="2083"/>
      <c r="C35" s="2083"/>
      <c r="D35" s="2083"/>
      <c r="E35" s="1101" t="s">
        <v>1113</v>
      </c>
      <c r="F35" s="1101" t="s">
        <v>1114</v>
      </c>
      <c r="G35" s="1101" t="s">
        <v>1113</v>
      </c>
      <c r="H35" s="1101" t="s">
        <v>1114</v>
      </c>
      <c r="I35" s="1101" t="s">
        <v>1113</v>
      </c>
      <c r="J35" s="1101" t="s">
        <v>1114</v>
      </c>
      <c r="K35" s="2069"/>
      <c r="L35" s="2083"/>
    </row>
    <row r="36" spans="1:12" x14ac:dyDescent="0.25">
      <c r="A36" s="2084" t="s">
        <v>549</v>
      </c>
      <c r="B36" s="2084"/>
      <c r="C36" s="2084"/>
      <c r="D36" s="958"/>
      <c r="E36" s="958">
        <f>SUM(E37:E40)</f>
        <v>98100</v>
      </c>
      <c r="F36" s="958">
        <f t="shared" ref="F36:J36" si="3">SUM(F37:F40)</f>
        <v>0</v>
      </c>
      <c r="G36" s="958">
        <f t="shared" si="3"/>
        <v>0</v>
      </c>
      <c r="H36" s="958">
        <f t="shared" si="3"/>
        <v>0</v>
      </c>
      <c r="I36" s="958">
        <f t="shared" si="3"/>
        <v>98100</v>
      </c>
      <c r="J36" s="958">
        <f t="shared" si="3"/>
        <v>0</v>
      </c>
      <c r="K36" s="958"/>
      <c r="L36" s="958"/>
    </row>
    <row r="37" spans="1:12" ht="49.5" customHeight="1" x14ac:dyDescent="0.25">
      <c r="A37" s="1044">
        <v>1</v>
      </c>
      <c r="B37" s="2166" t="s">
        <v>1618</v>
      </c>
      <c r="C37" s="2166"/>
      <c r="D37" s="1106">
        <v>2239</v>
      </c>
      <c r="E37" s="433">
        <v>60000</v>
      </c>
      <c r="F37" s="433"/>
      <c r="G37" s="433"/>
      <c r="H37" s="433"/>
      <c r="I37" s="433">
        <f>E37+G37</f>
        <v>60000</v>
      </c>
      <c r="J37" s="433">
        <f>F37+H37</f>
        <v>0</v>
      </c>
      <c r="K37" s="433"/>
      <c r="L37" s="1046" t="s">
        <v>1619</v>
      </c>
    </row>
    <row r="38" spans="1:12" ht="39" customHeight="1" x14ac:dyDescent="0.25">
      <c r="A38" s="1044">
        <v>2</v>
      </c>
      <c r="B38" s="2164" t="s">
        <v>1620</v>
      </c>
      <c r="C38" s="2164"/>
      <c r="D38" s="1106">
        <v>2314</v>
      </c>
      <c r="E38" s="433">
        <v>6000</v>
      </c>
      <c r="F38" s="433"/>
      <c r="G38" s="433"/>
      <c r="H38" s="433"/>
      <c r="I38" s="433">
        <f t="shared" ref="I38:J40" si="4">E38+G38</f>
        <v>6000</v>
      </c>
      <c r="J38" s="433">
        <f t="shared" si="4"/>
        <v>0</v>
      </c>
      <c r="K38" s="433"/>
      <c r="L38" s="1110" t="s">
        <v>1621</v>
      </c>
    </row>
    <row r="39" spans="1:12" ht="39" customHeight="1" x14ac:dyDescent="0.25">
      <c r="A39" s="1044">
        <v>3</v>
      </c>
      <c r="B39" s="2165" t="s">
        <v>1622</v>
      </c>
      <c r="C39" s="2165"/>
      <c r="D39" s="1106">
        <v>2279</v>
      </c>
      <c r="E39" s="433">
        <v>22100</v>
      </c>
      <c r="F39" s="433"/>
      <c r="G39" s="433"/>
      <c r="H39" s="433"/>
      <c r="I39" s="433">
        <f t="shared" si="4"/>
        <v>22100</v>
      </c>
      <c r="J39" s="433">
        <f t="shared" si="4"/>
        <v>0</v>
      </c>
      <c r="K39" s="433"/>
      <c r="L39" s="1110" t="s">
        <v>1623</v>
      </c>
    </row>
    <row r="40" spans="1:12" ht="38.25" customHeight="1" x14ac:dyDescent="0.25">
      <c r="A40" s="1044">
        <v>4</v>
      </c>
      <c r="B40" s="2164" t="s">
        <v>1624</v>
      </c>
      <c r="C40" s="2164"/>
      <c r="D40" s="1106">
        <v>5234</v>
      </c>
      <c r="E40" s="433">
        <v>10000</v>
      </c>
      <c r="F40" s="433"/>
      <c r="G40" s="433"/>
      <c r="H40" s="433"/>
      <c r="I40" s="433">
        <f t="shared" si="4"/>
        <v>10000</v>
      </c>
      <c r="J40" s="433">
        <f t="shared" si="4"/>
        <v>0</v>
      </c>
      <c r="K40" s="433"/>
      <c r="L40" s="1110" t="s">
        <v>1625</v>
      </c>
    </row>
    <row r="41" spans="1:12" x14ac:dyDescent="0.2">
      <c r="A41" s="456"/>
      <c r="B41" s="456"/>
      <c r="C41" s="456"/>
      <c r="D41" s="456"/>
      <c r="E41" s="456"/>
      <c r="F41" s="456"/>
      <c r="G41" s="456"/>
      <c r="H41" s="456"/>
      <c r="I41" s="456"/>
      <c r="J41" s="456"/>
      <c r="K41" s="456"/>
    </row>
    <row r="42" spans="1:12" x14ac:dyDescent="0.25">
      <c r="A42" s="2136" t="s">
        <v>499</v>
      </c>
      <c r="B42" s="2136"/>
      <c r="C42" s="774" t="s">
        <v>1580</v>
      </c>
    </row>
    <row r="43" spans="1:12" x14ac:dyDescent="0.25">
      <c r="A43" s="2136" t="s">
        <v>500</v>
      </c>
      <c r="B43" s="2136"/>
      <c r="C43" s="1111" t="s">
        <v>1579</v>
      </c>
      <c r="D43" s="1112"/>
    </row>
    <row r="44" spans="1:12" ht="27.75" customHeight="1" x14ac:dyDescent="0.25">
      <c r="A44" s="2083" t="s">
        <v>501</v>
      </c>
      <c r="B44" s="2083" t="s">
        <v>502</v>
      </c>
      <c r="C44" s="2083"/>
      <c r="D44" s="2083" t="s">
        <v>503</v>
      </c>
      <c r="E44" s="2069" t="s">
        <v>504</v>
      </c>
      <c r="F44" s="2069"/>
      <c r="G44" s="2069" t="s">
        <v>505</v>
      </c>
      <c r="H44" s="2069"/>
      <c r="I44" s="2069" t="s">
        <v>506</v>
      </c>
      <c r="J44" s="2069"/>
      <c r="K44" s="2069" t="s">
        <v>36</v>
      </c>
      <c r="L44" s="2083" t="s">
        <v>507</v>
      </c>
    </row>
    <row r="45" spans="1:12" ht="24" x14ac:dyDescent="0.25">
      <c r="A45" s="2083"/>
      <c r="B45" s="2083"/>
      <c r="C45" s="2083"/>
      <c r="D45" s="2083"/>
      <c r="E45" s="1101" t="s">
        <v>1113</v>
      </c>
      <c r="F45" s="1101" t="s">
        <v>1114</v>
      </c>
      <c r="G45" s="1101" t="s">
        <v>1113</v>
      </c>
      <c r="H45" s="1101" t="s">
        <v>1114</v>
      </c>
      <c r="I45" s="1101" t="s">
        <v>1113</v>
      </c>
      <c r="J45" s="1101" t="s">
        <v>1114</v>
      </c>
      <c r="K45" s="2069"/>
      <c r="L45" s="2083"/>
    </row>
    <row r="46" spans="1:12" s="770" customFormat="1" x14ac:dyDescent="0.2">
      <c r="A46" s="2056" t="s">
        <v>549</v>
      </c>
      <c r="B46" s="2056"/>
      <c r="C46" s="2056"/>
      <c r="D46" s="958"/>
      <c r="E46" s="958">
        <f>SUM(E47:E58)</f>
        <v>385550</v>
      </c>
      <c r="F46" s="958">
        <f t="shared" ref="F46:J46" si="5">SUM(F47:F58)</f>
        <v>0</v>
      </c>
      <c r="G46" s="958">
        <f t="shared" si="5"/>
        <v>0</v>
      </c>
      <c r="H46" s="958">
        <f t="shared" si="5"/>
        <v>0</v>
      </c>
      <c r="I46" s="958">
        <f t="shared" si="5"/>
        <v>385550</v>
      </c>
      <c r="J46" s="958">
        <f t="shared" si="5"/>
        <v>0</v>
      </c>
      <c r="K46" s="958"/>
      <c r="L46" s="958"/>
    </row>
    <row r="47" spans="1:12" s="401" customFormat="1" ht="51.75" customHeight="1" x14ac:dyDescent="0.2">
      <c r="A47" s="1113">
        <v>1</v>
      </c>
      <c r="B47" s="2167" t="s">
        <v>1626</v>
      </c>
      <c r="C47" s="2167"/>
      <c r="D47" s="1106">
        <v>2239</v>
      </c>
      <c r="E47" s="433">
        <v>185000</v>
      </c>
      <c r="F47" s="1029"/>
      <c r="G47" s="1114">
        <f>-5000-3000</f>
        <v>-8000</v>
      </c>
      <c r="H47" s="1029"/>
      <c r="I47" s="427">
        <f>E47+G47</f>
        <v>177000</v>
      </c>
      <c r="J47" s="1029">
        <f>F47+H47</f>
        <v>0</v>
      </c>
      <c r="K47" s="1115" t="s">
        <v>1627</v>
      </c>
      <c r="L47" s="1046" t="s">
        <v>1628</v>
      </c>
    </row>
    <row r="48" spans="1:12" s="401" customFormat="1" ht="74.25" customHeight="1" x14ac:dyDescent="0.2">
      <c r="A48" s="1113">
        <v>2</v>
      </c>
      <c r="B48" s="2050" t="s">
        <v>1629</v>
      </c>
      <c r="C48" s="2050"/>
      <c r="D48" s="1106">
        <v>2239</v>
      </c>
      <c r="E48" s="433">
        <v>100000</v>
      </c>
      <c r="F48" s="1029"/>
      <c r="G48" s="1029"/>
      <c r="H48" s="1029"/>
      <c r="I48" s="427">
        <f t="shared" ref="I48:J58" si="6">E48+G48</f>
        <v>100000</v>
      </c>
      <c r="J48" s="1029">
        <f t="shared" si="6"/>
        <v>0</v>
      </c>
      <c r="K48" s="1029"/>
      <c r="L48" s="1046" t="s">
        <v>1630</v>
      </c>
    </row>
    <row r="49" spans="1:12" s="401" customFormat="1" ht="18.75" customHeight="1" x14ac:dyDescent="0.2">
      <c r="A49" s="2059">
        <v>3</v>
      </c>
      <c r="B49" s="2164" t="s">
        <v>1631</v>
      </c>
      <c r="C49" s="2164"/>
      <c r="D49" s="1106">
        <v>2314</v>
      </c>
      <c r="E49" s="433">
        <v>24000</v>
      </c>
      <c r="F49" s="1029"/>
      <c r="G49" s="1114">
        <v>5000</v>
      </c>
      <c r="H49" s="1029"/>
      <c r="I49" s="427">
        <f t="shared" si="6"/>
        <v>29000</v>
      </c>
      <c r="J49" s="1029">
        <f t="shared" si="6"/>
        <v>0</v>
      </c>
      <c r="K49" s="1115" t="s">
        <v>1632</v>
      </c>
      <c r="L49" s="2085" t="s">
        <v>1633</v>
      </c>
    </row>
    <row r="50" spans="1:12" s="401" customFormat="1" ht="18.75" customHeight="1" x14ac:dyDescent="0.2">
      <c r="A50" s="2059"/>
      <c r="B50" s="2164"/>
      <c r="C50" s="2164"/>
      <c r="D50" s="1106">
        <v>5239</v>
      </c>
      <c r="E50" s="433">
        <v>5500</v>
      </c>
      <c r="F50" s="1029"/>
      <c r="G50" s="1029"/>
      <c r="H50" s="1029"/>
      <c r="I50" s="427">
        <f t="shared" si="6"/>
        <v>5500</v>
      </c>
      <c r="J50" s="1029">
        <f t="shared" si="6"/>
        <v>0</v>
      </c>
      <c r="K50" s="1029"/>
      <c r="L50" s="2085"/>
    </row>
    <row r="51" spans="1:12" s="401" customFormat="1" ht="23.25" customHeight="1" x14ac:dyDescent="0.2">
      <c r="A51" s="1113">
        <v>4</v>
      </c>
      <c r="B51" s="2050" t="s">
        <v>1634</v>
      </c>
      <c r="C51" s="2050"/>
      <c r="D51" s="1106">
        <v>5110</v>
      </c>
      <c r="E51" s="433">
        <v>12100</v>
      </c>
      <c r="F51" s="1116"/>
      <c r="G51" s="1116"/>
      <c r="H51" s="1116"/>
      <c r="I51" s="427">
        <f t="shared" si="6"/>
        <v>12100</v>
      </c>
      <c r="J51" s="1029">
        <f t="shared" si="6"/>
        <v>0</v>
      </c>
      <c r="K51" s="1116"/>
      <c r="L51" s="1046" t="s">
        <v>1635</v>
      </c>
    </row>
    <row r="52" spans="1:12" s="401" customFormat="1" ht="15" customHeight="1" x14ac:dyDescent="0.2">
      <c r="A52" s="1113">
        <v>5</v>
      </c>
      <c r="B52" s="2167" t="s">
        <v>1636</v>
      </c>
      <c r="C52" s="2167"/>
      <c r="D52" s="1106">
        <v>2231</v>
      </c>
      <c r="E52" s="433">
        <v>4000</v>
      </c>
      <c r="F52" s="1116"/>
      <c r="G52" s="1116"/>
      <c r="H52" s="1116"/>
      <c r="I52" s="427">
        <f t="shared" si="6"/>
        <v>4000</v>
      </c>
      <c r="J52" s="1029">
        <f t="shared" si="6"/>
        <v>0</v>
      </c>
      <c r="K52" s="1116"/>
      <c r="L52" s="1046" t="s">
        <v>1615</v>
      </c>
    </row>
    <row r="53" spans="1:12" s="401" customFormat="1" ht="63" customHeight="1" x14ac:dyDescent="0.2">
      <c r="A53" s="1001">
        <v>6</v>
      </c>
      <c r="B53" s="2165" t="s">
        <v>1637</v>
      </c>
      <c r="C53" s="2165"/>
      <c r="D53" s="1106">
        <v>2279</v>
      </c>
      <c r="E53" s="433">
        <v>31500</v>
      </c>
      <c r="F53" s="1029"/>
      <c r="G53" s="1114">
        <f>5843</f>
        <v>5843</v>
      </c>
      <c r="H53" s="1029"/>
      <c r="I53" s="427">
        <f t="shared" si="6"/>
        <v>37343</v>
      </c>
      <c r="J53" s="1029">
        <f t="shared" si="6"/>
        <v>0</v>
      </c>
      <c r="K53" s="1115" t="s">
        <v>1638</v>
      </c>
      <c r="L53" s="1046" t="s">
        <v>1639</v>
      </c>
    </row>
    <row r="54" spans="1:12" s="401" customFormat="1" ht="12.75" customHeight="1" x14ac:dyDescent="0.2">
      <c r="A54" s="2059">
        <v>7</v>
      </c>
      <c r="B54" s="2050" t="s">
        <v>1640</v>
      </c>
      <c r="C54" s="2050"/>
      <c r="D54" s="1106">
        <v>1150</v>
      </c>
      <c r="E54" s="433">
        <v>5000</v>
      </c>
      <c r="F54" s="1029"/>
      <c r="G54" s="1029"/>
      <c r="H54" s="1029"/>
      <c r="I54" s="427">
        <f t="shared" si="6"/>
        <v>5000</v>
      </c>
      <c r="J54" s="1029">
        <f t="shared" si="6"/>
        <v>0</v>
      </c>
      <c r="K54" s="1029"/>
      <c r="L54" s="2085" t="s">
        <v>1635</v>
      </c>
    </row>
    <row r="55" spans="1:12" s="401" customFormat="1" ht="13.5" customHeight="1" x14ac:dyDescent="0.2">
      <c r="A55" s="2059"/>
      <c r="B55" s="2050"/>
      <c r="C55" s="2050"/>
      <c r="D55" s="1106">
        <v>1210</v>
      </c>
      <c r="E55" s="433">
        <v>350</v>
      </c>
      <c r="F55" s="1029"/>
      <c r="G55" s="1029"/>
      <c r="H55" s="1029"/>
      <c r="I55" s="427">
        <f t="shared" si="6"/>
        <v>350</v>
      </c>
      <c r="J55" s="1029">
        <f t="shared" si="6"/>
        <v>0</v>
      </c>
      <c r="K55" s="1029"/>
      <c r="L55" s="2085"/>
    </row>
    <row r="56" spans="1:12" s="401" customFormat="1" hidden="1" x14ac:dyDescent="0.2">
      <c r="A56" s="1113">
        <v>10</v>
      </c>
      <c r="B56" s="2167" t="s">
        <v>1641</v>
      </c>
      <c r="C56" s="2167"/>
      <c r="D56" s="1106">
        <v>2232</v>
      </c>
      <c r="E56" s="433"/>
      <c r="F56" s="1029"/>
      <c r="G56" s="1029"/>
      <c r="H56" s="1029"/>
      <c r="I56" s="427">
        <f t="shared" si="6"/>
        <v>0</v>
      </c>
      <c r="J56" s="1029">
        <f t="shared" si="6"/>
        <v>0</v>
      </c>
      <c r="K56" s="1029"/>
      <c r="L56" s="1046" t="s">
        <v>1642</v>
      </c>
    </row>
    <row r="57" spans="1:12" s="401" customFormat="1" ht="26.25" customHeight="1" x14ac:dyDescent="0.2">
      <c r="A57" s="1113">
        <v>8</v>
      </c>
      <c r="B57" s="2167" t="s">
        <v>1643</v>
      </c>
      <c r="C57" s="2167"/>
      <c r="D57" s="1106">
        <v>2232</v>
      </c>
      <c r="E57" s="433">
        <v>12100</v>
      </c>
      <c r="F57" s="1029"/>
      <c r="G57" s="1114">
        <v>-2843</v>
      </c>
      <c r="H57" s="1029"/>
      <c r="I57" s="427">
        <f t="shared" si="6"/>
        <v>9257</v>
      </c>
      <c r="J57" s="1029">
        <f t="shared" si="6"/>
        <v>0</v>
      </c>
      <c r="K57" s="1115" t="s">
        <v>1644</v>
      </c>
      <c r="L57" s="1046" t="s">
        <v>1645</v>
      </c>
    </row>
    <row r="58" spans="1:12" s="401" customFormat="1" ht="24" x14ac:dyDescent="0.2">
      <c r="A58" s="1113">
        <v>9</v>
      </c>
      <c r="B58" s="2167" t="s">
        <v>1646</v>
      </c>
      <c r="C58" s="2167"/>
      <c r="D58" s="1106">
        <v>5110</v>
      </c>
      <c r="E58" s="433">
        <v>6000</v>
      </c>
      <c r="F58" s="1029"/>
      <c r="G58" s="1117"/>
      <c r="H58" s="1029"/>
      <c r="I58" s="427">
        <f t="shared" si="6"/>
        <v>6000</v>
      </c>
      <c r="J58" s="1029"/>
      <c r="K58" s="1115"/>
      <c r="L58" s="1043" t="s">
        <v>1647</v>
      </c>
    </row>
    <row r="59" spans="1:12" s="401" customFormat="1" ht="6" customHeight="1" x14ac:dyDescent="0.2">
      <c r="D59" s="1118"/>
      <c r="E59" s="1118"/>
    </row>
    <row r="60" spans="1:12" s="401" customFormat="1" ht="12" customHeight="1" x14ac:dyDescent="0.2">
      <c r="A60" s="774" t="s">
        <v>570</v>
      </c>
      <c r="B60" s="774"/>
      <c r="C60" s="774"/>
      <c r="D60" s="1118"/>
      <c r="E60" s="1118"/>
    </row>
    <row r="61" spans="1:12" s="401" customFormat="1" ht="12" customHeight="1" x14ac:dyDescent="0.2">
      <c r="A61" s="774" t="s">
        <v>807</v>
      </c>
      <c r="B61" s="774"/>
      <c r="C61" s="774"/>
      <c r="D61" s="1118"/>
      <c r="E61" s="1118"/>
    </row>
    <row r="62" spans="1:12" s="401" customFormat="1" ht="12" customHeight="1" x14ac:dyDescent="0.2">
      <c r="A62" s="1119" t="s">
        <v>1648</v>
      </c>
      <c r="B62" s="1119"/>
      <c r="C62" s="1119"/>
      <c r="D62" s="1118"/>
      <c r="E62" s="1100"/>
      <c r="F62" s="1100"/>
      <c r="G62" s="1100"/>
      <c r="H62" s="1100"/>
      <c r="I62" s="1100"/>
      <c r="J62" s="1100"/>
      <c r="K62" s="1100"/>
      <c r="L62" s="1100"/>
    </row>
    <row r="63" spans="1:12" s="401" customFormat="1" x14ac:dyDescent="0.2">
      <c r="A63" s="1118" t="s">
        <v>1649</v>
      </c>
      <c r="B63" s="1118"/>
      <c r="C63" s="1118"/>
      <c r="D63" s="1118"/>
      <c r="E63" s="815"/>
      <c r="F63" s="1120"/>
      <c r="G63" s="1120"/>
      <c r="H63" s="1120"/>
      <c r="I63" s="1120"/>
      <c r="J63" s="1120"/>
      <c r="K63" s="1120"/>
      <c r="L63" s="1120"/>
    </row>
    <row r="64" spans="1:12" s="401" customFormat="1" ht="12" customHeight="1" x14ac:dyDescent="0.2">
      <c r="A64" s="1118" t="s">
        <v>1356</v>
      </c>
      <c r="B64" s="1118"/>
      <c r="C64" s="1121"/>
      <c r="D64" s="445"/>
      <c r="L64" s="1120"/>
    </row>
    <row r="65" spans="1:12" s="401" customFormat="1" ht="12" customHeight="1" x14ac:dyDescent="0.2">
      <c r="A65" s="1122" t="s">
        <v>1650</v>
      </c>
      <c r="B65" s="1118"/>
      <c r="C65" s="1118"/>
      <c r="D65" s="445"/>
      <c r="L65" s="1120"/>
    </row>
    <row r="66" spans="1:12" s="401" customFormat="1" ht="12" customHeight="1" x14ac:dyDescent="0.2">
      <c r="A66" s="1122" t="s">
        <v>1651</v>
      </c>
      <c r="B66" s="1118"/>
      <c r="C66" s="1118"/>
      <c r="D66" s="995"/>
      <c r="L66" s="757"/>
    </row>
    <row r="67" spans="1:12" s="401" customFormat="1" ht="12" customHeight="1" x14ac:dyDescent="0.2">
      <c r="A67" s="1123" t="s">
        <v>1652</v>
      </c>
      <c r="B67" s="1109"/>
      <c r="C67" s="1109"/>
      <c r="D67" s="1124"/>
      <c r="L67" s="757"/>
    </row>
    <row r="68" spans="1:12" s="401" customFormat="1" ht="12" customHeight="1" x14ac:dyDescent="0.2">
      <c r="A68" s="1122" t="s">
        <v>1653</v>
      </c>
      <c r="B68" s="1118"/>
      <c r="C68" s="1118"/>
      <c r="D68" s="1124"/>
      <c r="E68" s="757"/>
      <c r="F68" s="757"/>
      <c r="G68" s="757"/>
      <c r="H68" s="757"/>
      <c r="I68" s="757"/>
      <c r="J68" s="757"/>
      <c r="K68" s="757"/>
      <c r="L68" s="757"/>
    </row>
    <row r="69" spans="1:12" s="401" customFormat="1" x14ac:dyDescent="0.2">
      <c r="A69" s="1123" t="s">
        <v>1654</v>
      </c>
      <c r="B69" s="1109"/>
      <c r="C69" s="1109"/>
      <c r="D69" s="428"/>
      <c r="E69" s="757"/>
      <c r="F69" s="757"/>
      <c r="G69" s="757"/>
      <c r="H69" s="757"/>
      <c r="I69" s="757"/>
      <c r="J69" s="757"/>
      <c r="K69" s="757"/>
      <c r="L69" s="757"/>
    </row>
    <row r="70" spans="1:12" s="401" customFormat="1" x14ac:dyDescent="0.2">
      <c r="A70" s="757" t="s">
        <v>1655</v>
      </c>
      <c r="B70" s="1109"/>
      <c r="C70" s="1109"/>
      <c r="D70" s="428"/>
      <c r="E70" s="757"/>
      <c r="F70" s="757"/>
      <c r="G70" s="757"/>
      <c r="H70" s="757"/>
      <c r="I70" s="757"/>
      <c r="J70" s="757"/>
      <c r="K70" s="757"/>
      <c r="L70" s="757"/>
    </row>
    <row r="71" spans="1:12" s="401" customFormat="1" x14ac:dyDescent="0.2">
      <c r="A71" s="757" t="s">
        <v>1656</v>
      </c>
      <c r="B71" s="1109"/>
      <c r="C71" s="1109"/>
      <c r="D71" s="428"/>
      <c r="E71" s="757"/>
      <c r="F71" s="757"/>
      <c r="G71" s="757"/>
      <c r="H71" s="757"/>
      <c r="I71" s="757"/>
      <c r="J71" s="757"/>
      <c r="K71" s="757"/>
      <c r="L71" s="757"/>
    </row>
    <row r="72" spans="1:12" s="401" customFormat="1" ht="12" customHeight="1" x14ac:dyDescent="0.2">
      <c r="A72" s="1122" t="s">
        <v>1657</v>
      </c>
      <c r="B72" s="1118"/>
      <c r="C72" s="1118"/>
      <c r="D72" s="428"/>
      <c r="E72" s="757"/>
      <c r="F72" s="757"/>
      <c r="G72" s="757"/>
      <c r="H72" s="757"/>
      <c r="I72" s="757"/>
      <c r="J72" s="757"/>
      <c r="K72" s="757"/>
      <c r="L72" s="757"/>
    </row>
    <row r="73" spans="1:12" s="401" customFormat="1" x14ac:dyDescent="0.2">
      <c r="A73" s="815" t="s">
        <v>1658</v>
      </c>
      <c r="B73" s="1125"/>
      <c r="C73" s="1125"/>
      <c r="D73" s="428"/>
      <c r="E73" s="757"/>
      <c r="F73" s="757"/>
      <c r="G73" s="757"/>
      <c r="H73" s="757"/>
      <c r="I73" s="757"/>
      <c r="J73" s="757"/>
      <c r="K73" s="757"/>
      <c r="L73" s="757"/>
    </row>
    <row r="74" spans="1:12" s="401" customFormat="1" x14ac:dyDescent="0.2">
      <c r="A74" s="815" t="s">
        <v>1356</v>
      </c>
      <c r="B74" s="1125"/>
      <c r="C74" s="1125"/>
      <c r="D74" s="428"/>
      <c r="E74" s="757"/>
      <c r="F74" s="757"/>
      <c r="G74" s="757"/>
      <c r="H74" s="757"/>
      <c r="I74" s="757"/>
      <c r="J74" s="757"/>
      <c r="K74" s="757"/>
      <c r="L74" s="757"/>
    </row>
    <row r="75" spans="1:12" s="401" customFormat="1" x14ac:dyDescent="0.2">
      <c r="A75" s="1122" t="s">
        <v>1659</v>
      </c>
      <c r="B75" s="1125"/>
      <c r="C75" s="1125"/>
      <c r="D75" s="428"/>
      <c r="E75" s="757"/>
      <c r="F75" s="757"/>
      <c r="G75" s="757"/>
      <c r="H75" s="757"/>
      <c r="I75" s="757"/>
      <c r="J75" s="757"/>
      <c r="K75" s="757"/>
      <c r="L75" s="757"/>
    </row>
    <row r="76" spans="1:12" s="401" customFormat="1" ht="12" customHeight="1" x14ac:dyDescent="0.2">
      <c r="A76" s="815" t="s">
        <v>1660</v>
      </c>
      <c r="B76" s="1125"/>
      <c r="C76" s="1125"/>
      <c r="D76" s="428"/>
      <c r="E76" s="757"/>
      <c r="F76" s="757"/>
      <c r="G76" s="757"/>
      <c r="H76" s="757"/>
      <c r="I76" s="757"/>
      <c r="J76" s="757"/>
      <c r="K76" s="757"/>
      <c r="L76" s="757"/>
    </row>
    <row r="77" spans="1:12" s="401" customFormat="1" ht="12" customHeight="1" x14ac:dyDescent="0.2">
      <c r="A77" s="1122" t="s">
        <v>1661</v>
      </c>
      <c r="B77" s="1118"/>
      <c r="C77" s="1118"/>
      <c r="D77" s="428"/>
      <c r="E77" s="757"/>
      <c r="L77" s="757"/>
    </row>
    <row r="78" spans="1:12" s="401" customFormat="1" x14ac:dyDescent="0.2">
      <c r="A78" s="1122" t="s">
        <v>1662</v>
      </c>
      <c r="B78" s="1118"/>
      <c r="C78" s="1118"/>
      <c r="D78" s="428"/>
      <c r="E78" s="757"/>
      <c r="L78" s="757"/>
    </row>
    <row r="79" spans="1:12" s="401" customFormat="1" x14ac:dyDescent="0.2">
      <c r="A79" s="815" t="s">
        <v>1663</v>
      </c>
      <c r="B79" s="1120"/>
      <c r="C79" s="1118"/>
      <c r="D79" s="428"/>
      <c r="E79" s="757"/>
      <c r="F79" s="757"/>
      <c r="G79" s="757"/>
      <c r="H79" s="757"/>
      <c r="I79" s="757"/>
      <c r="J79" s="757"/>
      <c r="K79" s="757"/>
      <c r="L79" s="757"/>
    </row>
    <row r="80" spans="1:12" s="401" customFormat="1" x14ac:dyDescent="0.2">
      <c r="A80" s="815" t="s">
        <v>1356</v>
      </c>
      <c r="B80" s="1120"/>
      <c r="C80" s="1118"/>
      <c r="D80" s="428"/>
      <c r="E80" s="757"/>
      <c r="F80" s="757"/>
      <c r="G80" s="757"/>
      <c r="H80" s="757"/>
      <c r="I80" s="757"/>
      <c r="J80" s="757"/>
      <c r="K80" s="757"/>
      <c r="L80" s="757"/>
    </row>
    <row r="81" spans="1:14" s="401" customFormat="1" x14ac:dyDescent="0.2">
      <c r="A81" s="757" t="s">
        <v>1664</v>
      </c>
      <c r="C81" s="1118"/>
      <c r="D81" s="428"/>
      <c r="E81" s="757"/>
      <c r="F81" s="757"/>
      <c r="G81" s="757"/>
      <c r="H81" s="757"/>
      <c r="I81" s="757"/>
      <c r="J81" s="757"/>
      <c r="K81" s="757"/>
      <c r="L81" s="757"/>
    </row>
    <row r="82" spans="1:14" s="401" customFormat="1" x14ac:dyDescent="0.2">
      <c r="A82" s="757" t="s">
        <v>1665</v>
      </c>
      <c r="C82" s="1118"/>
      <c r="D82" s="428"/>
      <c r="E82" s="757"/>
      <c r="F82" s="757"/>
      <c r="G82" s="757"/>
      <c r="H82" s="757"/>
      <c r="I82" s="757"/>
      <c r="J82" s="757"/>
      <c r="K82" s="757"/>
      <c r="L82" s="757"/>
    </row>
    <row r="83" spans="1:14" s="401" customFormat="1" ht="12.75" customHeight="1" x14ac:dyDescent="0.2">
      <c r="A83" s="757" t="s">
        <v>1666</v>
      </c>
      <c r="B83" s="757"/>
      <c r="C83" s="1118"/>
      <c r="D83" s="428"/>
      <c r="L83" s="757"/>
    </row>
    <row r="84" spans="1:14" s="401" customFormat="1" ht="12.75" customHeight="1" x14ac:dyDescent="0.2">
      <c r="A84" s="757" t="s">
        <v>1667</v>
      </c>
      <c r="B84" s="757"/>
      <c r="C84" s="1118"/>
      <c r="D84" s="428"/>
      <c r="L84" s="757"/>
    </row>
    <row r="85" spans="1:14" s="401" customFormat="1" ht="12.75" customHeight="1" x14ac:dyDescent="0.2">
      <c r="A85" s="757" t="s">
        <v>1356</v>
      </c>
      <c r="B85" s="757"/>
      <c r="C85" s="1118"/>
      <c r="D85" s="428"/>
      <c r="L85" s="757"/>
    </row>
    <row r="86" spans="1:14" s="401" customFormat="1" ht="12.75" customHeight="1" x14ac:dyDescent="0.2">
      <c r="A86" s="757" t="s">
        <v>1668</v>
      </c>
      <c r="C86" s="1118"/>
      <c r="D86" s="428"/>
      <c r="L86" s="757"/>
    </row>
    <row r="87" spans="1:14" s="401" customFormat="1" ht="12.75" customHeight="1" x14ac:dyDescent="0.2">
      <c r="A87" s="1122" t="s">
        <v>1669</v>
      </c>
      <c r="B87" s="1118"/>
      <c r="C87" s="1118"/>
      <c r="D87" s="428"/>
      <c r="E87" s="757"/>
      <c r="F87" s="757"/>
      <c r="G87" s="757"/>
      <c r="H87" s="757"/>
      <c r="I87" s="757"/>
      <c r="J87" s="757"/>
      <c r="K87" s="757"/>
      <c r="L87" s="757"/>
    </row>
    <row r="88" spans="1:14" s="401" customFormat="1" ht="12.75" customHeight="1" x14ac:dyDescent="0.2">
      <c r="A88" s="1122" t="s">
        <v>1356</v>
      </c>
      <c r="B88" s="1118"/>
      <c r="C88" s="1118"/>
      <c r="D88" s="428"/>
      <c r="E88" s="757"/>
      <c r="F88" s="757"/>
      <c r="G88" s="757"/>
      <c r="H88" s="757"/>
      <c r="I88" s="757"/>
      <c r="J88" s="757"/>
      <c r="K88" s="757"/>
      <c r="L88" s="757"/>
    </row>
    <row r="89" spans="1:14" s="401" customFormat="1" ht="12.75" customHeight="1" x14ac:dyDescent="0.2">
      <c r="A89" s="1122" t="s">
        <v>1670</v>
      </c>
      <c r="B89" s="1118"/>
      <c r="C89" s="1118"/>
      <c r="D89" s="428"/>
      <c r="E89" s="757"/>
      <c r="F89" s="757"/>
      <c r="G89" s="757"/>
      <c r="H89" s="757"/>
      <c r="I89" s="757"/>
      <c r="J89" s="757"/>
      <c r="K89" s="757"/>
      <c r="L89" s="757"/>
    </row>
    <row r="90" spans="1:14" s="401" customFormat="1" ht="12.75" customHeight="1" x14ac:dyDescent="0.2">
      <c r="A90" s="1122" t="s">
        <v>1671</v>
      </c>
      <c r="B90" s="1118"/>
      <c r="C90" s="1118"/>
      <c r="D90" s="428"/>
      <c r="E90" s="757"/>
      <c r="F90" s="757"/>
      <c r="G90" s="757"/>
      <c r="H90" s="757"/>
      <c r="I90" s="757"/>
      <c r="J90" s="757"/>
      <c r="K90" s="757"/>
      <c r="L90" s="757"/>
    </row>
    <row r="91" spans="1:14" s="401" customFormat="1" ht="12.75" customHeight="1" x14ac:dyDescent="0.2">
      <c r="A91" s="1126" t="s">
        <v>1672</v>
      </c>
      <c r="B91" s="1127"/>
      <c r="C91" s="1127"/>
      <c r="D91" s="428"/>
      <c r="L91" s="774"/>
    </row>
    <row r="92" spans="1:14" s="401" customFormat="1" ht="12.75" customHeight="1" x14ac:dyDescent="0.2">
      <c r="A92" s="1128" t="s">
        <v>1673</v>
      </c>
      <c r="B92" s="974"/>
      <c r="C92" s="974"/>
      <c r="D92" s="456"/>
      <c r="L92" s="747"/>
    </row>
    <row r="93" spans="1:14" s="401" customFormat="1" x14ac:dyDescent="0.2">
      <c r="A93" s="1129" t="s">
        <v>1674</v>
      </c>
      <c r="B93" s="747"/>
      <c r="C93" s="995"/>
      <c r="D93" s="456"/>
      <c r="L93" s="747"/>
    </row>
    <row r="94" spans="1:14" s="401" customFormat="1" x14ac:dyDescent="0.2">
      <c r="A94" s="1130" t="s">
        <v>1675</v>
      </c>
      <c r="B94" s="747"/>
      <c r="C94" s="1124"/>
      <c r="D94" s="456"/>
      <c r="L94" s="747"/>
    </row>
    <row r="95" spans="1:14" x14ac:dyDescent="0.2">
      <c r="A95" s="1130" t="s">
        <v>1676</v>
      </c>
      <c r="B95" s="747"/>
      <c r="C95" s="1124"/>
      <c r="D95" s="456"/>
      <c r="L95" s="1045"/>
    </row>
    <row r="96" spans="1:14" x14ac:dyDescent="0.2">
      <c r="A96" s="1131" t="s">
        <v>1677</v>
      </c>
      <c r="B96" s="1132"/>
      <c r="C96" s="1132"/>
      <c r="M96" s="757"/>
      <c r="N96" s="757"/>
    </row>
    <row r="97" spans="1:15" ht="12" customHeight="1" x14ac:dyDescent="0.2">
      <c r="A97" s="757" t="s">
        <v>1678</v>
      </c>
      <c r="B97" s="1133"/>
      <c r="C97" s="1133"/>
      <c r="M97" s="757"/>
      <c r="N97" s="757"/>
    </row>
    <row r="98" spans="1:15" x14ac:dyDescent="0.2">
      <c r="A98" s="1020" t="s">
        <v>1679</v>
      </c>
      <c r="B98" s="1133"/>
      <c r="C98" s="1133"/>
      <c r="L98" s="747"/>
      <c r="M98" s="757"/>
      <c r="N98" s="757"/>
    </row>
    <row r="99" spans="1:15" x14ac:dyDescent="0.2">
      <c r="A99" s="757" t="s">
        <v>1680</v>
      </c>
      <c r="B99" s="1133"/>
      <c r="C99" s="1133"/>
      <c r="L99" s="1045"/>
      <c r="M99" s="757"/>
      <c r="N99" s="757"/>
    </row>
    <row r="100" spans="1:15" x14ac:dyDescent="0.2">
      <c r="A100" s="757" t="s">
        <v>1681</v>
      </c>
      <c r="B100" s="1133"/>
      <c r="C100" s="1133"/>
      <c r="M100" s="757"/>
      <c r="N100" s="757"/>
    </row>
    <row r="101" spans="1:15" x14ac:dyDescent="0.2">
      <c r="A101" s="1128" t="s">
        <v>1682</v>
      </c>
      <c r="B101" s="1133"/>
      <c r="C101" s="1133"/>
      <c r="M101" s="757"/>
      <c r="N101" s="757"/>
    </row>
    <row r="102" spans="1:15" x14ac:dyDescent="0.2">
      <c r="A102" s="757" t="s">
        <v>1683</v>
      </c>
      <c r="B102" s="1133"/>
      <c r="C102" s="1133"/>
      <c r="M102" s="757"/>
      <c r="N102" s="757"/>
    </row>
    <row r="103" spans="1:15" x14ac:dyDescent="0.2">
      <c r="A103" s="757" t="s">
        <v>1684</v>
      </c>
      <c r="B103" s="1133"/>
      <c r="C103" s="1133"/>
      <c r="F103" s="1128"/>
      <c r="G103" s="1128"/>
      <c r="H103" s="1128"/>
      <c r="I103" s="1128"/>
      <c r="J103" s="1128"/>
      <c r="K103" s="1128"/>
      <c r="L103" s="757"/>
      <c r="M103" s="757"/>
      <c r="N103" s="757"/>
    </row>
    <row r="104" spans="1:15" x14ac:dyDescent="0.2">
      <c r="A104" s="1134" t="s">
        <v>1685</v>
      </c>
      <c r="B104" s="1133"/>
      <c r="C104" s="1133"/>
      <c r="F104" s="1128"/>
      <c r="G104" s="1128"/>
      <c r="H104" s="1128"/>
      <c r="I104" s="1128"/>
      <c r="J104" s="1128"/>
      <c r="K104" s="1128"/>
      <c r="L104" s="757"/>
      <c r="M104" s="757"/>
      <c r="N104" s="757"/>
    </row>
    <row r="105" spans="1:15" x14ac:dyDescent="0.2">
      <c r="A105" s="1130" t="s">
        <v>1686</v>
      </c>
      <c r="B105" s="1124"/>
      <c r="C105" s="1124"/>
      <c r="F105" s="757"/>
      <c r="G105" s="757"/>
      <c r="H105" s="757"/>
      <c r="I105" s="757"/>
      <c r="J105" s="757"/>
      <c r="K105" s="757"/>
      <c r="L105" s="757"/>
      <c r="M105" s="757"/>
      <c r="N105" s="757"/>
    </row>
    <row r="106" spans="1:15" x14ac:dyDescent="0.25">
      <c r="A106" s="1135" t="s">
        <v>1687</v>
      </c>
      <c r="B106" s="1135"/>
      <c r="C106" s="1135"/>
      <c r="F106" s="1128"/>
      <c r="G106" s="1128"/>
      <c r="H106" s="1128"/>
      <c r="I106" s="1128"/>
      <c r="J106" s="1128"/>
      <c r="K106" s="1128"/>
      <c r="L106" s="757"/>
      <c r="M106" s="757"/>
      <c r="N106" s="757"/>
    </row>
    <row r="107" spans="1:15" x14ac:dyDescent="0.2">
      <c r="A107" s="1136" t="s">
        <v>1688</v>
      </c>
      <c r="B107" s="1135"/>
      <c r="C107" s="1135"/>
      <c r="F107" s="1128"/>
      <c r="G107" s="1128"/>
      <c r="H107" s="1128"/>
      <c r="I107" s="1128"/>
      <c r="J107" s="1128"/>
      <c r="K107" s="1128"/>
      <c r="L107" s="757"/>
      <c r="M107" s="757"/>
      <c r="N107" s="757"/>
    </row>
    <row r="108" spans="1:15" x14ac:dyDescent="0.25">
      <c r="A108" s="1082" t="s">
        <v>1666</v>
      </c>
      <c r="B108" s="1082"/>
      <c r="C108" s="1082"/>
      <c r="F108" s="757"/>
      <c r="G108" s="757"/>
      <c r="H108" s="757"/>
      <c r="I108" s="757"/>
      <c r="J108" s="757"/>
      <c r="K108" s="757"/>
      <c r="L108" s="757"/>
      <c r="M108" s="757"/>
      <c r="N108" s="757"/>
    </row>
    <row r="109" spans="1:15" x14ac:dyDescent="0.2">
      <c r="A109" s="1130" t="s">
        <v>1689</v>
      </c>
      <c r="B109" s="746"/>
      <c r="C109" s="746"/>
      <c r="F109" s="757"/>
      <c r="G109" s="757"/>
      <c r="H109" s="757"/>
      <c r="I109" s="757"/>
      <c r="J109" s="757"/>
      <c r="K109" s="757"/>
      <c r="L109" s="757"/>
      <c r="M109" s="757"/>
      <c r="N109" s="757"/>
      <c r="O109" s="757"/>
    </row>
    <row r="110" spans="1:15" x14ac:dyDescent="0.2">
      <c r="A110" s="1130" t="s">
        <v>1690</v>
      </c>
      <c r="B110" s="746"/>
      <c r="C110" s="746"/>
      <c r="E110" s="757"/>
      <c r="F110" s="757"/>
      <c r="G110" s="757"/>
      <c r="H110" s="757"/>
      <c r="I110" s="757"/>
      <c r="J110" s="757"/>
      <c r="K110" s="757"/>
      <c r="L110" s="757"/>
      <c r="M110" s="757"/>
      <c r="N110" s="757"/>
      <c r="O110" s="757"/>
    </row>
    <row r="111" spans="1:15" x14ac:dyDescent="0.2">
      <c r="A111" s="1130" t="s">
        <v>1356</v>
      </c>
      <c r="B111" s="746"/>
      <c r="C111" s="746"/>
      <c r="E111" s="757"/>
      <c r="F111" s="757"/>
      <c r="G111" s="757"/>
      <c r="H111" s="757"/>
      <c r="I111" s="757"/>
      <c r="J111" s="757"/>
      <c r="K111" s="757"/>
      <c r="L111" s="757"/>
      <c r="M111" s="757"/>
      <c r="N111" s="757"/>
      <c r="O111" s="757"/>
    </row>
    <row r="112" spans="1:15" x14ac:dyDescent="0.2">
      <c r="A112" s="1130" t="s">
        <v>1691</v>
      </c>
      <c r="B112" s="746"/>
      <c r="C112" s="746"/>
      <c r="F112" s="757"/>
      <c r="G112" s="757"/>
      <c r="H112" s="757"/>
      <c r="I112" s="757"/>
      <c r="J112" s="757"/>
      <c r="K112" s="757"/>
      <c r="L112" s="757"/>
      <c r="M112" s="757"/>
      <c r="N112" s="757"/>
      <c r="O112" s="757"/>
    </row>
    <row r="113" spans="1:15" x14ac:dyDescent="0.2">
      <c r="A113" s="1137" t="s">
        <v>1692</v>
      </c>
      <c r="B113" s="747"/>
      <c r="C113" s="1138"/>
      <c r="E113" s="401"/>
      <c r="F113" s="1100"/>
      <c r="G113" s="1100"/>
      <c r="H113" s="1100"/>
      <c r="I113" s="1100"/>
      <c r="J113" s="1100"/>
      <c r="K113" s="1100"/>
      <c r="L113" s="757"/>
      <c r="M113" s="757"/>
      <c r="N113" s="757"/>
      <c r="O113" s="757"/>
    </row>
    <row r="114" spans="1:15" x14ac:dyDescent="0.2">
      <c r="A114" s="1130" t="s">
        <v>1693</v>
      </c>
      <c r="B114" s="747"/>
      <c r="C114" s="1124"/>
      <c r="E114" s="757"/>
      <c r="L114" s="757"/>
      <c r="M114" s="757"/>
      <c r="N114" s="757"/>
      <c r="O114" s="757"/>
    </row>
    <row r="115" spans="1:15" x14ac:dyDescent="0.2">
      <c r="A115" s="1139" t="s">
        <v>1694</v>
      </c>
      <c r="B115" s="747"/>
      <c r="C115" s="746"/>
      <c r="E115" s="757"/>
      <c r="F115" s="757"/>
      <c r="G115" s="757"/>
      <c r="H115" s="757"/>
      <c r="I115" s="757"/>
      <c r="J115" s="757"/>
      <c r="K115" s="757"/>
      <c r="L115" s="757"/>
      <c r="M115" s="757"/>
      <c r="N115" s="757"/>
      <c r="O115" s="757"/>
    </row>
    <row r="116" spans="1:15" x14ac:dyDescent="0.2">
      <c r="A116" s="1137" t="s">
        <v>1695</v>
      </c>
      <c r="B116" s="747"/>
      <c r="C116" s="1138"/>
      <c r="F116" s="757"/>
      <c r="G116" s="757"/>
      <c r="H116" s="757"/>
      <c r="I116" s="757"/>
      <c r="J116" s="757"/>
      <c r="K116" s="757"/>
      <c r="L116" s="757"/>
      <c r="M116" s="1128"/>
      <c r="N116" s="1128"/>
      <c r="O116" s="1128"/>
    </row>
    <row r="117" spans="1:15" x14ac:dyDescent="0.2">
      <c r="A117" s="1137" t="s">
        <v>1696</v>
      </c>
      <c r="B117" s="747"/>
      <c r="C117" s="1138"/>
      <c r="F117" s="1128"/>
      <c r="G117" s="1128"/>
      <c r="H117" s="1128"/>
      <c r="I117" s="1128"/>
      <c r="J117" s="1128"/>
      <c r="K117" s="1128"/>
      <c r="L117" s="1128"/>
      <c r="M117" s="1128"/>
      <c r="N117" s="1128"/>
      <c r="O117" s="1128"/>
    </row>
    <row r="118" spans="1:15" x14ac:dyDescent="0.25">
      <c r="A118" s="757" t="s">
        <v>1697</v>
      </c>
      <c r="L118" s="1128"/>
      <c r="M118" s="1128"/>
      <c r="N118" s="1128"/>
      <c r="O118" s="1128"/>
    </row>
    <row r="119" spans="1:15" x14ac:dyDescent="0.2">
      <c r="A119" s="1020" t="s">
        <v>1698</v>
      </c>
      <c r="F119" s="1140"/>
      <c r="G119" s="1140"/>
      <c r="H119" s="1140"/>
      <c r="I119" s="1140"/>
      <c r="J119" s="1140"/>
      <c r="K119" s="1140"/>
    </row>
    <row r="120" spans="1:15" x14ac:dyDescent="0.2">
      <c r="A120" s="1128" t="s">
        <v>1699</v>
      </c>
      <c r="E120" s="1141"/>
      <c r="F120" s="1140"/>
      <c r="G120" s="1140"/>
      <c r="H120" s="1140"/>
      <c r="I120" s="1140"/>
      <c r="J120" s="1140"/>
      <c r="K120" s="1140"/>
    </row>
    <row r="121" spans="1:15" x14ac:dyDescent="0.2">
      <c r="A121" s="1136" t="s">
        <v>1700</v>
      </c>
      <c r="M121" s="1100"/>
      <c r="N121" s="1100"/>
      <c r="O121" s="1100"/>
    </row>
    <row r="122" spans="1:15" x14ac:dyDescent="0.25">
      <c r="A122" s="757" t="s">
        <v>955</v>
      </c>
      <c r="B122" s="798"/>
      <c r="M122" s="1100"/>
      <c r="N122" s="1100"/>
      <c r="O122" s="1100"/>
    </row>
    <row r="123" spans="1:15" x14ac:dyDescent="0.25">
      <c r="A123" s="757" t="s">
        <v>956</v>
      </c>
      <c r="B123" s="798"/>
      <c r="M123" s="1100"/>
      <c r="N123" s="1100"/>
      <c r="O123" s="1100"/>
    </row>
    <row r="124" spans="1:15" x14ac:dyDescent="0.25">
      <c r="A124" s="799" t="s">
        <v>957</v>
      </c>
      <c r="M124" s="1100"/>
      <c r="N124" s="1100"/>
      <c r="O124" s="1100"/>
    </row>
    <row r="125" spans="1:15" x14ac:dyDescent="0.2">
      <c r="A125" s="1142" t="s">
        <v>1701</v>
      </c>
      <c r="B125" s="747"/>
      <c r="M125" s="1122"/>
      <c r="N125" s="1122"/>
      <c r="O125" s="1122"/>
    </row>
    <row r="126" spans="1:15" ht="24.75" customHeight="1" x14ac:dyDescent="0.2">
      <c r="A126" s="2168" t="s">
        <v>1702</v>
      </c>
      <c r="B126" s="2168"/>
      <c r="C126" s="2168"/>
      <c r="D126" s="2168"/>
      <c r="E126" s="2168"/>
      <c r="F126" s="2168"/>
      <c r="G126" s="2168"/>
      <c r="H126" s="2168"/>
      <c r="I126" s="2168"/>
      <c r="J126" s="2168"/>
      <c r="K126" s="2168"/>
      <c r="L126" s="2168"/>
      <c r="M126" s="2168"/>
      <c r="N126" s="1122"/>
      <c r="O126" s="1122"/>
    </row>
    <row r="127" spans="1:15" x14ac:dyDescent="0.2">
      <c r="A127" s="1134" t="s">
        <v>1666</v>
      </c>
      <c r="B127" s="747"/>
      <c r="M127" s="757"/>
      <c r="N127" s="757"/>
      <c r="O127" s="757"/>
    </row>
    <row r="128" spans="1:15" x14ac:dyDescent="0.2">
      <c r="A128" s="1134" t="s">
        <v>1703</v>
      </c>
      <c r="B128" s="747"/>
      <c r="M128" s="757"/>
      <c r="N128" s="757"/>
      <c r="O128" s="757"/>
    </row>
    <row r="129" spans="1:15" x14ac:dyDescent="0.2">
      <c r="A129" s="1045" t="s">
        <v>1356</v>
      </c>
      <c r="B129" s="1045"/>
      <c r="M129" s="757"/>
      <c r="N129" s="757"/>
      <c r="O129" s="757"/>
    </row>
    <row r="130" spans="1:15" x14ac:dyDescent="0.25">
      <c r="A130" s="1143" t="s">
        <v>1704</v>
      </c>
      <c r="M130" s="757"/>
      <c r="N130" s="757"/>
      <c r="O130" s="757"/>
    </row>
    <row r="131" spans="1:15" x14ac:dyDescent="0.25">
      <c r="A131" s="1143" t="s">
        <v>1705</v>
      </c>
      <c r="M131" s="757"/>
      <c r="N131" s="757"/>
      <c r="O131" s="757"/>
    </row>
    <row r="132" spans="1:15" x14ac:dyDescent="0.2">
      <c r="A132" s="747" t="s">
        <v>1666</v>
      </c>
      <c r="B132" s="1143"/>
      <c r="M132" s="757"/>
      <c r="N132" s="757"/>
      <c r="O132" s="757"/>
    </row>
    <row r="133" spans="1:15" x14ac:dyDescent="0.2">
      <c r="A133" s="747" t="s">
        <v>1706</v>
      </c>
      <c r="B133" s="747"/>
      <c r="M133" s="757"/>
      <c r="N133" s="757"/>
      <c r="O133" s="757"/>
    </row>
    <row r="134" spans="1:15" x14ac:dyDescent="0.2">
      <c r="A134" s="1045" t="s">
        <v>1356</v>
      </c>
      <c r="B134" s="1045"/>
      <c r="M134" s="757"/>
      <c r="N134" s="757"/>
      <c r="O134" s="757"/>
    </row>
    <row r="135" spans="1:15" x14ac:dyDescent="0.25">
      <c r="A135" s="1143" t="s">
        <v>1707</v>
      </c>
      <c r="M135" s="757"/>
      <c r="N135" s="757"/>
      <c r="O135" s="757"/>
    </row>
    <row r="136" spans="1:15" x14ac:dyDescent="0.25">
      <c r="A136" s="1143" t="s">
        <v>1708</v>
      </c>
      <c r="M136" s="757"/>
      <c r="N136" s="757"/>
      <c r="O136" s="757"/>
    </row>
    <row r="137" spans="1:15" x14ac:dyDescent="0.25">
      <c r="A137" s="1143" t="s">
        <v>1709</v>
      </c>
      <c r="M137" s="757"/>
      <c r="N137" s="757"/>
      <c r="O137" s="757"/>
    </row>
    <row r="138" spans="1:15" x14ac:dyDescent="0.25">
      <c r="M138" s="757"/>
      <c r="N138" s="757"/>
      <c r="O138" s="757"/>
    </row>
    <row r="139" spans="1:15" x14ac:dyDescent="0.25">
      <c r="M139" s="757"/>
      <c r="N139" s="757"/>
      <c r="O139" s="757"/>
    </row>
    <row r="140" spans="1:15" x14ac:dyDescent="0.25">
      <c r="M140" s="757"/>
      <c r="N140" s="757"/>
      <c r="O140" s="757"/>
    </row>
    <row r="141" spans="1:15" x14ac:dyDescent="0.25">
      <c r="M141" s="757"/>
      <c r="N141" s="757"/>
      <c r="O141" s="757"/>
    </row>
    <row r="144" spans="1:15" x14ac:dyDescent="0.2">
      <c r="M144" s="747"/>
      <c r="N144" s="747"/>
      <c r="O144" s="747"/>
    </row>
    <row r="145" spans="13:15" x14ac:dyDescent="0.2">
      <c r="M145" s="747"/>
      <c r="N145" s="747"/>
      <c r="O145" s="747"/>
    </row>
    <row r="146" spans="13:15" x14ac:dyDescent="0.2">
      <c r="M146" s="747"/>
      <c r="N146" s="747"/>
      <c r="O146" s="747"/>
    </row>
    <row r="147" spans="13:15" x14ac:dyDescent="0.2">
      <c r="M147" s="1045"/>
      <c r="N147" s="1045"/>
      <c r="O147" s="1045"/>
    </row>
    <row r="151" spans="13:15" x14ac:dyDescent="0.2">
      <c r="M151" s="747"/>
      <c r="N151" s="747"/>
      <c r="O151" s="747"/>
    </row>
    <row r="152" spans="13:15" x14ac:dyDescent="0.2">
      <c r="M152" s="1045"/>
      <c r="N152" s="1045"/>
      <c r="O152" s="1045"/>
    </row>
  </sheetData>
  <sheetProtection algorithmName="SHA-512" hashValue="dXBworrH3L/lX/SqZbxld/gQpN1i2wRRIjuTSBGRNwR/9ReTefZ5UQlYPoOGC/97HErUi73ODp1QBcpgNo+yTg==" saltValue="knpGh/mJqF9L/7jrl+a+AQ==" spinCount="100000" sheet="1" objects="1" scenarios="1"/>
  <mergeCells count="77">
    <mergeCell ref="B56:C56"/>
    <mergeCell ref="B57:C57"/>
    <mergeCell ref="B58:C58"/>
    <mergeCell ref="A126:M126"/>
    <mergeCell ref="B51:C51"/>
    <mergeCell ref="B52:C52"/>
    <mergeCell ref="B53:C53"/>
    <mergeCell ref="A54:A55"/>
    <mergeCell ref="B54:C55"/>
    <mergeCell ref="L54:L55"/>
    <mergeCell ref="A46:C46"/>
    <mergeCell ref="B47:C47"/>
    <mergeCell ref="B48:C48"/>
    <mergeCell ref="A49:A50"/>
    <mergeCell ref="B49:C50"/>
    <mergeCell ref="L49:L50"/>
    <mergeCell ref="D44:D45"/>
    <mergeCell ref="E44:F44"/>
    <mergeCell ref="G44:H44"/>
    <mergeCell ref="I44:J44"/>
    <mergeCell ref="K44:K45"/>
    <mergeCell ref="L44:L45"/>
    <mergeCell ref="A44:A45"/>
    <mergeCell ref="B44:C45"/>
    <mergeCell ref="G34:H34"/>
    <mergeCell ref="I34:J34"/>
    <mergeCell ref="K34:K35"/>
    <mergeCell ref="B38:C38"/>
    <mergeCell ref="B39:C39"/>
    <mergeCell ref="B40:C40"/>
    <mergeCell ref="A42:B42"/>
    <mergeCell ref="A43:B43"/>
    <mergeCell ref="A36:C36"/>
    <mergeCell ref="B37:C37"/>
    <mergeCell ref="L26:L28"/>
    <mergeCell ref="B29:C29"/>
    <mergeCell ref="L34:L35"/>
    <mergeCell ref="D34:D35"/>
    <mergeCell ref="E34:F34"/>
    <mergeCell ref="B30:C30"/>
    <mergeCell ref="A32:B32"/>
    <mergeCell ref="A33:B33"/>
    <mergeCell ref="A34:A35"/>
    <mergeCell ref="B34:C35"/>
    <mergeCell ref="A26:A28"/>
    <mergeCell ref="B26:C28"/>
    <mergeCell ref="B24:C24"/>
    <mergeCell ref="B25:C25"/>
    <mergeCell ref="B14:C14"/>
    <mergeCell ref="B15:C15"/>
    <mergeCell ref="B16:C16"/>
    <mergeCell ref="B19:C19"/>
    <mergeCell ref="B20:C20"/>
    <mergeCell ref="B21:C21"/>
    <mergeCell ref="B22:C22"/>
    <mergeCell ref="B23:C23"/>
    <mergeCell ref="A17:A18"/>
    <mergeCell ref="B17:C18"/>
    <mergeCell ref="L17:L18"/>
    <mergeCell ref="G10:H10"/>
    <mergeCell ref="I10:J10"/>
    <mergeCell ref="K10:K11"/>
    <mergeCell ref="L10:L11"/>
    <mergeCell ref="A12:C12"/>
    <mergeCell ref="B13:C13"/>
    <mergeCell ref="E10:F10"/>
    <mergeCell ref="A8:B8"/>
    <mergeCell ref="A9:B9"/>
    <mergeCell ref="A10:A11"/>
    <mergeCell ref="B10:C11"/>
    <mergeCell ref="D10:D11"/>
    <mergeCell ref="A7:B7"/>
    <mergeCell ref="A3:B3"/>
    <mergeCell ref="C3:L3"/>
    <mergeCell ref="A4:B4"/>
    <mergeCell ref="C4:L4"/>
    <mergeCell ref="A5:L5"/>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77.pielikums Jūrmalas pilsētas domes
2019.gada 29.augusta saistošajiem noteikumiem Nr.31
(protokols Nr.12, 20.punkts)
 </firstHeader>
    <firstFooter>&amp;L&amp;9&amp;D; &amp;T&amp;R&amp;9&amp;P (&amp;N)</first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41"/>
  <sheetViews>
    <sheetView view="pageLayout" zoomScaleNormal="100" workbookViewId="0">
      <selection activeCell="M8" sqref="M8"/>
    </sheetView>
  </sheetViews>
  <sheetFormatPr defaultRowHeight="12.75" outlineLevelCol="1" x14ac:dyDescent="0.2"/>
  <cols>
    <col min="1" max="1" width="6.140625" style="451" customWidth="1"/>
    <col min="2" max="2" width="28.140625" style="451" customWidth="1"/>
    <col min="3" max="3" width="10.5703125" style="451" customWidth="1"/>
    <col min="4" max="4" width="11.7109375" style="451" hidden="1" customWidth="1" outlineLevel="1"/>
    <col min="5" max="5" width="11.28515625" style="451" hidden="1" customWidth="1" outlineLevel="1"/>
    <col min="6" max="6" width="14.7109375" style="612" customWidth="1" collapsed="1"/>
    <col min="7" max="7" width="29" style="451" hidden="1" customWidth="1" outlineLevel="1"/>
    <col min="8" max="8" width="14.85546875" style="451" customWidth="1" collapsed="1"/>
    <col min="9" max="16384" width="9.140625" style="451"/>
  </cols>
  <sheetData>
    <row r="1" spans="1:8" ht="12" customHeight="1" x14ac:dyDescent="0.2">
      <c r="C1" s="402"/>
      <c r="D1" s="402"/>
      <c r="E1" s="402"/>
      <c r="F1" s="451"/>
      <c r="H1" s="333" t="s">
        <v>2351</v>
      </c>
    </row>
    <row r="2" spans="1:8" ht="12" x14ac:dyDescent="0.2">
      <c r="C2" s="398"/>
      <c r="D2" s="398"/>
      <c r="E2" s="398"/>
      <c r="F2" s="451"/>
      <c r="H2" s="333" t="s">
        <v>494</v>
      </c>
    </row>
    <row r="3" spans="1:8" ht="12" x14ac:dyDescent="0.2">
      <c r="A3" s="2128" t="s">
        <v>2</v>
      </c>
      <c r="B3" s="2128"/>
      <c r="C3" s="549" t="s">
        <v>3</v>
      </c>
      <c r="D3" s="549"/>
      <c r="E3" s="549"/>
      <c r="F3" s="451"/>
      <c r="G3" s="549"/>
      <c r="H3" s="549"/>
    </row>
    <row r="4" spans="1:8" ht="12" x14ac:dyDescent="0.2">
      <c r="A4" s="2128" t="s">
        <v>4</v>
      </c>
      <c r="B4" s="2128"/>
      <c r="C4" s="549">
        <v>90000056357</v>
      </c>
      <c r="D4" s="549"/>
      <c r="E4" s="549"/>
      <c r="F4" s="451"/>
      <c r="G4" s="549"/>
      <c r="H4" s="549"/>
    </row>
    <row r="5" spans="1:8" ht="15.75" x14ac:dyDescent="0.25">
      <c r="A5" s="2129" t="s">
        <v>496</v>
      </c>
      <c r="B5" s="2129"/>
      <c r="C5" s="2129"/>
      <c r="D5" s="2129"/>
      <c r="E5" s="2129"/>
      <c r="F5" s="2129"/>
      <c r="G5" s="2129"/>
      <c r="H5" s="2129"/>
    </row>
    <row r="6" spans="1:8" ht="15.75" x14ac:dyDescent="0.25">
      <c r="A6" s="1753"/>
      <c r="B6" s="1753"/>
      <c r="C6" s="1753"/>
      <c r="D6" s="1753"/>
      <c r="E6" s="1753"/>
      <c r="F6" s="451"/>
      <c r="G6" s="1753"/>
      <c r="H6" s="1753"/>
    </row>
    <row r="7" spans="1:8" x14ac:dyDescent="0.2">
      <c r="A7" s="2128" t="s">
        <v>546</v>
      </c>
      <c r="B7" s="2128"/>
      <c r="C7" s="1937" t="s">
        <v>2352</v>
      </c>
      <c r="D7" s="549"/>
      <c r="E7" s="549"/>
      <c r="F7" s="451"/>
      <c r="G7" s="549"/>
      <c r="H7" s="549"/>
    </row>
    <row r="8" spans="1:8" ht="12" x14ac:dyDescent="0.2">
      <c r="A8" s="2128" t="s">
        <v>499</v>
      </c>
      <c r="B8" s="2128"/>
      <c r="C8" s="549" t="s">
        <v>2350</v>
      </c>
      <c r="D8" s="549"/>
      <c r="E8" s="549"/>
      <c r="F8" s="451"/>
      <c r="G8" s="549"/>
      <c r="H8" s="549"/>
    </row>
    <row r="9" spans="1:8" ht="12" x14ac:dyDescent="0.2">
      <c r="A9" s="2128" t="s">
        <v>500</v>
      </c>
      <c r="B9" s="2128"/>
      <c r="C9" s="1938" t="s">
        <v>1718</v>
      </c>
      <c r="D9" s="549"/>
      <c r="E9" s="549"/>
      <c r="F9" s="451"/>
      <c r="G9" s="549"/>
      <c r="H9" s="549"/>
    </row>
    <row r="10" spans="1:8" ht="72" x14ac:dyDescent="0.2">
      <c r="A10" s="1749" t="s">
        <v>501</v>
      </c>
      <c r="B10" s="557" t="s">
        <v>502</v>
      </c>
      <c r="C10" s="1749" t="s">
        <v>503</v>
      </c>
      <c r="D10" s="1749" t="s">
        <v>504</v>
      </c>
      <c r="E10" s="1749" t="s">
        <v>505</v>
      </c>
      <c r="F10" s="1749" t="s">
        <v>506</v>
      </c>
      <c r="G10" s="1749" t="s">
        <v>36</v>
      </c>
      <c r="H10" s="1749" t="s">
        <v>507</v>
      </c>
    </row>
    <row r="11" spans="1:8" ht="12.75" customHeight="1" x14ac:dyDescent="0.2">
      <c r="A11" s="2169" t="s">
        <v>549</v>
      </c>
      <c r="B11" s="2170"/>
      <c r="C11" s="558"/>
      <c r="D11" s="558">
        <f>SUM(D12:D23)</f>
        <v>174568</v>
      </c>
      <c r="E11" s="558">
        <f>SUM(E12:E23)</f>
        <v>0</v>
      </c>
      <c r="F11" s="558">
        <f>SUM(F12:F23)</f>
        <v>174568</v>
      </c>
      <c r="G11" s="559"/>
      <c r="H11" s="558"/>
    </row>
    <row r="12" spans="1:8" ht="40.5" customHeight="1" x14ac:dyDescent="0.2">
      <c r="A12" s="1750">
        <v>1</v>
      </c>
      <c r="B12" s="568" t="s">
        <v>2353</v>
      </c>
      <c r="C12" s="562">
        <v>2239</v>
      </c>
      <c r="D12" s="604">
        <v>71400</v>
      </c>
      <c r="E12" s="1939">
        <v>-22000</v>
      </c>
      <c r="F12" s="1940">
        <f>D12+E12</f>
        <v>49400</v>
      </c>
      <c r="G12" s="788" t="s">
        <v>2354</v>
      </c>
      <c r="H12" s="1751" t="s">
        <v>2355</v>
      </c>
    </row>
    <row r="13" spans="1:8" ht="33" customHeight="1" x14ac:dyDescent="0.2">
      <c r="A13" s="1750">
        <v>2</v>
      </c>
      <c r="B13" s="568" t="s">
        <v>2356</v>
      </c>
      <c r="C13" s="562">
        <v>2219</v>
      </c>
      <c r="D13" s="604">
        <v>34650</v>
      </c>
      <c r="E13" s="1939">
        <v>22000</v>
      </c>
      <c r="F13" s="1940">
        <f t="shared" ref="F13:F23" si="0">D13+E13</f>
        <v>56650</v>
      </c>
      <c r="G13" s="788" t="s">
        <v>2357</v>
      </c>
      <c r="H13" s="1751" t="s">
        <v>2355</v>
      </c>
    </row>
    <row r="14" spans="1:8" ht="36" x14ac:dyDescent="0.2">
      <c r="A14" s="1750">
        <v>3</v>
      </c>
      <c r="B14" s="568" t="s">
        <v>2358</v>
      </c>
      <c r="C14" s="601">
        <v>2212</v>
      </c>
      <c r="D14" s="604">
        <v>18200</v>
      </c>
      <c r="E14" s="604"/>
      <c r="F14" s="1940">
        <f t="shared" si="0"/>
        <v>18200</v>
      </c>
      <c r="G14" s="788"/>
      <c r="H14" s="1755" t="s">
        <v>2355</v>
      </c>
    </row>
    <row r="15" spans="1:8" ht="21.75" customHeight="1" x14ac:dyDescent="0.2">
      <c r="A15" s="2078">
        <v>4</v>
      </c>
      <c r="B15" s="2122" t="s">
        <v>2359</v>
      </c>
      <c r="C15" s="601">
        <v>2231</v>
      </c>
      <c r="D15" s="604">
        <v>5145</v>
      </c>
      <c r="E15" s="604"/>
      <c r="F15" s="1940">
        <f t="shared" si="0"/>
        <v>5145</v>
      </c>
      <c r="G15" s="788"/>
      <c r="H15" s="2141" t="s">
        <v>2360</v>
      </c>
    </row>
    <row r="16" spans="1:8" ht="21.75" customHeight="1" x14ac:dyDescent="0.2">
      <c r="A16" s="2079"/>
      <c r="B16" s="2123"/>
      <c r="C16" s="601">
        <v>2279</v>
      </c>
      <c r="D16" s="604">
        <v>1000</v>
      </c>
      <c r="E16" s="604"/>
      <c r="F16" s="1940">
        <f t="shared" si="0"/>
        <v>1000</v>
      </c>
      <c r="G16" s="788"/>
      <c r="H16" s="2141"/>
    </row>
    <row r="17" spans="1:8" ht="21.75" customHeight="1" x14ac:dyDescent="0.2">
      <c r="A17" s="2080"/>
      <c r="B17" s="2124"/>
      <c r="C17" s="601">
        <v>2314</v>
      </c>
      <c r="D17" s="604">
        <v>18963</v>
      </c>
      <c r="E17" s="604"/>
      <c r="F17" s="1940">
        <f t="shared" si="0"/>
        <v>18963</v>
      </c>
      <c r="G17" s="788"/>
      <c r="H17" s="2141"/>
    </row>
    <row r="18" spans="1:8" ht="48" x14ac:dyDescent="0.2">
      <c r="A18" s="1750">
        <v>5</v>
      </c>
      <c r="B18" s="568" t="s">
        <v>2361</v>
      </c>
      <c r="C18" s="601">
        <v>2239</v>
      </c>
      <c r="D18" s="604">
        <v>8000</v>
      </c>
      <c r="E18" s="604"/>
      <c r="F18" s="1940">
        <f t="shared" si="0"/>
        <v>8000</v>
      </c>
      <c r="G18" s="788"/>
      <c r="H18" s="1755" t="s">
        <v>2362</v>
      </c>
    </row>
    <row r="19" spans="1:8" ht="36" x14ac:dyDescent="0.2">
      <c r="A19" s="1750">
        <v>6</v>
      </c>
      <c r="B19" s="568" t="s">
        <v>2363</v>
      </c>
      <c r="C19" s="601">
        <v>5140</v>
      </c>
      <c r="D19" s="604">
        <v>9500</v>
      </c>
      <c r="E19" s="604"/>
      <c r="F19" s="1940">
        <f t="shared" si="0"/>
        <v>9500</v>
      </c>
      <c r="G19" s="788"/>
      <c r="H19" s="1755" t="s">
        <v>2364</v>
      </c>
    </row>
    <row r="20" spans="1:8" ht="12" x14ac:dyDescent="0.2">
      <c r="A20" s="2078">
        <v>7</v>
      </c>
      <c r="B20" s="2122" t="s">
        <v>2365</v>
      </c>
      <c r="C20" s="601">
        <v>1150</v>
      </c>
      <c r="D20" s="604">
        <v>5000</v>
      </c>
      <c r="E20" s="604"/>
      <c r="F20" s="1940">
        <f>D20+E20</f>
        <v>5000</v>
      </c>
      <c r="G20" s="788"/>
      <c r="H20" s="2141" t="s">
        <v>2366</v>
      </c>
    </row>
    <row r="21" spans="1:8" ht="12.75" customHeight="1" x14ac:dyDescent="0.2">
      <c r="A21" s="2080"/>
      <c r="B21" s="2124"/>
      <c r="C21" s="601">
        <v>1210</v>
      </c>
      <c r="D21" s="604">
        <v>1210</v>
      </c>
      <c r="E21" s="604"/>
      <c r="F21" s="1940">
        <f t="shared" si="0"/>
        <v>1210</v>
      </c>
      <c r="G21" s="1941"/>
      <c r="H21" s="2141"/>
    </row>
    <row r="22" spans="1:8" ht="24" x14ac:dyDescent="0.2">
      <c r="A22" s="1754">
        <v>8</v>
      </c>
      <c r="B22" s="568" t="s">
        <v>2367</v>
      </c>
      <c r="C22" s="765">
        <v>2239</v>
      </c>
      <c r="D22" s="604">
        <v>1500</v>
      </c>
      <c r="E22" s="604"/>
      <c r="F22" s="1940">
        <f t="shared" si="0"/>
        <v>1500</v>
      </c>
      <c r="G22" s="1941"/>
      <c r="H22" s="1755" t="s">
        <v>2355</v>
      </c>
    </row>
    <row r="23" spans="1:8" ht="12" x14ac:dyDescent="0.2">
      <c r="A23" s="1750"/>
      <c r="B23" s="584"/>
      <c r="C23" s="564"/>
      <c r="D23" s="564"/>
      <c r="E23" s="564"/>
      <c r="F23" s="565">
        <f t="shared" si="0"/>
        <v>0</v>
      </c>
      <c r="G23" s="559"/>
      <c r="H23" s="564"/>
    </row>
    <row r="24" spans="1:8" ht="12" x14ac:dyDescent="0.2">
      <c r="A24" s="589"/>
      <c r="B24" s="589"/>
      <c r="C24" s="589"/>
      <c r="D24" s="589"/>
      <c r="E24" s="589"/>
      <c r="F24" s="451"/>
      <c r="G24" s="589"/>
      <c r="H24" s="589"/>
    </row>
    <row r="25" spans="1:8" ht="12" x14ac:dyDescent="0.2">
      <c r="D25" s="608"/>
      <c r="E25" s="608"/>
      <c r="F25" s="451"/>
      <c r="H25" s="608"/>
    </row>
    <row r="26" spans="1:8" ht="12" x14ac:dyDescent="0.2">
      <c r="A26" s="451" t="s">
        <v>570</v>
      </c>
      <c r="F26" s="451"/>
    </row>
    <row r="27" spans="1:8" ht="12" x14ac:dyDescent="0.2">
      <c r="A27" s="609" t="s">
        <v>2368</v>
      </c>
      <c r="F27" s="451"/>
    </row>
    <row r="28" spans="1:8" ht="12" x14ac:dyDescent="0.2">
      <c r="A28" s="451" t="s">
        <v>2369</v>
      </c>
      <c r="F28" s="451"/>
    </row>
    <row r="29" spans="1:8" x14ac:dyDescent="0.2">
      <c r="B29" s="451" t="s">
        <v>2370</v>
      </c>
    </row>
    <row r="30" spans="1:8" ht="12" x14ac:dyDescent="0.2">
      <c r="B30" s="451" t="s">
        <v>2371</v>
      </c>
      <c r="F30" s="451"/>
    </row>
    <row r="31" spans="1:8" x14ac:dyDescent="0.2">
      <c r="B31" s="451" t="s">
        <v>2372</v>
      </c>
    </row>
    <row r="32" spans="1:8" x14ac:dyDescent="0.2">
      <c r="B32" s="451" t="s">
        <v>2373</v>
      </c>
    </row>
    <row r="33" spans="1:8" x14ac:dyDescent="0.2">
      <c r="B33" s="451" t="s">
        <v>2374</v>
      </c>
    </row>
    <row r="34" spans="1:8" x14ac:dyDescent="0.2">
      <c r="B34" s="451" t="s">
        <v>2375</v>
      </c>
    </row>
    <row r="35" spans="1:8" x14ac:dyDescent="0.2">
      <c r="B35" s="451" t="s">
        <v>2376</v>
      </c>
    </row>
    <row r="38" spans="1:8" ht="12" x14ac:dyDescent="0.2">
      <c r="A38" s="611"/>
      <c r="B38" s="611"/>
      <c r="C38" s="611"/>
      <c r="D38" s="611"/>
      <c r="E38" s="611"/>
      <c r="F38" s="611"/>
      <c r="H38" s="611"/>
    </row>
    <row r="39" spans="1:8" ht="12" x14ac:dyDescent="0.2">
      <c r="A39" s="611"/>
      <c r="B39" s="611"/>
      <c r="C39" s="611"/>
      <c r="D39" s="611"/>
      <c r="E39" s="611"/>
      <c r="F39" s="611"/>
      <c r="H39" s="611"/>
    </row>
    <row r="40" spans="1:8" ht="12" x14ac:dyDescent="0.2">
      <c r="A40" s="611"/>
      <c r="B40" s="611"/>
      <c r="C40" s="611"/>
      <c r="D40" s="611"/>
      <c r="E40" s="611"/>
      <c r="F40" s="611"/>
      <c r="H40" s="611"/>
    </row>
    <row r="41" spans="1:8" ht="12" x14ac:dyDescent="0.2">
      <c r="F41" s="451"/>
    </row>
  </sheetData>
  <sheetProtection algorithmName="SHA-512" hashValue="sWVe7WFhScZwogCl93NDhKTHOG6nqiLCShkVuV/7d2DzymSnXY6ToGtWKJj0FjVvvtBLgN7a30r7QaKLgpIeVA==" saltValue="2F/f9bYrhfGyx9Ihh3/1DA==" spinCount="100000" sheet="1" objects="1" scenarios="1"/>
  <mergeCells count="13">
    <mergeCell ref="A11:B11"/>
    <mergeCell ref="A15:A17"/>
    <mergeCell ref="B15:B17"/>
    <mergeCell ref="H15:H17"/>
    <mergeCell ref="A20:A21"/>
    <mergeCell ref="B20:B21"/>
    <mergeCell ref="H20:H21"/>
    <mergeCell ref="A9:B9"/>
    <mergeCell ref="A3:B3"/>
    <mergeCell ref="A4:B4"/>
    <mergeCell ref="A5:H5"/>
    <mergeCell ref="A7:B7"/>
    <mergeCell ref="A8:B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78.pielikums Jūrmalas pilsētas domes
2019.gada 29.augusta saistošajiem noteikumiem Nr.31
(protokols Nr.12, 20.punkts)</firstHeader>
    <firstFooter>&amp;L&amp;9&amp;D; &amp;T&amp;R&amp;9&amp;P (&amp;N)</first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102"/>
  <sheetViews>
    <sheetView view="pageLayout" zoomScaleNormal="100" workbookViewId="0">
      <selection activeCell="M6" sqref="M6"/>
    </sheetView>
  </sheetViews>
  <sheetFormatPr defaultColWidth="9.140625" defaultRowHeight="12" outlineLevelCol="1" x14ac:dyDescent="0.2"/>
  <cols>
    <col min="1" max="1" width="6.140625" style="401" customWidth="1"/>
    <col min="2" max="2" width="26.85546875" style="401" customWidth="1"/>
    <col min="3" max="3" width="10.5703125" style="401" customWidth="1"/>
    <col min="4" max="4" width="12.28515625" style="401" hidden="1" customWidth="1" outlineLevel="1"/>
    <col min="5" max="5" width="11.140625" style="401" hidden="1" customWidth="1" outlineLevel="1"/>
    <col min="6" max="6" width="13.5703125" style="401" customWidth="1" collapsed="1"/>
    <col min="7" max="7" width="26.5703125" style="401" hidden="1" customWidth="1" outlineLevel="1"/>
    <col min="8" max="8" width="19.140625" style="401" customWidth="1" collapsed="1"/>
    <col min="9" max="16384" width="9.140625" style="401"/>
  </cols>
  <sheetData>
    <row r="1" spans="1:8" x14ac:dyDescent="0.2">
      <c r="H1" s="1216" t="s">
        <v>1880</v>
      </c>
    </row>
    <row r="2" spans="1:8" x14ac:dyDescent="0.2">
      <c r="H2" s="1216" t="s">
        <v>494</v>
      </c>
    </row>
    <row r="3" spans="1:8" x14ac:dyDescent="0.2">
      <c r="A3" s="2082" t="s">
        <v>890</v>
      </c>
      <c r="B3" s="2082"/>
      <c r="C3" s="746" t="s">
        <v>3</v>
      </c>
      <c r="D3" s="746"/>
      <c r="E3" s="746"/>
      <c r="F3" s="746"/>
      <c r="G3" s="746"/>
      <c r="H3" s="746"/>
    </row>
    <row r="4" spans="1:8" x14ac:dyDescent="0.2">
      <c r="A4" s="2082" t="s">
        <v>891</v>
      </c>
      <c r="B4" s="2082"/>
      <c r="C4" s="429">
        <v>90000056357</v>
      </c>
      <c r="D4" s="429"/>
      <c r="E4" s="429"/>
      <c r="F4" s="429"/>
      <c r="G4" s="429"/>
      <c r="H4" s="429"/>
    </row>
    <row r="5" spans="1:8" ht="15.75" x14ac:dyDescent="0.25">
      <c r="A5" s="2154" t="s">
        <v>496</v>
      </c>
      <c r="B5" s="2154"/>
      <c r="C5" s="2154"/>
      <c r="D5" s="2154"/>
      <c r="E5" s="2154"/>
      <c r="F5" s="2154"/>
      <c r="G5" s="2154"/>
      <c r="H5" s="2154"/>
    </row>
    <row r="6" spans="1:8" ht="15.75" x14ac:dyDescent="0.25">
      <c r="A6" s="1217"/>
      <c r="B6" s="1217"/>
      <c r="C6" s="1217"/>
      <c r="D6" s="1217"/>
      <c r="E6" s="1217"/>
      <c r="F6" s="1217"/>
      <c r="G6" s="1217"/>
      <c r="H6" s="1217"/>
    </row>
    <row r="7" spans="1:8" ht="15.75" x14ac:dyDescent="0.25">
      <c r="A7" s="747" t="s">
        <v>497</v>
      </c>
      <c r="B7" s="747"/>
      <c r="C7" s="1475" t="s">
        <v>1881</v>
      </c>
      <c r="D7" s="1475"/>
      <c r="E7" s="1475"/>
      <c r="F7" s="1475"/>
      <c r="G7" s="1475"/>
      <c r="H7" s="1475"/>
    </row>
    <row r="8" spans="1:8" x14ac:dyDescent="0.2">
      <c r="A8" s="747" t="s">
        <v>499</v>
      </c>
      <c r="B8" s="747"/>
      <c r="C8" s="746" t="s">
        <v>1879</v>
      </c>
      <c r="D8" s="746"/>
      <c r="E8" s="746"/>
      <c r="F8" s="746"/>
      <c r="G8" s="746"/>
      <c r="H8" s="746"/>
    </row>
    <row r="9" spans="1:8" x14ac:dyDescent="0.2">
      <c r="A9" s="747" t="s">
        <v>500</v>
      </c>
      <c r="B9" s="747"/>
      <c r="C9" s="1476" t="s">
        <v>448</v>
      </c>
      <c r="D9" s="1476"/>
      <c r="E9" s="1476"/>
      <c r="F9" s="1476"/>
      <c r="G9" s="1476"/>
      <c r="H9" s="1476"/>
    </row>
    <row r="10" spans="1:8" ht="12" customHeight="1" x14ac:dyDescent="0.2">
      <c r="A10" s="2189" t="s">
        <v>501</v>
      </c>
      <c r="B10" s="2191" t="s">
        <v>502</v>
      </c>
      <c r="C10" s="2137" t="s">
        <v>503</v>
      </c>
      <c r="D10" s="2139" t="s">
        <v>504</v>
      </c>
      <c r="E10" s="2139" t="s">
        <v>505</v>
      </c>
      <c r="F10" s="2139" t="s">
        <v>506</v>
      </c>
      <c r="G10" s="2139" t="s">
        <v>36</v>
      </c>
      <c r="H10" s="2139" t="s">
        <v>507</v>
      </c>
    </row>
    <row r="11" spans="1:8" ht="38.25" customHeight="1" x14ac:dyDescent="0.2">
      <c r="A11" s="2190"/>
      <c r="B11" s="2146"/>
      <c r="C11" s="2138"/>
      <c r="D11" s="2140"/>
      <c r="E11" s="2140"/>
      <c r="F11" s="2140"/>
      <c r="G11" s="2140"/>
      <c r="H11" s="2140"/>
    </row>
    <row r="12" spans="1:8" ht="12.75" customHeight="1" x14ac:dyDescent="0.2">
      <c r="A12" s="2084" t="s">
        <v>549</v>
      </c>
      <c r="B12" s="2084"/>
      <c r="C12" s="958"/>
      <c r="D12" s="958">
        <f>SUM(D13:D60)</f>
        <v>988682</v>
      </c>
      <c r="E12" s="958">
        <f>SUM(E13:E60)</f>
        <v>0</v>
      </c>
      <c r="F12" s="958">
        <f>SUM(F13:F60)</f>
        <v>988682</v>
      </c>
      <c r="G12" s="958"/>
      <c r="H12" s="958"/>
    </row>
    <row r="13" spans="1:8" s="757" customFormat="1" ht="13.5" customHeight="1" x14ac:dyDescent="0.25">
      <c r="A13" s="2097">
        <v>1</v>
      </c>
      <c r="B13" s="2174" t="s">
        <v>1882</v>
      </c>
      <c r="C13" s="1102">
        <v>2275</v>
      </c>
      <c r="D13" s="756">
        <v>2110</v>
      </c>
      <c r="E13" s="960"/>
      <c r="F13" s="756">
        <f>SUM(D13:E13)</f>
        <v>2110</v>
      </c>
      <c r="G13" s="756"/>
      <c r="H13" s="2184" t="s">
        <v>1883</v>
      </c>
    </row>
    <row r="14" spans="1:8" s="757" customFormat="1" ht="13.5" customHeight="1" x14ac:dyDescent="0.25">
      <c r="A14" s="2173"/>
      <c r="B14" s="2175"/>
      <c r="C14" s="1102">
        <v>1150</v>
      </c>
      <c r="D14" s="756">
        <v>7250</v>
      </c>
      <c r="E14" s="960"/>
      <c r="F14" s="756">
        <f t="shared" ref="F14:F60" si="0">SUM(D14:E14)</f>
        <v>7250</v>
      </c>
      <c r="G14" s="2187"/>
      <c r="H14" s="2185"/>
    </row>
    <row r="15" spans="1:8" s="757" customFormat="1" ht="13.5" customHeight="1" x14ac:dyDescent="0.25">
      <c r="A15" s="2173"/>
      <c r="B15" s="2175"/>
      <c r="C15" s="1102">
        <v>1210</v>
      </c>
      <c r="D15" s="756">
        <v>764</v>
      </c>
      <c r="E15" s="960"/>
      <c r="F15" s="756">
        <f t="shared" si="0"/>
        <v>764</v>
      </c>
      <c r="G15" s="2188"/>
      <c r="H15" s="2185"/>
    </row>
    <row r="16" spans="1:8" s="757" customFormat="1" ht="13.5" customHeight="1" x14ac:dyDescent="0.25">
      <c r="A16" s="2173"/>
      <c r="B16" s="2175"/>
      <c r="C16" s="1102">
        <v>2264</v>
      </c>
      <c r="D16" s="756">
        <v>650</v>
      </c>
      <c r="E16" s="960"/>
      <c r="F16" s="756">
        <f t="shared" si="0"/>
        <v>650</v>
      </c>
      <c r="G16" s="756"/>
      <c r="H16" s="2185"/>
    </row>
    <row r="17" spans="1:8" s="757" customFormat="1" ht="13.5" customHeight="1" x14ac:dyDescent="0.25">
      <c r="A17" s="2173"/>
      <c r="B17" s="2175"/>
      <c r="C17" s="1102">
        <v>2314</v>
      </c>
      <c r="D17" s="756">
        <v>1050</v>
      </c>
      <c r="E17" s="960"/>
      <c r="F17" s="756">
        <f t="shared" si="0"/>
        <v>1050</v>
      </c>
      <c r="G17" s="756"/>
      <c r="H17" s="2185"/>
    </row>
    <row r="18" spans="1:8" s="757" customFormat="1" ht="13.5" customHeight="1" x14ac:dyDescent="0.25">
      <c r="A18" s="2173"/>
      <c r="B18" s="2175"/>
      <c r="C18" s="1102">
        <v>2231</v>
      </c>
      <c r="D18" s="756">
        <v>2254</v>
      </c>
      <c r="E18" s="960"/>
      <c r="F18" s="756">
        <f t="shared" si="0"/>
        <v>2254</v>
      </c>
      <c r="G18" s="756"/>
      <c r="H18" s="2185"/>
    </row>
    <row r="19" spans="1:8" s="757" customFormat="1" ht="13.5" customHeight="1" x14ac:dyDescent="0.25">
      <c r="A19" s="2173"/>
      <c r="B19" s="2175"/>
      <c r="C19" s="1102">
        <v>2261</v>
      </c>
      <c r="D19" s="756">
        <v>596</v>
      </c>
      <c r="E19" s="960"/>
      <c r="F19" s="756">
        <f t="shared" si="0"/>
        <v>596</v>
      </c>
      <c r="G19" s="756"/>
      <c r="H19" s="2185"/>
    </row>
    <row r="20" spans="1:8" s="757" customFormat="1" ht="13.5" customHeight="1" x14ac:dyDescent="0.25">
      <c r="A20" s="2098"/>
      <c r="B20" s="2176"/>
      <c r="C20" s="1102">
        <v>2279</v>
      </c>
      <c r="D20" s="756">
        <v>2110</v>
      </c>
      <c r="E20" s="960"/>
      <c r="F20" s="756">
        <f t="shared" si="0"/>
        <v>2110</v>
      </c>
      <c r="G20" s="756"/>
      <c r="H20" s="2186"/>
    </row>
    <row r="21" spans="1:8" ht="15.75" customHeight="1" x14ac:dyDescent="0.2">
      <c r="A21" s="2059">
        <v>2</v>
      </c>
      <c r="B21" s="2050" t="s">
        <v>1884</v>
      </c>
      <c r="C21" s="1102">
        <v>2275</v>
      </c>
      <c r="D21" s="433">
        <v>0</v>
      </c>
      <c r="E21" s="960"/>
      <c r="F21" s="756">
        <f t="shared" si="0"/>
        <v>0</v>
      </c>
      <c r="G21" s="433"/>
      <c r="H21" s="2085" t="s">
        <v>1885</v>
      </c>
    </row>
    <row r="22" spans="1:8" ht="15.75" customHeight="1" x14ac:dyDescent="0.2">
      <c r="A22" s="2059"/>
      <c r="B22" s="2050"/>
      <c r="C22" s="1102">
        <v>3261</v>
      </c>
      <c r="D22" s="433">
        <v>5000</v>
      </c>
      <c r="E22" s="960"/>
      <c r="F22" s="756">
        <f t="shared" si="0"/>
        <v>5000</v>
      </c>
      <c r="G22" s="756"/>
      <c r="H22" s="2085"/>
    </row>
    <row r="23" spans="1:8" ht="15.75" customHeight="1" x14ac:dyDescent="0.2">
      <c r="A23" s="2059"/>
      <c r="B23" s="2050"/>
      <c r="C23" s="1102">
        <v>3262</v>
      </c>
      <c r="D23" s="433">
        <v>13619</v>
      </c>
      <c r="E23" s="960"/>
      <c r="F23" s="756">
        <f t="shared" si="0"/>
        <v>13619</v>
      </c>
      <c r="G23" s="756"/>
      <c r="H23" s="2085"/>
    </row>
    <row r="24" spans="1:8" ht="15.75" customHeight="1" x14ac:dyDescent="0.2">
      <c r="A24" s="2059"/>
      <c r="B24" s="2050"/>
      <c r="C24" s="1102">
        <v>3263</v>
      </c>
      <c r="D24" s="433">
        <v>106581</v>
      </c>
      <c r="E24" s="960"/>
      <c r="F24" s="756">
        <f t="shared" si="0"/>
        <v>106581</v>
      </c>
      <c r="G24" s="756"/>
      <c r="H24" s="2085"/>
    </row>
    <row r="25" spans="1:8" ht="53.25" customHeight="1" x14ac:dyDescent="0.2">
      <c r="A25" s="1224">
        <v>3</v>
      </c>
      <c r="B25" s="1220" t="s">
        <v>1886</v>
      </c>
      <c r="C25" s="1102">
        <v>3263</v>
      </c>
      <c r="D25" s="433">
        <v>17000</v>
      </c>
      <c r="E25" s="756"/>
      <c r="F25" s="756">
        <f t="shared" si="0"/>
        <v>17000</v>
      </c>
      <c r="G25" s="433"/>
      <c r="H25" s="1214" t="s">
        <v>1887</v>
      </c>
    </row>
    <row r="26" spans="1:8" ht="22.5" customHeight="1" x14ac:dyDescent="0.2">
      <c r="A26" s="2059">
        <v>4</v>
      </c>
      <c r="B26" s="2050" t="s">
        <v>1888</v>
      </c>
      <c r="C26" s="1102">
        <v>2275</v>
      </c>
      <c r="D26" s="433">
        <v>25575</v>
      </c>
      <c r="E26" s="960"/>
      <c r="F26" s="756">
        <f t="shared" si="0"/>
        <v>25575</v>
      </c>
      <c r="G26" s="433"/>
      <c r="H26" s="2085" t="s">
        <v>1889</v>
      </c>
    </row>
    <row r="27" spans="1:8" ht="22.5" customHeight="1" x14ac:dyDescent="0.2">
      <c r="A27" s="2059"/>
      <c r="B27" s="2050"/>
      <c r="C27" s="1102">
        <v>3262</v>
      </c>
      <c r="D27" s="433">
        <v>4080</v>
      </c>
      <c r="E27" s="756"/>
      <c r="F27" s="756">
        <f t="shared" si="0"/>
        <v>4080</v>
      </c>
      <c r="G27" s="433"/>
      <c r="H27" s="2085"/>
    </row>
    <row r="28" spans="1:8" ht="22.5" customHeight="1" x14ac:dyDescent="0.2">
      <c r="A28" s="2059"/>
      <c r="B28" s="2050"/>
      <c r="C28" s="1102">
        <v>3263</v>
      </c>
      <c r="D28" s="433">
        <v>57281</v>
      </c>
      <c r="E28" s="960"/>
      <c r="F28" s="756">
        <f t="shared" si="0"/>
        <v>57281</v>
      </c>
      <c r="G28" s="433"/>
      <c r="H28" s="2085"/>
    </row>
    <row r="29" spans="1:8" ht="13.5" customHeight="1" x14ac:dyDescent="0.2">
      <c r="A29" s="2090">
        <v>5</v>
      </c>
      <c r="B29" s="2086" t="s">
        <v>1890</v>
      </c>
      <c r="C29" s="1102">
        <v>1150</v>
      </c>
      <c r="D29" s="427">
        <v>380</v>
      </c>
      <c r="E29" s="1477"/>
      <c r="F29" s="756">
        <f t="shared" si="0"/>
        <v>380</v>
      </c>
      <c r="G29" s="427"/>
      <c r="H29" s="2085" t="s">
        <v>1891</v>
      </c>
    </row>
    <row r="30" spans="1:8" ht="13.5" customHeight="1" x14ac:dyDescent="0.2">
      <c r="A30" s="2090"/>
      <c r="B30" s="2086"/>
      <c r="C30" s="1102">
        <v>1210</v>
      </c>
      <c r="D30" s="427">
        <v>19</v>
      </c>
      <c r="E30" s="1477"/>
      <c r="F30" s="756">
        <f t="shared" si="0"/>
        <v>19</v>
      </c>
      <c r="G30" s="427"/>
      <c r="H30" s="2085"/>
    </row>
    <row r="31" spans="1:8" ht="13.5" customHeight="1" x14ac:dyDescent="0.2">
      <c r="A31" s="2090"/>
      <c r="B31" s="2086"/>
      <c r="C31" s="1102">
        <v>2262</v>
      </c>
      <c r="D31" s="427">
        <v>551</v>
      </c>
      <c r="E31" s="1478"/>
      <c r="F31" s="756">
        <f t="shared" si="0"/>
        <v>551</v>
      </c>
      <c r="G31" s="957"/>
      <c r="H31" s="2085"/>
    </row>
    <row r="32" spans="1:8" ht="33" customHeight="1" x14ac:dyDescent="0.2">
      <c r="A32" s="2097">
        <v>6</v>
      </c>
      <c r="B32" s="2174" t="s">
        <v>1892</v>
      </c>
      <c r="C32" s="1102">
        <v>2279</v>
      </c>
      <c r="D32" s="427">
        <v>242622</v>
      </c>
      <c r="E32" s="1478"/>
      <c r="F32" s="756">
        <f t="shared" si="0"/>
        <v>242622</v>
      </c>
      <c r="G32" s="957"/>
      <c r="H32" s="2180" t="s">
        <v>1893</v>
      </c>
    </row>
    <row r="33" spans="1:8" ht="33" customHeight="1" x14ac:dyDescent="0.2">
      <c r="A33" s="2173"/>
      <c r="B33" s="2175"/>
      <c r="C33" s="1102">
        <v>1150</v>
      </c>
      <c r="D33" s="427">
        <v>8653</v>
      </c>
      <c r="E33" s="1478"/>
      <c r="F33" s="756">
        <f t="shared" si="0"/>
        <v>8653</v>
      </c>
      <c r="G33" s="427"/>
      <c r="H33" s="2181"/>
    </row>
    <row r="34" spans="1:8" ht="33" customHeight="1" x14ac:dyDescent="0.2">
      <c r="A34" s="2098"/>
      <c r="B34" s="2176"/>
      <c r="C34" s="1102">
        <v>1210</v>
      </c>
      <c r="D34" s="427">
        <v>405</v>
      </c>
      <c r="E34" s="1478"/>
      <c r="F34" s="756">
        <f t="shared" si="0"/>
        <v>405</v>
      </c>
      <c r="G34" s="427"/>
      <c r="H34" s="2182"/>
    </row>
    <row r="35" spans="1:8" ht="13.5" customHeight="1" x14ac:dyDescent="0.2">
      <c r="A35" s="2097">
        <v>7</v>
      </c>
      <c r="B35" s="2174" t="s">
        <v>1894</v>
      </c>
      <c r="C35" s="1102">
        <v>2279</v>
      </c>
      <c r="D35" s="427">
        <v>180423</v>
      </c>
      <c r="E35" s="1479"/>
      <c r="F35" s="756">
        <f t="shared" si="0"/>
        <v>180423</v>
      </c>
      <c r="G35" s="2177"/>
      <c r="H35" s="2180" t="s">
        <v>1895</v>
      </c>
    </row>
    <row r="36" spans="1:8" ht="13.5" customHeight="1" x14ac:dyDescent="0.2">
      <c r="A36" s="2173"/>
      <c r="B36" s="2175"/>
      <c r="C36" s="1102">
        <v>2264</v>
      </c>
      <c r="D36" s="427">
        <v>3313</v>
      </c>
      <c r="E36" s="1479"/>
      <c r="F36" s="756">
        <f t="shared" si="0"/>
        <v>3313</v>
      </c>
      <c r="G36" s="2178"/>
      <c r="H36" s="2181"/>
    </row>
    <row r="37" spans="1:8" ht="13.5" customHeight="1" x14ac:dyDescent="0.2">
      <c r="A37" s="2173"/>
      <c r="B37" s="2175"/>
      <c r="C37" s="1102">
        <v>2248</v>
      </c>
      <c r="D37" s="427">
        <v>115</v>
      </c>
      <c r="E37" s="1479"/>
      <c r="F37" s="756">
        <f t="shared" si="0"/>
        <v>115</v>
      </c>
      <c r="G37" s="2178"/>
      <c r="H37" s="2181"/>
    </row>
    <row r="38" spans="1:8" ht="13.5" customHeight="1" x14ac:dyDescent="0.2">
      <c r="A38" s="2173"/>
      <c r="B38" s="2175"/>
      <c r="C38" s="1102">
        <v>1150</v>
      </c>
      <c r="D38" s="427">
        <v>48713</v>
      </c>
      <c r="E38" s="1479"/>
      <c r="F38" s="756">
        <f t="shared" si="0"/>
        <v>48713</v>
      </c>
      <c r="G38" s="2178"/>
      <c r="H38" s="2181"/>
    </row>
    <row r="39" spans="1:8" ht="13.5" customHeight="1" x14ac:dyDescent="0.2">
      <c r="A39" s="2098"/>
      <c r="B39" s="2176"/>
      <c r="C39" s="1102">
        <v>1210</v>
      </c>
      <c r="D39" s="427">
        <v>2436</v>
      </c>
      <c r="E39" s="1479"/>
      <c r="F39" s="756">
        <f t="shared" si="0"/>
        <v>2436</v>
      </c>
      <c r="G39" s="2179"/>
      <c r="H39" s="2182"/>
    </row>
    <row r="40" spans="1:8" ht="13.5" customHeight="1" x14ac:dyDescent="0.2">
      <c r="A40" s="2183">
        <v>8</v>
      </c>
      <c r="B40" s="2086" t="s">
        <v>1896</v>
      </c>
      <c r="C40" s="1102">
        <v>6422</v>
      </c>
      <c r="D40" s="433">
        <v>3508</v>
      </c>
      <c r="E40" s="756"/>
      <c r="F40" s="756">
        <f t="shared" si="0"/>
        <v>3508</v>
      </c>
      <c r="G40" s="433"/>
      <c r="H40" s="2085" t="s">
        <v>1897</v>
      </c>
    </row>
    <row r="41" spans="1:8" ht="13.5" customHeight="1" x14ac:dyDescent="0.2">
      <c r="A41" s="2183"/>
      <c r="B41" s="2086"/>
      <c r="C41" s="1102">
        <v>1150</v>
      </c>
      <c r="D41" s="433">
        <v>12365</v>
      </c>
      <c r="E41" s="960"/>
      <c r="F41" s="756">
        <f t="shared" si="0"/>
        <v>12365</v>
      </c>
      <c r="G41" s="433"/>
      <c r="H41" s="2085"/>
    </row>
    <row r="42" spans="1:8" ht="13.5" customHeight="1" x14ac:dyDescent="0.2">
      <c r="A42" s="2183"/>
      <c r="B42" s="2086"/>
      <c r="C42" s="1102">
        <v>1210</v>
      </c>
      <c r="D42" s="433">
        <v>619</v>
      </c>
      <c r="E42" s="960"/>
      <c r="F42" s="756">
        <f t="shared" si="0"/>
        <v>619</v>
      </c>
      <c r="G42" s="433"/>
      <c r="H42" s="2085"/>
    </row>
    <row r="43" spans="1:8" ht="13.5" customHeight="1" x14ac:dyDescent="0.2">
      <c r="A43" s="2183"/>
      <c r="B43" s="2086"/>
      <c r="C43" s="1102">
        <v>2231</v>
      </c>
      <c r="D43" s="433">
        <v>4787</v>
      </c>
      <c r="E43" s="960"/>
      <c r="F43" s="756">
        <f t="shared" si="0"/>
        <v>4787</v>
      </c>
      <c r="G43" s="433"/>
      <c r="H43" s="2085"/>
    </row>
    <row r="44" spans="1:8" ht="13.5" customHeight="1" x14ac:dyDescent="0.2">
      <c r="A44" s="2183"/>
      <c r="B44" s="2086"/>
      <c r="C44" s="1102">
        <v>2264</v>
      </c>
      <c r="D44" s="433">
        <v>1473</v>
      </c>
      <c r="E44" s="960"/>
      <c r="F44" s="756">
        <f t="shared" si="0"/>
        <v>1473</v>
      </c>
      <c r="G44" s="433"/>
      <c r="H44" s="2085"/>
    </row>
    <row r="45" spans="1:8" ht="13.5" customHeight="1" x14ac:dyDescent="0.2">
      <c r="A45" s="2183"/>
      <c r="B45" s="2086"/>
      <c r="C45" s="1102">
        <v>2314</v>
      </c>
      <c r="D45" s="433">
        <v>148</v>
      </c>
      <c r="E45" s="960"/>
      <c r="F45" s="756">
        <f t="shared" si="0"/>
        <v>148</v>
      </c>
      <c r="G45" s="433"/>
      <c r="H45" s="2085"/>
    </row>
    <row r="46" spans="1:8" ht="13.5" customHeight="1" x14ac:dyDescent="0.2">
      <c r="A46" s="2183"/>
      <c r="B46" s="2086"/>
      <c r="C46" s="1102">
        <v>2279</v>
      </c>
      <c r="D46" s="433">
        <v>765</v>
      </c>
      <c r="E46" s="960"/>
      <c r="F46" s="756">
        <f t="shared" si="0"/>
        <v>765</v>
      </c>
      <c r="G46" s="433"/>
      <c r="H46" s="2085"/>
    </row>
    <row r="47" spans="1:8" ht="60.75" customHeight="1" x14ac:dyDescent="0.2">
      <c r="A47" s="984">
        <v>9</v>
      </c>
      <c r="B47" s="1215" t="s">
        <v>1898</v>
      </c>
      <c r="C47" s="1102">
        <v>2279</v>
      </c>
      <c r="D47" s="433">
        <v>50000</v>
      </c>
      <c r="E47" s="433"/>
      <c r="F47" s="756">
        <f t="shared" si="0"/>
        <v>50000</v>
      </c>
      <c r="G47" s="433"/>
      <c r="H47" s="1214" t="s">
        <v>1899</v>
      </c>
    </row>
    <row r="48" spans="1:8" ht="27.75" customHeight="1" x14ac:dyDescent="0.2">
      <c r="A48" s="1219">
        <v>10</v>
      </c>
      <c r="B48" s="1215" t="s">
        <v>1900</v>
      </c>
      <c r="C48" s="1102">
        <v>2275</v>
      </c>
      <c r="D48" s="433">
        <v>27000</v>
      </c>
      <c r="E48" s="960"/>
      <c r="F48" s="756">
        <f t="shared" si="0"/>
        <v>27000</v>
      </c>
      <c r="G48" s="433"/>
      <c r="H48" s="1218" t="s">
        <v>1901</v>
      </c>
    </row>
    <row r="49" spans="1:8" ht="15" customHeight="1" x14ac:dyDescent="0.2">
      <c r="A49" s="2090">
        <v>11</v>
      </c>
      <c r="B49" s="2086" t="s">
        <v>1902</v>
      </c>
      <c r="C49" s="1102">
        <v>2261</v>
      </c>
      <c r="D49" s="433">
        <v>742</v>
      </c>
      <c r="E49" s="1480">
        <v>469</v>
      </c>
      <c r="F49" s="756">
        <f t="shared" si="0"/>
        <v>1211</v>
      </c>
      <c r="G49" s="433" t="s">
        <v>1903</v>
      </c>
      <c r="H49" s="2085" t="s">
        <v>1904</v>
      </c>
    </row>
    <row r="50" spans="1:8" ht="15" customHeight="1" x14ac:dyDescent="0.2">
      <c r="A50" s="2090"/>
      <c r="B50" s="2086"/>
      <c r="C50" s="1102">
        <v>6423</v>
      </c>
      <c r="D50" s="433">
        <v>758</v>
      </c>
      <c r="E50" s="1480">
        <v>-469</v>
      </c>
      <c r="F50" s="756">
        <f t="shared" si="0"/>
        <v>289</v>
      </c>
      <c r="G50" s="433"/>
      <c r="H50" s="2085"/>
    </row>
    <row r="51" spans="1:8" ht="38.25" customHeight="1" x14ac:dyDescent="0.2">
      <c r="A51" s="1219">
        <v>12</v>
      </c>
      <c r="B51" s="1215" t="s">
        <v>1905</v>
      </c>
      <c r="C51" s="1102">
        <v>5240</v>
      </c>
      <c r="D51" s="1481">
        <v>10843</v>
      </c>
      <c r="E51" s="1481"/>
      <c r="F51" s="756">
        <f t="shared" si="0"/>
        <v>10843</v>
      </c>
      <c r="G51" s="1481"/>
      <c r="H51" s="1219" t="s">
        <v>1906</v>
      </c>
    </row>
    <row r="52" spans="1:8" ht="14.25" customHeight="1" x14ac:dyDescent="0.2">
      <c r="A52" s="2097">
        <v>13</v>
      </c>
      <c r="B52" s="2174" t="s">
        <v>1907</v>
      </c>
      <c r="C52" s="1102">
        <v>5240</v>
      </c>
      <c r="D52" s="1481">
        <v>0</v>
      </c>
      <c r="E52" s="1482"/>
      <c r="F52" s="756">
        <f t="shared" si="0"/>
        <v>0</v>
      </c>
      <c r="G52" s="1481"/>
      <c r="H52" s="2097" t="s">
        <v>1906</v>
      </c>
    </row>
    <row r="53" spans="1:8" ht="14.25" customHeight="1" x14ac:dyDescent="0.2">
      <c r="A53" s="2173"/>
      <c r="B53" s="2175"/>
      <c r="C53" s="1102">
        <v>1150</v>
      </c>
      <c r="D53" s="1481">
        <v>950</v>
      </c>
      <c r="E53" s="1482"/>
      <c r="F53" s="756">
        <f t="shared" si="0"/>
        <v>950</v>
      </c>
      <c r="G53" s="1481"/>
      <c r="H53" s="2173"/>
    </row>
    <row r="54" spans="1:8" ht="14.25" customHeight="1" x14ac:dyDescent="0.2">
      <c r="A54" s="2098"/>
      <c r="B54" s="2176"/>
      <c r="C54" s="1102">
        <v>1210</v>
      </c>
      <c r="D54" s="1481">
        <v>48</v>
      </c>
      <c r="E54" s="1482"/>
      <c r="F54" s="756">
        <f t="shared" si="0"/>
        <v>48</v>
      </c>
      <c r="G54" s="1481"/>
      <c r="H54" s="2098"/>
    </row>
    <row r="55" spans="1:8" ht="38.25" customHeight="1" x14ac:dyDescent="0.2">
      <c r="A55" s="1219">
        <v>14</v>
      </c>
      <c r="B55" s="1215" t="s">
        <v>1908</v>
      </c>
      <c r="C55" s="1102">
        <v>2279</v>
      </c>
      <c r="D55" s="1481">
        <v>100000</v>
      </c>
      <c r="E55" s="1481"/>
      <c r="F55" s="756">
        <f t="shared" si="0"/>
        <v>100000</v>
      </c>
      <c r="G55" s="1481"/>
      <c r="H55" s="1219" t="s">
        <v>1909</v>
      </c>
    </row>
    <row r="56" spans="1:8" ht="36" x14ac:dyDescent="0.2">
      <c r="A56" s="1219">
        <v>15</v>
      </c>
      <c r="B56" s="1215" t="s">
        <v>1910</v>
      </c>
      <c r="C56" s="1102">
        <v>2275</v>
      </c>
      <c r="D56" s="433">
        <v>30000</v>
      </c>
      <c r="E56" s="433"/>
      <c r="F56" s="756">
        <f t="shared" si="0"/>
        <v>30000</v>
      </c>
      <c r="G56" s="433"/>
      <c r="H56" s="1224" t="s">
        <v>1911</v>
      </c>
    </row>
    <row r="57" spans="1:8" ht="36" x14ac:dyDescent="0.2">
      <c r="A57" s="1219">
        <v>16</v>
      </c>
      <c r="B57" s="1215" t="s">
        <v>1912</v>
      </c>
      <c r="C57" s="1102">
        <v>2279</v>
      </c>
      <c r="D57" s="433">
        <v>2400</v>
      </c>
      <c r="E57" s="960"/>
      <c r="F57" s="756">
        <f t="shared" si="0"/>
        <v>2400</v>
      </c>
      <c r="G57" s="433"/>
      <c r="H57" s="1224" t="s">
        <v>1913</v>
      </c>
    </row>
    <row r="58" spans="1:8" ht="51" customHeight="1" x14ac:dyDescent="0.2">
      <c r="A58" s="1219">
        <v>17</v>
      </c>
      <c r="B58" s="1215" t="s">
        <v>1914</v>
      </c>
      <c r="C58" s="1102">
        <v>3263</v>
      </c>
      <c r="D58" s="433">
        <v>5326</v>
      </c>
      <c r="E58" s="960"/>
      <c r="F58" s="756">
        <f t="shared" si="0"/>
        <v>5326</v>
      </c>
      <c r="G58" s="433"/>
      <c r="H58" s="1224" t="s">
        <v>1915</v>
      </c>
    </row>
    <row r="59" spans="1:8" ht="39" customHeight="1" x14ac:dyDescent="0.2">
      <c r="A59" s="1219">
        <v>18</v>
      </c>
      <c r="B59" s="1215" t="s">
        <v>1916</v>
      </c>
      <c r="C59" s="1102">
        <v>2279</v>
      </c>
      <c r="D59" s="433">
        <v>2600</v>
      </c>
      <c r="E59" s="960"/>
      <c r="F59" s="756">
        <f t="shared" si="0"/>
        <v>2600</v>
      </c>
      <c r="G59" s="433"/>
      <c r="H59" s="1219" t="s">
        <v>1917</v>
      </c>
    </row>
    <row r="60" spans="1:8" ht="38.25" customHeight="1" x14ac:dyDescent="0.2">
      <c r="A60" s="1219">
        <v>19</v>
      </c>
      <c r="B60" s="1215" t="s">
        <v>1918</v>
      </c>
      <c r="C60" s="1102">
        <v>2279</v>
      </c>
      <c r="D60" s="433">
        <v>800</v>
      </c>
      <c r="E60" s="960"/>
      <c r="F60" s="756">
        <f t="shared" si="0"/>
        <v>800</v>
      </c>
      <c r="G60" s="433"/>
      <c r="H60" s="1219" t="s">
        <v>1919</v>
      </c>
    </row>
    <row r="61" spans="1:8" x14ac:dyDescent="0.2">
      <c r="A61" s="774"/>
      <c r="B61" s="774"/>
      <c r="C61" s="774"/>
      <c r="D61" s="1483"/>
      <c r="E61" s="1483"/>
      <c r="F61" s="1483"/>
      <c r="G61" s="1483"/>
      <c r="H61" s="1483"/>
    </row>
    <row r="62" spans="1:8" x14ac:dyDescent="0.2">
      <c r="A62" s="774" t="s">
        <v>570</v>
      </c>
      <c r="B62" s="774"/>
      <c r="C62" s="774"/>
      <c r="D62" s="774"/>
      <c r="E62" s="774"/>
      <c r="F62" s="774"/>
      <c r="G62" s="774"/>
      <c r="H62" s="774"/>
    </row>
    <row r="63" spans="1:8" x14ac:dyDescent="0.2">
      <c r="A63" s="774" t="s">
        <v>807</v>
      </c>
      <c r="B63" s="774"/>
      <c r="C63" s="774"/>
      <c r="D63" s="774"/>
      <c r="E63" s="774"/>
      <c r="F63" s="774"/>
      <c r="G63" s="774"/>
      <c r="H63" s="774"/>
    </row>
    <row r="64" spans="1:8" x14ac:dyDescent="0.2">
      <c r="A64" s="1484" t="s">
        <v>1920</v>
      </c>
      <c r="B64" s="774"/>
      <c r="C64" s="774"/>
      <c r="D64" s="774"/>
      <c r="E64" s="774"/>
      <c r="F64" s="774"/>
      <c r="G64" s="774"/>
      <c r="H64" s="774"/>
    </row>
    <row r="65" spans="1:9" x14ac:dyDescent="0.2">
      <c r="A65" s="774" t="s">
        <v>1921</v>
      </c>
      <c r="B65" s="774"/>
      <c r="C65" s="774"/>
      <c r="D65" s="1483"/>
      <c r="E65" s="1483"/>
      <c r="F65" s="1483"/>
      <c r="G65" s="1483"/>
      <c r="H65" s="774"/>
      <c r="I65" s="770"/>
    </row>
    <row r="66" spans="1:9" x14ac:dyDescent="0.2">
      <c r="A66" s="757"/>
      <c r="B66" s="757" t="s">
        <v>1922</v>
      </c>
      <c r="C66" s="757"/>
      <c r="D66" s="1485"/>
      <c r="E66" s="1485"/>
      <c r="F66" s="1485"/>
      <c r="G66" s="1485"/>
      <c r="H66" s="757"/>
      <c r="I66" s="770"/>
    </row>
    <row r="67" spans="1:9" x14ac:dyDescent="0.2">
      <c r="A67" s="757" t="s">
        <v>1683</v>
      </c>
      <c r="B67" s="757"/>
      <c r="C67" s="757"/>
      <c r="D67" s="757"/>
      <c r="E67" s="757"/>
      <c r="F67" s="757"/>
      <c r="G67" s="757"/>
      <c r="H67" s="757"/>
      <c r="I67" s="771"/>
    </row>
    <row r="68" spans="1:9" x14ac:dyDescent="0.2">
      <c r="A68" s="757"/>
      <c r="B68" s="757" t="s">
        <v>1923</v>
      </c>
      <c r="C68" s="757"/>
      <c r="D68" s="757"/>
      <c r="E68" s="757"/>
      <c r="F68" s="757"/>
      <c r="G68" s="757"/>
      <c r="H68" s="757"/>
      <c r="I68" s="456"/>
    </row>
    <row r="69" spans="1:9" x14ac:dyDescent="0.2">
      <c r="A69" s="757"/>
      <c r="B69" s="757" t="s">
        <v>1924</v>
      </c>
      <c r="C69" s="757"/>
      <c r="D69" s="757"/>
      <c r="E69" s="757"/>
      <c r="F69" s="757"/>
      <c r="G69" s="757"/>
      <c r="H69" s="757"/>
      <c r="I69" s="456"/>
    </row>
    <row r="70" spans="1:9" x14ac:dyDescent="0.2">
      <c r="A70" s="757" t="s">
        <v>1925</v>
      </c>
      <c r="B70" s="757"/>
      <c r="C70" s="757"/>
      <c r="D70" s="757"/>
      <c r="E70" s="757"/>
      <c r="F70" s="757"/>
      <c r="G70" s="757"/>
      <c r="H70" s="757"/>
      <c r="I70" s="456"/>
    </row>
    <row r="71" spans="1:9" x14ac:dyDescent="0.2">
      <c r="A71" s="757"/>
      <c r="B71" s="757" t="s">
        <v>1926</v>
      </c>
      <c r="C71" s="757"/>
      <c r="D71" s="757"/>
      <c r="E71" s="757"/>
      <c r="F71" s="757"/>
      <c r="G71" s="757"/>
      <c r="H71" s="757"/>
      <c r="I71" s="456"/>
    </row>
    <row r="72" spans="1:9" x14ac:dyDescent="0.2">
      <c r="A72" s="757"/>
      <c r="B72" s="757" t="s">
        <v>1927</v>
      </c>
      <c r="C72" s="757"/>
      <c r="D72" s="757"/>
      <c r="E72" s="757"/>
      <c r="F72" s="757"/>
      <c r="G72" s="757"/>
      <c r="H72" s="757"/>
      <c r="I72" s="456"/>
    </row>
    <row r="73" spans="1:9" x14ac:dyDescent="0.2">
      <c r="A73" s="757"/>
      <c r="B73" s="757" t="s">
        <v>1928</v>
      </c>
      <c r="C73" s="757"/>
      <c r="D73" s="757"/>
      <c r="E73" s="757"/>
      <c r="F73" s="757"/>
      <c r="G73" s="757"/>
      <c r="H73" s="757"/>
      <c r="I73" s="456"/>
    </row>
    <row r="74" spans="1:9" x14ac:dyDescent="0.2">
      <c r="A74" s="757"/>
      <c r="B74" s="757" t="s">
        <v>1929</v>
      </c>
      <c r="C74" s="757"/>
      <c r="D74" s="757"/>
      <c r="E74" s="757"/>
      <c r="F74" s="757"/>
      <c r="G74" s="757"/>
      <c r="H74" s="757"/>
      <c r="I74" s="456"/>
    </row>
    <row r="75" spans="1:9" x14ac:dyDescent="0.2">
      <c r="A75" s="757"/>
      <c r="B75" s="757"/>
      <c r="C75" s="757"/>
      <c r="D75" s="757"/>
      <c r="E75" s="757"/>
      <c r="F75" s="757"/>
      <c r="G75" s="757"/>
      <c r="H75" s="757"/>
      <c r="I75" s="456"/>
    </row>
    <row r="76" spans="1:9" x14ac:dyDescent="0.2">
      <c r="A76" s="2171" t="s">
        <v>1930</v>
      </c>
      <c r="B76" s="2171"/>
      <c r="C76" s="2171"/>
      <c r="D76" s="2171"/>
      <c r="E76" s="2171"/>
      <c r="F76" s="2171"/>
      <c r="G76" s="2171"/>
      <c r="H76" s="2171"/>
      <c r="I76" s="774"/>
    </row>
    <row r="77" spans="1:9" x14ac:dyDescent="0.2">
      <c r="A77" s="757" t="s">
        <v>1931</v>
      </c>
      <c r="B77" s="757"/>
      <c r="C77" s="757"/>
      <c r="D77" s="757"/>
      <c r="E77" s="757"/>
      <c r="F77" s="757"/>
      <c r="G77" s="757"/>
      <c r="H77" s="757"/>
      <c r="I77" s="774"/>
    </row>
    <row r="78" spans="1:9" x14ac:dyDescent="0.2">
      <c r="A78" s="757"/>
      <c r="B78" s="757" t="s">
        <v>1932</v>
      </c>
      <c r="C78" s="757"/>
      <c r="D78" s="757"/>
      <c r="E78" s="757"/>
      <c r="F78" s="757"/>
      <c r="G78" s="757"/>
      <c r="H78" s="757"/>
      <c r="I78" s="774"/>
    </row>
    <row r="79" spans="1:9" x14ac:dyDescent="0.2">
      <c r="A79" s="757"/>
      <c r="B79" s="757" t="s">
        <v>1933</v>
      </c>
      <c r="C79" s="757"/>
      <c r="D79" s="757"/>
      <c r="E79" s="757"/>
      <c r="F79" s="757"/>
      <c r="G79" s="757"/>
      <c r="H79" s="757"/>
      <c r="I79" s="774"/>
    </row>
    <row r="80" spans="1:9" x14ac:dyDescent="0.2">
      <c r="A80" s="757" t="s">
        <v>1703</v>
      </c>
      <c r="B80" s="757"/>
      <c r="C80" s="757"/>
      <c r="D80" s="757"/>
      <c r="E80" s="757"/>
      <c r="F80" s="757"/>
      <c r="G80" s="757"/>
      <c r="H80" s="757"/>
      <c r="I80" s="774"/>
    </row>
    <row r="81" spans="1:12" x14ac:dyDescent="0.2">
      <c r="A81" s="757"/>
      <c r="B81" s="757" t="s">
        <v>1934</v>
      </c>
      <c r="C81" s="757"/>
      <c r="D81" s="757"/>
      <c r="E81" s="757"/>
      <c r="F81" s="757"/>
      <c r="G81" s="757"/>
      <c r="H81" s="757"/>
      <c r="I81" s="774"/>
    </row>
    <row r="82" spans="1:12" ht="22.5" customHeight="1" x14ac:dyDescent="0.2">
      <c r="A82" s="757"/>
      <c r="B82" s="2172" t="s">
        <v>1935</v>
      </c>
      <c r="C82" s="2172"/>
      <c r="D82" s="2172"/>
      <c r="E82" s="2172"/>
      <c r="F82" s="2172"/>
      <c r="G82" s="2172"/>
      <c r="H82" s="2172"/>
      <c r="I82" s="2172"/>
      <c r="J82" s="2172"/>
      <c r="K82" s="2172"/>
      <c r="L82" s="2172"/>
    </row>
    <row r="83" spans="1:12" x14ac:dyDescent="0.2">
      <c r="A83" s="757"/>
      <c r="B83" s="757" t="s">
        <v>1936</v>
      </c>
      <c r="C83" s="757"/>
      <c r="D83" s="757"/>
      <c r="E83" s="757"/>
      <c r="F83" s="757"/>
      <c r="G83" s="757"/>
      <c r="H83" s="757"/>
      <c r="I83" s="774"/>
    </row>
    <row r="84" spans="1:12" x14ac:dyDescent="0.2">
      <c r="A84" s="757" t="s">
        <v>1937</v>
      </c>
      <c r="B84" s="757"/>
      <c r="C84" s="757"/>
      <c r="D84" s="757"/>
      <c r="E84" s="757"/>
      <c r="F84" s="757"/>
      <c r="G84" s="757"/>
      <c r="H84" s="757"/>
      <c r="I84" s="774"/>
    </row>
    <row r="85" spans="1:12" x14ac:dyDescent="0.2">
      <c r="A85" s="757"/>
      <c r="B85" s="757" t="s">
        <v>1938</v>
      </c>
      <c r="C85" s="757"/>
      <c r="D85" s="757"/>
      <c r="E85" s="757"/>
      <c r="F85" s="757"/>
      <c r="G85" s="757"/>
      <c r="H85" s="757"/>
      <c r="I85" s="774"/>
    </row>
    <row r="86" spans="1:12" x14ac:dyDescent="0.2">
      <c r="A86" s="757"/>
      <c r="B86" s="757" t="s">
        <v>1939</v>
      </c>
      <c r="C86" s="757"/>
      <c r="D86" s="757"/>
      <c r="E86" s="757"/>
      <c r="F86" s="757"/>
      <c r="G86" s="757"/>
      <c r="H86" s="757"/>
      <c r="I86" s="774"/>
    </row>
    <row r="87" spans="1:12" ht="24" customHeight="1" x14ac:dyDescent="0.2">
      <c r="A87" s="757"/>
      <c r="B87" s="2172" t="s">
        <v>1940</v>
      </c>
      <c r="C87" s="2172"/>
      <c r="D87" s="2172"/>
      <c r="E87" s="2172"/>
      <c r="F87" s="2172"/>
      <c r="G87" s="2172"/>
      <c r="H87" s="2172"/>
      <c r="I87" s="2172"/>
      <c r="J87" s="2172"/>
      <c r="K87" s="2172"/>
      <c r="L87" s="2172"/>
    </row>
    <row r="88" spans="1:12" x14ac:dyDescent="0.2">
      <c r="A88" s="757"/>
      <c r="B88" s="757" t="s">
        <v>1941</v>
      </c>
      <c r="C88" s="757"/>
      <c r="D88" s="757"/>
      <c r="E88" s="757"/>
      <c r="F88" s="757"/>
      <c r="G88" s="757"/>
      <c r="H88" s="757"/>
      <c r="I88" s="774"/>
    </row>
    <row r="89" spans="1:12" x14ac:dyDescent="0.2">
      <c r="A89" s="757" t="s">
        <v>1942</v>
      </c>
      <c r="B89" s="757"/>
      <c r="C89" s="757"/>
      <c r="D89" s="757"/>
      <c r="E89" s="757"/>
      <c r="F89" s="757"/>
      <c r="G89" s="757"/>
      <c r="H89" s="757"/>
      <c r="I89" s="774"/>
    </row>
    <row r="90" spans="1:12" ht="23.25" customHeight="1" x14ac:dyDescent="0.2">
      <c r="A90" s="757"/>
      <c r="B90" s="2172" t="s">
        <v>1943</v>
      </c>
      <c r="C90" s="2172"/>
      <c r="D90" s="2172"/>
      <c r="E90" s="2172"/>
      <c r="F90" s="2172"/>
      <c r="G90" s="2172"/>
      <c r="H90" s="2172"/>
      <c r="I90" s="2172"/>
      <c r="J90" s="2172"/>
      <c r="K90" s="2172"/>
      <c r="L90" s="2172"/>
    </row>
    <row r="91" spans="1:12" x14ac:dyDescent="0.2">
      <c r="A91" s="757"/>
      <c r="B91" s="757" t="s">
        <v>1944</v>
      </c>
      <c r="C91" s="757"/>
      <c r="D91" s="757"/>
      <c r="E91" s="757"/>
      <c r="F91" s="757"/>
      <c r="G91" s="757"/>
      <c r="H91" s="757"/>
      <c r="I91" s="774"/>
    </row>
    <row r="92" spans="1:12" x14ac:dyDescent="0.2">
      <c r="A92" s="757" t="s">
        <v>1945</v>
      </c>
      <c r="B92" s="757"/>
      <c r="C92" s="757"/>
      <c r="D92" s="757"/>
      <c r="E92" s="757"/>
      <c r="F92" s="757"/>
      <c r="G92" s="757"/>
      <c r="H92" s="757"/>
      <c r="I92" s="774"/>
    </row>
    <row r="93" spans="1:12" x14ac:dyDescent="0.2">
      <c r="A93" s="757"/>
      <c r="B93" s="757" t="s">
        <v>1946</v>
      </c>
      <c r="C93" s="757"/>
      <c r="D93" s="757"/>
      <c r="E93" s="757"/>
      <c r="F93" s="757"/>
      <c r="G93" s="757"/>
      <c r="H93" s="757"/>
      <c r="I93" s="774"/>
    </row>
    <row r="94" spans="1:12" x14ac:dyDescent="0.2">
      <c r="A94" s="757"/>
      <c r="B94" s="757" t="s">
        <v>1947</v>
      </c>
      <c r="C94" s="757"/>
      <c r="D94" s="757"/>
      <c r="E94" s="757"/>
      <c r="F94" s="757"/>
      <c r="G94" s="757"/>
      <c r="H94" s="757"/>
      <c r="I94" s="774"/>
    </row>
    <row r="95" spans="1:12" x14ac:dyDescent="0.2">
      <c r="A95" s="757"/>
      <c r="B95" s="757" t="s">
        <v>1948</v>
      </c>
      <c r="C95" s="757"/>
      <c r="D95" s="757"/>
      <c r="E95" s="757"/>
      <c r="F95" s="757"/>
      <c r="G95" s="757"/>
      <c r="H95" s="757"/>
      <c r="I95" s="774"/>
    </row>
    <row r="96" spans="1:12" x14ac:dyDescent="0.2">
      <c r="A96" s="757"/>
      <c r="B96" s="757"/>
      <c r="C96" s="757"/>
      <c r="D96" s="757"/>
      <c r="E96" s="757"/>
      <c r="F96" s="757"/>
      <c r="G96" s="757"/>
      <c r="H96" s="757"/>
      <c r="I96" s="774"/>
    </row>
    <row r="97" spans="1:9" x14ac:dyDescent="0.2">
      <c r="A97" s="797" t="s">
        <v>1949</v>
      </c>
      <c r="B97" s="774"/>
      <c r="C97" s="774"/>
      <c r="D97" s="774"/>
      <c r="E97" s="774"/>
      <c r="F97" s="774"/>
      <c r="G97" s="774"/>
      <c r="H97" s="774"/>
      <c r="I97" s="774"/>
    </row>
    <row r="98" spans="1:9" x14ac:dyDescent="0.2">
      <c r="B98" s="401" t="s">
        <v>1950</v>
      </c>
    </row>
    <row r="99" spans="1:9" x14ac:dyDescent="0.2">
      <c r="B99" s="401" t="s">
        <v>1951</v>
      </c>
    </row>
    <row r="102" spans="1:9" s="451" customFormat="1" ht="21" customHeight="1" x14ac:dyDescent="0.3">
      <c r="A102" s="1486"/>
      <c r="B102" s="1486"/>
      <c r="C102" s="1486"/>
      <c r="D102" s="1486"/>
      <c r="E102" s="1486"/>
      <c r="F102" s="1486"/>
      <c r="G102" s="1486"/>
      <c r="H102" s="1486"/>
    </row>
  </sheetData>
  <sheetProtection algorithmName="SHA-512" hashValue="eTtljH4K78qzVbhSHGx0cfm0GR0bxZ3o2/L5wnDcoPMAWaAj6zqsIBDQadZzQE7jAx750MWdgYPWC5bkIo4cLA==" saltValue="e8aRsMRuhZIPa52da4zv5w==" spinCount="100000" sheet="1" objects="1" scenarios="1"/>
  <mergeCells count="45">
    <mergeCell ref="A3:B3"/>
    <mergeCell ref="A4:B4"/>
    <mergeCell ref="A5:H5"/>
    <mergeCell ref="A10:A11"/>
    <mergeCell ref="B10:B11"/>
    <mergeCell ref="C10:C11"/>
    <mergeCell ref="D10:D11"/>
    <mergeCell ref="E10:E11"/>
    <mergeCell ref="F10:F11"/>
    <mergeCell ref="G10:G11"/>
    <mergeCell ref="H10:H11"/>
    <mergeCell ref="A12:B12"/>
    <mergeCell ref="A13:A20"/>
    <mergeCell ref="B13:B20"/>
    <mergeCell ref="H13:H20"/>
    <mergeCell ref="G14:G15"/>
    <mergeCell ref="A21:A24"/>
    <mergeCell ref="B21:B24"/>
    <mergeCell ref="H21:H24"/>
    <mergeCell ref="A26:A28"/>
    <mergeCell ref="B26:B28"/>
    <mergeCell ref="H26:H28"/>
    <mergeCell ref="A29:A31"/>
    <mergeCell ref="B29:B31"/>
    <mergeCell ref="H29:H31"/>
    <mergeCell ref="A32:A34"/>
    <mergeCell ref="B32:B34"/>
    <mergeCell ref="H32:H34"/>
    <mergeCell ref="A35:A39"/>
    <mergeCell ref="B35:B39"/>
    <mergeCell ref="G35:G39"/>
    <mergeCell ref="H35:H39"/>
    <mergeCell ref="A40:A46"/>
    <mergeCell ref="B40:B46"/>
    <mergeCell ref="H40:H46"/>
    <mergeCell ref="A76:H76"/>
    <mergeCell ref="B82:L82"/>
    <mergeCell ref="B87:L87"/>
    <mergeCell ref="B90:L90"/>
    <mergeCell ref="A49:A50"/>
    <mergeCell ref="B49:B50"/>
    <mergeCell ref="H49:H50"/>
    <mergeCell ref="A52:A54"/>
    <mergeCell ref="B52:B54"/>
    <mergeCell ref="H52:H54"/>
  </mergeCells>
  <pageMargins left="0.98425196850393704" right="0.39370078740157483" top="0.59055118110236227" bottom="0.39370078740157483" header="0.23622047244094491" footer="0.23622047244094491"/>
  <pageSetup paperSize="9" scale="70" fitToHeight="0" orientation="portrait" r:id="rId1"/>
  <headerFooter differentFirst="1">
    <oddFooter>&amp;L&amp;"Times New Roman,Regular"&amp;9&amp;D; &amp;T&amp;R&amp;"Times New Roman,Regular"&amp;9&amp;P (&amp;N)</oddFooter>
    <firstHeader xml:space="preserve">&amp;R&amp;"Times New Roman,Regular"&amp;9 79.pielikums Jūrmalas pilsētas domes
2019.gada 29.augusta saistošajiem noteikumiem Nr.31
(protokols Nr.12, 20.punkts)
 </firstHeader>
    <firstFooter>&amp;L&amp;9&amp;D; &amp;T&amp;R&amp;9&amp;P (&amp;N)</first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A125"/>
  <sheetViews>
    <sheetView view="pageLayout" zoomScaleNormal="100" workbookViewId="0">
      <selection activeCell="M10" sqref="M10"/>
    </sheetView>
  </sheetViews>
  <sheetFormatPr defaultRowHeight="12.75" outlineLevelCol="1" x14ac:dyDescent="0.2"/>
  <cols>
    <col min="1" max="1" width="6.140625" style="451" customWidth="1"/>
    <col min="2" max="2" width="31" style="451" customWidth="1"/>
    <col min="3" max="3" width="10.5703125" style="451" customWidth="1"/>
    <col min="4" max="4" width="11.7109375" style="451" hidden="1" customWidth="1" outlineLevel="1"/>
    <col min="5" max="5" width="11.28515625" style="451" hidden="1" customWidth="1" outlineLevel="1"/>
    <col min="6" max="6" width="13.85546875" style="612" customWidth="1" collapsed="1"/>
    <col min="7" max="7" width="23.85546875" style="451" hidden="1" customWidth="1" outlineLevel="1"/>
    <col min="8" max="8" width="21.28515625" style="451" customWidth="1" collapsed="1"/>
    <col min="9" max="9" width="2.42578125" style="451" customWidth="1"/>
    <col min="10" max="16384" width="9.140625" style="451"/>
  </cols>
  <sheetData>
    <row r="1" spans="1:8" ht="12" customHeight="1" x14ac:dyDescent="0.2">
      <c r="C1" s="402"/>
      <c r="D1" s="402"/>
      <c r="E1" s="402"/>
      <c r="F1" s="451"/>
      <c r="H1" s="333" t="s">
        <v>733</v>
      </c>
    </row>
    <row r="2" spans="1:8" ht="12" x14ac:dyDescent="0.2">
      <c r="C2" s="398"/>
      <c r="D2" s="398"/>
      <c r="E2" s="398"/>
      <c r="F2" s="451"/>
      <c r="H2" s="333" t="s">
        <v>494</v>
      </c>
    </row>
    <row r="3" spans="1:8" x14ac:dyDescent="0.2">
      <c r="A3" s="2128" t="s">
        <v>2</v>
      </c>
      <c r="B3" s="2128"/>
      <c r="C3" s="548" t="s">
        <v>3</v>
      </c>
      <c r="D3" s="548"/>
      <c r="E3" s="549"/>
      <c r="F3" s="451"/>
      <c r="G3" s="549"/>
      <c r="H3" s="549"/>
    </row>
    <row r="4" spans="1:8" x14ac:dyDescent="0.2">
      <c r="A4" s="2128" t="s">
        <v>4</v>
      </c>
      <c r="B4" s="2128"/>
      <c r="C4" s="1186">
        <v>90000056357</v>
      </c>
      <c r="D4" s="549"/>
      <c r="E4" s="549"/>
      <c r="F4" s="451"/>
      <c r="G4" s="549"/>
      <c r="H4" s="549"/>
    </row>
    <row r="5" spans="1:8" ht="15.75" x14ac:dyDescent="0.25">
      <c r="A5" s="2129" t="s">
        <v>496</v>
      </c>
      <c r="B5" s="2129"/>
      <c r="C5" s="2129"/>
      <c r="D5" s="2129"/>
      <c r="E5" s="2129"/>
      <c r="F5" s="2129"/>
      <c r="G5" s="2129"/>
      <c r="H5" s="2129"/>
    </row>
    <row r="6" spans="1:8" ht="15.75" x14ac:dyDescent="0.25">
      <c r="A6" s="550"/>
      <c r="B6" s="550"/>
      <c r="C6" s="550"/>
      <c r="D6" s="550"/>
      <c r="E6" s="550"/>
      <c r="F6" s="451"/>
      <c r="G6" s="550"/>
      <c r="H6" s="550"/>
    </row>
    <row r="7" spans="1:8" ht="15.75" x14ac:dyDescent="0.25">
      <c r="A7" s="2128" t="s">
        <v>546</v>
      </c>
      <c r="B7" s="2128"/>
      <c r="C7" s="551" t="s">
        <v>734</v>
      </c>
      <c r="D7" s="552"/>
      <c r="E7" s="553"/>
      <c r="F7" s="553"/>
      <c r="G7" s="549"/>
      <c r="H7" s="549"/>
    </row>
    <row r="8" spans="1:8" ht="13.5" x14ac:dyDescent="0.2">
      <c r="A8" s="2128" t="s">
        <v>499</v>
      </c>
      <c r="B8" s="2128"/>
      <c r="C8" s="554" t="s">
        <v>732</v>
      </c>
      <c r="D8" s="554"/>
      <c r="E8" s="549"/>
      <c r="F8" s="451"/>
      <c r="G8" s="549"/>
      <c r="H8" s="549"/>
    </row>
    <row r="9" spans="1:8" ht="12" x14ac:dyDescent="0.2">
      <c r="A9" s="2128" t="s">
        <v>500</v>
      </c>
      <c r="B9" s="2128"/>
      <c r="C9" s="555" t="s">
        <v>731</v>
      </c>
      <c r="D9" s="549"/>
      <c r="E9" s="549"/>
      <c r="F9" s="451"/>
      <c r="G9" s="549"/>
      <c r="H9" s="549"/>
    </row>
    <row r="10" spans="1:8" ht="64.5" customHeight="1" x14ac:dyDescent="0.2">
      <c r="A10" s="556" t="s">
        <v>501</v>
      </c>
      <c r="B10" s="557" t="s">
        <v>502</v>
      </c>
      <c r="C10" s="556" t="s">
        <v>503</v>
      </c>
      <c r="D10" s="556" t="s">
        <v>504</v>
      </c>
      <c r="E10" s="556" t="s">
        <v>505</v>
      </c>
      <c r="F10" s="556" t="s">
        <v>506</v>
      </c>
      <c r="G10" s="556" t="s">
        <v>36</v>
      </c>
      <c r="H10" s="556" t="s">
        <v>507</v>
      </c>
    </row>
    <row r="11" spans="1:8" ht="12.75" customHeight="1" x14ac:dyDescent="0.2">
      <c r="A11" s="2169" t="s">
        <v>549</v>
      </c>
      <c r="B11" s="2170"/>
      <c r="C11" s="558"/>
      <c r="D11" s="558">
        <f>SUM(D12:D48)</f>
        <v>697332</v>
      </c>
      <c r="E11" s="558">
        <f>SUM(E12:E48)</f>
        <v>-350</v>
      </c>
      <c r="F11" s="558">
        <f>SUM(F12:F48)</f>
        <v>696982</v>
      </c>
      <c r="G11" s="559"/>
      <c r="H11" s="2117" t="s">
        <v>735</v>
      </c>
    </row>
    <row r="12" spans="1:8" ht="21.75" customHeight="1" x14ac:dyDescent="0.2">
      <c r="A12" s="560">
        <v>1</v>
      </c>
      <c r="B12" s="561" t="s">
        <v>736</v>
      </c>
      <c r="C12" s="562">
        <v>2279</v>
      </c>
      <c r="D12" s="563">
        <v>4840</v>
      </c>
      <c r="E12" s="564"/>
      <c r="F12" s="565">
        <f>D12+E12</f>
        <v>4840</v>
      </c>
      <c r="G12" s="559"/>
      <c r="H12" s="2125"/>
    </row>
    <row r="13" spans="1:8" ht="24" customHeight="1" x14ac:dyDescent="0.2">
      <c r="A13" s="560">
        <v>2</v>
      </c>
      <c r="B13" s="561" t="s">
        <v>737</v>
      </c>
      <c r="C13" s="566">
        <v>2279</v>
      </c>
      <c r="D13" s="567">
        <v>5400</v>
      </c>
      <c r="E13" s="564"/>
      <c r="F13" s="565">
        <f t="shared" ref="F13:F48" si="0">D13+E13</f>
        <v>5400</v>
      </c>
      <c r="G13" s="559"/>
      <c r="H13" s="2125"/>
    </row>
    <row r="14" spans="1:8" ht="12.75" customHeight="1" x14ac:dyDescent="0.2">
      <c r="A14" s="560">
        <v>3</v>
      </c>
      <c r="B14" s="568" t="s">
        <v>738</v>
      </c>
      <c r="C14" s="566">
        <v>2279</v>
      </c>
      <c r="D14" s="567">
        <v>3400</v>
      </c>
      <c r="E14" s="564"/>
      <c r="F14" s="565">
        <f t="shared" si="0"/>
        <v>3400</v>
      </c>
      <c r="G14" s="559"/>
      <c r="H14" s="2125"/>
    </row>
    <row r="15" spans="1:8" ht="12.75" customHeight="1" x14ac:dyDescent="0.2">
      <c r="A15" s="560">
        <v>4</v>
      </c>
      <c r="B15" s="568" t="s">
        <v>739</v>
      </c>
      <c r="C15" s="566">
        <v>2279</v>
      </c>
      <c r="D15" s="567">
        <v>3000</v>
      </c>
      <c r="E15" s="564"/>
      <c r="F15" s="565">
        <f t="shared" si="0"/>
        <v>3000</v>
      </c>
      <c r="G15" s="559"/>
      <c r="H15" s="2125"/>
    </row>
    <row r="16" spans="1:8" ht="12.75" customHeight="1" x14ac:dyDescent="0.2">
      <c r="A16" s="560">
        <v>5</v>
      </c>
      <c r="B16" s="568" t="s">
        <v>740</v>
      </c>
      <c r="C16" s="566">
        <v>2279</v>
      </c>
      <c r="D16" s="567">
        <v>36300</v>
      </c>
      <c r="E16" s="564"/>
      <c r="F16" s="565">
        <f t="shared" si="0"/>
        <v>36300</v>
      </c>
      <c r="G16" s="559"/>
      <c r="H16" s="2125"/>
    </row>
    <row r="17" spans="1:8" ht="24" customHeight="1" x14ac:dyDescent="0.2">
      <c r="A17" s="560">
        <v>6</v>
      </c>
      <c r="B17" s="568" t="s">
        <v>741</v>
      </c>
      <c r="C17" s="566">
        <v>2279</v>
      </c>
      <c r="D17" s="567">
        <v>200000</v>
      </c>
      <c r="E17" s="564"/>
      <c r="F17" s="565">
        <f t="shared" si="0"/>
        <v>200000</v>
      </c>
      <c r="G17" s="559"/>
      <c r="H17" s="2125"/>
    </row>
    <row r="18" spans="1:8" ht="12.75" customHeight="1" x14ac:dyDescent="0.2">
      <c r="A18" s="560">
        <v>7</v>
      </c>
      <c r="B18" s="568" t="s">
        <v>742</v>
      </c>
      <c r="C18" s="566">
        <v>2279</v>
      </c>
      <c r="D18" s="563">
        <v>50820</v>
      </c>
      <c r="E18" s="569">
        <v>-20000</v>
      </c>
      <c r="F18" s="565">
        <f t="shared" si="0"/>
        <v>30820</v>
      </c>
      <c r="G18" s="559" t="s">
        <v>743</v>
      </c>
      <c r="H18" s="2125"/>
    </row>
    <row r="19" spans="1:8" ht="12.75" customHeight="1" x14ac:dyDescent="0.2">
      <c r="A19" s="560">
        <v>8</v>
      </c>
      <c r="B19" s="568" t="s">
        <v>744</v>
      </c>
      <c r="C19" s="566">
        <v>2279</v>
      </c>
      <c r="D19" s="563">
        <v>0</v>
      </c>
      <c r="E19" s="564"/>
      <c r="F19" s="565">
        <f t="shared" si="0"/>
        <v>0</v>
      </c>
      <c r="G19" s="559"/>
      <c r="H19" s="2125"/>
    </row>
    <row r="20" spans="1:8" ht="14.25" customHeight="1" x14ac:dyDescent="0.2">
      <c r="A20" s="560">
        <v>9</v>
      </c>
      <c r="B20" s="568" t="s">
        <v>745</v>
      </c>
      <c r="C20" s="566">
        <v>2279</v>
      </c>
      <c r="D20" s="563">
        <v>50820</v>
      </c>
      <c r="E20" s="569">
        <v>-12000</v>
      </c>
      <c r="F20" s="565">
        <f t="shared" si="0"/>
        <v>38820</v>
      </c>
      <c r="G20" s="559" t="s">
        <v>743</v>
      </c>
      <c r="H20" s="2125"/>
    </row>
    <row r="21" spans="1:8" ht="12.75" customHeight="1" x14ac:dyDescent="0.2">
      <c r="A21" s="560">
        <v>10</v>
      </c>
      <c r="B21" s="568" t="s">
        <v>746</v>
      </c>
      <c r="C21" s="566">
        <v>2279</v>
      </c>
      <c r="D21" s="563">
        <v>50820</v>
      </c>
      <c r="E21" s="564"/>
      <c r="F21" s="565">
        <f t="shared" si="0"/>
        <v>50820</v>
      </c>
      <c r="G21" s="559"/>
      <c r="H21" s="2125"/>
    </row>
    <row r="22" spans="1:8" ht="12.75" customHeight="1" x14ac:dyDescent="0.2">
      <c r="A22" s="560">
        <v>11</v>
      </c>
      <c r="B22" s="568" t="s">
        <v>747</v>
      </c>
      <c r="C22" s="566">
        <v>2279</v>
      </c>
      <c r="D22" s="563">
        <v>50820</v>
      </c>
      <c r="E22" s="564"/>
      <c r="F22" s="565">
        <f t="shared" si="0"/>
        <v>50820</v>
      </c>
      <c r="G22" s="559"/>
      <c r="H22" s="2125"/>
    </row>
    <row r="23" spans="1:8" ht="12.75" customHeight="1" x14ac:dyDescent="0.2">
      <c r="A23" s="560">
        <v>12</v>
      </c>
      <c r="B23" s="568" t="s">
        <v>748</v>
      </c>
      <c r="C23" s="566">
        <v>2279</v>
      </c>
      <c r="D23" s="563">
        <v>50820</v>
      </c>
      <c r="E23" s="564"/>
      <c r="F23" s="565">
        <f t="shared" si="0"/>
        <v>50820</v>
      </c>
      <c r="G23" s="559"/>
      <c r="H23" s="2125"/>
    </row>
    <row r="24" spans="1:8" ht="12.75" customHeight="1" x14ac:dyDescent="0.2">
      <c r="A24" s="560">
        <v>13</v>
      </c>
      <c r="B24" s="568" t="s">
        <v>749</v>
      </c>
      <c r="C24" s="566">
        <v>3263</v>
      </c>
      <c r="D24" s="563">
        <v>5600</v>
      </c>
      <c r="E24" s="564"/>
      <c r="F24" s="565">
        <f t="shared" si="0"/>
        <v>5600</v>
      </c>
      <c r="G24" s="559"/>
      <c r="H24" s="2125"/>
    </row>
    <row r="25" spans="1:8" ht="12" x14ac:dyDescent="0.2">
      <c r="A25" s="560">
        <v>14</v>
      </c>
      <c r="B25" s="568" t="s">
        <v>750</v>
      </c>
      <c r="C25" s="566">
        <v>3263</v>
      </c>
      <c r="D25" s="563">
        <v>12100</v>
      </c>
      <c r="E25" s="564"/>
      <c r="F25" s="565">
        <f t="shared" si="0"/>
        <v>12100</v>
      </c>
      <c r="G25" s="559"/>
      <c r="H25" s="2125"/>
    </row>
    <row r="26" spans="1:8" ht="12.75" customHeight="1" x14ac:dyDescent="0.2">
      <c r="A26" s="560">
        <v>15</v>
      </c>
      <c r="B26" s="568" t="s">
        <v>751</v>
      </c>
      <c r="C26" s="566">
        <v>2279</v>
      </c>
      <c r="D26" s="563">
        <v>15000</v>
      </c>
      <c r="E26" s="564"/>
      <c r="F26" s="565">
        <f t="shared" si="0"/>
        <v>15000</v>
      </c>
      <c r="G26" s="559"/>
      <c r="H26" s="2125"/>
    </row>
    <row r="27" spans="1:8" ht="24" x14ac:dyDescent="0.2">
      <c r="A27" s="560">
        <v>16</v>
      </c>
      <c r="B27" s="568" t="s">
        <v>752</v>
      </c>
      <c r="C27" s="566">
        <v>3263</v>
      </c>
      <c r="D27" s="563">
        <v>3622</v>
      </c>
      <c r="E27" s="564"/>
      <c r="F27" s="565">
        <f t="shared" si="0"/>
        <v>3622</v>
      </c>
      <c r="G27" s="559"/>
      <c r="H27" s="2125"/>
    </row>
    <row r="28" spans="1:8" ht="21" customHeight="1" x14ac:dyDescent="0.2">
      <c r="A28" s="560">
        <v>17</v>
      </c>
      <c r="B28" s="568" t="s">
        <v>753</v>
      </c>
      <c r="C28" s="566">
        <v>3263</v>
      </c>
      <c r="D28" s="563">
        <v>6163</v>
      </c>
      <c r="E28" s="564"/>
      <c r="F28" s="565">
        <f t="shared" si="0"/>
        <v>6163</v>
      </c>
      <c r="G28" s="559"/>
      <c r="H28" s="2125"/>
    </row>
    <row r="29" spans="1:8" ht="12.75" customHeight="1" x14ac:dyDescent="0.2">
      <c r="A29" s="560">
        <v>18</v>
      </c>
      <c r="B29" s="568" t="s">
        <v>754</v>
      </c>
      <c r="C29" s="566">
        <v>3263</v>
      </c>
      <c r="D29" s="567">
        <v>3184</v>
      </c>
      <c r="E29" s="564"/>
      <c r="F29" s="565">
        <f t="shared" si="0"/>
        <v>3184</v>
      </c>
      <c r="G29" s="559"/>
      <c r="H29" s="2125"/>
    </row>
    <row r="30" spans="1:8" ht="24.75" customHeight="1" x14ac:dyDescent="0.2">
      <c r="A30" s="560">
        <v>19</v>
      </c>
      <c r="B30" s="568" t="s">
        <v>755</v>
      </c>
      <c r="C30" s="562">
        <v>3263</v>
      </c>
      <c r="D30" s="563">
        <v>1290</v>
      </c>
      <c r="E30" s="564"/>
      <c r="F30" s="565">
        <f t="shared" si="0"/>
        <v>1290</v>
      </c>
      <c r="G30" s="559"/>
      <c r="H30" s="2125"/>
    </row>
    <row r="31" spans="1:8" ht="15.75" customHeight="1" x14ac:dyDescent="0.2">
      <c r="A31" s="560">
        <v>20</v>
      </c>
      <c r="B31" s="568" t="s">
        <v>756</v>
      </c>
      <c r="C31" s="562">
        <v>3263</v>
      </c>
      <c r="D31" s="563">
        <v>25000</v>
      </c>
      <c r="E31" s="564"/>
      <c r="F31" s="565">
        <f t="shared" si="0"/>
        <v>25000</v>
      </c>
      <c r="G31" s="559"/>
      <c r="H31" s="2125"/>
    </row>
    <row r="32" spans="1:8" ht="24.75" customHeight="1" x14ac:dyDescent="0.2">
      <c r="A32" s="560">
        <v>21</v>
      </c>
      <c r="B32" s="568" t="s">
        <v>757</v>
      </c>
      <c r="C32" s="562">
        <v>3263</v>
      </c>
      <c r="D32" s="563">
        <v>6562</v>
      </c>
      <c r="E32" s="564"/>
      <c r="F32" s="565">
        <f t="shared" si="0"/>
        <v>6562</v>
      </c>
      <c r="G32" s="559"/>
      <c r="H32" s="2125"/>
    </row>
    <row r="33" spans="1:8" ht="12.75" customHeight="1" x14ac:dyDescent="0.2">
      <c r="A33" s="560">
        <v>22</v>
      </c>
      <c r="B33" s="568" t="s">
        <v>758</v>
      </c>
      <c r="C33" s="562">
        <v>3263</v>
      </c>
      <c r="D33" s="563">
        <v>3294</v>
      </c>
      <c r="E33" s="564"/>
      <c r="F33" s="565">
        <f t="shared" si="0"/>
        <v>3294</v>
      </c>
      <c r="G33" s="559"/>
      <c r="H33" s="2125"/>
    </row>
    <row r="34" spans="1:8" ht="12.75" customHeight="1" x14ac:dyDescent="0.2">
      <c r="A34" s="560">
        <v>23</v>
      </c>
      <c r="B34" s="568" t="s">
        <v>759</v>
      </c>
      <c r="C34" s="562">
        <v>3263</v>
      </c>
      <c r="D34" s="563">
        <v>3430</v>
      </c>
      <c r="E34" s="564"/>
      <c r="F34" s="565">
        <f t="shared" si="0"/>
        <v>3430</v>
      </c>
      <c r="G34" s="559"/>
      <c r="H34" s="2125"/>
    </row>
    <row r="35" spans="1:8" ht="12.75" customHeight="1" x14ac:dyDescent="0.2">
      <c r="A35" s="560">
        <v>24</v>
      </c>
      <c r="B35" s="568" t="s">
        <v>760</v>
      </c>
      <c r="C35" s="562">
        <v>3263</v>
      </c>
      <c r="D35" s="563">
        <v>669</v>
      </c>
      <c r="E35" s="564"/>
      <c r="F35" s="565">
        <f t="shared" si="0"/>
        <v>669</v>
      </c>
      <c r="G35" s="559"/>
      <c r="H35" s="2125"/>
    </row>
    <row r="36" spans="1:8" ht="12.75" customHeight="1" x14ac:dyDescent="0.2">
      <c r="A36" s="560">
        <v>25</v>
      </c>
      <c r="B36" s="568" t="s">
        <v>761</v>
      </c>
      <c r="C36" s="562">
        <v>3263</v>
      </c>
      <c r="D36" s="563">
        <v>6554</v>
      </c>
      <c r="E36" s="564"/>
      <c r="F36" s="565">
        <f t="shared" si="0"/>
        <v>6554</v>
      </c>
      <c r="G36" s="559"/>
      <c r="H36" s="2125"/>
    </row>
    <row r="37" spans="1:8" ht="12.75" customHeight="1" x14ac:dyDescent="0.2">
      <c r="A37" s="560">
        <v>26</v>
      </c>
      <c r="B37" s="568" t="s">
        <v>762</v>
      </c>
      <c r="C37" s="562">
        <v>3263</v>
      </c>
      <c r="D37" s="563">
        <v>2219</v>
      </c>
      <c r="E37" s="564"/>
      <c r="F37" s="565">
        <f t="shared" si="0"/>
        <v>2219</v>
      </c>
      <c r="G37" s="559"/>
      <c r="H37" s="2125"/>
    </row>
    <row r="38" spans="1:8" ht="12.75" customHeight="1" x14ac:dyDescent="0.2">
      <c r="A38" s="560">
        <v>27</v>
      </c>
      <c r="B38" s="568" t="s">
        <v>763</v>
      </c>
      <c r="C38" s="562">
        <v>2314</v>
      </c>
      <c r="D38" s="563">
        <v>300</v>
      </c>
      <c r="E38" s="564"/>
      <c r="F38" s="565">
        <f t="shared" si="0"/>
        <v>300</v>
      </c>
      <c r="G38" s="559"/>
      <c r="H38" s="2125"/>
    </row>
    <row r="39" spans="1:8" ht="12.75" customHeight="1" x14ac:dyDescent="0.2">
      <c r="A39" s="560">
        <v>28</v>
      </c>
      <c r="B39" s="568" t="s">
        <v>764</v>
      </c>
      <c r="C39" s="562">
        <v>3263</v>
      </c>
      <c r="D39" s="570">
        <v>1845</v>
      </c>
      <c r="E39" s="564"/>
      <c r="F39" s="565">
        <f t="shared" si="0"/>
        <v>1845</v>
      </c>
      <c r="G39" s="559"/>
      <c r="H39" s="2125"/>
    </row>
    <row r="40" spans="1:8" ht="25.5" customHeight="1" x14ac:dyDescent="0.2">
      <c r="A40" s="560">
        <v>29</v>
      </c>
      <c r="B40" s="568" t="s">
        <v>765</v>
      </c>
      <c r="C40" s="562">
        <v>3263</v>
      </c>
      <c r="D40" s="570">
        <v>1500</v>
      </c>
      <c r="E40" s="564"/>
      <c r="F40" s="565">
        <f t="shared" si="0"/>
        <v>1500</v>
      </c>
      <c r="G40" s="559"/>
      <c r="H40" s="2125"/>
    </row>
    <row r="41" spans="1:8" ht="12.75" customHeight="1" x14ac:dyDescent="0.2">
      <c r="A41" s="560">
        <v>30</v>
      </c>
      <c r="B41" s="1049" t="s">
        <v>766</v>
      </c>
      <c r="C41" s="572">
        <v>2279</v>
      </c>
      <c r="D41" s="573">
        <v>40000</v>
      </c>
      <c r="E41" s="564"/>
      <c r="F41" s="565">
        <f t="shared" si="0"/>
        <v>40000</v>
      </c>
      <c r="G41" s="559"/>
      <c r="H41" s="2125"/>
    </row>
    <row r="42" spans="1:8" ht="12" customHeight="1" x14ac:dyDescent="0.2">
      <c r="A42" s="574">
        <v>31</v>
      </c>
      <c r="B42" s="575" t="s">
        <v>767</v>
      </c>
      <c r="C42" s="562">
        <v>3263</v>
      </c>
      <c r="D42" s="563">
        <v>1140</v>
      </c>
      <c r="E42" s="576"/>
      <c r="F42" s="577">
        <f t="shared" si="0"/>
        <v>1140</v>
      </c>
      <c r="G42" s="578"/>
      <c r="H42" s="2125"/>
    </row>
    <row r="43" spans="1:8" ht="13.5" customHeight="1" x14ac:dyDescent="0.2">
      <c r="A43" s="560">
        <v>32</v>
      </c>
      <c r="B43" s="579" t="s">
        <v>768</v>
      </c>
      <c r="C43" s="580">
        <v>2279</v>
      </c>
      <c r="D43" s="581">
        <f>50820</f>
        <v>50820</v>
      </c>
      <c r="E43" s="569">
        <v>-350</v>
      </c>
      <c r="F43" s="582">
        <f t="shared" si="0"/>
        <v>50470</v>
      </c>
      <c r="G43" s="583"/>
      <c r="H43" s="2125"/>
    </row>
    <row r="44" spans="1:8" ht="13.5" customHeight="1" x14ac:dyDescent="0.2">
      <c r="A44" s="1190">
        <v>33</v>
      </c>
      <c r="B44" s="1191" t="s">
        <v>769</v>
      </c>
      <c r="C44" s="1192">
        <v>2279</v>
      </c>
      <c r="D44" s="1193">
        <v>0</v>
      </c>
      <c r="E44" s="1194">
        <v>32000</v>
      </c>
      <c r="F44" s="1195">
        <f t="shared" si="0"/>
        <v>32000</v>
      </c>
      <c r="G44" s="1196" t="s">
        <v>770</v>
      </c>
      <c r="H44" s="2126"/>
    </row>
    <row r="45" spans="1:8" ht="12.75" hidden="1" customHeight="1" x14ac:dyDescent="0.2">
      <c r="A45" s="1188"/>
      <c r="B45" s="607"/>
      <c r="C45" s="585"/>
      <c r="D45" s="585"/>
      <c r="E45" s="585"/>
      <c r="F45" s="1189">
        <f t="shared" si="0"/>
        <v>0</v>
      </c>
      <c r="G45" s="1188"/>
      <c r="H45" s="585"/>
    </row>
    <row r="46" spans="1:8" ht="12" hidden="1" x14ac:dyDescent="0.2">
      <c r="A46" s="559"/>
      <c r="B46" s="584"/>
      <c r="C46" s="564"/>
      <c r="D46" s="564"/>
      <c r="E46" s="564"/>
      <c r="F46" s="565">
        <f t="shared" si="0"/>
        <v>0</v>
      </c>
      <c r="G46" s="559"/>
      <c r="H46" s="564"/>
    </row>
    <row r="47" spans="1:8" ht="12" hidden="1" x14ac:dyDescent="0.2">
      <c r="A47" s="586"/>
      <c r="B47" s="584"/>
      <c r="C47" s="587"/>
      <c r="D47" s="564"/>
      <c r="E47" s="564"/>
      <c r="F47" s="588">
        <f t="shared" si="0"/>
        <v>0</v>
      </c>
      <c r="G47" s="586"/>
      <c r="H47" s="564"/>
    </row>
    <row r="48" spans="1:8" ht="12" hidden="1" x14ac:dyDescent="0.2">
      <c r="A48" s="559"/>
      <c r="B48" s="584"/>
      <c r="C48" s="564"/>
      <c r="D48" s="564"/>
      <c r="E48" s="564"/>
      <c r="F48" s="588">
        <f t="shared" si="0"/>
        <v>0</v>
      </c>
      <c r="G48" s="559"/>
      <c r="H48" s="564"/>
    </row>
    <row r="49" spans="1:8" ht="12" x14ac:dyDescent="0.2">
      <c r="A49" s="589"/>
      <c r="B49" s="589"/>
      <c r="C49" s="589"/>
      <c r="D49" s="589"/>
      <c r="E49" s="589"/>
      <c r="F49" s="451"/>
      <c r="G49" s="589"/>
      <c r="H49" s="589"/>
    </row>
    <row r="50" spans="1:8" ht="13.5" x14ac:dyDescent="0.2">
      <c r="A50" s="2128" t="s">
        <v>499</v>
      </c>
      <c r="B50" s="2128"/>
      <c r="C50" s="590" t="s">
        <v>771</v>
      </c>
      <c r="D50" s="591"/>
      <c r="E50" s="549"/>
      <c r="F50" s="451"/>
      <c r="G50" s="549"/>
      <c r="H50" s="549"/>
    </row>
    <row r="51" spans="1:8" ht="12" x14ac:dyDescent="0.2">
      <c r="A51" s="2128" t="s">
        <v>500</v>
      </c>
      <c r="B51" s="2128"/>
      <c r="C51" s="555" t="s">
        <v>731</v>
      </c>
      <c r="D51" s="549"/>
      <c r="E51" s="549"/>
      <c r="F51" s="451"/>
      <c r="G51" s="549"/>
      <c r="H51" s="549"/>
    </row>
    <row r="52" spans="1:8" ht="48" x14ac:dyDescent="0.2">
      <c r="A52" s="556" t="s">
        <v>501</v>
      </c>
      <c r="B52" s="557" t="s">
        <v>502</v>
      </c>
      <c r="C52" s="556" t="s">
        <v>503</v>
      </c>
      <c r="D52" s="556" t="s">
        <v>504</v>
      </c>
      <c r="E52" s="556" t="s">
        <v>505</v>
      </c>
      <c r="F52" s="556" t="s">
        <v>506</v>
      </c>
      <c r="G52" s="556" t="s">
        <v>36</v>
      </c>
      <c r="H52" s="556" t="s">
        <v>507</v>
      </c>
    </row>
    <row r="53" spans="1:8" ht="18" customHeight="1" x14ac:dyDescent="0.2">
      <c r="A53" s="2169" t="s">
        <v>549</v>
      </c>
      <c r="B53" s="2170"/>
      <c r="C53" s="558"/>
      <c r="D53" s="558">
        <f>SUM(D54:D90)</f>
        <v>383868</v>
      </c>
      <c r="E53" s="558">
        <f>SUM(E54:E90)</f>
        <v>350</v>
      </c>
      <c r="F53" s="558">
        <f>SUM(F54:F90)</f>
        <v>384218</v>
      </c>
      <c r="G53" s="559"/>
      <c r="H53" s="558"/>
    </row>
    <row r="54" spans="1:8" ht="23.25" customHeight="1" x14ac:dyDescent="0.2">
      <c r="A54" s="560">
        <v>1</v>
      </c>
      <c r="B54" s="568" t="s">
        <v>772</v>
      </c>
      <c r="C54" s="562">
        <v>3263</v>
      </c>
      <c r="D54" s="563">
        <v>140000</v>
      </c>
      <c r="E54" s="564"/>
      <c r="F54" s="588">
        <f t="shared" ref="F54:F89" si="1">D54+E54</f>
        <v>140000</v>
      </c>
      <c r="G54" s="559"/>
      <c r="H54" s="2117" t="s">
        <v>773</v>
      </c>
    </row>
    <row r="55" spans="1:8" ht="24" x14ac:dyDescent="0.2">
      <c r="A55" s="560">
        <v>2</v>
      </c>
      <c r="B55" s="568" t="s">
        <v>774</v>
      </c>
      <c r="C55" s="562">
        <v>3263</v>
      </c>
      <c r="D55" s="563">
        <v>60191</v>
      </c>
      <c r="E55" s="564"/>
      <c r="F55" s="588">
        <f t="shared" si="1"/>
        <v>60191</v>
      </c>
      <c r="G55" s="559"/>
      <c r="H55" s="2125"/>
    </row>
    <row r="56" spans="1:8" ht="12.75" customHeight="1" x14ac:dyDescent="0.2">
      <c r="A56" s="560">
        <v>3</v>
      </c>
      <c r="B56" s="568" t="s">
        <v>775</v>
      </c>
      <c r="C56" s="562">
        <v>3263</v>
      </c>
      <c r="D56" s="563">
        <v>10000</v>
      </c>
      <c r="E56" s="564"/>
      <c r="F56" s="588">
        <f t="shared" si="1"/>
        <v>10000</v>
      </c>
      <c r="G56" s="559"/>
      <c r="H56" s="2125"/>
    </row>
    <row r="57" spans="1:8" ht="24" x14ac:dyDescent="0.2">
      <c r="A57" s="560">
        <v>4</v>
      </c>
      <c r="B57" s="568" t="s">
        <v>776</v>
      </c>
      <c r="C57" s="562">
        <v>3263</v>
      </c>
      <c r="D57" s="563">
        <v>9306</v>
      </c>
      <c r="E57" s="564"/>
      <c r="F57" s="588">
        <f t="shared" si="1"/>
        <v>9306</v>
      </c>
      <c r="G57" s="559"/>
      <c r="H57" s="2125"/>
    </row>
    <row r="58" spans="1:8" ht="24" x14ac:dyDescent="0.2">
      <c r="A58" s="560">
        <v>5</v>
      </c>
      <c r="B58" s="568" t="s">
        <v>777</v>
      </c>
      <c r="C58" s="562">
        <v>3263</v>
      </c>
      <c r="D58" s="563">
        <v>6070</v>
      </c>
      <c r="E58" s="564"/>
      <c r="F58" s="588">
        <f t="shared" si="1"/>
        <v>6070</v>
      </c>
      <c r="G58" s="559"/>
      <c r="H58" s="2125"/>
    </row>
    <row r="59" spans="1:8" ht="24" x14ac:dyDescent="0.2">
      <c r="A59" s="560">
        <v>6</v>
      </c>
      <c r="B59" s="568" t="s">
        <v>778</v>
      </c>
      <c r="C59" s="562">
        <v>3263</v>
      </c>
      <c r="D59" s="563">
        <v>9994</v>
      </c>
      <c r="E59" s="564"/>
      <c r="F59" s="588">
        <f t="shared" si="1"/>
        <v>9994</v>
      </c>
      <c r="G59" s="559"/>
      <c r="H59" s="2125"/>
    </row>
    <row r="60" spans="1:8" ht="24" x14ac:dyDescent="0.2">
      <c r="A60" s="560">
        <v>7</v>
      </c>
      <c r="B60" s="568" t="s">
        <v>779</v>
      </c>
      <c r="C60" s="562">
        <v>3263</v>
      </c>
      <c r="D60" s="563">
        <v>7797</v>
      </c>
      <c r="E60" s="564"/>
      <c r="F60" s="588">
        <f t="shared" si="1"/>
        <v>7797</v>
      </c>
      <c r="G60" s="559"/>
      <c r="H60" s="2125"/>
    </row>
    <row r="61" spans="1:8" ht="12.75" customHeight="1" x14ac:dyDescent="0.2">
      <c r="A61" s="560">
        <v>8</v>
      </c>
      <c r="B61" s="568" t="s">
        <v>780</v>
      </c>
      <c r="C61" s="562">
        <v>3263</v>
      </c>
      <c r="D61" s="563">
        <v>7000</v>
      </c>
      <c r="E61" s="564"/>
      <c r="F61" s="588">
        <f t="shared" si="1"/>
        <v>7000</v>
      </c>
      <c r="G61" s="559"/>
      <c r="H61" s="2125"/>
    </row>
    <row r="62" spans="1:8" ht="24" customHeight="1" x14ac:dyDescent="0.2">
      <c r="A62" s="560">
        <v>9</v>
      </c>
      <c r="B62" s="568" t="s">
        <v>781</v>
      </c>
      <c r="C62" s="562">
        <v>3263</v>
      </c>
      <c r="D62" s="563">
        <v>4440</v>
      </c>
      <c r="E62" s="564"/>
      <c r="F62" s="588">
        <f t="shared" si="1"/>
        <v>4440</v>
      </c>
      <c r="G62" s="559"/>
      <c r="H62" s="2125"/>
    </row>
    <row r="63" spans="1:8" ht="16.5" customHeight="1" x14ac:dyDescent="0.2">
      <c r="A63" s="560">
        <v>10</v>
      </c>
      <c r="B63" s="568" t="s">
        <v>782</v>
      </c>
      <c r="C63" s="562">
        <v>3263</v>
      </c>
      <c r="D63" s="592">
        <v>2213</v>
      </c>
      <c r="E63" s="564"/>
      <c r="F63" s="588">
        <f t="shared" si="1"/>
        <v>2213</v>
      </c>
      <c r="G63" s="559"/>
      <c r="H63" s="2125"/>
    </row>
    <row r="64" spans="1:8" ht="12.75" customHeight="1" x14ac:dyDescent="0.2">
      <c r="A64" s="560">
        <v>11</v>
      </c>
      <c r="B64" s="568" t="s">
        <v>783</v>
      </c>
      <c r="C64" s="562">
        <v>3263</v>
      </c>
      <c r="D64" s="592">
        <v>1000</v>
      </c>
      <c r="E64" s="564"/>
      <c r="F64" s="588">
        <f t="shared" si="1"/>
        <v>1000</v>
      </c>
      <c r="G64" s="559"/>
      <c r="H64" s="2125"/>
    </row>
    <row r="65" spans="1:8" ht="24" x14ac:dyDescent="0.2">
      <c r="A65" s="560">
        <v>12</v>
      </c>
      <c r="B65" s="568" t="s">
        <v>784</v>
      </c>
      <c r="C65" s="562">
        <v>3263</v>
      </c>
      <c r="D65" s="592">
        <v>16500</v>
      </c>
      <c r="E65" s="564"/>
      <c r="F65" s="588">
        <f t="shared" si="1"/>
        <v>16500</v>
      </c>
      <c r="G65" s="559"/>
      <c r="H65" s="2125"/>
    </row>
    <row r="66" spans="1:8" ht="12.75" customHeight="1" x14ac:dyDescent="0.2">
      <c r="A66" s="560">
        <v>13</v>
      </c>
      <c r="B66" s="568" t="s">
        <v>785</v>
      </c>
      <c r="C66" s="562">
        <v>3263</v>
      </c>
      <c r="D66" s="592">
        <v>21150</v>
      </c>
      <c r="E66" s="564"/>
      <c r="F66" s="588">
        <f t="shared" si="1"/>
        <v>21150</v>
      </c>
      <c r="G66" s="559"/>
      <c r="H66" s="2125"/>
    </row>
    <row r="67" spans="1:8" ht="12.75" customHeight="1" x14ac:dyDescent="0.2">
      <c r="A67" s="560">
        <v>14</v>
      </c>
      <c r="B67" s="568" t="s">
        <v>786</v>
      </c>
      <c r="C67" s="562">
        <v>3263</v>
      </c>
      <c r="D67" s="592">
        <v>5209</v>
      </c>
      <c r="E67" s="564"/>
      <c r="F67" s="588">
        <f t="shared" si="1"/>
        <v>5209</v>
      </c>
      <c r="G67" s="559"/>
      <c r="H67" s="2125"/>
    </row>
    <row r="68" spans="1:8" ht="12.75" customHeight="1" x14ac:dyDescent="0.2">
      <c r="A68" s="560">
        <v>15</v>
      </c>
      <c r="B68" s="568" t="s">
        <v>787</v>
      </c>
      <c r="C68" s="562">
        <v>3263</v>
      </c>
      <c r="D68" s="592">
        <v>7000</v>
      </c>
      <c r="E68" s="564"/>
      <c r="F68" s="588">
        <f t="shared" si="1"/>
        <v>7000</v>
      </c>
      <c r="G68" s="559"/>
      <c r="H68" s="2125"/>
    </row>
    <row r="69" spans="1:8" ht="12.75" customHeight="1" x14ac:dyDescent="0.2">
      <c r="A69" s="560">
        <v>16</v>
      </c>
      <c r="B69" s="568" t="s">
        <v>788</v>
      </c>
      <c r="C69" s="562">
        <v>3263</v>
      </c>
      <c r="D69" s="592">
        <v>7000</v>
      </c>
      <c r="E69" s="564"/>
      <c r="F69" s="588">
        <f t="shared" si="1"/>
        <v>7000</v>
      </c>
      <c r="G69" s="559"/>
      <c r="H69" s="2125"/>
    </row>
    <row r="70" spans="1:8" ht="12.75" customHeight="1" x14ac:dyDescent="0.2">
      <c r="A70" s="560">
        <v>17</v>
      </c>
      <c r="B70" s="568" t="s">
        <v>789</v>
      </c>
      <c r="C70" s="562">
        <v>3263</v>
      </c>
      <c r="D70" s="592">
        <v>935</v>
      </c>
      <c r="E70" s="564"/>
      <c r="F70" s="588">
        <f t="shared" si="1"/>
        <v>935</v>
      </c>
      <c r="G70" s="559"/>
      <c r="H70" s="2125"/>
    </row>
    <row r="71" spans="1:8" ht="12.75" customHeight="1" x14ac:dyDescent="0.2">
      <c r="A71" s="560">
        <v>18</v>
      </c>
      <c r="B71" s="568" t="s">
        <v>790</v>
      </c>
      <c r="C71" s="562">
        <v>3263</v>
      </c>
      <c r="D71" s="592">
        <v>1800</v>
      </c>
      <c r="E71" s="564"/>
      <c r="F71" s="588">
        <f t="shared" si="1"/>
        <v>1800</v>
      </c>
      <c r="G71" s="559"/>
      <c r="H71" s="2125"/>
    </row>
    <row r="72" spans="1:8" ht="12.75" customHeight="1" x14ac:dyDescent="0.2">
      <c r="A72" s="560">
        <v>19</v>
      </c>
      <c r="B72" s="568" t="s">
        <v>791</v>
      </c>
      <c r="C72" s="562">
        <v>3263</v>
      </c>
      <c r="D72" s="592">
        <v>1070</v>
      </c>
      <c r="E72" s="564"/>
      <c r="F72" s="588">
        <f t="shared" si="1"/>
        <v>1070</v>
      </c>
      <c r="G72" s="559"/>
      <c r="H72" s="2125"/>
    </row>
    <row r="73" spans="1:8" ht="12.75" customHeight="1" x14ac:dyDescent="0.2">
      <c r="A73" s="560">
        <v>20</v>
      </c>
      <c r="B73" s="568" t="s">
        <v>792</v>
      </c>
      <c r="C73" s="562">
        <v>3263</v>
      </c>
      <c r="D73" s="592">
        <v>1000</v>
      </c>
      <c r="E73" s="564"/>
      <c r="F73" s="588">
        <f t="shared" si="1"/>
        <v>1000</v>
      </c>
      <c r="G73" s="559"/>
      <c r="H73" s="2125"/>
    </row>
    <row r="74" spans="1:8" ht="12.75" customHeight="1" x14ac:dyDescent="0.2">
      <c r="A74" s="560">
        <v>21</v>
      </c>
      <c r="B74" s="568" t="s">
        <v>793</v>
      </c>
      <c r="C74" s="562">
        <v>3263</v>
      </c>
      <c r="D74" s="592">
        <v>500</v>
      </c>
      <c r="E74" s="564"/>
      <c r="F74" s="588">
        <f t="shared" si="1"/>
        <v>500</v>
      </c>
      <c r="G74" s="559"/>
      <c r="H74" s="2125"/>
    </row>
    <row r="75" spans="1:8" ht="12" customHeight="1" x14ac:dyDescent="0.2">
      <c r="A75" s="560">
        <v>22</v>
      </c>
      <c r="B75" s="568" t="s">
        <v>794</v>
      </c>
      <c r="C75" s="562">
        <v>3263</v>
      </c>
      <c r="D75" s="592">
        <v>500</v>
      </c>
      <c r="E75" s="564"/>
      <c r="F75" s="588">
        <f t="shared" si="1"/>
        <v>500</v>
      </c>
      <c r="G75" s="559"/>
      <c r="H75" s="2125"/>
    </row>
    <row r="76" spans="1:8" ht="12.75" customHeight="1" x14ac:dyDescent="0.2">
      <c r="A76" s="560">
        <v>23</v>
      </c>
      <c r="B76" s="568" t="s">
        <v>795</v>
      </c>
      <c r="C76" s="562">
        <v>3263</v>
      </c>
      <c r="D76" s="592">
        <v>500</v>
      </c>
      <c r="E76" s="564"/>
      <c r="F76" s="588">
        <f t="shared" si="1"/>
        <v>500</v>
      </c>
      <c r="G76" s="559"/>
      <c r="H76" s="2125"/>
    </row>
    <row r="77" spans="1:8" ht="12.75" customHeight="1" x14ac:dyDescent="0.2">
      <c r="A77" s="560">
        <v>24</v>
      </c>
      <c r="B77" s="568" t="s">
        <v>796</v>
      </c>
      <c r="C77" s="562">
        <v>3263</v>
      </c>
      <c r="D77" s="592">
        <v>300</v>
      </c>
      <c r="E77" s="564"/>
      <c r="F77" s="588">
        <f t="shared" si="1"/>
        <v>300</v>
      </c>
      <c r="G77" s="559"/>
      <c r="H77" s="2125"/>
    </row>
    <row r="78" spans="1:8" ht="14.25" customHeight="1" x14ac:dyDescent="0.2">
      <c r="A78" s="560">
        <v>25</v>
      </c>
      <c r="B78" s="568" t="s">
        <v>797</v>
      </c>
      <c r="C78" s="562">
        <v>3263</v>
      </c>
      <c r="D78" s="592">
        <v>300</v>
      </c>
      <c r="E78" s="564"/>
      <c r="F78" s="588">
        <f t="shared" si="1"/>
        <v>300</v>
      </c>
      <c r="G78" s="559"/>
      <c r="H78" s="2125"/>
    </row>
    <row r="79" spans="1:8" ht="24" x14ac:dyDescent="0.2">
      <c r="A79" s="560">
        <v>26</v>
      </c>
      <c r="B79" s="568" t="s">
        <v>798</v>
      </c>
      <c r="C79" s="562">
        <v>3263</v>
      </c>
      <c r="D79" s="592">
        <v>1652</v>
      </c>
      <c r="E79" s="564"/>
      <c r="F79" s="588">
        <f t="shared" si="1"/>
        <v>1652</v>
      </c>
      <c r="G79" s="559"/>
      <c r="H79" s="2125"/>
    </row>
    <row r="80" spans="1:8" ht="12.75" customHeight="1" x14ac:dyDescent="0.2">
      <c r="A80" s="560">
        <v>27</v>
      </c>
      <c r="B80" s="568" t="s">
        <v>799</v>
      </c>
      <c r="C80" s="562">
        <v>3263</v>
      </c>
      <c r="D80" s="592">
        <v>1320</v>
      </c>
      <c r="E80" s="564"/>
      <c r="F80" s="588">
        <f t="shared" si="1"/>
        <v>1320</v>
      </c>
      <c r="G80" s="559"/>
      <c r="H80" s="2125"/>
    </row>
    <row r="81" spans="1:313" ht="24" x14ac:dyDescent="0.2">
      <c r="A81" s="560">
        <v>28</v>
      </c>
      <c r="B81" s="568" t="s">
        <v>800</v>
      </c>
      <c r="C81" s="562">
        <v>3263</v>
      </c>
      <c r="D81" s="592">
        <v>1977</v>
      </c>
      <c r="E81" s="564"/>
      <c r="F81" s="588">
        <f t="shared" si="1"/>
        <v>1977</v>
      </c>
      <c r="G81" s="593"/>
      <c r="H81" s="2125"/>
    </row>
    <row r="82" spans="1:313" ht="24" x14ac:dyDescent="0.2">
      <c r="A82" s="560">
        <v>29</v>
      </c>
      <c r="B82" s="568" t="s">
        <v>801</v>
      </c>
      <c r="C82" s="562">
        <v>3263</v>
      </c>
      <c r="D82" s="592">
        <v>475</v>
      </c>
      <c r="E82" s="564"/>
      <c r="F82" s="588">
        <f t="shared" si="1"/>
        <v>475</v>
      </c>
      <c r="G82" s="593"/>
      <c r="H82" s="2125"/>
    </row>
    <row r="83" spans="1:313" ht="24" x14ac:dyDescent="0.2">
      <c r="A83" s="594">
        <v>30</v>
      </c>
      <c r="B83" s="595" t="s">
        <v>802</v>
      </c>
      <c r="C83" s="596">
        <v>6422</v>
      </c>
      <c r="D83" s="597">
        <v>11169</v>
      </c>
      <c r="E83" s="598"/>
      <c r="F83" s="599">
        <f t="shared" si="1"/>
        <v>11169</v>
      </c>
      <c r="G83" s="600"/>
      <c r="H83" s="2125"/>
    </row>
    <row r="84" spans="1:313" s="603" customFormat="1" ht="12" customHeight="1" x14ac:dyDescent="0.2">
      <c r="A84" s="2078">
        <v>31</v>
      </c>
      <c r="B84" s="2122" t="s">
        <v>803</v>
      </c>
      <c r="C84" s="601">
        <v>2361</v>
      </c>
      <c r="D84" s="563">
        <f>17000+3500</f>
        <v>20500</v>
      </c>
      <c r="E84" s="581"/>
      <c r="F84" s="602">
        <f t="shared" si="1"/>
        <v>20500</v>
      </c>
      <c r="G84" s="2194"/>
      <c r="H84" s="2125"/>
      <c r="I84" s="451"/>
      <c r="J84" s="451"/>
      <c r="K84" s="451"/>
      <c r="L84" s="451"/>
      <c r="M84" s="451"/>
      <c r="N84" s="451"/>
      <c r="O84" s="451"/>
      <c r="P84" s="451"/>
      <c r="Q84" s="451"/>
      <c r="R84" s="451"/>
      <c r="S84" s="451"/>
      <c r="T84" s="451"/>
      <c r="U84" s="451"/>
      <c r="V84" s="451"/>
      <c r="W84" s="451"/>
      <c r="X84" s="451"/>
      <c r="Y84" s="451"/>
      <c r="Z84" s="451"/>
      <c r="AA84" s="451"/>
      <c r="AB84" s="451"/>
      <c r="AC84" s="451"/>
      <c r="AD84" s="451"/>
      <c r="AE84" s="451"/>
      <c r="AF84" s="451"/>
      <c r="AG84" s="451"/>
      <c r="AH84" s="451"/>
      <c r="AI84" s="451"/>
      <c r="AJ84" s="451"/>
      <c r="AK84" s="451"/>
      <c r="AL84" s="451"/>
      <c r="AM84" s="451"/>
      <c r="AN84" s="451"/>
      <c r="AO84" s="451"/>
      <c r="AP84" s="451"/>
      <c r="AQ84" s="451"/>
      <c r="AR84" s="451"/>
      <c r="AS84" s="451"/>
      <c r="AT84" s="451"/>
      <c r="AU84" s="451"/>
      <c r="AV84" s="451"/>
      <c r="AW84" s="451"/>
      <c r="AX84" s="451"/>
      <c r="AY84" s="451"/>
      <c r="AZ84" s="451"/>
      <c r="BA84" s="451"/>
      <c r="BB84" s="451"/>
      <c r="BC84" s="451"/>
      <c r="BD84" s="451"/>
      <c r="BE84" s="451"/>
      <c r="BF84" s="451"/>
      <c r="BG84" s="451"/>
      <c r="BH84" s="451"/>
      <c r="BI84" s="451"/>
      <c r="BJ84" s="451"/>
      <c r="BK84" s="451"/>
      <c r="BL84" s="451"/>
      <c r="BM84" s="451"/>
      <c r="BN84" s="451"/>
      <c r="BO84" s="451"/>
      <c r="BP84" s="451"/>
      <c r="BQ84" s="451"/>
      <c r="BR84" s="451"/>
      <c r="BS84" s="451"/>
      <c r="BT84" s="451"/>
      <c r="BU84" s="451"/>
      <c r="BV84" s="451"/>
      <c r="BW84" s="451"/>
      <c r="BX84" s="451"/>
      <c r="BY84" s="451"/>
      <c r="BZ84" s="451"/>
      <c r="CA84" s="451"/>
      <c r="CB84" s="451"/>
      <c r="CC84" s="451"/>
      <c r="CD84" s="451"/>
      <c r="CE84" s="451"/>
      <c r="CF84" s="451"/>
      <c r="CG84" s="451"/>
      <c r="CH84" s="451"/>
      <c r="CI84" s="451"/>
      <c r="CJ84" s="451"/>
      <c r="CK84" s="451"/>
      <c r="CL84" s="451"/>
      <c r="CM84" s="451"/>
      <c r="CN84" s="451"/>
      <c r="CO84" s="451"/>
      <c r="CP84" s="451"/>
      <c r="CQ84" s="451"/>
      <c r="CR84" s="451"/>
      <c r="CS84" s="451"/>
      <c r="CT84" s="451"/>
      <c r="CU84" s="451"/>
      <c r="CV84" s="451"/>
      <c r="CW84" s="451"/>
      <c r="CX84" s="451"/>
      <c r="CY84" s="451"/>
      <c r="CZ84" s="451"/>
      <c r="DA84" s="451"/>
      <c r="DB84" s="451"/>
      <c r="DC84" s="451"/>
      <c r="DD84" s="451"/>
      <c r="DE84" s="451"/>
      <c r="DF84" s="451"/>
      <c r="DG84" s="451"/>
      <c r="DH84" s="451"/>
      <c r="DI84" s="451"/>
      <c r="DJ84" s="451"/>
      <c r="DK84" s="451"/>
      <c r="DL84" s="451"/>
      <c r="DM84" s="451"/>
      <c r="DN84" s="451"/>
      <c r="DO84" s="451"/>
      <c r="DP84" s="451"/>
      <c r="DQ84" s="451"/>
      <c r="DR84" s="451"/>
      <c r="DS84" s="451"/>
      <c r="DT84" s="451"/>
      <c r="DU84" s="451"/>
      <c r="DV84" s="451"/>
      <c r="DW84" s="451"/>
      <c r="DX84" s="451"/>
      <c r="DY84" s="451"/>
      <c r="DZ84" s="451"/>
      <c r="EA84" s="451"/>
      <c r="EB84" s="451"/>
      <c r="EC84" s="451"/>
      <c r="ED84" s="451"/>
      <c r="EE84" s="451"/>
      <c r="EF84" s="451"/>
      <c r="EG84" s="451"/>
      <c r="EH84" s="451"/>
      <c r="EI84" s="451"/>
      <c r="EJ84" s="451"/>
      <c r="EK84" s="451"/>
      <c r="EL84" s="451"/>
      <c r="EM84" s="451"/>
      <c r="EN84" s="451"/>
      <c r="EO84" s="451"/>
      <c r="EP84" s="451"/>
      <c r="EQ84" s="451"/>
      <c r="ER84" s="451"/>
      <c r="ES84" s="451"/>
      <c r="ET84" s="451"/>
      <c r="EU84" s="451"/>
      <c r="EV84" s="451"/>
      <c r="EW84" s="451"/>
      <c r="EX84" s="451"/>
      <c r="EY84" s="451"/>
      <c r="EZ84" s="451"/>
      <c r="FA84" s="451"/>
      <c r="FB84" s="451"/>
      <c r="FC84" s="451"/>
      <c r="FD84" s="451"/>
      <c r="FE84" s="451"/>
      <c r="FF84" s="451"/>
      <c r="FG84" s="451"/>
      <c r="FH84" s="451"/>
      <c r="FI84" s="451"/>
      <c r="FJ84" s="451"/>
      <c r="FK84" s="451"/>
      <c r="FL84" s="451"/>
      <c r="FM84" s="451"/>
      <c r="FN84" s="451"/>
      <c r="FO84" s="451"/>
      <c r="FP84" s="451"/>
      <c r="FQ84" s="451"/>
      <c r="FR84" s="451"/>
      <c r="FS84" s="451"/>
      <c r="FT84" s="451"/>
      <c r="FU84" s="451"/>
      <c r="FV84" s="451"/>
      <c r="FW84" s="451"/>
      <c r="FX84" s="451"/>
      <c r="FY84" s="451"/>
      <c r="FZ84" s="451"/>
      <c r="GA84" s="451"/>
      <c r="GB84" s="451"/>
      <c r="GC84" s="451"/>
      <c r="GD84" s="451"/>
      <c r="GE84" s="451"/>
      <c r="GF84" s="451"/>
      <c r="GG84" s="451"/>
      <c r="GH84" s="451"/>
      <c r="GI84" s="451"/>
      <c r="GJ84" s="451"/>
      <c r="GK84" s="451"/>
      <c r="GL84" s="451"/>
      <c r="GM84" s="451"/>
      <c r="GN84" s="451"/>
      <c r="GO84" s="451"/>
      <c r="GP84" s="451"/>
      <c r="GQ84" s="451"/>
      <c r="GR84" s="451"/>
      <c r="GS84" s="451"/>
      <c r="GT84" s="451"/>
      <c r="GU84" s="451"/>
      <c r="GV84" s="451"/>
      <c r="GW84" s="451"/>
      <c r="GX84" s="451"/>
      <c r="GY84" s="451"/>
      <c r="GZ84" s="451"/>
      <c r="HA84" s="451"/>
      <c r="HB84" s="451"/>
      <c r="HC84" s="451"/>
      <c r="HD84" s="451"/>
      <c r="HE84" s="451"/>
      <c r="HF84" s="451"/>
      <c r="HG84" s="451"/>
      <c r="HH84" s="451"/>
      <c r="HI84" s="451"/>
      <c r="HJ84" s="451"/>
      <c r="HK84" s="451"/>
      <c r="HL84" s="451"/>
      <c r="HM84" s="451"/>
      <c r="HN84" s="451"/>
      <c r="HO84" s="451"/>
      <c r="HP84" s="451"/>
      <c r="HQ84" s="451"/>
      <c r="HR84" s="451"/>
      <c r="HS84" s="451"/>
      <c r="HT84" s="451"/>
      <c r="HU84" s="451"/>
      <c r="HV84" s="451"/>
      <c r="HW84" s="451"/>
      <c r="HX84" s="451"/>
      <c r="HY84" s="451"/>
      <c r="HZ84" s="451"/>
      <c r="IA84" s="451"/>
      <c r="IB84" s="451"/>
      <c r="IC84" s="451"/>
      <c r="ID84" s="451"/>
      <c r="IE84" s="451"/>
      <c r="IF84" s="451"/>
      <c r="IG84" s="451"/>
      <c r="IH84" s="451"/>
      <c r="II84" s="451"/>
      <c r="IJ84" s="451"/>
      <c r="IK84" s="451"/>
      <c r="IL84" s="451"/>
      <c r="IM84" s="451"/>
      <c r="IN84" s="451"/>
      <c r="IO84" s="451"/>
      <c r="IP84" s="451"/>
      <c r="IQ84" s="451"/>
      <c r="IR84" s="451"/>
      <c r="IS84" s="451"/>
      <c r="IT84" s="451"/>
      <c r="IU84" s="451"/>
      <c r="IV84" s="451"/>
      <c r="IW84" s="451"/>
      <c r="IX84" s="451"/>
      <c r="IY84" s="451"/>
      <c r="IZ84" s="451"/>
      <c r="JA84" s="451"/>
      <c r="JB84" s="451"/>
      <c r="JC84" s="451"/>
      <c r="JD84" s="451"/>
      <c r="JE84" s="451"/>
      <c r="JF84" s="451"/>
      <c r="JG84" s="451"/>
      <c r="JH84" s="451"/>
      <c r="JI84" s="451"/>
      <c r="JJ84" s="451"/>
      <c r="JK84" s="451"/>
      <c r="JL84" s="451"/>
      <c r="JM84" s="451"/>
      <c r="JN84" s="451"/>
      <c r="JO84" s="451"/>
      <c r="JP84" s="451"/>
      <c r="JQ84" s="451"/>
      <c r="JR84" s="451"/>
      <c r="JS84" s="451"/>
      <c r="JT84" s="451"/>
      <c r="JU84" s="451"/>
      <c r="JV84" s="451"/>
      <c r="JW84" s="451"/>
      <c r="JX84" s="451"/>
      <c r="JY84" s="451"/>
      <c r="JZ84" s="451"/>
      <c r="KA84" s="451"/>
      <c r="KB84" s="451"/>
      <c r="KC84" s="451"/>
      <c r="KD84" s="451"/>
      <c r="KE84" s="451"/>
      <c r="KF84" s="451"/>
      <c r="KG84" s="451"/>
      <c r="KH84" s="451"/>
      <c r="KI84" s="451"/>
      <c r="KJ84" s="451"/>
      <c r="KK84" s="451"/>
      <c r="KL84" s="451"/>
      <c r="KM84" s="451"/>
      <c r="KN84" s="451"/>
      <c r="KO84" s="451"/>
      <c r="KP84" s="451"/>
      <c r="KQ84" s="451"/>
      <c r="KR84" s="451"/>
      <c r="KS84" s="451"/>
      <c r="KT84" s="451"/>
      <c r="KU84" s="451"/>
      <c r="KV84" s="451"/>
      <c r="KW84" s="451"/>
      <c r="KX84" s="451"/>
      <c r="KY84" s="451"/>
      <c r="KZ84" s="451"/>
      <c r="LA84" s="451"/>
    </row>
    <row r="85" spans="1:313" s="603" customFormat="1" ht="12" customHeight="1" x14ac:dyDescent="0.2">
      <c r="A85" s="2079"/>
      <c r="B85" s="2123"/>
      <c r="C85" s="601">
        <v>2363</v>
      </c>
      <c r="D85" s="563">
        <v>10000</v>
      </c>
      <c r="E85" s="581"/>
      <c r="F85" s="602">
        <f t="shared" si="1"/>
        <v>10000</v>
      </c>
      <c r="G85" s="2195"/>
      <c r="H85" s="2125"/>
      <c r="I85" s="451"/>
      <c r="J85" s="451"/>
      <c r="K85" s="451"/>
      <c r="L85" s="451"/>
      <c r="M85" s="451"/>
      <c r="N85" s="451"/>
      <c r="O85" s="451"/>
      <c r="P85" s="451"/>
      <c r="Q85" s="451"/>
      <c r="R85" s="451"/>
      <c r="S85" s="451"/>
      <c r="T85" s="451"/>
      <c r="U85" s="451"/>
      <c r="V85" s="451"/>
      <c r="W85" s="451"/>
      <c r="X85" s="451"/>
      <c r="Y85" s="451"/>
      <c r="Z85" s="451"/>
      <c r="AA85" s="451"/>
      <c r="AB85" s="451"/>
      <c r="AC85" s="451"/>
      <c r="AD85" s="451"/>
      <c r="AE85" s="451"/>
      <c r="AF85" s="451"/>
      <c r="AG85" s="451"/>
      <c r="AH85" s="451"/>
      <c r="AI85" s="451"/>
      <c r="AJ85" s="451"/>
      <c r="AK85" s="451"/>
      <c r="AL85" s="451"/>
      <c r="AM85" s="451"/>
      <c r="AN85" s="451"/>
      <c r="AO85" s="451"/>
      <c r="AP85" s="451"/>
      <c r="AQ85" s="451"/>
      <c r="AR85" s="451"/>
      <c r="AS85" s="451"/>
      <c r="AT85" s="451"/>
      <c r="AU85" s="451"/>
      <c r="AV85" s="451"/>
      <c r="AW85" s="451"/>
      <c r="AX85" s="451"/>
      <c r="AY85" s="451"/>
      <c r="AZ85" s="451"/>
      <c r="BA85" s="451"/>
      <c r="BB85" s="451"/>
      <c r="BC85" s="451"/>
      <c r="BD85" s="451"/>
      <c r="BE85" s="451"/>
      <c r="BF85" s="451"/>
      <c r="BG85" s="451"/>
      <c r="BH85" s="451"/>
      <c r="BI85" s="451"/>
      <c r="BJ85" s="451"/>
      <c r="BK85" s="451"/>
      <c r="BL85" s="451"/>
      <c r="BM85" s="451"/>
      <c r="BN85" s="451"/>
      <c r="BO85" s="451"/>
      <c r="BP85" s="451"/>
      <c r="BQ85" s="451"/>
      <c r="BR85" s="451"/>
      <c r="BS85" s="451"/>
      <c r="BT85" s="451"/>
      <c r="BU85" s="451"/>
      <c r="BV85" s="451"/>
      <c r="BW85" s="451"/>
      <c r="BX85" s="451"/>
      <c r="BY85" s="451"/>
      <c r="BZ85" s="451"/>
      <c r="CA85" s="451"/>
      <c r="CB85" s="451"/>
      <c r="CC85" s="451"/>
      <c r="CD85" s="451"/>
      <c r="CE85" s="451"/>
      <c r="CF85" s="451"/>
      <c r="CG85" s="451"/>
      <c r="CH85" s="451"/>
      <c r="CI85" s="451"/>
      <c r="CJ85" s="451"/>
      <c r="CK85" s="451"/>
      <c r="CL85" s="451"/>
      <c r="CM85" s="451"/>
      <c r="CN85" s="451"/>
      <c r="CO85" s="451"/>
      <c r="CP85" s="451"/>
      <c r="CQ85" s="451"/>
      <c r="CR85" s="451"/>
      <c r="CS85" s="451"/>
      <c r="CT85" s="451"/>
      <c r="CU85" s="451"/>
      <c r="CV85" s="451"/>
      <c r="CW85" s="451"/>
      <c r="CX85" s="451"/>
      <c r="CY85" s="451"/>
      <c r="CZ85" s="451"/>
      <c r="DA85" s="451"/>
      <c r="DB85" s="451"/>
      <c r="DC85" s="451"/>
      <c r="DD85" s="451"/>
      <c r="DE85" s="451"/>
      <c r="DF85" s="451"/>
      <c r="DG85" s="451"/>
      <c r="DH85" s="451"/>
      <c r="DI85" s="451"/>
      <c r="DJ85" s="451"/>
      <c r="DK85" s="451"/>
      <c r="DL85" s="451"/>
      <c r="DM85" s="451"/>
      <c r="DN85" s="451"/>
      <c r="DO85" s="451"/>
      <c r="DP85" s="451"/>
      <c r="DQ85" s="451"/>
      <c r="DR85" s="451"/>
      <c r="DS85" s="451"/>
      <c r="DT85" s="451"/>
      <c r="DU85" s="451"/>
      <c r="DV85" s="451"/>
      <c r="DW85" s="451"/>
      <c r="DX85" s="451"/>
      <c r="DY85" s="451"/>
      <c r="DZ85" s="451"/>
      <c r="EA85" s="451"/>
      <c r="EB85" s="451"/>
      <c r="EC85" s="451"/>
      <c r="ED85" s="451"/>
      <c r="EE85" s="451"/>
      <c r="EF85" s="451"/>
      <c r="EG85" s="451"/>
      <c r="EH85" s="451"/>
      <c r="EI85" s="451"/>
      <c r="EJ85" s="451"/>
      <c r="EK85" s="451"/>
      <c r="EL85" s="451"/>
      <c r="EM85" s="451"/>
      <c r="EN85" s="451"/>
      <c r="EO85" s="451"/>
      <c r="EP85" s="451"/>
      <c r="EQ85" s="451"/>
      <c r="ER85" s="451"/>
      <c r="ES85" s="451"/>
      <c r="ET85" s="451"/>
      <c r="EU85" s="451"/>
      <c r="EV85" s="451"/>
      <c r="EW85" s="451"/>
      <c r="EX85" s="451"/>
      <c r="EY85" s="451"/>
      <c r="EZ85" s="451"/>
      <c r="FA85" s="451"/>
      <c r="FB85" s="451"/>
      <c r="FC85" s="451"/>
      <c r="FD85" s="451"/>
      <c r="FE85" s="451"/>
      <c r="FF85" s="451"/>
      <c r="FG85" s="451"/>
      <c r="FH85" s="451"/>
      <c r="FI85" s="451"/>
      <c r="FJ85" s="451"/>
      <c r="FK85" s="451"/>
      <c r="FL85" s="451"/>
      <c r="FM85" s="451"/>
      <c r="FN85" s="451"/>
      <c r="FO85" s="451"/>
      <c r="FP85" s="451"/>
      <c r="FQ85" s="451"/>
      <c r="FR85" s="451"/>
      <c r="FS85" s="451"/>
      <c r="FT85" s="451"/>
      <c r="FU85" s="451"/>
      <c r="FV85" s="451"/>
      <c r="FW85" s="451"/>
      <c r="FX85" s="451"/>
      <c r="FY85" s="451"/>
      <c r="FZ85" s="451"/>
      <c r="GA85" s="451"/>
      <c r="GB85" s="451"/>
      <c r="GC85" s="451"/>
      <c r="GD85" s="451"/>
      <c r="GE85" s="451"/>
      <c r="GF85" s="451"/>
      <c r="GG85" s="451"/>
      <c r="GH85" s="451"/>
      <c r="GI85" s="451"/>
      <c r="GJ85" s="451"/>
      <c r="GK85" s="451"/>
      <c r="GL85" s="451"/>
      <c r="GM85" s="451"/>
      <c r="GN85" s="451"/>
      <c r="GO85" s="451"/>
      <c r="GP85" s="451"/>
      <c r="GQ85" s="451"/>
      <c r="GR85" s="451"/>
      <c r="GS85" s="451"/>
      <c r="GT85" s="451"/>
      <c r="GU85" s="451"/>
      <c r="GV85" s="451"/>
      <c r="GW85" s="451"/>
      <c r="GX85" s="451"/>
      <c r="GY85" s="451"/>
      <c r="GZ85" s="451"/>
      <c r="HA85" s="451"/>
      <c r="HB85" s="451"/>
      <c r="HC85" s="451"/>
      <c r="HD85" s="451"/>
      <c r="HE85" s="451"/>
      <c r="HF85" s="451"/>
      <c r="HG85" s="451"/>
      <c r="HH85" s="451"/>
      <c r="HI85" s="451"/>
      <c r="HJ85" s="451"/>
      <c r="HK85" s="451"/>
      <c r="HL85" s="451"/>
      <c r="HM85" s="451"/>
      <c r="HN85" s="451"/>
      <c r="HO85" s="451"/>
      <c r="HP85" s="451"/>
      <c r="HQ85" s="451"/>
      <c r="HR85" s="451"/>
      <c r="HS85" s="451"/>
      <c r="HT85" s="451"/>
      <c r="HU85" s="451"/>
      <c r="HV85" s="451"/>
      <c r="HW85" s="451"/>
      <c r="HX85" s="451"/>
      <c r="HY85" s="451"/>
      <c r="HZ85" s="451"/>
      <c r="IA85" s="451"/>
      <c r="IB85" s="451"/>
      <c r="IC85" s="451"/>
      <c r="ID85" s="451"/>
      <c r="IE85" s="451"/>
      <c r="IF85" s="451"/>
      <c r="IG85" s="451"/>
      <c r="IH85" s="451"/>
      <c r="II85" s="451"/>
      <c r="IJ85" s="451"/>
      <c r="IK85" s="451"/>
      <c r="IL85" s="451"/>
      <c r="IM85" s="451"/>
      <c r="IN85" s="451"/>
      <c r="IO85" s="451"/>
      <c r="IP85" s="451"/>
      <c r="IQ85" s="451"/>
      <c r="IR85" s="451"/>
      <c r="IS85" s="451"/>
      <c r="IT85" s="451"/>
      <c r="IU85" s="451"/>
      <c r="IV85" s="451"/>
      <c r="IW85" s="451"/>
      <c r="IX85" s="451"/>
      <c r="IY85" s="451"/>
      <c r="IZ85" s="451"/>
      <c r="JA85" s="451"/>
      <c r="JB85" s="451"/>
      <c r="JC85" s="451"/>
      <c r="JD85" s="451"/>
      <c r="JE85" s="451"/>
      <c r="JF85" s="451"/>
      <c r="JG85" s="451"/>
      <c r="JH85" s="451"/>
      <c r="JI85" s="451"/>
      <c r="JJ85" s="451"/>
      <c r="JK85" s="451"/>
      <c r="JL85" s="451"/>
      <c r="JM85" s="451"/>
      <c r="JN85" s="451"/>
      <c r="JO85" s="451"/>
      <c r="JP85" s="451"/>
      <c r="JQ85" s="451"/>
      <c r="JR85" s="451"/>
      <c r="JS85" s="451"/>
      <c r="JT85" s="451"/>
      <c r="JU85" s="451"/>
      <c r="JV85" s="451"/>
      <c r="JW85" s="451"/>
      <c r="JX85" s="451"/>
      <c r="JY85" s="451"/>
      <c r="JZ85" s="451"/>
      <c r="KA85" s="451"/>
      <c r="KB85" s="451"/>
      <c r="KC85" s="451"/>
      <c r="KD85" s="451"/>
      <c r="KE85" s="451"/>
      <c r="KF85" s="451"/>
      <c r="KG85" s="451"/>
      <c r="KH85" s="451"/>
      <c r="KI85" s="451"/>
      <c r="KJ85" s="451"/>
      <c r="KK85" s="451"/>
      <c r="KL85" s="451"/>
      <c r="KM85" s="451"/>
      <c r="KN85" s="451"/>
      <c r="KO85" s="451"/>
      <c r="KP85" s="451"/>
      <c r="KQ85" s="451"/>
      <c r="KR85" s="451"/>
      <c r="KS85" s="451"/>
      <c r="KT85" s="451"/>
      <c r="KU85" s="451"/>
      <c r="KV85" s="451"/>
      <c r="KW85" s="451"/>
      <c r="KX85" s="451"/>
      <c r="KY85" s="451"/>
      <c r="KZ85" s="451"/>
      <c r="LA85" s="451"/>
    </row>
    <row r="86" spans="1:313" s="603" customFormat="1" ht="12.75" customHeight="1" x14ac:dyDescent="0.2">
      <c r="A86" s="2079"/>
      <c r="B86" s="2123"/>
      <c r="C86" s="601">
        <v>2262</v>
      </c>
      <c r="D86" s="563">
        <f>20000-3500-3500</f>
        <v>13000</v>
      </c>
      <c r="E86" s="581"/>
      <c r="F86" s="602">
        <f t="shared" si="1"/>
        <v>13000</v>
      </c>
      <c r="G86" s="2195"/>
      <c r="H86" s="2125"/>
      <c r="I86" s="451"/>
      <c r="J86" s="451"/>
      <c r="K86" s="451"/>
      <c r="L86" s="451"/>
      <c r="M86" s="451"/>
      <c r="N86" s="451"/>
      <c r="O86" s="451"/>
      <c r="P86" s="451"/>
      <c r="Q86" s="451"/>
      <c r="R86" s="451"/>
      <c r="S86" s="451"/>
      <c r="T86" s="451"/>
      <c r="U86" s="451"/>
      <c r="V86" s="451"/>
      <c r="W86" s="451"/>
      <c r="X86" s="451"/>
      <c r="Y86" s="451"/>
      <c r="Z86" s="451"/>
      <c r="AA86" s="451"/>
      <c r="AB86" s="451"/>
      <c r="AC86" s="451"/>
      <c r="AD86" s="451"/>
      <c r="AE86" s="451"/>
      <c r="AF86" s="451"/>
      <c r="AG86" s="451"/>
      <c r="AH86" s="451"/>
      <c r="AI86" s="451"/>
      <c r="AJ86" s="451"/>
      <c r="AK86" s="451"/>
      <c r="AL86" s="451"/>
      <c r="AM86" s="451"/>
      <c r="AN86" s="451"/>
      <c r="AO86" s="451"/>
      <c r="AP86" s="451"/>
      <c r="AQ86" s="451"/>
      <c r="AR86" s="451"/>
      <c r="AS86" s="451"/>
      <c r="AT86" s="451"/>
      <c r="AU86" s="451"/>
      <c r="AV86" s="451"/>
      <c r="AW86" s="451"/>
      <c r="AX86" s="451"/>
      <c r="AY86" s="451"/>
      <c r="AZ86" s="451"/>
      <c r="BA86" s="451"/>
      <c r="BB86" s="451"/>
      <c r="BC86" s="451"/>
      <c r="BD86" s="451"/>
      <c r="BE86" s="451"/>
      <c r="BF86" s="451"/>
      <c r="BG86" s="451"/>
      <c r="BH86" s="451"/>
      <c r="BI86" s="451"/>
      <c r="BJ86" s="451"/>
      <c r="BK86" s="451"/>
      <c r="BL86" s="451"/>
      <c r="BM86" s="451"/>
      <c r="BN86" s="451"/>
      <c r="BO86" s="451"/>
      <c r="BP86" s="451"/>
      <c r="BQ86" s="451"/>
      <c r="BR86" s="451"/>
      <c r="BS86" s="451"/>
      <c r="BT86" s="451"/>
      <c r="BU86" s="451"/>
      <c r="BV86" s="451"/>
      <c r="BW86" s="451"/>
      <c r="BX86" s="451"/>
      <c r="BY86" s="451"/>
      <c r="BZ86" s="451"/>
      <c r="CA86" s="451"/>
      <c r="CB86" s="451"/>
      <c r="CC86" s="451"/>
      <c r="CD86" s="451"/>
      <c r="CE86" s="451"/>
      <c r="CF86" s="451"/>
      <c r="CG86" s="451"/>
      <c r="CH86" s="451"/>
      <c r="CI86" s="451"/>
      <c r="CJ86" s="451"/>
      <c r="CK86" s="451"/>
      <c r="CL86" s="451"/>
      <c r="CM86" s="451"/>
      <c r="CN86" s="451"/>
      <c r="CO86" s="451"/>
      <c r="CP86" s="451"/>
      <c r="CQ86" s="451"/>
      <c r="CR86" s="451"/>
      <c r="CS86" s="451"/>
      <c r="CT86" s="451"/>
      <c r="CU86" s="451"/>
      <c r="CV86" s="451"/>
      <c r="CW86" s="451"/>
      <c r="CX86" s="451"/>
      <c r="CY86" s="451"/>
      <c r="CZ86" s="451"/>
      <c r="DA86" s="451"/>
      <c r="DB86" s="451"/>
      <c r="DC86" s="451"/>
      <c r="DD86" s="451"/>
      <c r="DE86" s="451"/>
      <c r="DF86" s="451"/>
      <c r="DG86" s="451"/>
      <c r="DH86" s="451"/>
      <c r="DI86" s="451"/>
      <c r="DJ86" s="451"/>
      <c r="DK86" s="451"/>
      <c r="DL86" s="451"/>
      <c r="DM86" s="451"/>
      <c r="DN86" s="451"/>
      <c r="DO86" s="451"/>
      <c r="DP86" s="451"/>
      <c r="DQ86" s="451"/>
      <c r="DR86" s="451"/>
      <c r="DS86" s="451"/>
      <c r="DT86" s="451"/>
      <c r="DU86" s="451"/>
      <c r="DV86" s="451"/>
      <c r="DW86" s="451"/>
      <c r="DX86" s="451"/>
      <c r="DY86" s="451"/>
      <c r="DZ86" s="451"/>
      <c r="EA86" s="451"/>
      <c r="EB86" s="451"/>
      <c r="EC86" s="451"/>
      <c r="ED86" s="451"/>
      <c r="EE86" s="451"/>
      <c r="EF86" s="451"/>
      <c r="EG86" s="451"/>
      <c r="EH86" s="451"/>
      <c r="EI86" s="451"/>
      <c r="EJ86" s="451"/>
      <c r="EK86" s="451"/>
      <c r="EL86" s="451"/>
      <c r="EM86" s="451"/>
      <c r="EN86" s="451"/>
      <c r="EO86" s="451"/>
      <c r="EP86" s="451"/>
      <c r="EQ86" s="451"/>
      <c r="ER86" s="451"/>
      <c r="ES86" s="451"/>
      <c r="ET86" s="451"/>
      <c r="EU86" s="451"/>
      <c r="EV86" s="451"/>
      <c r="EW86" s="451"/>
      <c r="EX86" s="451"/>
      <c r="EY86" s="451"/>
      <c r="EZ86" s="451"/>
      <c r="FA86" s="451"/>
      <c r="FB86" s="451"/>
      <c r="FC86" s="451"/>
      <c r="FD86" s="451"/>
      <c r="FE86" s="451"/>
      <c r="FF86" s="451"/>
      <c r="FG86" s="451"/>
      <c r="FH86" s="451"/>
      <c r="FI86" s="451"/>
      <c r="FJ86" s="451"/>
      <c r="FK86" s="451"/>
      <c r="FL86" s="451"/>
      <c r="FM86" s="451"/>
      <c r="FN86" s="451"/>
      <c r="FO86" s="451"/>
      <c r="FP86" s="451"/>
      <c r="FQ86" s="451"/>
      <c r="FR86" s="451"/>
      <c r="FS86" s="451"/>
      <c r="FT86" s="451"/>
      <c r="FU86" s="451"/>
      <c r="FV86" s="451"/>
      <c r="FW86" s="451"/>
      <c r="FX86" s="451"/>
      <c r="FY86" s="451"/>
      <c r="FZ86" s="451"/>
      <c r="GA86" s="451"/>
      <c r="GB86" s="451"/>
      <c r="GC86" s="451"/>
      <c r="GD86" s="451"/>
      <c r="GE86" s="451"/>
      <c r="GF86" s="451"/>
      <c r="GG86" s="451"/>
      <c r="GH86" s="451"/>
      <c r="GI86" s="451"/>
      <c r="GJ86" s="451"/>
      <c r="GK86" s="451"/>
      <c r="GL86" s="451"/>
      <c r="GM86" s="451"/>
      <c r="GN86" s="451"/>
      <c r="GO86" s="451"/>
      <c r="GP86" s="451"/>
      <c r="GQ86" s="451"/>
      <c r="GR86" s="451"/>
      <c r="GS86" s="451"/>
      <c r="GT86" s="451"/>
      <c r="GU86" s="451"/>
      <c r="GV86" s="451"/>
      <c r="GW86" s="451"/>
      <c r="GX86" s="451"/>
      <c r="GY86" s="451"/>
      <c r="GZ86" s="451"/>
      <c r="HA86" s="451"/>
      <c r="HB86" s="451"/>
      <c r="HC86" s="451"/>
      <c r="HD86" s="451"/>
      <c r="HE86" s="451"/>
      <c r="HF86" s="451"/>
      <c r="HG86" s="451"/>
      <c r="HH86" s="451"/>
      <c r="HI86" s="451"/>
      <c r="HJ86" s="451"/>
      <c r="HK86" s="451"/>
      <c r="HL86" s="451"/>
      <c r="HM86" s="451"/>
      <c r="HN86" s="451"/>
      <c r="HO86" s="451"/>
      <c r="HP86" s="451"/>
      <c r="HQ86" s="451"/>
      <c r="HR86" s="451"/>
      <c r="HS86" s="451"/>
      <c r="HT86" s="451"/>
      <c r="HU86" s="451"/>
      <c r="HV86" s="451"/>
      <c r="HW86" s="451"/>
      <c r="HX86" s="451"/>
      <c r="HY86" s="451"/>
      <c r="HZ86" s="451"/>
      <c r="IA86" s="451"/>
      <c r="IB86" s="451"/>
      <c r="IC86" s="451"/>
      <c r="ID86" s="451"/>
      <c r="IE86" s="451"/>
      <c r="IF86" s="451"/>
      <c r="IG86" s="451"/>
      <c r="IH86" s="451"/>
      <c r="II86" s="451"/>
      <c r="IJ86" s="451"/>
      <c r="IK86" s="451"/>
      <c r="IL86" s="451"/>
      <c r="IM86" s="451"/>
      <c r="IN86" s="451"/>
      <c r="IO86" s="451"/>
      <c r="IP86" s="451"/>
      <c r="IQ86" s="451"/>
      <c r="IR86" s="451"/>
      <c r="IS86" s="451"/>
      <c r="IT86" s="451"/>
      <c r="IU86" s="451"/>
      <c r="IV86" s="451"/>
      <c r="IW86" s="451"/>
      <c r="IX86" s="451"/>
      <c r="IY86" s="451"/>
      <c r="IZ86" s="451"/>
      <c r="JA86" s="451"/>
      <c r="JB86" s="451"/>
      <c r="JC86" s="451"/>
      <c r="JD86" s="451"/>
      <c r="JE86" s="451"/>
      <c r="JF86" s="451"/>
      <c r="JG86" s="451"/>
      <c r="JH86" s="451"/>
      <c r="JI86" s="451"/>
      <c r="JJ86" s="451"/>
      <c r="JK86" s="451"/>
      <c r="JL86" s="451"/>
      <c r="JM86" s="451"/>
      <c r="JN86" s="451"/>
      <c r="JO86" s="451"/>
      <c r="JP86" s="451"/>
      <c r="JQ86" s="451"/>
      <c r="JR86" s="451"/>
      <c r="JS86" s="451"/>
      <c r="JT86" s="451"/>
      <c r="JU86" s="451"/>
      <c r="JV86" s="451"/>
      <c r="JW86" s="451"/>
      <c r="JX86" s="451"/>
      <c r="JY86" s="451"/>
      <c r="JZ86" s="451"/>
      <c r="KA86" s="451"/>
      <c r="KB86" s="451"/>
      <c r="KC86" s="451"/>
      <c r="KD86" s="451"/>
      <c r="KE86" s="451"/>
      <c r="KF86" s="451"/>
      <c r="KG86" s="451"/>
      <c r="KH86" s="451"/>
      <c r="KI86" s="451"/>
      <c r="KJ86" s="451"/>
      <c r="KK86" s="451"/>
      <c r="KL86" s="451"/>
      <c r="KM86" s="451"/>
      <c r="KN86" s="451"/>
      <c r="KO86" s="451"/>
      <c r="KP86" s="451"/>
      <c r="KQ86" s="451"/>
      <c r="KR86" s="451"/>
      <c r="KS86" s="451"/>
      <c r="KT86" s="451"/>
      <c r="KU86" s="451"/>
      <c r="KV86" s="451"/>
      <c r="KW86" s="451"/>
      <c r="KX86" s="451"/>
      <c r="KY86" s="451"/>
      <c r="KZ86" s="451"/>
      <c r="LA86" s="451"/>
    </row>
    <row r="87" spans="1:313" ht="12.75" customHeight="1" x14ac:dyDescent="0.2">
      <c r="A87" s="2079"/>
      <c r="B87" s="2123"/>
      <c r="C87" s="562">
        <v>2261</v>
      </c>
      <c r="D87" s="604">
        <f>8000-6500</f>
        <v>1500</v>
      </c>
      <c r="E87" s="581"/>
      <c r="F87" s="588">
        <f t="shared" si="1"/>
        <v>1500</v>
      </c>
      <c r="G87" s="2195"/>
      <c r="H87" s="2125"/>
    </row>
    <row r="88" spans="1:313" ht="12.75" customHeight="1" x14ac:dyDescent="0.2">
      <c r="A88" s="2080"/>
      <c r="B88" s="2124"/>
      <c r="C88" s="562">
        <v>2279</v>
      </c>
      <c r="D88" s="604">
        <v>500</v>
      </c>
      <c r="E88" s="581"/>
      <c r="F88" s="588">
        <f t="shared" si="1"/>
        <v>500</v>
      </c>
      <c r="G88" s="2196"/>
      <c r="H88" s="2125"/>
    </row>
    <row r="89" spans="1:313" ht="12.75" customHeight="1" x14ac:dyDescent="0.2">
      <c r="A89" s="1677">
        <v>32</v>
      </c>
      <c r="B89" s="1676" t="s">
        <v>2345</v>
      </c>
      <c r="C89" s="562">
        <v>3263</v>
      </c>
      <c r="D89" s="604"/>
      <c r="E89" s="569">
        <v>350</v>
      </c>
      <c r="F89" s="588">
        <f t="shared" si="1"/>
        <v>350</v>
      </c>
      <c r="G89" s="1679" t="s">
        <v>2346</v>
      </c>
      <c r="H89" s="1678"/>
    </row>
    <row r="90" spans="1:313" ht="13.5" customHeight="1" x14ac:dyDescent="0.2">
      <c r="A90" s="1077"/>
      <c r="B90" s="1077"/>
      <c r="C90" s="1187"/>
      <c r="D90" s="1078"/>
      <c r="E90" s="935"/>
      <c r="F90" s="605"/>
      <c r="G90" s="863"/>
      <c r="H90" s="935"/>
    </row>
    <row r="91" spans="1:313" ht="13.5" x14ac:dyDescent="0.2">
      <c r="A91" s="2128" t="s">
        <v>499</v>
      </c>
      <c r="B91" s="2128"/>
      <c r="C91" s="590" t="s">
        <v>804</v>
      </c>
      <c r="D91" s="606"/>
      <c r="E91" s="553"/>
      <c r="F91" s="553"/>
      <c r="G91" s="549"/>
      <c r="H91" s="549"/>
    </row>
    <row r="92" spans="1:313" ht="12" x14ac:dyDescent="0.2">
      <c r="A92" s="2128" t="s">
        <v>500</v>
      </c>
      <c r="B92" s="2128"/>
      <c r="C92" s="555" t="s">
        <v>448</v>
      </c>
      <c r="D92" s="549"/>
      <c r="E92" s="549"/>
      <c r="F92" s="451"/>
      <c r="G92" s="549"/>
      <c r="H92" s="549"/>
    </row>
    <row r="93" spans="1:313" ht="48" x14ac:dyDescent="0.2">
      <c r="A93" s="556" t="s">
        <v>501</v>
      </c>
      <c r="B93" s="557" t="s">
        <v>502</v>
      </c>
      <c r="C93" s="556" t="s">
        <v>503</v>
      </c>
      <c r="D93" s="556" t="s">
        <v>504</v>
      </c>
      <c r="E93" s="556" t="s">
        <v>505</v>
      </c>
      <c r="F93" s="556" t="s">
        <v>506</v>
      </c>
      <c r="G93" s="556" t="s">
        <v>36</v>
      </c>
      <c r="H93" s="556" t="s">
        <v>507</v>
      </c>
    </row>
    <row r="94" spans="1:313" ht="12" x14ac:dyDescent="0.2">
      <c r="A94" s="2169" t="s">
        <v>549</v>
      </c>
      <c r="B94" s="2170"/>
      <c r="C94" s="558"/>
      <c r="D94" s="558">
        <f>SUM(D95:D97)</f>
        <v>7000</v>
      </c>
      <c r="E94" s="558">
        <f>SUM(E95:E97)</f>
        <v>0</v>
      </c>
      <c r="F94" s="558">
        <f>SUM(F95:F97)</f>
        <v>7000</v>
      </c>
      <c r="G94" s="559"/>
      <c r="H94" s="558"/>
    </row>
    <row r="95" spans="1:313" ht="12" x14ac:dyDescent="0.2">
      <c r="A95" s="560">
        <v>1</v>
      </c>
      <c r="B95" s="571" t="s">
        <v>805</v>
      </c>
      <c r="C95" s="564">
        <v>1150</v>
      </c>
      <c r="D95" s="564">
        <v>7000</v>
      </c>
      <c r="E95" s="564"/>
      <c r="F95" s="588">
        <f t="shared" ref="F95:F96" si="2">D95+E95</f>
        <v>7000</v>
      </c>
      <c r="G95" s="559"/>
      <c r="H95" s="2192" t="s">
        <v>806</v>
      </c>
    </row>
    <row r="96" spans="1:313" ht="12" hidden="1" x14ac:dyDescent="0.2">
      <c r="A96" s="559"/>
      <c r="B96" s="607"/>
      <c r="C96" s="564"/>
      <c r="D96" s="564"/>
      <c r="E96" s="564"/>
      <c r="F96" s="588">
        <f t="shared" si="2"/>
        <v>0</v>
      </c>
      <c r="G96" s="559"/>
      <c r="H96" s="2193"/>
    </row>
    <row r="97" spans="1:8" ht="12" x14ac:dyDescent="0.2">
      <c r="A97" s="559"/>
      <c r="B97" s="584"/>
      <c r="C97" s="564"/>
      <c r="D97" s="564"/>
      <c r="E97" s="564"/>
      <c r="F97" s="588"/>
      <c r="G97" s="559"/>
      <c r="H97" s="564"/>
    </row>
    <row r="98" spans="1:8" ht="12" x14ac:dyDescent="0.2">
      <c r="D98" s="608"/>
      <c r="E98" s="608"/>
      <c r="F98" s="451"/>
      <c r="H98" s="608"/>
    </row>
    <row r="99" spans="1:8" ht="12" x14ac:dyDescent="0.2">
      <c r="A99" s="451" t="s">
        <v>570</v>
      </c>
      <c r="F99" s="451"/>
    </row>
    <row r="100" spans="1:8" ht="12" x14ac:dyDescent="0.2">
      <c r="A100" s="451" t="s">
        <v>807</v>
      </c>
      <c r="F100" s="451"/>
    </row>
    <row r="101" spans="1:8" ht="12" x14ac:dyDescent="0.2">
      <c r="F101" s="451"/>
    </row>
    <row r="102" spans="1:8" ht="12" x14ac:dyDescent="0.2">
      <c r="A102" s="451" t="s">
        <v>807</v>
      </c>
      <c r="F102" s="451"/>
    </row>
    <row r="103" spans="1:8" ht="12" x14ac:dyDescent="0.2">
      <c r="A103" s="609" t="s">
        <v>808</v>
      </c>
      <c r="F103" s="451"/>
    </row>
    <row r="104" spans="1:8" ht="12" x14ac:dyDescent="0.2">
      <c r="B104" s="451" t="s">
        <v>809</v>
      </c>
      <c r="F104" s="451"/>
    </row>
    <row r="105" spans="1:8" ht="12" x14ac:dyDescent="0.2">
      <c r="B105" s="451" t="s">
        <v>810</v>
      </c>
      <c r="F105" s="451"/>
    </row>
    <row r="106" spans="1:8" ht="12" x14ac:dyDescent="0.2">
      <c r="B106" s="451" t="s">
        <v>811</v>
      </c>
      <c r="F106" s="451"/>
    </row>
    <row r="107" spans="1:8" ht="12" x14ac:dyDescent="0.2">
      <c r="B107" s="451" t="s">
        <v>812</v>
      </c>
      <c r="F107" s="451"/>
    </row>
    <row r="108" spans="1:8" ht="12" x14ac:dyDescent="0.2">
      <c r="B108" s="451" t="s">
        <v>813</v>
      </c>
      <c r="F108" s="451"/>
    </row>
    <row r="109" spans="1:8" ht="12" x14ac:dyDescent="0.2">
      <c r="B109" s="451" t="s">
        <v>814</v>
      </c>
      <c r="F109" s="451"/>
    </row>
    <row r="110" spans="1:8" ht="12" x14ac:dyDescent="0.2">
      <c r="B110" s="451" t="s">
        <v>815</v>
      </c>
      <c r="F110" s="451"/>
    </row>
    <row r="111" spans="1:8" ht="12" x14ac:dyDescent="0.2">
      <c r="B111" s="451" t="s">
        <v>816</v>
      </c>
      <c r="F111" s="451"/>
    </row>
    <row r="112" spans="1:8" ht="12" x14ac:dyDescent="0.2">
      <c r="B112" s="451" t="s">
        <v>817</v>
      </c>
      <c r="F112" s="451"/>
    </row>
    <row r="113" spans="1:8" ht="12" x14ac:dyDescent="0.2">
      <c r="F113" s="451"/>
    </row>
    <row r="114" spans="1:8" ht="12" x14ac:dyDescent="0.2">
      <c r="A114" s="609" t="s">
        <v>818</v>
      </c>
      <c r="F114" s="451"/>
    </row>
    <row r="115" spans="1:8" ht="12" x14ac:dyDescent="0.2">
      <c r="A115" s="610" t="s">
        <v>819</v>
      </c>
      <c r="B115" s="610"/>
      <c r="C115" s="610"/>
      <c r="F115" s="451"/>
    </row>
    <row r="116" spans="1:8" ht="12" x14ac:dyDescent="0.2">
      <c r="A116" s="610" t="s">
        <v>820</v>
      </c>
      <c r="B116" s="610"/>
      <c r="C116" s="610"/>
      <c r="F116" s="451"/>
    </row>
    <row r="117" spans="1:8" ht="12" x14ac:dyDescent="0.2">
      <c r="A117" s="610" t="s">
        <v>821</v>
      </c>
      <c r="B117" s="610"/>
      <c r="C117" s="610"/>
      <c r="F117" s="451"/>
    </row>
    <row r="118" spans="1:8" ht="12" x14ac:dyDescent="0.2">
      <c r="A118" s="610" t="s">
        <v>822</v>
      </c>
      <c r="B118" s="610"/>
      <c r="C118" s="610"/>
      <c r="F118" s="451"/>
    </row>
    <row r="119" spans="1:8" ht="12" x14ac:dyDescent="0.2">
      <c r="F119" s="451"/>
    </row>
    <row r="122" spans="1:8" ht="12" x14ac:dyDescent="0.2">
      <c r="A122" s="611"/>
      <c r="B122" s="611"/>
      <c r="C122" s="611"/>
      <c r="D122" s="611"/>
      <c r="E122" s="611"/>
      <c r="F122" s="611"/>
      <c r="H122" s="611"/>
    </row>
    <row r="123" spans="1:8" ht="12" x14ac:dyDescent="0.2">
      <c r="A123" s="611"/>
      <c r="B123" s="611"/>
      <c r="C123" s="611"/>
      <c r="D123" s="611"/>
      <c r="E123" s="611"/>
      <c r="F123" s="611"/>
      <c r="H123" s="611"/>
    </row>
    <row r="124" spans="1:8" ht="12" x14ac:dyDescent="0.2">
      <c r="A124" s="611"/>
      <c r="B124" s="611"/>
      <c r="C124" s="611"/>
      <c r="D124" s="611"/>
      <c r="E124" s="611"/>
      <c r="F124" s="611"/>
      <c r="H124" s="611"/>
    </row>
    <row r="125" spans="1:8" ht="12" x14ac:dyDescent="0.2">
      <c r="F125" s="451"/>
    </row>
  </sheetData>
  <sheetProtection algorithmName="SHA-512" hashValue="cAw4iqesaaIAuwtEa93PCBraFct2IByss9ErYxDAXryQjdf4FPGbmfsvboqL44h1DjKttQZrnu6l3kmo3C3oAQ==" saltValue="Qq74U/bjwl5mB4GwnD2FEQ==" spinCount="100000" sheet="1" objects="1" scenarios="1"/>
  <mergeCells count="19">
    <mergeCell ref="A91:B91"/>
    <mergeCell ref="A92:B92"/>
    <mergeCell ref="A94:B94"/>
    <mergeCell ref="H95:H96"/>
    <mergeCell ref="A11:B11"/>
    <mergeCell ref="H11:H44"/>
    <mergeCell ref="A50:B50"/>
    <mergeCell ref="A51:B51"/>
    <mergeCell ref="A53:B53"/>
    <mergeCell ref="A84:A88"/>
    <mergeCell ref="B84:B88"/>
    <mergeCell ref="G84:G88"/>
    <mergeCell ref="H54:H88"/>
    <mergeCell ref="A9:B9"/>
    <mergeCell ref="A3:B3"/>
    <mergeCell ref="A4:B4"/>
    <mergeCell ref="A5:H5"/>
    <mergeCell ref="A7:B7"/>
    <mergeCell ref="A8:B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80.pielikums Jūrmalas pilsētas domes
2019.gada 29.augusta saistošajiem noteikumiem Nr.31
(protokols Nr.12, 20.punkts) </firstHeader>
    <firstFooter>&amp;L&amp;9&amp;D; &amp;T&amp;R&amp;9&amp;P (&amp;N)</first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89"/>
  <sheetViews>
    <sheetView view="pageLayout" zoomScaleNormal="100" workbookViewId="0">
      <selection activeCell="O8" sqref="O8"/>
    </sheetView>
  </sheetViews>
  <sheetFormatPr defaultRowHeight="12" outlineLevelCol="1" x14ac:dyDescent="0.2"/>
  <cols>
    <col min="1" max="1" width="5.5703125" style="451" customWidth="1"/>
    <col min="2" max="2" width="24.7109375" style="547" customWidth="1"/>
    <col min="3" max="3" width="10.7109375" style="451" customWidth="1"/>
    <col min="4" max="4" width="15.85546875" style="859" hidden="1" customWidth="1" outlineLevel="1"/>
    <col min="5" max="5" width="9.5703125" style="451" hidden="1" customWidth="1" outlineLevel="1"/>
    <col min="6" max="6" width="14.28515625" style="451" hidden="1" customWidth="1" outlineLevel="1"/>
    <col min="7" max="7" width="5.42578125" style="451" hidden="1" customWidth="1" outlineLevel="1"/>
    <col min="8" max="8" width="19.7109375" style="451" customWidth="1" collapsed="1"/>
    <col min="9" max="9" width="12.42578125" style="451" hidden="1" customWidth="1"/>
    <col min="10" max="10" width="29" style="451" hidden="1" customWidth="1" outlineLevel="1"/>
    <col min="11" max="11" width="19.28515625" style="451" customWidth="1" collapsed="1"/>
    <col min="12" max="16384" width="9.140625" style="451"/>
  </cols>
  <sheetData>
    <row r="1" spans="1:12" x14ac:dyDescent="0.2">
      <c r="K1" s="745" t="s">
        <v>1106</v>
      </c>
    </row>
    <row r="2" spans="1:12" x14ac:dyDescent="0.2">
      <c r="K2" s="745" t="s">
        <v>494</v>
      </c>
    </row>
    <row r="3" spans="1:12" ht="12.75" customHeight="1" x14ac:dyDescent="0.2">
      <c r="A3" s="605" t="s">
        <v>1107</v>
      </c>
      <c r="B3" s="860"/>
      <c r="C3" s="861"/>
      <c r="D3" s="861"/>
      <c r="E3" s="861"/>
      <c r="F3" s="861"/>
      <c r="G3" s="861"/>
      <c r="H3" s="861"/>
      <c r="I3" s="861"/>
      <c r="J3" s="861"/>
      <c r="K3" s="862"/>
    </row>
    <row r="4" spans="1:12" x14ac:dyDescent="0.2">
      <c r="A4" s="605" t="s">
        <v>1108</v>
      </c>
      <c r="B4" s="860"/>
      <c r="C4" s="863"/>
      <c r="D4" s="863"/>
      <c r="E4" s="863"/>
      <c r="F4" s="863"/>
      <c r="G4" s="863"/>
      <c r="H4" s="863"/>
      <c r="I4" s="863"/>
      <c r="J4" s="863"/>
      <c r="K4" s="864"/>
    </row>
    <row r="5" spans="1:12" ht="15.75" x14ac:dyDescent="0.25">
      <c r="A5" s="2066" t="s">
        <v>1109</v>
      </c>
      <c r="B5" s="2066"/>
      <c r="C5" s="2066"/>
      <c r="D5" s="2066"/>
      <c r="E5" s="2066"/>
      <c r="F5" s="2066"/>
      <c r="G5" s="2066"/>
      <c r="H5" s="2066"/>
      <c r="I5" s="2066"/>
      <c r="J5" s="2066"/>
      <c r="K5" s="2066"/>
      <c r="L5" s="865"/>
    </row>
    <row r="6" spans="1:12" ht="15.75" x14ac:dyDescent="0.25">
      <c r="A6" s="866"/>
      <c r="B6" s="866"/>
      <c r="C6" s="866"/>
      <c r="D6" s="866"/>
      <c r="E6" s="866"/>
      <c r="F6" s="866"/>
      <c r="G6" s="866"/>
      <c r="H6" s="866"/>
      <c r="I6" s="866"/>
      <c r="J6" s="866"/>
      <c r="K6" s="866"/>
      <c r="L6" s="865"/>
    </row>
    <row r="7" spans="1:12" ht="12.75" customHeight="1" x14ac:dyDescent="0.25">
      <c r="A7" s="867" t="s">
        <v>1110</v>
      </c>
      <c r="B7" s="867"/>
      <c r="C7" s="861"/>
      <c r="D7" s="861"/>
      <c r="E7" s="861"/>
      <c r="F7" s="861"/>
      <c r="G7" s="861"/>
      <c r="H7" s="861"/>
      <c r="I7" s="861"/>
      <c r="J7" s="861"/>
      <c r="K7" s="862"/>
    </row>
    <row r="8" spans="1:12" ht="12.75" customHeight="1" x14ac:dyDescent="0.2">
      <c r="A8" s="605" t="s">
        <v>1111</v>
      </c>
      <c r="B8" s="860"/>
      <c r="C8" s="868"/>
      <c r="D8" s="868"/>
      <c r="E8" s="868"/>
      <c r="F8" s="868"/>
      <c r="G8" s="868"/>
      <c r="H8" s="868"/>
      <c r="I8" s="868"/>
      <c r="J8" s="868"/>
      <c r="K8" s="869"/>
    </row>
    <row r="9" spans="1:12" ht="12.75" customHeight="1" x14ac:dyDescent="0.2">
      <c r="A9" s="605" t="s">
        <v>1112</v>
      </c>
      <c r="B9" s="860"/>
      <c r="C9" s="870"/>
      <c r="D9" s="870"/>
      <c r="E9" s="870"/>
      <c r="F9" s="870"/>
      <c r="G9" s="870"/>
      <c r="H9" s="870"/>
      <c r="I9" s="870"/>
      <c r="J9" s="870"/>
      <c r="K9" s="871"/>
    </row>
    <row r="10" spans="1:12" ht="50.25" customHeight="1" x14ac:dyDescent="0.2">
      <c r="A10" s="2147" t="s">
        <v>501</v>
      </c>
      <c r="B10" s="2147" t="s">
        <v>502</v>
      </c>
      <c r="C10" s="2147" t="s">
        <v>503</v>
      </c>
      <c r="D10" s="2068" t="s">
        <v>504</v>
      </c>
      <c r="E10" s="2068"/>
      <c r="F10" s="2068" t="s">
        <v>505</v>
      </c>
      <c r="G10" s="2068"/>
      <c r="H10" s="2068" t="s">
        <v>506</v>
      </c>
      <c r="I10" s="2068"/>
      <c r="J10" s="2251" t="s">
        <v>36</v>
      </c>
      <c r="K10" s="2147" t="s">
        <v>507</v>
      </c>
    </row>
    <row r="11" spans="1:12" s="801" customFormat="1" ht="10.5" hidden="1" customHeight="1" x14ac:dyDescent="0.2">
      <c r="A11" s="2148"/>
      <c r="B11" s="2148"/>
      <c r="C11" s="2148"/>
      <c r="D11" s="872" t="s">
        <v>1113</v>
      </c>
      <c r="E11" s="354" t="s">
        <v>1114</v>
      </c>
      <c r="F11" s="872" t="s">
        <v>1113</v>
      </c>
      <c r="G11" s="354" t="s">
        <v>1114</v>
      </c>
      <c r="H11" s="872" t="s">
        <v>1113</v>
      </c>
      <c r="I11" s="354" t="s">
        <v>1114</v>
      </c>
      <c r="J11" s="2252"/>
      <c r="K11" s="2148"/>
    </row>
    <row r="12" spans="1:12" s="801" customFormat="1" x14ac:dyDescent="0.2">
      <c r="A12" s="2250" t="s">
        <v>508</v>
      </c>
      <c r="B12" s="2250"/>
      <c r="C12" s="873"/>
      <c r="D12" s="873">
        <f>D13+D62+D82+D93+D101+D124+D141+D159+D178+D209+D224+D247+D263+D269</f>
        <v>251667</v>
      </c>
      <c r="E12" s="873">
        <f>E13+E62+E82+E93+E101+E124+E141+E159+E178+E209+E224+E247+E263+E269</f>
        <v>0</v>
      </c>
      <c r="F12" s="873">
        <f>F13+F62+F82+F93+F101+F124+F141+F159+F178+F209+F224+F247+F263+F269</f>
        <v>23100</v>
      </c>
      <c r="G12" s="873">
        <f>G13+G62+G82+G93+G101+G124+G141+G159+G178+G209+G224+G247+G263+G269</f>
        <v>11170</v>
      </c>
      <c r="H12" s="873">
        <f>H13+H62+H82+H93+H101+H124+H141+H159+H178+H209+H224+H247+H263+H269</f>
        <v>274767</v>
      </c>
      <c r="I12" s="873">
        <f>I13+I62+I82+I93+I101+I124+I141+I159+I178+I209+I224+I247+I263</f>
        <v>0</v>
      </c>
      <c r="J12" s="873"/>
      <c r="K12" s="750"/>
    </row>
    <row r="13" spans="1:12" s="801" customFormat="1" x14ac:dyDescent="0.2">
      <c r="A13" s="874">
        <v>1</v>
      </c>
      <c r="B13" s="875" t="s">
        <v>1115</v>
      </c>
      <c r="C13" s="873"/>
      <c r="D13" s="749">
        <f>D15+D48+D20+D52+D30</f>
        <v>44806</v>
      </c>
      <c r="E13" s="749">
        <f>E15+E48+E20+E52+E30</f>
        <v>0</v>
      </c>
      <c r="F13" s="749">
        <f>F15+F48+F20+F52+F30</f>
        <v>23100</v>
      </c>
      <c r="G13" s="749">
        <f>G15+G48+G20+G52+G30</f>
        <v>11170</v>
      </c>
      <c r="H13" s="749">
        <f>H15+H48+H20+H52+H30</f>
        <v>67906</v>
      </c>
      <c r="I13" s="749">
        <f>I15+I48+I20+I52</f>
        <v>0</v>
      </c>
      <c r="J13" s="749"/>
      <c r="K13" s="876"/>
    </row>
    <row r="14" spans="1:12" s="801" customFormat="1" x14ac:dyDescent="0.2">
      <c r="A14" s="877">
        <v>1.1000000000000001</v>
      </c>
      <c r="B14" s="878" t="s">
        <v>1116</v>
      </c>
      <c r="C14" s="873"/>
      <c r="D14" s="749">
        <f>D15+D20+D30</f>
        <v>25838</v>
      </c>
      <c r="E14" s="749">
        <f t="shared" ref="E14:I14" si="0">E15+E20</f>
        <v>0</v>
      </c>
      <c r="F14" s="749">
        <f t="shared" si="0"/>
        <v>0</v>
      </c>
      <c r="G14" s="749">
        <f t="shared" si="0"/>
        <v>0</v>
      </c>
      <c r="H14" s="749">
        <f t="shared" si="0"/>
        <v>25838</v>
      </c>
      <c r="I14" s="749">
        <f t="shared" si="0"/>
        <v>0</v>
      </c>
      <c r="J14" s="749"/>
      <c r="K14" s="876"/>
    </row>
    <row r="15" spans="1:12" s="801" customFormat="1" x14ac:dyDescent="0.2">
      <c r="A15" s="2229" t="s">
        <v>1117</v>
      </c>
      <c r="B15" s="2061" t="s">
        <v>1118</v>
      </c>
      <c r="C15" s="763"/>
      <c r="D15" s="753">
        <f>SUM(D16:D19)</f>
        <v>15100</v>
      </c>
      <c r="E15" s="753">
        <f t="shared" ref="E15:I15" si="1">SUM(E16:E19)</f>
        <v>0</v>
      </c>
      <c r="F15" s="753">
        <f t="shared" si="1"/>
        <v>0</v>
      </c>
      <c r="G15" s="753">
        <f t="shared" si="1"/>
        <v>0</v>
      </c>
      <c r="H15" s="753">
        <f t="shared" si="1"/>
        <v>15100</v>
      </c>
      <c r="I15" s="753">
        <f t="shared" si="1"/>
        <v>0</v>
      </c>
      <c r="J15" s="753"/>
      <c r="K15" s="2156" t="s">
        <v>1119</v>
      </c>
    </row>
    <row r="16" spans="1:12" s="603" customFormat="1" x14ac:dyDescent="0.2">
      <c r="A16" s="2229"/>
      <c r="B16" s="2061"/>
      <c r="C16" s="596">
        <v>2261</v>
      </c>
      <c r="D16" s="879">
        <v>1200</v>
      </c>
      <c r="E16" s="598"/>
      <c r="F16" s="598"/>
      <c r="G16" s="598"/>
      <c r="H16" s="598">
        <f>D16+F16</f>
        <v>1200</v>
      </c>
      <c r="I16" s="598">
        <f>E16+G16</f>
        <v>0</v>
      </c>
      <c r="J16" s="598"/>
      <c r="K16" s="2157"/>
    </row>
    <row r="17" spans="1:12" s="801" customFormat="1" x14ac:dyDescent="0.2">
      <c r="A17" s="2229"/>
      <c r="B17" s="2061"/>
      <c r="C17" s="601">
        <v>2262</v>
      </c>
      <c r="D17" s="792">
        <v>8000</v>
      </c>
      <c r="E17" s="563"/>
      <c r="F17" s="563"/>
      <c r="G17" s="563"/>
      <c r="H17" s="563">
        <f t="shared" ref="H17:I19" si="2">D17+F17</f>
        <v>8000</v>
      </c>
      <c r="I17" s="563">
        <f t="shared" si="2"/>
        <v>0</v>
      </c>
      <c r="J17" s="563"/>
      <c r="K17" s="2157"/>
    </row>
    <row r="18" spans="1:12" s="603" customFormat="1" x14ac:dyDescent="0.2">
      <c r="A18" s="2229"/>
      <c r="B18" s="2061"/>
      <c r="C18" s="596">
        <v>2279</v>
      </c>
      <c r="D18" s="879">
        <v>3800</v>
      </c>
      <c r="E18" s="598"/>
      <c r="F18" s="598"/>
      <c r="G18" s="598"/>
      <c r="H18" s="598">
        <f t="shared" si="2"/>
        <v>3800</v>
      </c>
      <c r="I18" s="598">
        <f t="shared" si="2"/>
        <v>0</v>
      </c>
      <c r="J18" s="598"/>
      <c r="K18" s="2157"/>
    </row>
    <row r="19" spans="1:12" s="801" customFormat="1" x14ac:dyDescent="0.2">
      <c r="A19" s="2229"/>
      <c r="B19" s="2061"/>
      <c r="C19" s="601">
        <v>2363</v>
      </c>
      <c r="D19" s="792">
        <v>2100</v>
      </c>
      <c r="E19" s="563"/>
      <c r="F19" s="563"/>
      <c r="G19" s="563"/>
      <c r="H19" s="563">
        <f t="shared" si="2"/>
        <v>2100</v>
      </c>
      <c r="I19" s="563">
        <f t="shared" si="2"/>
        <v>0</v>
      </c>
      <c r="J19" s="563"/>
      <c r="K19" s="2244"/>
    </row>
    <row r="20" spans="1:12" s="801" customFormat="1" x14ac:dyDescent="0.2">
      <c r="A20" s="2246" t="s">
        <v>1120</v>
      </c>
      <c r="B20" s="2207" t="s">
        <v>1121</v>
      </c>
      <c r="C20" s="601"/>
      <c r="D20" s="753">
        <f t="shared" ref="D20:I20" si="3">SUM(D21:D29)</f>
        <v>10738</v>
      </c>
      <c r="E20" s="753">
        <f t="shared" si="3"/>
        <v>0</v>
      </c>
      <c r="F20" s="753">
        <f t="shared" si="3"/>
        <v>0</v>
      </c>
      <c r="G20" s="753">
        <f t="shared" si="3"/>
        <v>0</v>
      </c>
      <c r="H20" s="753">
        <f t="shared" si="3"/>
        <v>10738</v>
      </c>
      <c r="I20" s="753">
        <f t="shared" si="3"/>
        <v>0</v>
      </c>
      <c r="J20" s="753"/>
      <c r="K20" s="2203" t="s">
        <v>1122</v>
      </c>
    </row>
    <row r="21" spans="1:12" s="801" customFormat="1" x14ac:dyDescent="0.2">
      <c r="A21" s="2247"/>
      <c r="B21" s="2242"/>
      <c r="C21" s="601">
        <v>1150</v>
      </c>
      <c r="D21" s="792">
        <v>2480</v>
      </c>
      <c r="E21" s="763"/>
      <c r="F21" s="763"/>
      <c r="G21" s="763"/>
      <c r="H21" s="563">
        <f t="shared" ref="H21:I29" si="4">D21+F21</f>
        <v>2480</v>
      </c>
      <c r="I21" s="563">
        <f t="shared" si="4"/>
        <v>0</v>
      </c>
      <c r="J21" s="763"/>
      <c r="K21" s="2204"/>
    </row>
    <row r="22" spans="1:12" s="801" customFormat="1" x14ac:dyDescent="0.2">
      <c r="A22" s="2247"/>
      <c r="B22" s="2242"/>
      <c r="C22" s="601">
        <v>1210</v>
      </c>
      <c r="D22" s="792">
        <v>598</v>
      </c>
      <c r="E22" s="763"/>
      <c r="F22" s="763"/>
      <c r="G22" s="763"/>
      <c r="H22" s="563">
        <f t="shared" si="4"/>
        <v>598</v>
      </c>
      <c r="I22" s="563">
        <f t="shared" si="4"/>
        <v>0</v>
      </c>
      <c r="J22" s="763"/>
      <c r="K22" s="2204"/>
    </row>
    <row r="23" spans="1:12" s="801" customFormat="1" x14ac:dyDescent="0.2">
      <c r="A23" s="2247"/>
      <c r="B23" s="2242"/>
      <c r="C23" s="601">
        <v>2121</v>
      </c>
      <c r="D23" s="792">
        <v>414</v>
      </c>
      <c r="E23" s="763"/>
      <c r="F23" s="763"/>
      <c r="G23" s="763"/>
      <c r="H23" s="563">
        <f t="shared" si="4"/>
        <v>414</v>
      </c>
      <c r="I23" s="563">
        <f t="shared" si="4"/>
        <v>0</v>
      </c>
      <c r="J23" s="763"/>
      <c r="K23" s="2204"/>
    </row>
    <row r="24" spans="1:12" s="801" customFormat="1" x14ac:dyDescent="0.2">
      <c r="A24" s="2247"/>
      <c r="B24" s="2242"/>
      <c r="C24" s="601">
        <v>2122</v>
      </c>
      <c r="D24" s="792">
        <v>159</v>
      </c>
      <c r="E24" s="763"/>
      <c r="F24" s="763"/>
      <c r="G24" s="763"/>
      <c r="H24" s="563">
        <f t="shared" si="4"/>
        <v>159</v>
      </c>
      <c r="I24" s="563">
        <f t="shared" si="4"/>
        <v>0</v>
      </c>
      <c r="J24" s="763"/>
      <c r="K24" s="2204"/>
    </row>
    <row r="25" spans="1:12" s="801" customFormat="1" x14ac:dyDescent="0.2">
      <c r="A25" s="2247"/>
      <c r="B25" s="2242"/>
      <c r="C25" s="601">
        <v>2231</v>
      </c>
      <c r="D25" s="792">
        <v>3410</v>
      </c>
      <c r="E25" s="763"/>
      <c r="F25" s="563"/>
      <c r="G25" s="763"/>
      <c r="H25" s="563">
        <f t="shared" si="4"/>
        <v>3410</v>
      </c>
      <c r="I25" s="563">
        <f t="shared" si="4"/>
        <v>0</v>
      </c>
      <c r="J25" s="563"/>
      <c r="K25" s="2204"/>
    </row>
    <row r="26" spans="1:12" s="801" customFormat="1" x14ac:dyDescent="0.2">
      <c r="A26" s="2247"/>
      <c r="B26" s="2242"/>
      <c r="C26" s="601">
        <v>2239</v>
      </c>
      <c r="D26" s="792">
        <v>90</v>
      </c>
      <c r="E26" s="763"/>
      <c r="F26" s="763"/>
      <c r="G26" s="763"/>
      <c r="H26" s="563">
        <f t="shared" si="4"/>
        <v>90</v>
      </c>
      <c r="I26" s="563">
        <f t="shared" si="4"/>
        <v>0</v>
      </c>
      <c r="J26" s="763"/>
      <c r="K26" s="2204"/>
    </row>
    <row r="27" spans="1:12" s="801" customFormat="1" x14ac:dyDescent="0.2">
      <c r="A27" s="2247"/>
      <c r="B27" s="2242"/>
      <c r="C27" s="601">
        <v>2279</v>
      </c>
      <c r="D27" s="792">
        <v>2067</v>
      </c>
      <c r="E27" s="563"/>
      <c r="F27" s="563"/>
      <c r="G27" s="563"/>
      <c r="H27" s="563">
        <f t="shared" si="4"/>
        <v>2067</v>
      </c>
      <c r="I27" s="563">
        <f t="shared" si="4"/>
        <v>0</v>
      </c>
      <c r="J27" s="563"/>
      <c r="K27" s="2204"/>
    </row>
    <row r="28" spans="1:12" s="801" customFormat="1" x14ac:dyDescent="0.2">
      <c r="A28" s="2247"/>
      <c r="B28" s="2242"/>
      <c r="C28" s="601">
        <v>2314</v>
      </c>
      <c r="D28" s="792">
        <v>1470</v>
      </c>
      <c r="E28" s="563"/>
      <c r="F28" s="563"/>
      <c r="G28" s="563"/>
      <c r="H28" s="563">
        <f t="shared" si="4"/>
        <v>1470</v>
      </c>
      <c r="I28" s="563">
        <f t="shared" si="4"/>
        <v>0</v>
      </c>
      <c r="J28" s="563"/>
      <c r="K28" s="2204"/>
    </row>
    <row r="29" spans="1:12" s="801" customFormat="1" x14ac:dyDescent="0.2">
      <c r="A29" s="2248"/>
      <c r="B29" s="2243"/>
      <c r="C29" s="601">
        <v>2341</v>
      </c>
      <c r="D29" s="792">
        <v>50</v>
      </c>
      <c r="E29" s="563"/>
      <c r="F29" s="563"/>
      <c r="G29" s="563"/>
      <c r="H29" s="563">
        <f t="shared" si="4"/>
        <v>50</v>
      </c>
      <c r="I29" s="563">
        <f t="shared" si="4"/>
        <v>0</v>
      </c>
      <c r="J29" s="563"/>
      <c r="K29" s="2204"/>
    </row>
    <row r="30" spans="1:12" s="801" customFormat="1" ht="12" customHeight="1" x14ac:dyDescent="0.2">
      <c r="A30" s="2246" t="s">
        <v>1123</v>
      </c>
      <c r="B30" s="2207" t="s">
        <v>1124</v>
      </c>
      <c r="C30" s="601"/>
      <c r="D30" s="753">
        <f t="shared" ref="D30:I30" si="5">SUM(D31:D47)</f>
        <v>0</v>
      </c>
      <c r="E30" s="753">
        <f t="shared" si="5"/>
        <v>0</v>
      </c>
      <c r="F30" s="753">
        <f t="shared" si="5"/>
        <v>23100</v>
      </c>
      <c r="G30" s="753">
        <f t="shared" si="5"/>
        <v>11170</v>
      </c>
      <c r="H30" s="753">
        <f t="shared" si="5"/>
        <v>23100</v>
      </c>
      <c r="I30" s="753">
        <f t="shared" si="5"/>
        <v>11170</v>
      </c>
      <c r="J30" s="753"/>
      <c r="K30" s="2203" t="s">
        <v>1125</v>
      </c>
    </row>
    <row r="31" spans="1:12" s="801" customFormat="1" ht="12" customHeight="1" x14ac:dyDescent="0.2">
      <c r="A31" s="2247"/>
      <c r="B31" s="2242"/>
      <c r="C31" s="601">
        <v>1150</v>
      </c>
      <c r="D31" s="792">
        <v>0</v>
      </c>
      <c r="E31" s="763"/>
      <c r="F31" s="563">
        <v>1000</v>
      </c>
      <c r="G31" s="563">
        <v>9000</v>
      </c>
      <c r="H31" s="563">
        <f t="shared" ref="H31:I47" si="6">D31+F31</f>
        <v>1000</v>
      </c>
      <c r="I31" s="563">
        <f t="shared" si="6"/>
        <v>9000</v>
      </c>
      <c r="J31" s="571" t="s">
        <v>1126</v>
      </c>
      <c r="K31" s="2204"/>
    </row>
    <row r="32" spans="1:12" s="880" customFormat="1" ht="12" customHeight="1" x14ac:dyDescent="0.2">
      <c r="A32" s="2247"/>
      <c r="B32" s="2242"/>
      <c r="C32" s="601">
        <v>1210</v>
      </c>
      <c r="D32" s="792">
        <v>0</v>
      </c>
      <c r="E32" s="763"/>
      <c r="F32" s="563">
        <v>241</v>
      </c>
      <c r="G32" s="563">
        <v>2170</v>
      </c>
      <c r="H32" s="563">
        <f t="shared" si="6"/>
        <v>241</v>
      </c>
      <c r="I32" s="563">
        <f t="shared" si="6"/>
        <v>2170</v>
      </c>
      <c r="J32" s="559" t="s">
        <v>1090</v>
      </c>
      <c r="K32" s="2204"/>
      <c r="L32" s="801"/>
    </row>
    <row r="33" spans="1:12" s="880" customFormat="1" ht="12" customHeight="1" x14ac:dyDescent="0.2">
      <c r="A33" s="2247"/>
      <c r="B33" s="2242"/>
      <c r="C33" s="601">
        <v>2111</v>
      </c>
      <c r="D33" s="792">
        <v>0</v>
      </c>
      <c r="E33" s="763"/>
      <c r="F33" s="563">
        <v>108</v>
      </c>
      <c r="G33" s="763"/>
      <c r="H33" s="563">
        <f t="shared" si="6"/>
        <v>108</v>
      </c>
      <c r="I33" s="563"/>
      <c r="J33" s="563" t="s">
        <v>1091</v>
      </c>
      <c r="K33" s="2204"/>
      <c r="L33" s="801"/>
    </row>
    <row r="34" spans="1:12" s="880" customFormat="1" ht="12" customHeight="1" x14ac:dyDescent="0.2">
      <c r="A34" s="2247"/>
      <c r="B34" s="2242"/>
      <c r="C34" s="601">
        <v>2112</v>
      </c>
      <c r="D34" s="792">
        <v>0</v>
      </c>
      <c r="E34" s="763"/>
      <c r="F34" s="563">
        <v>150</v>
      </c>
      <c r="G34" s="763"/>
      <c r="H34" s="563">
        <f t="shared" si="6"/>
        <v>150</v>
      </c>
      <c r="I34" s="563"/>
      <c r="J34" s="563" t="s">
        <v>1092</v>
      </c>
      <c r="K34" s="2204"/>
      <c r="L34" s="801"/>
    </row>
    <row r="35" spans="1:12" s="880" customFormat="1" ht="12" customHeight="1" x14ac:dyDescent="0.2">
      <c r="A35" s="2247"/>
      <c r="B35" s="2242"/>
      <c r="C35" s="601">
        <v>2121</v>
      </c>
      <c r="D35" s="792">
        <v>0</v>
      </c>
      <c r="E35" s="763"/>
      <c r="F35" s="563">
        <v>522</v>
      </c>
      <c r="G35" s="763"/>
      <c r="H35" s="563">
        <f t="shared" si="6"/>
        <v>522</v>
      </c>
      <c r="I35" s="563">
        <f t="shared" si="6"/>
        <v>0</v>
      </c>
      <c r="J35" s="563" t="s">
        <v>1093</v>
      </c>
      <c r="K35" s="2204"/>
    </row>
    <row r="36" spans="1:12" s="880" customFormat="1" ht="12" customHeight="1" x14ac:dyDescent="0.2">
      <c r="A36" s="2247"/>
      <c r="B36" s="2242"/>
      <c r="C36" s="601">
        <v>2122</v>
      </c>
      <c r="D36" s="792">
        <v>0</v>
      </c>
      <c r="E36" s="763"/>
      <c r="F36" s="563">
        <v>225</v>
      </c>
      <c r="G36" s="763"/>
      <c r="H36" s="563">
        <f t="shared" si="6"/>
        <v>225</v>
      </c>
      <c r="I36" s="563">
        <f t="shared" si="6"/>
        <v>0</v>
      </c>
      <c r="J36" s="563" t="s">
        <v>1094</v>
      </c>
      <c r="K36" s="2204"/>
    </row>
    <row r="37" spans="1:12" s="880" customFormat="1" ht="12" customHeight="1" x14ac:dyDescent="0.2">
      <c r="A37" s="2247"/>
      <c r="B37" s="2242"/>
      <c r="C37" s="601">
        <v>2239</v>
      </c>
      <c r="D37" s="792">
        <v>0</v>
      </c>
      <c r="E37" s="763"/>
      <c r="F37" s="563">
        <v>147</v>
      </c>
      <c r="G37" s="763"/>
      <c r="H37" s="563">
        <f t="shared" si="6"/>
        <v>147</v>
      </c>
      <c r="I37" s="563">
        <f t="shared" si="6"/>
        <v>0</v>
      </c>
      <c r="J37" s="563" t="s">
        <v>1095</v>
      </c>
      <c r="K37" s="2204"/>
    </row>
    <row r="38" spans="1:12" s="880" customFormat="1" ht="12" customHeight="1" x14ac:dyDescent="0.2">
      <c r="A38" s="2247"/>
      <c r="B38" s="2242"/>
      <c r="C38" s="601">
        <v>2261</v>
      </c>
      <c r="D38" s="792">
        <v>0</v>
      </c>
      <c r="E38" s="763"/>
      <c r="F38" s="563">
        <v>1600</v>
      </c>
      <c r="G38" s="763"/>
      <c r="H38" s="563">
        <f t="shared" si="6"/>
        <v>1600</v>
      </c>
      <c r="I38" s="563"/>
      <c r="J38" s="563" t="s">
        <v>1096</v>
      </c>
      <c r="K38" s="2204"/>
    </row>
    <row r="39" spans="1:12" s="880" customFormat="1" ht="12" customHeight="1" x14ac:dyDescent="0.2">
      <c r="A39" s="2247"/>
      <c r="B39" s="2242"/>
      <c r="C39" s="601">
        <v>2262</v>
      </c>
      <c r="D39" s="792">
        <v>0</v>
      </c>
      <c r="E39" s="763"/>
      <c r="F39" s="563">
        <v>3812</v>
      </c>
      <c r="G39" s="763"/>
      <c r="H39" s="563">
        <f t="shared" si="6"/>
        <v>3812</v>
      </c>
      <c r="I39" s="563"/>
      <c r="J39" s="563" t="s">
        <v>1097</v>
      </c>
      <c r="K39" s="2204"/>
    </row>
    <row r="40" spans="1:12" s="880" customFormat="1" ht="12" customHeight="1" x14ac:dyDescent="0.2">
      <c r="A40" s="2247"/>
      <c r="B40" s="2242"/>
      <c r="C40" s="601">
        <v>2279</v>
      </c>
      <c r="D40" s="792">
        <v>0</v>
      </c>
      <c r="E40" s="563"/>
      <c r="F40" s="563">
        <v>2200</v>
      </c>
      <c r="G40" s="563"/>
      <c r="H40" s="563">
        <f t="shared" si="6"/>
        <v>2200</v>
      </c>
      <c r="I40" s="563">
        <f t="shared" si="6"/>
        <v>0</v>
      </c>
      <c r="J40" s="563" t="s">
        <v>1098</v>
      </c>
      <c r="K40" s="2204"/>
    </row>
    <row r="41" spans="1:12" s="880" customFormat="1" ht="12" customHeight="1" x14ac:dyDescent="0.2">
      <c r="A41" s="2247"/>
      <c r="B41" s="2242"/>
      <c r="C41" s="601">
        <v>2312</v>
      </c>
      <c r="D41" s="792">
        <v>0</v>
      </c>
      <c r="E41" s="563"/>
      <c r="F41" s="563">
        <v>1000</v>
      </c>
      <c r="G41" s="563"/>
      <c r="H41" s="563">
        <f t="shared" si="6"/>
        <v>1000</v>
      </c>
      <c r="I41" s="563"/>
      <c r="J41" s="563" t="s">
        <v>1099</v>
      </c>
      <c r="K41" s="2204"/>
    </row>
    <row r="42" spans="1:12" s="880" customFormat="1" ht="12" customHeight="1" x14ac:dyDescent="0.2">
      <c r="A42" s="2247"/>
      <c r="B42" s="2242"/>
      <c r="C42" s="601">
        <v>2314</v>
      </c>
      <c r="D42" s="792">
        <v>0</v>
      </c>
      <c r="E42" s="563"/>
      <c r="F42" s="563">
        <v>1000</v>
      </c>
      <c r="G42" s="563"/>
      <c r="H42" s="563">
        <f t="shared" si="6"/>
        <v>1000</v>
      </c>
      <c r="I42" s="563">
        <f t="shared" si="6"/>
        <v>0</v>
      </c>
      <c r="J42" s="563" t="s">
        <v>1100</v>
      </c>
      <c r="K42" s="2204"/>
    </row>
    <row r="43" spans="1:12" s="880" customFormat="1" ht="12" customHeight="1" x14ac:dyDescent="0.2">
      <c r="A43" s="2247"/>
      <c r="B43" s="2242"/>
      <c r="C43" s="601">
        <v>2341</v>
      </c>
      <c r="D43" s="792">
        <v>0</v>
      </c>
      <c r="E43" s="563"/>
      <c r="F43" s="563">
        <v>700</v>
      </c>
      <c r="G43" s="563"/>
      <c r="H43" s="563">
        <f t="shared" si="6"/>
        <v>700</v>
      </c>
      <c r="I43" s="563"/>
      <c r="J43" s="563" t="s">
        <v>1101</v>
      </c>
      <c r="K43" s="2204"/>
    </row>
    <row r="44" spans="1:12" s="880" customFormat="1" ht="12" customHeight="1" x14ac:dyDescent="0.2">
      <c r="A44" s="2247"/>
      <c r="B44" s="2242"/>
      <c r="C44" s="601">
        <v>2361</v>
      </c>
      <c r="D44" s="792">
        <v>0</v>
      </c>
      <c r="E44" s="563"/>
      <c r="F44" s="563">
        <v>6275</v>
      </c>
      <c r="G44" s="563"/>
      <c r="H44" s="563">
        <f t="shared" si="6"/>
        <v>6275</v>
      </c>
      <c r="I44" s="563"/>
      <c r="J44" s="563" t="s">
        <v>1102</v>
      </c>
      <c r="K44" s="2204"/>
    </row>
    <row r="45" spans="1:12" s="880" customFormat="1" ht="12" customHeight="1" x14ac:dyDescent="0.2">
      <c r="A45" s="2247"/>
      <c r="B45" s="2242"/>
      <c r="C45" s="601">
        <v>2363</v>
      </c>
      <c r="D45" s="792">
        <v>0</v>
      </c>
      <c r="E45" s="563"/>
      <c r="F45" s="563">
        <v>2320</v>
      </c>
      <c r="G45" s="563"/>
      <c r="H45" s="563">
        <f t="shared" si="6"/>
        <v>2320</v>
      </c>
      <c r="I45" s="563">
        <f t="shared" si="6"/>
        <v>0</v>
      </c>
      <c r="J45" s="563" t="s">
        <v>1103</v>
      </c>
      <c r="K45" s="2204"/>
    </row>
    <row r="46" spans="1:12" s="880" customFormat="1" ht="12" customHeight="1" x14ac:dyDescent="0.2">
      <c r="A46" s="2247"/>
      <c r="B46" s="2242"/>
      <c r="C46" s="601">
        <v>2370</v>
      </c>
      <c r="D46" s="792">
        <v>0</v>
      </c>
      <c r="E46" s="563"/>
      <c r="F46" s="563">
        <v>800</v>
      </c>
      <c r="G46" s="563"/>
      <c r="H46" s="563">
        <f t="shared" si="6"/>
        <v>800</v>
      </c>
      <c r="I46" s="563">
        <f t="shared" si="6"/>
        <v>0</v>
      </c>
      <c r="J46" s="563" t="s">
        <v>1104</v>
      </c>
      <c r="K46" s="2204"/>
    </row>
    <row r="47" spans="1:12" s="880" customFormat="1" ht="12" customHeight="1" x14ac:dyDescent="0.2">
      <c r="A47" s="2248"/>
      <c r="B47" s="2243"/>
      <c r="C47" s="601">
        <v>5238</v>
      </c>
      <c r="D47" s="792">
        <v>0</v>
      </c>
      <c r="E47" s="563"/>
      <c r="F47" s="563">
        <v>1000</v>
      </c>
      <c r="G47" s="563"/>
      <c r="H47" s="563">
        <f t="shared" si="6"/>
        <v>1000</v>
      </c>
      <c r="I47" s="563">
        <f t="shared" si="6"/>
        <v>0</v>
      </c>
      <c r="J47" s="563" t="s">
        <v>1127</v>
      </c>
      <c r="K47" s="2204"/>
    </row>
    <row r="48" spans="1:12" s="880" customFormat="1" x14ac:dyDescent="0.2">
      <c r="A48" s="2249">
        <v>1.2</v>
      </c>
      <c r="B48" s="2162" t="s">
        <v>1128</v>
      </c>
      <c r="C48" s="601"/>
      <c r="D48" s="753">
        <f>SUM(D49:D51)</f>
        <v>2325</v>
      </c>
      <c r="E48" s="753">
        <f t="shared" ref="E48:I48" si="7">SUM(E49:E51)</f>
        <v>0</v>
      </c>
      <c r="F48" s="753">
        <f t="shared" si="7"/>
        <v>0</v>
      </c>
      <c r="G48" s="753">
        <f t="shared" si="7"/>
        <v>0</v>
      </c>
      <c r="H48" s="753">
        <f t="shared" si="7"/>
        <v>2325</v>
      </c>
      <c r="I48" s="753">
        <f t="shared" si="7"/>
        <v>0</v>
      </c>
      <c r="J48" s="753"/>
      <c r="K48" s="2156" t="s">
        <v>1129</v>
      </c>
    </row>
    <row r="49" spans="1:14" s="880" customFormat="1" x14ac:dyDescent="0.2">
      <c r="A49" s="2249"/>
      <c r="B49" s="2162"/>
      <c r="C49" s="601">
        <v>2341</v>
      </c>
      <c r="D49" s="792">
        <v>100</v>
      </c>
      <c r="E49" s="563"/>
      <c r="F49" s="563"/>
      <c r="G49" s="563"/>
      <c r="H49" s="563">
        <f t="shared" ref="H49:I51" si="8">D49+F49</f>
        <v>100</v>
      </c>
      <c r="I49" s="563">
        <f t="shared" si="8"/>
        <v>0</v>
      </c>
      <c r="J49" s="563"/>
      <c r="K49" s="2157"/>
    </row>
    <row r="50" spans="1:14" s="880" customFormat="1" x14ac:dyDescent="0.2">
      <c r="A50" s="2249"/>
      <c r="B50" s="2162"/>
      <c r="C50" s="601">
        <v>2361</v>
      </c>
      <c r="D50" s="792">
        <v>1125</v>
      </c>
      <c r="E50" s="881"/>
      <c r="F50" s="881"/>
      <c r="G50" s="881"/>
      <c r="H50" s="563">
        <f t="shared" si="8"/>
        <v>1125</v>
      </c>
      <c r="I50" s="563">
        <f t="shared" si="8"/>
        <v>0</v>
      </c>
      <c r="J50" s="881"/>
      <c r="K50" s="2157"/>
    </row>
    <row r="51" spans="1:14" s="880" customFormat="1" x14ac:dyDescent="0.2">
      <c r="A51" s="2249"/>
      <c r="B51" s="2162"/>
      <c r="C51" s="596">
        <v>2370</v>
      </c>
      <c r="D51" s="879">
        <v>1100</v>
      </c>
      <c r="E51" s="882"/>
      <c r="F51" s="879"/>
      <c r="G51" s="882"/>
      <c r="H51" s="598">
        <f t="shared" si="8"/>
        <v>1100</v>
      </c>
      <c r="I51" s="598">
        <f t="shared" si="8"/>
        <v>0</v>
      </c>
      <c r="J51" s="879"/>
      <c r="K51" s="2244"/>
      <c r="N51" s="883"/>
    </row>
    <row r="52" spans="1:14" s="880" customFormat="1" x14ac:dyDescent="0.2">
      <c r="A52" s="752" t="s">
        <v>905</v>
      </c>
      <c r="B52" s="884" t="s">
        <v>1130</v>
      </c>
      <c r="C52" s="881"/>
      <c r="D52" s="753">
        <f>D53+D55</f>
        <v>16643</v>
      </c>
      <c r="E52" s="753">
        <f t="shared" ref="E52:I52" si="9">E53+E55</f>
        <v>0</v>
      </c>
      <c r="F52" s="753">
        <f t="shared" si="9"/>
        <v>0</v>
      </c>
      <c r="G52" s="753">
        <f t="shared" si="9"/>
        <v>0</v>
      </c>
      <c r="H52" s="753">
        <f t="shared" si="9"/>
        <v>16643</v>
      </c>
      <c r="I52" s="753">
        <f t="shared" si="9"/>
        <v>0</v>
      </c>
      <c r="J52" s="753"/>
      <c r="K52" s="876"/>
    </row>
    <row r="53" spans="1:14" s="880" customFormat="1" x14ac:dyDescent="0.2">
      <c r="A53" s="2245" t="s">
        <v>1131</v>
      </c>
      <c r="B53" s="2061" t="s">
        <v>1132</v>
      </c>
      <c r="C53" s="601"/>
      <c r="D53" s="753">
        <f>SUM(D54:D54)</f>
        <v>3500</v>
      </c>
      <c r="E53" s="753">
        <f t="shared" ref="E53:I53" si="10">SUM(E54:E54)</f>
        <v>0</v>
      </c>
      <c r="F53" s="753">
        <f t="shared" si="10"/>
        <v>0</v>
      </c>
      <c r="G53" s="753">
        <f t="shared" si="10"/>
        <v>0</v>
      </c>
      <c r="H53" s="753">
        <f t="shared" si="10"/>
        <v>3500</v>
      </c>
      <c r="I53" s="753">
        <f t="shared" si="10"/>
        <v>0</v>
      </c>
      <c r="J53" s="753"/>
      <c r="K53" s="2216" t="s">
        <v>1133</v>
      </c>
    </row>
    <row r="54" spans="1:14" s="880" customFormat="1" x14ac:dyDescent="0.2">
      <c r="A54" s="2245"/>
      <c r="B54" s="2061"/>
      <c r="C54" s="601">
        <v>2363</v>
      </c>
      <c r="D54" s="792">
        <v>3500</v>
      </c>
      <c r="E54" s="792"/>
      <c r="F54" s="792"/>
      <c r="G54" s="792"/>
      <c r="H54" s="563">
        <f>D54+F54</f>
        <v>3500</v>
      </c>
      <c r="I54" s="563">
        <f>E54+G54</f>
        <v>0</v>
      </c>
      <c r="J54" s="792"/>
      <c r="K54" s="2218"/>
    </row>
    <row r="55" spans="1:14" s="801" customFormat="1" x14ac:dyDescent="0.2">
      <c r="A55" s="2245" t="s">
        <v>1134</v>
      </c>
      <c r="B55" s="2061" t="s">
        <v>1135</v>
      </c>
      <c r="C55" s="601"/>
      <c r="D55" s="753">
        <f>SUM(D56:D61)</f>
        <v>13143</v>
      </c>
      <c r="E55" s="753">
        <f t="shared" ref="E55:I55" si="11">SUM(E56:E61)</f>
        <v>0</v>
      </c>
      <c r="F55" s="753">
        <f t="shared" si="11"/>
        <v>0</v>
      </c>
      <c r="G55" s="753">
        <f t="shared" si="11"/>
        <v>0</v>
      </c>
      <c r="H55" s="753">
        <f t="shared" si="11"/>
        <v>13143</v>
      </c>
      <c r="I55" s="753">
        <f t="shared" si="11"/>
        <v>0</v>
      </c>
      <c r="J55" s="753"/>
      <c r="K55" s="2216" t="s">
        <v>1133</v>
      </c>
      <c r="L55" s="880"/>
    </row>
    <row r="56" spans="1:14" s="801" customFormat="1" x14ac:dyDescent="0.2">
      <c r="A56" s="2245"/>
      <c r="B56" s="2061"/>
      <c r="C56" s="601">
        <v>2111</v>
      </c>
      <c r="D56" s="792">
        <v>360</v>
      </c>
      <c r="E56" s="753"/>
      <c r="F56" s="792"/>
      <c r="G56" s="753"/>
      <c r="H56" s="563">
        <f t="shared" ref="H56:I61" si="12">D56+F56</f>
        <v>360</v>
      </c>
      <c r="I56" s="563">
        <f t="shared" si="12"/>
        <v>0</v>
      </c>
      <c r="J56" s="753"/>
      <c r="K56" s="2217"/>
    </row>
    <row r="57" spans="1:14" s="801" customFormat="1" x14ac:dyDescent="0.2">
      <c r="A57" s="2245"/>
      <c r="B57" s="2061"/>
      <c r="C57" s="596">
        <v>2261</v>
      </c>
      <c r="D57" s="879">
        <v>5920</v>
      </c>
      <c r="E57" s="885"/>
      <c r="F57" s="879"/>
      <c r="G57" s="885"/>
      <c r="H57" s="598">
        <f t="shared" si="12"/>
        <v>5920</v>
      </c>
      <c r="I57" s="598">
        <f t="shared" si="12"/>
        <v>0</v>
      </c>
      <c r="J57" s="879"/>
      <c r="K57" s="2217"/>
    </row>
    <row r="58" spans="1:14" s="801" customFormat="1" x14ac:dyDescent="0.2">
      <c r="A58" s="2245"/>
      <c r="B58" s="2061"/>
      <c r="C58" s="596">
        <v>2262</v>
      </c>
      <c r="D58" s="879">
        <v>1200</v>
      </c>
      <c r="E58" s="885"/>
      <c r="F58" s="879"/>
      <c r="G58" s="885"/>
      <c r="H58" s="598">
        <f t="shared" si="12"/>
        <v>1200</v>
      </c>
      <c r="I58" s="598">
        <f t="shared" si="12"/>
        <v>0</v>
      </c>
      <c r="J58" s="879"/>
      <c r="K58" s="2217"/>
    </row>
    <row r="59" spans="1:14" s="801" customFormat="1" x14ac:dyDescent="0.2">
      <c r="A59" s="2245"/>
      <c r="B59" s="2061"/>
      <c r="C59" s="601">
        <v>2279</v>
      </c>
      <c r="D59" s="792">
        <v>333</v>
      </c>
      <c r="E59" s="753"/>
      <c r="F59" s="792"/>
      <c r="G59" s="753"/>
      <c r="H59" s="563">
        <f t="shared" si="12"/>
        <v>333</v>
      </c>
      <c r="I59" s="563">
        <f t="shared" si="12"/>
        <v>0</v>
      </c>
      <c r="J59" s="753"/>
      <c r="K59" s="2217"/>
    </row>
    <row r="60" spans="1:14" s="801" customFormat="1" x14ac:dyDescent="0.2">
      <c r="A60" s="2245"/>
      <c r="B60" s="2061"/>
      <c r="C60" s="601">
        <v>2341</v>
      </c>
      <c r="D60" s="792">
        <v>150</v>
      </c>
      <c r="E60" s="753"/>
      <c r="F60" s="753"/>
      <c r="G60" s="753"/>
      <c r="H60" s="563">
        <f t="shared" si="12"/>
        <v>150</v>
      </c>
      <c r="I60" s="563">
        <f t="shared" si="12"/>
        <v>0</v>
      </c>
      <c r="J60" s="753"/>
      <c r="K60" s="2217"/>
    </row>
    <row r="61" spans="1:14" s="801" customFormat="1" x14ac:dyDescent="0.2">
      <c r="A61" s="2245"/>
      <c r="B61" s="2061"/>
      <c r="C61" s="596">
        <v>2363</v>
      </c>
      <c r="D61" s="879">
        <v>5180</v>
      </c>
      <c r="E61" s="879"/>
      <c r="F61" s="879"/>
      <c r="G61" s="879"/>
      <c r="H61" s="598">
        <f t="shared" si="12"/>
        <v>5180</v>
      </c>
      <c r="I61" s="598">
        <f t="shared" si="12"/>
        <v>0</v>
      </c>
      <c r="J61" s="879"/>
      <c r="K61" s="2218"/>
    </row>
    <row r="62" spans="1:14" s="801" customFormat="1" x14ac:dyDescent="0.2">
      <c r="A62" s="886">
        <v>2</v>
      </c>
      <c r="B62" s="887" t="s">
        <v>1136</v>
      </c>
      <c r="C62" s="751"/>
      <c r="D62" s="749">
        <f>D64+D74+D78+D68</f>
        <v>21186</v>
      </c>
      <c r="E62" s="749">
        <f t="shared" ref="E62:I62" si="13">E64+E74+E78</f>
        <v>0</v>
      </c>
      <c r="F62" s="749">
        <f t="shared" si="13"/>
        <v>0</v>
      </c>
      <c r="G62" s="749">
        <f t="shared" si="13"/>
        <v>0</v>
      </c>
      <c r="H62" s="749">
        <f>H63+H74+H78</f>
        <v>21186</v>
      </c>
      <c r="I62" s="749">
        <f t="shared" si="13"/>
        <v>0</v>
      </c>
      <c r="J62" s="749"/>
      <c r="K62" s="876"/>
    </row>
    <row r="63" spans="1:14" s="801" customFormat="1" x14ac:dyDescent="0.2">
      <c r="A63" s="886" t="s">
        <v>911</v>
      </c>
      <c r="B63" s="887" t="s">
        <v>1137</v>
      </c>
      <c r="C63" s="751"/>
      <c r="D63" s="749">
        <f>SUM(D64+D68)</f>
        <v>4895</v>
      </c>
      <c r="E63" s="749"/>
      <c r="F63" s="749"/>
      <c r="G63" s="749"/>
      <c r="H63" s="749">
        <f>H64+H68</f>
        <v>4895</v>
      </c>
      <c r="I63" s="749"/>
      <c r="J63" s="749"/>
      <c r="K63" s="876"/>
    </row>
    <row r="64" spans="1:14" s="801" customFormat="1" x14ac:dyDescent="0.2">
      <c r="A64" s="2075" t="s">
        <v>1138</v>
      </c>
      <c r="B64" s="2061" t="s">
        <v>1139</v>
      </c>
      <c r="C64" s="601"/>
      <c r="D64" s="753">
        <f>SUM(D65:D67)</f>
        <v>3680</v>
      </c>
      <c r="E64" s="753">
        <f t="shared" ref="E64:I64" si="14">SUM(E65:E67)</f>
        <v>0</v>
      </c>
      <c r="F64" s="753">
        <f t="shared" si="14"/>
        <v>0</v>
      </c>
      <c r="G64" s="753">
        <f t="shared" si="14"/>
        <v>0</v>
      </c>
      <c r="H64" s="753">
        <f t="shared" si="14"/>
        <v>3680</v>
      </c>
      <c r="I64" s="753">
        <f t="shared" si="14"/>
        <v>0</v>
      </c>
      <c r="J64" s="753"/>
      <c r="K64" s="754"/>
    </row>
    <row r="65" spans="1:11" s="801" customFormat="1" x14ac:dyDescent="0.2">
      <c r="A65" s="2075"/>
      <c r="B65" s="2061"/>
      <c r="C65" s="601">
        <v>2261</v>
      </c>
      <c r="D65" s="792">
        <v>960</v>
      </c>
      <c r="E65" s="563"/>
      <c r="F65" s="563"/>
      <c r="G65" s="563"/>
      <c r="H65" s="563">
        <f t="shared" ref="H65:I67" si="15">D65+F65</f>
        <v>960</v>
      </c>
      <c r="I65" s="563">
        <f t="shared" si="15"/>
        <v>0</v>
      </c>
      <c r="J65" s="563"/>
      <c r="K65" s="2141" t="s">
        <v>1119</v>
      </c>
    </row>
    <row r="66" spans="1:11" s="801" customFormat="1" x14ac:dyDescent="0.2">
      <c r="A66" s="2075"/>
      <c r="B66" s="2061"/>
      <c r="C66" s="601">
        <v>2279</v>
      </c>
      <c r="D66" s="792">
        <v>1600</v>
      </c>
      <c r="E66" s="563"/>
      <c r="F66" s="563"/>
      <c r="G66" s="563"/>
      <c r="H66" s="563">
        <f t="shared" si="15"/>
        <v>1600</v>
      </c>
      <c r="I66" s="563">
        <f t="shared" si="15"/>
        <v>0</v>
      </c>
      <c r="J66" s="563"/>
      <c r="K66" s="2141"/>
    </row>
    <row r="67" spans="1:11" s="801" customFormat="1" x14ac:dyDescent="0.2">
      <c r="A67" s="2075"/>
      <c r="B67" s="2061"/>
      <c r="C67" s="601">
        <v>2363</v>
      </c>
      <c r="D67" s="792">
        <v>1120</v>
      </c>
      <c r="E67" s="563"/>
      <c r="F67" s="563"/>
      <c r="G67" s="563"/>
      <c r="H67" s="563">
        <f t="shared" si="15"/>
        <v>1120</v>
      </c>
      <c r="I67" s="563">
        <f t="shared" si="15"/>
        <v>0</v>
      </c>
      <c r="J67" s="563"/>
      <c r="K67" s="2141"/>
    </row>
    <row r="68" spans="1:11" s="801" customFormat="1" x14ac:dyDescent="0.2">
      <c r="A68" s="2194" t="s">
        <v>1140</v>
      </c>
      <c r="B68" s="2207" t="s">
        <v>1141</v>
      </c>
      <c r="C68" s="601"/>
      <c r="D68" s="753">
        <f>SUM(D69:D73)</f>
        <v>1215</v>
      </c>
      <c r="E68" s="563"/>
      <c r="F68" s="563"/>
      <c r="G68" s="563"/>
      <c r="H68" s="763">
        <f>SUM(H69:H73)</f>
        <v>1215</v>
      </c>
      <c r="I68" s="563"/>
      <c r="J68" s="563"/>
      <c r="K68" s="2156" t="s">
        <v>1122</v>
      </c>
    </row>
    <row r="69" spans="1:11" s="801" customFormat="1" x14ac:dyDescent="0.2">
      <c r="A69" s="2195"/>
      <c r="B69" s="2242"/>
      <c r="C69" s="601">
        <v>2121</v>
      </c>
      <c r="D69" s="792">
        <v>145</v>
      </c>
      <c r="E69" s="563"/>
      <c r="F69" s="563"/>
      <c r="G69" s="563"/>
      <c r="H69" s="563">
        <f>D69+F69</f>
        <v>145</v>
      </c>
      <c r="I69" s="563"/>
      <c r="J69" s="563"/>
      <c r="K69" s="2157"/>
    </row>
    <row r="70" spans="1:11" s="801" customFormat="1" x14ac:dyDescent="0.2">
      <c r="A70" s="2195"/>
      <c r="B70" s="2242"/>
      <c r="C70" s="601">
        <v>2122</v>
      </c>
      <c r="D70" s="792">
        <v>160</v>
      </c>
      <c r="E70" s="563"/>
      <c r="F70" s="563"/>
      <c r="G70" s="563"/>
      <c r="H70" s="563">
        <f>D70+F70</f>
        <v>160</v>
      </c>
      <c r="I70" s="563"/>
      <c r="J70" s="563"/>
      <c r="K70" s="2157"/>
    </row>
    <row r="71" spans="1:11" s="801" customFormat="1" x14ac:dyDescent="0.2">
      <c r="A71" s="2195"/>
      <c r="B71" s="2242"/>
      <c r="C71" s="601">
        <v>2261</v>
      </c>
      <c r="D71" s="792">
        <v>360</v>
      </c>
      <c r="E71" s="563"/>
      <c r="F71" s="563"/>
      <c r="G71" s="563"/>
      <c r="H71" s="563">
        <f>D71+F71</f>
        <v>360</v>
      </c>
      <c r="I71" s="563"/>
      <c r="J71" s="563"/>
      <c r="K71" s="2157"/>
    </row>
    <row r="72" spans="1:11" s="801" customFormat="1" x14ac:dyDescent="0.2">
      <c r="A72" s="2195"/>
      <c r="B72" s="2242"/>
      <c r="C72" s="601">
        <v>2279</v>
      </c>
      <c r="D72" s="792">
        <v>300</v>
      </c>
      <c r="E72" s="563"/>
      <c r="F72" s="563"/>
      <c r="G72" s="563"/>
      <c r="H72" s="563">
        <f>D72+F72</f>
        <v>300</v>
      </c>
      <c r="I72" s="563"/>
      <c r="J72" s="563"/>
      <c r="K72" s="2157"/>
    </row>
    <row r="73" spans="1:11" s="801" customFormat="1" x14ac:dyDescent="0.2">
      <c r="A73" s="2196"/>
      <c r="B73" s="2243"/>
      <c r="C73" s="601">
        <v>2363</v>
      </c>
      <c r="D73" s="792">
        <v>250</v>
      </c>
      <c r="E73" s="563"/>
      <c r="F73" s="563"/>
      <c r="G73" s="563"/>
      <c r="H73" s="563">
        <f>D73+F73</f>
        <v>250</v>
      </c>
      <c r="I73" s="563"/>
      <c r="J73" s="563"/>
      <c r="K73" s="2244"/>
    </row>
    <row r="74" spans="1:11" s="801" customFormat="1" x14ac:dyDescent="0.2">
      <c r="A74" s="2214">
        <v>2.2000000000000002</v>
      </c>
      <c r="B74" s="2162" t="s">
        <v>1142</v>
      </c>
      <c r="C74" s="601"/>
      <c r="D74" s="763">
        <f>SUM(D75:D77)</f>
        <v>14805</v>
      </c>
      <c r="E74" s="763">
        <f t="shared" ref="E74:I74" si="16">SUM(E75:E77)</f>
        <v>0</v>
      </c>
      <c r="F74" s="763">
        <f t="shared" si="16"/>
        <v>0</v>
      </c>
      <c r="G74" s="763">
        <f t="shared" si="16"/>
        <v>0</v>
      </c>
      <c r="H74" s="763">
        <f t="shared" si="16"/>
        <v>14805</v>
      </c>
      <c r="I74" s="763">
        <f t="shared" si="16"/>
        <v>0</v>
      </c>
      <c r="J74" s="763"/>
      <c r="K74" s="2213" t="s">
        <v>1143</v>
      </c>
    </row>
    <row r="75" spans="1:11" s="801" customFormat="1" x14ac:dyDescent="0.2">
      <c r="A75" s="2214"/>
      <c r="B75" s="2162"/>
      <c r="C75" s="601">
        <v>2312</v>
      </c>
      <c r="D75" s="792">
        <v>280</v>
      </c>
      <c r="E75" s="763"/>
      <c r="F75" s="763"/>
      <c r="G75" s="763"/>
      <c r="H75" s="563">
        <f t="shared" ref="H75:I77" si="17">D75+F75</f>
        <v>280</v>
      </c>
      <c r="I75" s="563">
        <f t="shared" si="17"/>
        <v>0</v>
      </c>
      <c r="J75" s="763"/>
      <c r="K75" s="2213"/>
    </row>
    <row r="76" spans="1:11" s="801" customFormat="1" x14ac:dyDescent="0.2">
      <c r="A76" s="2214"/>
      <c r="B76" s="2162"/>
      <c r="C76" s="601">
        <v>2341</v>
      </c>
      <c r="D76" s="792">
        <v>25</v>
      </c>
      <c r="E76" s="563"/>
      <c r="F76" s="563"/>
      <c r="G76" s="563"/>
      <c r="H76" s="563">
        <f t="shared" si="17"/>
        <v>25</v>
      </c>
      <c r="I76" s="563">
        <f t="shared" si="17"/>
        <v>0</v>
      </c>
      <c r="J76" s="563"/>
      <c r="K76" s="2213"/>
    </row>
    <row r="77" spans="1:11" s="801" customFormat="1" x14ac:dyDescent="0.2">
      <c r="A77" s="2214"/>
      <c r="B77" s="2162"/>
      <c r="C77" s="601">
        <v>5239</v>
      </c>
      <c r="D77" s="792">
        <v>14500</v>
      </c>
      <c r="E77" s="881"/>
      <c r="F77" s="881"/>
      <c r="G77" s="881"/>
      <c r="H77" s="563">
        <f t="shared" si="17"/>
        <v>14500</v>
      </c>
      <c r="I77" s="563">
        <f t="shared" si="17"/>
        <v>0</v>
      </c>
      <c r="J77" s="881"/>
      <c r="K77" s="2213"/>
    </row>
    <row r="78" spans="1:11" s="801" customFormat="1" x14ac:dyDescent="0.2">
      <c r="A78" s="2241">
        <v>2.2999999999999998</v>
      </c>
      <c r="B78" s="2215" t="s">
        <v>1144</v>
      </c>
      <c r="C78" s="881"/>
      <c r="D78" s="753">
        <f>SUM(D79:D81)</f>
        <v>1486</v>
      </c>
      <c r="E78" s="753">
        <f t="shared" ref="E78:I78" si="18">SUM(E79:E81)</f>
        <v>0</v>
      </c>
      <c r="F78" s="753">
        <f t="shared" si="18"/>
        <v>0</v>
      </c>
      <c r="G78" s="753">
        <f t="shared" si="18"/>
        <v>0</v>
      </c>
      <c r="H78" s="753">
        <f t="shared" si="18"/>
        <v>1486</v>
      </c>
      <c r="I78" s="753">
        <f t="shared" si="18"/>
        <v>0</v>
      </c>
      <c r="J78" s="753"/>
      <c r="K78" s="2213" t="s">
        <v>1129</v>
      </c>
    </row>
    <row r="79" spans="1:11" s="801" customFormat="1" x14ac:dyDescent="0.2">
      <c r="A79" s="2241"/>
      <c r="B79" s="2215"/>
      <c r="C79" s="601">
        <v>2242</v>
      </c>
      <c r="D79" s="792">
        <v>120</v>
      </c>
      <c r="E79" s="881"/>
      <c r="F79" s="881"/>
      <c r="G79" s="881"/>
      <c r="H79" s="563">
        <f t="shared" ref="H79:I81" si="19">D79+F79</f>
        <v>120</v>
      </c>
      <c r="I79" s="563">
        <f t="shared" si="19"/>
        <v>0</v>
      </c>
      <c r="J79" s="881"/>
      <c r="K79" s="2213"/>
    </row>
    <row r="80" spans="1:11" s="801" customFormat="1" x14ac:dyDescent="0.2">
      <c r="A80" s="2241"/>
      <c r="B80" s="2215"/>
      <c r="C80" s="601">
        <v>2322</v>
      </c>
      <c r="D80" s="792">
        <v>1200</v>
      </c>
      <c r="E80" s="881"/>
      <c r="F80" s="881"/>
      <c r="G80" s="881"/>
      <c r="H80" s="563">
        <f t="shared" si="19"/>
        <v>1200</v>
      </c>
      <c r="I80" s="563">
        <f t="shared" si="19"/>
        <v>0</v>
      </c>
      <c r="J80" s="881"/>
      <c r="K80" s="2213"/>
    </row>
    <row r="81" spans="1:11" s="801" customFormat="1" x14ac:dyDescent="0.2">
      <c r="A81" s="2241"/>
      <c r="B81" s="2215"/>
      <c r="C81" s="601">
        <v>2354</v>
      </c>
      <c r="D81" s="792">
        <v>166</v>
      </c>
      <c r="E81" s="881"/>
      <c r="F81" s="881"/>
      <c r="G81" s="881"/>
      <c r="H81" s="563">
        <f t="shared" si="19"/>
        <v>166</v>
      </c>
      <c r="I81" s="563">
        <f t="shared" si="19"/>
        <v>0</v>
      </c>
      <c r="J81" s="881"/>
      <c r="K81" s="2213"/>
    </row>
    <row r="82" spans="1:11" s="801" customFormat="1" x14ac:dyDescent="0.2">
      <c r="A82" s="888">
        <v>3</v>
      </c>
      <c r="B82" s="889" t="s">
        <v>1145</v>
      </c>
      <c r="C82" s="751"/>
      <c r="D82" s="749">
        <f>D83+D86+D90</f>
        <v>6855</v>
      </c>
      <c r="E82" s="749">
        <f t="shared" ref="E82:I82" si="20">E83+E86+E90</f>
        <v>0</v>
      </c>
      <c r="F82" s="749">
        <f t="shared" si="20"/>
        <v>0</v>
      </c>
      <c r="G82" s="749">
        <f t="shared" si="20"/>
        <v>0</v>
      </c>
      <c r="H82" s="749">
        <f t="shared" si="20"/>
        <v>6855</v>
      </c>
      <c r="I82" s="749">
        <f t="shared" si="20"/>
        <v>0</v>
      </c>
      <c r="J82" s="749"/>
      <c r="K82" s="876"/>
    </row>
    <row r="83" spans="1:11" s="801" customFormat="1" x14ac:dyDescent="0.2">
      <c r="A83" s="2214">
        <v>3.1</v>
      </c>
      <c r="B83" s="2215" t="s">
        <v>1139</v>
      </c>
      <c r="C83" s="601"/>
      <c r="D83" s="763">
        <f>SUM(D84:D85)</f>
        <v>1940</v>
      </c>
      <c r="E83" s="763">
        <f t="shared" ref="E83:I83" si="21">SUM(E84:E85)</f>
        <v>0</v>
      </c>
      <c r="F83" s="763">
        <f t="shared" si="21"/>
        <v>0</v>
      </c>
      <c r="G83" s="763">
        <f t="shared" si="21"/>
        <v>0</v>
      </c>
      <c r="H83" s="763">
        <f t="shared" si="21"/>
        <v>1940</v>
      </c>
      <c r="I83" s="763">
        <f t="shared" si="21"/>
        <v>0</v>
      </c>
      <c r="J83" s="763"/>
      <c r="K83" s="2141" t="s">
        <v>1119</v>
      </c>
    </row>
    <row r="84" spans="1:11" s="801" customFormat="1" x14ac:dyDescent="0.2">
      <c r="A84" s="2214"/>
      <c r="B84" s="2215"/>
      <c r="C84" s="601">
        <v>2279</v>
      </c>
      <c r="D84" s="792">
        <v>1800</v>
      </c>
      <c r="E84" s="763"/>
      <c r="F84" s="763"/>
      <c r="G84" s="763"/>
      <c r="H84" s="563">
        <f t="shared" ref="H84:I85" si="22">D84+F84</f>
        <v>1800</v>
      </c>
      <c r="I84" s="563">
        <f t="shared" si="22"/>
        <v>0</v>
      </c>
      <c r="J84" s="763"/>
      <c r="K84" s="2141"/>
    </row>
    <row r="85" spans="1:11" s="801" customFormat="1" x14ac:dyDescent="0.2">
      <c r="A85" s="2214"/>
      <c r="B85" s="2215"/>
      <c r="C85" s="601">
        <v>2363</v>
      </c>
      <c r="D85" s="792">
        <v>140</v>
      </c>
      <c r="E85" s="563"/>
      <c r="F85" s="563"/>
      <c r="G85" s="563"/>
      <c r="H85" s="563">
        <f t="shared" si="22"/>
        <v>140</v>
      </c>
      <c r="I85" s="563">
        <f t="shared" si="22"/>
        <v>0</v>
      </c>
      <c r="J85" s="563"/>
      <c r="K85" s="2141"/>
    </row>
    <row r="86" spans="1:11" s="801" customFormat="1" x14ac:dyDescent="0.2">
      <c r="A86" s="2230">
        <v>3.2</v>
      </c>
      <c r="B86" s="2238" t="s">
        <v>1146</v>
      </c>
      <c r="C86" s="601"/>
      <c r="D86" s="753">
        <f>SUM(D87:D89)</f>
        <v>1200</v>
      </c>
      <c r="E86" s="753">
        <f t="shared" ref="E86:I86" si="23">SUM(E87:E88)</f>
        <v>0</v>
      </c>
      <c r="F86" s="753">
        <f t="shared" si="23"/>
        <v>0</v>
      </c>
      <c r="G86" s="753">
        <f t="shared" si="23"/>
        <v>0</v>
      </c>
      <c r="H86" s="753">
        <f>SUM(H87:H89)</f>
        <v>1200</v>
      </c>
      <c r="I86" s="753">
        <f t="shared" si="23"/>
        <v>0</v>
      </c>
      <c r="J86" s="753"/>
      <c r="K86" s="2213" t="s">
        <v>1129</v>
      </c>
    </row>
    <row r="87" spans="1:11" s="801" customFormat="1" x14ac:dyDescent="0.2">
      <c r="A87" s="2231"/>
      <c r="B87" s="2239"/>
      <c r="C87" s="601">
        <v>2341</v>
      </c>
      <c r="D87" s="792">
        <v>50</v>
      </c>
      <c r="E87" s="763"/>
      <c r="F87" s="763"/>
      <c r="G87" s="763"/>
      <c r="H87" s="563">
        <f t="shared" ref="H87:I89" si="24">D87+F87</f>
        <v>50</v>
      </c>
      <c r="I87" s="563">
        <f t="shared" si="24"/>
        <v>0</v>
      </c>
      <c r="J87" s="763"/>
      <c r="K87" s="2213"/>
    </row>
    <row r="88" spans="1:11" s="801" customFormat="1" x14ac:dyDescent="0.2">
      <c r="A88" s="2231"/>
      <c r="B88" s="2239"/>
      <c r="C88" s="601">
        <v>2361</v>
      </c>
      <c r="D88" s="792">
        <v>1050</v>
      </c>
      <c r="E88" s="763"/>
      <c r="F88" s="763"/>
      <c r="G88" s="763"/>
      <c r="H88" s="563">
        <f t="shared" si="24"/>
        <v>1050</v>
      </c>
      <c r="I88" s="563">
        <f t="shared" si="24"/>
        <v>0</v>
      </c>
      <c r="J88" s="763"/>
      <c r="K88" s="2213"/>
    </row>
    <row r="89" spans="1:11" s="801" customFormat="1" x14ac:dyDescent="0.2">
      <c r="A89" s="2234"/>
      <c r="B89" s="2240"/>
      <c r="C89" s="601">
        <v>2370</v>
      </c>
      <c r="D89" s="792">
        <v>100</v>
      </c>
      <c r="E89" s="763"/>
      <c r="F89" s="763"/>
      <c r="G89" s="763"/>
      <c r="H89" s="563">
        <f t="shared" si="24"/>
        <v>100</v>
      </c>
      <c r="I89" s="563"/>
      <c r="J89" s="763"/>
      <c r="K89" s="890"/>
    </row>
    <row r="90" spans="1:11" s="801" customFormat="1" x14ac:dyDescent="0.2">
      <c r="A90" s="2214">
        <v>3.3</v>
      </c>
      <c r="B90" s="2215" t="s">
        <v>1147</v>
      </c>
      <c r="C90" s="601"/>
      <c r="D90" s="753">
        <f>SUM(D91:D92)</f>
        <v>3715</v>
      </c>
      <c r="E90" s="753">
        <f t="shared" ref="E90:I90" si="25">SUM(E91:E92)</f>
        <v>0</v>
      </c>
      <c r="F90" s="753">
        <f t="shared" si="25"/>
        <v>0</v>
      </c>
      <c r="G90" s="753">
        <f t="shared" si="25"/>
        <v>0</v>
      </c>
      <c r="H90" s="753">
        <f t="shared" si="25"/>
        <v>3715</v>
      </c>
      <c r="I90" s="753">
        <f t="shared" si="25"/>
        <v>0</v>
      </c>
      <c r="J90" s="753"/>
      <c r="K90" s="2213" t="s">
        <v>1133</v>
      </c>
    </row>
    <row r="91" spans="1:11" s="801" customFormat="1" x14ac:dyDescent="0.2">
      <c r="A91" s="2214"/>
      <c r="B91" s="2215"/>
      <c r="C91" s="601">
        <v>2261</v>
      </c>
      <c r="D91" s="792">
        <v>2700</v>
      </c>
      <c r="E91" s="792"/>
      <c r="F91" s="792"/>
      <c r="G91" s="792"/>
      <c r="H91" s="563">
        <f t="shared" ref="H91:I92" si="26">D91+F91</f>
        <v>2700</v>
      </c>
      <c r="I91" s="563">
        <f t="shared" si="26"/>
        <v>0</v>
      </c>
      <c r="J91" s="792"/>
      <c r="K91" s="2213"/>
    </row>
    <row r="92" spans="1:11" s="801" customFormat="1" x14ac:dyDescent="0.2">
      <c r="A92" s="2214"/>
      <c r="B92" s="2215"/>
      <c r="C92" s="601">
        <v>2363</v>
      </c>
      <c r="D92" s="792">
        <v>1015</v>
      </c>
      <c r="E92" s="792"/>
      <c r="F92" s="792"/>
      <c r="G92" s="792"/>
      <c r="H92" s="563">
        <f t="shared" si="26"/>
        <v>1015</v>
      </c>
      <c r="I92" s="563">
        <f t="shared" si="26"/>
        <v>0</v>
      </c>
      <c r="J92" s="792"/>
      <c r="K92" s="2213"/>
    </row>
    <row r="93" spans="1:11" s="801" customFormat="1" x14ac:dyDescent="0.2">
      <c r="A93" s="888">
        <v>4</v>
      </c>
      <c r="B93" s="889" t="s">
        <v>1148</v>
      </c>
      <c r="C93" s="751"/>
      <c r="D93" s="749">
        <f>D94+D98</f>
        <v>1040</v>
      </c>
      <c r="E93" s="749">
        <f t="shared" ref="E93:I93" si="27">E94+E98</f>
        <v>0</v>
      </c>
      <c r="F93" s="749">
        <f t="shared" si="27"/>
        <v>0</v>
      </c>
      <c r="G93" s="749">
        <f t="shared" si="27"/>
        <v>0</v>
      </c>
      <c r="H93" s="749">
        <f t="shared" si="27"/>
        <v>1040</v>
      </c>
      <c r="I93" s="749">
        <f t="shared" si="27"/>
        <v>0</v>
      </c>
      <c r="J93" s="749"/>
      <c r="K93" s="876"/>
    </row>
    <row r="94" spans="1:11" s="801" customFormat="1" x14ac:dyDescent="0.2">
      <c r="A94" s="2230">
        <v>4.0999999999999996</v>
      </c>
      <c r="B94" s="2235" t="s">
        <v>1149</v>
      </c>
      <c r="C94" s="601"/>
      <c r="D94" s="753">
        <f>SUM(D95:D97)</f>
        <v>878</v>
      </c>
      <c r="E94" s="753">
        <f t="shared" ref="E94:I94" si="28">SUM(E96:E96)</f>
        <v>0</v>
      </c>
      <c r="F94" s="753">
        <f t="shared" si="28"/>
        <v>0</v>
      </c>
      <c r="G94" s="753">
        <f t="shared" si="28"/>
        <v>0</v>
      </c>
      <c r="H94" s="753">
        <f>SUM(H95:H97)</f>
        <v>878</v>
      </c>
      <c r="I94" s="753">
        <f t="shared" si="28"/>
        <v>0</v>
      </c>
      <c r="J94" s="753"/>
      <c r="K94" s="2141" t="s">
        <v>1119</v>
      </c>
    </row>
    <row r="95" spans="1:11" s="801" customFormat="1" x14ac:dyDescent="0.2">
      <c r="A95" s="2231"/>
      <c r="B95" s="2236"/>
      <c r="C95" s="601">
        <v>2261</v>
      </c>
      <c r="D95" s="792">
        <v>192</v>
      </c>
      <c r="E95" s="753"/>
      <c r="F95" s="753"/>
      <c r="G95" s="753"/>
      <c r="H95" s="792">
        <f>D95+F95</f>
        <v>192</v>
      </c>
      <c r="I95" s="753"/>
      <c r="J95" s="753"/>
      <c r="K95" s="2141"/>
    </row>
    <row r="96" spans="1:11" s="801" customFormat="1" x14ac:dyDescent="0.2">
      <c r="A96" s="2231"/>
      <c r="B96" s="2236"/>
      <c r="C96" s="601">
        <v>2279</v>
      </c>
      <c r="D96" s="792">
        <v>350</v>
      </c>
      <c r="E96" s="563"/>
      <c r="F96" s="563"/>
      <c r="G96" s="563"/>
      <c r="H96" s="563">
        <f>D96+F96</f>
        <v>350</v>
      </c>
      <c r="I96" s="563">
        <f>E96+G96</f>
        <v>0</v>
      </c>
      <c r="J96" s="563"/>
      <c r="K96" s="2141"/>
    </row>
    <row r="97" spans="1:11" s="801" customFormat="1" x14ac:dyDescent="0.2">
      <c r="A97" s="2234"/>
      <c r="B97" s="2237"/>
      <c r="C97" s="601">
        <v>2363</v>
      </c>
      <c r="D97" s="792">
        <v>336</v>
      </c>
      <c r="E97" s="563"/>
      <c r="F97" s="563"/>
      <c r="G97" s="563"/>
      <c r="H97" s="563">
        <f>D97+F97</f>
        <v>336</v>
      </c>
      <c r="I97" s="563"/>
      <c r="J97" s="563"/>
      <c r="K97" s="881"/>
    </row>
    <row r="98" spans="1:11" s="801" customFormat="1" x14ac:dyDescent="0.2">
      <c r="A98" s="2214">
        <v>4.2</v>
      </c>
      <c r="B98" s="2162" t="s">
        <v>1150</v>
      </c>
      <c r="C98" s="601"/>
      <c r="D98" s="753">
        <f>SUM(D99:D100)</f>
        <v>162</v>
      </c>
      <c r="E98" s="753">
        <f t="shared" ref="E98:I98" si="29">SUM(E100:E100)</f>
        <v>0</v>
      </c>
      <c r="F98" s="753">
        <f t="shared" si="29"/>
        <v>0</v>
      </c>
      <c r="G98" s="753">
        <f t="shared" si="29"/>
        <v>0</v>
      </c>
      <c r="H98" s="753">
        <f>SUM(H99:H100)</f>
        <v>162</v>
      </c>
      <c r="I98" s="753">
        <f t="shared" si="29"/>
        <v>0</v>
      </c>
      <c r="J98" s="753"/>
      <c r="K98" s="2213" t="s">
        <v>1122</v>
      </c>
    </row>
    <row r="99" spans="1:11" s="801" customFormat="1" x14ac:dyDescent="0.2">
      <c r="A99" s="2214"/>
      <c r="B99" s="2162"/>
      <c r="C99" s="601">
        <v>2341</v>
      </c>
      <c r="D99" s="792">
        <v>25</v>
      </c>
      <c r="E99" s="753"/>
      <c r="F99" s="753"/>
      <c r="G99" s="753"/>
      <c r="H99" s="792">
        <f>D99+F99</f>
        <v>25</v>
      </c>
      <c r="I99" s="753"/>
      <c r="J99" s="753"/>
      <c r="K99" s="2213"/>
    </row>
    <row r="100" spans="1:11" s="801" customFormat="1" x14ac:dyDescent="0.2">
      <c r="A100" s="2214"/>
      <c r="B100" s="2162"/>
      <c r="C100" s="601">
        <v>2370</v>
      </c>
      <c r="D100" s="792">
        <v>137</v>
      </c>
      <c r="E100" s="881"/>
      <c r="F100" s="881"/>
      <c r="G100" s="881"/>
      <c r="H100" s="563">
        <f>D100+F100</f>
        <v>137</v>
      </c>
      <c r="I100" s="563">
        <f>E100+G100</f>
        <v>0</v>
      </c>
      <c r="J100" s="881"/>
      <c r="K100" s="2213"/>
    </row>
    <row r="101" spans="1:11" s="801" customFormat="1" x14ac:dyDescent="0.2">
      <c r="A101" s="888">
        <v>5</v>
      </c>
      <c r="B101" s="889" t="s">
        <v>1151</v>
      </c>
      <c r="C101" s="751"/>
      <c r="D101" s="749">
        <f>D102+D107+D114</f>
        <v>80716</v>
      </c>
      <c r="E101" s="749">
        <f t="shared" ref="E101:I101" si="30">E102+E107+E114</f>
        <v>0</v>
      </c>
      <c r="F101" s="749">
        <f>F102+F107+F114</f>
        <v>0</v>
      </c>
      <c r="G101" s="749">
        <f t="shared" si="30"/>
        <v>0</v>
      </c>
      <c r="H101" s="749">
        <f>H102+H107+H114</f>
        <v>80716</v>
      </c>
      <c r="I101" s="749">
        <f t="shared" si="30"/>
        <v>0</v>
      </c>
      <c r="J101" s="749"/>
      <c r="K101" s="876"/>
    </row>
    <row r="102" spans="1:11" s="801" customFormat="1" x14ac:dyDescent="0.2">
      <c r="A102" s="2214">
        <v>5.0999999999999996</v>
      </c>
      <c r="B102" s="2215" t="s">
        <v>1139</v>
      </c>
      <c r="C102" s="601"/>
      <c r="D102" s="753">
        <f>SUM(D103:D106)</f>
        <v>21608</v>
      </c>
      <c r="E102" s="753">
        <f t="shared" ref="E102:I102" si="31">SUM(E103:E106)</f>
        <v>0</v>
      </c>
      <c r="F102" s="753">
        <f t="shared" si="31"/>
        <v>0</v>
      </c>
      <c r="G102" s="753">
        <f t="shared" si="31"/>
        <v>0</v>
      </c>
      <c r="H102" s="753">
        <f t="shared" si="31"/>
        <v>21608</v>
      </c>
      <c r="I102" s="753">
        <f t="shared" si="31"/>
        <v>0</v>
      </c>
      <c r="J102" s="753"/>
      <c r="K102" s="2141" t="s">
        <v>1119</v>
      </c>
    </row>
    <row r="103" spans="1:11" s="801" customFormat="1" x14ac:dyDescent="0.2">
      <c r="A103" s="2214"/>
      <c r="B103" s="2215"/>
      <c r="C103" s="596">
        <v>2261</v>
      </c>
      <c r="D103" s="879">
        <v>9140</v>
      </c>
      <c r="E103" s="891"/>
      <c r="F103" s="598"/>
      <c r="G103" s="891"/>
      <c r="H103" s="598">
        <f t="shared" ref="H103:I106" si="32">D103+F103</f>
        <v>9140</v>
      </c>
      <c r="I103" s="598">
        <f t="shared" si="32"/>
        <v>0</v>
      </c>
      <c r="J103" s="879"/>
      <c r="K103" s="2141"/>
    </row>
    <row r="104" spans="1:11" s="801" customFormat="1" x14ac:dyDescent="0.2">
      <c r="A104" s="2214"/>
      <c r="B104" s="2215"/>
      <c r="C104" s="601">
        <v>2262</v>
      </c>
      <c r="D104" s="792">
        <v>8200</v>
      </c>
      <c r="E104" s="563"/>
      <c r="F104" s="563"/>
      <c r="G104" s="563"/>
      <c r="H104" s="563">
        <f t="shared" si="32"/>
        <v>8200</v>
      </c>
      <c r="I104" s="563">
        <f t="shared" si="32"/>
        <v>0</v>
      </c>
      <c r="J104" s="563"/>
      <c r="K104" s="2141"/>
    </row>
    <row r="105" spans="1:11" s="801" customFormat="1" x14ac:dyDescent="0.2">
      <c r="A105" s="2214"/>
      <c r="B105" s="2215"/>
      <c r="C105" s="601">
        <v>2279</v>
      </c>
      <c r="D105" s="792">
        <v>2220</v>
      </c>
      <c r="E105" s="563"/>
      <c r="F105" s="563"/>
      <c r="G105" s="563"/>
      <c r="H105" s="563">
        <f t="shared" si="32"/>
        <v>2220</v>
      </c>
      <c r="I105" s="563">
        <f t="shared" si="32"/>
        <v>0</v>
      </c>
      <c r="J105" s="563"/>
      <c r="K105" s="2141"/>
    </row>
    <row r="106" spans="1:11" s="801" customFormat="1" x14ac:dyDescent="0.2">
      <c r="A106" s="2214"/>
      <c r="B106" s="2215"/>
      <c r="C106" s="601">
        <v>2363</v>
      </c>
      <c r="D106" s="792">
        <v>2048</v>
      </c>
      <c r="E106" s="563"/>
      <c r="F106" s="563"/>
      <c r="G106" s="563"/>
      <c r="H106" s="563">
        <f t="shared" si="32"/>
        <v>2048</v>
      </c>
      <c r="I106" s="563">
        <f t="shared" si="32"/>
        <v>0</v>
      </c>
      <c r="J106" s="563"/>
      <c r="K106" s="2141"/>
    </row>
    <row r="107" spans="1:11" s="801" customFormat="1" x14ac:dyDescent="0.2">
      <c r="A107" s="2214">
        <v>5.2</v>
      </c>
      <c r="B107" s="2162" t="s">
        <v>1152</v>
      </c>
      <c r="C107" s="601"/>
      <c r="D107" s="753">
        <f>SUM(D108:D113)</f>
        <v>51430</v>
      </c>
      <c r="E107" s="753">
        <f t="shared" ref="E107:I107" si="33">SUM(E108:E113)</f>
        <v>0</v>
      </c>
      <c r="F107" s="753">
        <f t="shared" si="33"/>
        <v>0</v>
      </c>
      <c r="G107" s="753">
        <f t="shared" si="33"/>
        <v>0</v>
      </c>
      <c r="H107" s="753">
        <f t="shared" si="33"/>
        <v>51430</v>
      </c>
      <c r="I107" s="753">
        <f t="shared" si="33"/>
        <v>0</v>
      </c>
      <c r="J107" s="753"/>
      <c r="K107" s="2213" t="s">
        <v>1129</v>
      </c>
    </row>
    <row r="108" spans="1:11" s="801" customFormat="1" x14ac:dyDescent="0.2">
      <c r="A108" s="2214"/>
      <c r="B108" s="2162"/>
      <c r="C108" s="601">
        <v>2231</v>
      </c>
      <c r="D108" s="792">
        <v>400</v>
      </c>
      <c r="E108" s="753"/>
      <c r="F108" s="753"/>
      <c r="G108" s="753"/>
      <c r="H108" s="563">
        <f t="shared" ref="H108:I113" si="34">D108+F108</f>
        <v>400</v>
      </c>
      <c r="I108" s="753"/>
      <c r="J108" s="753"/>
      <c r="K108" s="2213"/>
    </row>
    <row r="109" spans="1:11" s="801" customFormat="1" x14ac:dyDescent="0.2">
      <c r="A109" s="2214"/>
      <c r="B109" s="2162"/>
      <c r="C109" s="601">
        <v>2235</v>
      </c>
      <c r="D109" s="792">
        <v>1000</v>
      </c>
      <c r="E109" s="753"/>
      <c r="F109" s="753"/>
      <c r="G109" s="753"/>
      <c r="H109" s="563">
        <f t="shared" si="34"/>
        <v>1000</v>
      </c>
      <c r="I109" s="753"/>
      <c r="J109" s="753"/>
      <c r="K109" s="2213"/>
    </row>
    <row r="110" spans="1:11" s="801" customFormat="1" x14ac:dyDescent="0.2">
      <c r="A110" s="2214"/>
      <c r="B110" s="2162"/>
      <c r="C110" s="601">
        <v>2314</v>
      </c>
      <c r="D110" s="792">
        <v>1400</v>
      </c>
      <c r="E110" s="753"/>
      <c r="F110" s="753"/>
      <c r="G110" s="753"/>
      <c r="H110" s="563">
        <f t="shared" si="34"/>
        <v>1400</v>
      </c>
      <c r="I110" s="753"/>
      <c r="J110" s="753"/>
      <c r="K110" s="2213"/>
    </row>
    <row r="111" spans="1:11" s="801" customFormat="1" x14ac:dyDescent="0.2">
      <c r="A111" s="2214"/>
      <c r="B111" s="2162"/>
      <c r="C111" s="601">
        <v>2341</v>
      </c>
      <c r="D111" s="792">
        <v>100</v>
      </c>
      <c r="E111" s="763"/>
      <c r="F111" s="763"/>
      <c r="G111" s="763"/>
      <c r="H111" s="563">
        <f t="shared" si="34"/>
        <v>100</v>
      </c>
      <c r="I111" s="563">
        <f t="shared" si="34"/>
        <v>0</v>
      </c>
      <c r="J111" s="763"/>
      <c r="K111" s="2213"/>
    </row>
    <row r="112" spans="1:11" s="801" customFormat="1" x14ac:dyDescent="0.2">
      <c r="A112" s="2214"/>
      <c r="B112" s="2162"/>
      <c r="C112" s="601">
        <v>2361</v>
      </c>
      <c r="D112" s="792">
        <v>39800</v>
      </c>
      <c r="E112" s="881"/>
      <c r="F112" s="881"/>
      <c r="G112" s="881"/>
      <c r="H112" s="563">
        <f t="shared" si="34"/>
        <v>39800</v>
      </c>
      <c r="I112" s="563">
        <f t="shared" si="34"/>
        <v>0</v>
      </c>
      <c r="J112" s="881"/>
      <c r="K112" s="2213"/>
    </row>
    <row r="113" spans="1:11" s="801" customFormat="1" x14ac:dyDescent="0.2">
      <c r="A113" s="2214"/>
      <c r="B113" s="2162"/>
      <c r="C113" s="596">
        <v>2370</v>
      </c>
      <c r="D113" s="879">
        <v>8730</v>
      </c>
      <c r="E113" s="882"/>
      <c r="F113" s="879"/>
      <c r="G113" s="882"/>
      <c r="H113" s="598">
        <f t="shared" si="34"/>
        <v>8730</v>
      </c>
      <c r="I113" s="598">
        <f t="shared" si="34"/>
        <v>0</v>
      </c>
      <c r="J113" s="879"/>
      <c r="K113" s="2213"/>
    </row>
    <row r="114" spans="1:11" s="801" customFormat="1" x14ac:dyDescent="0.2">
      <c r="A114" s="892" t="s">
        <v>1153</v>
      </c>
      <c r="B114" s="875" t="s">
        <v>1130</v>
      </c>
      <c r="C114" s="751"/>
      <c r="D114" s="749">
        <f t="shared" ref="D114:I114" si="35">D115+D119</f>
        <v>7678</v>
      </c>
      <c r="E114" s="749">
        <f t="shared" si="35"/>
        <v>0</v>
      </c>
      <c r="F114" s="749">
        <f t="shared" si="35"/>
        <v>0</v>
      </c>
      <c r="G114" s="749">
        <f t="shared" si="35"/>
        <v>0</v>
      </c>
      <c r="H114" s="749">
        <f t="shared" si="35"/>
        <v>7678</v>
      </c>
      <c r="I114" s="749">
        <f t="shared" si="35"/>
        <v>0</v>
      </c>
      <c r="J114" s="749"/>
      <c r="K114" s="876"/>
    </row>
    <row r="115" spans="1:11" s="801" customFormat="1" x14ac:dyDescent="0.2">
      <c r="A115" s="2075" t="s">
        <v>1154</v>
      </c>
      <c r="B115" s="2061" t="s">
        <v>1155</v>
      </c>
      <c r="C115" s="751"/>
      <c r="D115" s="749">
        <f t="shared" ref="D115:I115" si="36">SUM(D116:D118)</f>
        <v>1760</v>
      </c>
      <c r="E115" s="749">
        <f t="shared" si="36"/>
        <v>0</v>
      </c>
      <c r="F115" s="749">
        <f t="shared" si="36"/>
        <v>0</v>
      </c>
      <c r="G115" s="749">
        <f t="shared" si="36"/>
        <v>0</v>
      </c>
      <c r="H115" s="749">
        <f t="shared" si="36"/>
        <v>1760</v>
      </c>
      <c r="I115" s="749">
        <f t="shared" si="36"/>
        <v>0</v>
      </c>
      <c r="J115" s="749"/>
      <c r="K115" s="2225" t="s">
        <v>1133</v>
      </c>
    </row>
    <row r="116" spans="1:11" s="801" customFormat="1" x14ac:dyDescent="0.2">
      <c r="A116" s="2075"/>
      <c r="B116" s="2061"/>
      <c r="C116" s="893">
        <v>2262</v>
      </c>
      <c r="D116" s="894">
        <v>300</v>
      </c>
      <c r="E116" s="895"/>
      <c r="F116" s="894"/>
      <c r="G116" s="895"/>
      <c r="H116" s="598">
        <f t="shared" ref="H116:I118" si="37">D116+F116</f>
        <v>300</v>
      </c>
      <c r="I116" s="598">
        <f t="shared" si="37"/>
        <v>0</v>
      </c>
      <c r="J116" s="894"/>
      <c r="K116" s="2226"/>
    </row>
    <row r="117" spans="1:11" s="801" customFormat="1" x14ac:dyDescent="0.2">
      <c r="A117" s="2075"/>
      <c r="B117" s="2061"/>
      <c r="C117" s="751">
        <v>2341</v>
      </c>
      <c r="D117" s="896">
        <v>60</v>
      </c>
      <c r="E117" s="749"/>
      <c r="F117" s="896"/>
      <c r="G117" s="749"/>
      <c r="H117" s="563">
        <f t="shared" si="37"/>
        <v>60</v>
      </c>
      <c r="I117" s="563">
        <f t="shared" si="37"/>
        <v>0</v>
      </c>
      <c r="J117" s="749"/>
      <c r="K117" s="2226"/>
    </row>
    <row r="118" spans="1:11" s="801" customFormat="1" x14ac:dyDescent="0.2">
      <c r="A118" s="2075"/>
      <c r="B118" s="2061"/>
      <c r="C118" s="893">
        <v>2363</v>
      </c>
      <c r="D118" s="894">
        <v>1400</v>
      </c>
      <c r="E118" s="895"/>
      <c r="F118" s="894"/>
      <c r="G118" s="895"/>
      <c r="H118" s="598">
        <f t="shared" si="37"/>
        <v>1400</v>
      </c>
      <c r="I118" s="598">
        <f t="shared" si="37"/>
        <v>0</v>
      </c>
      <c r="J118" s="894"/>
      <c r="K118" s="2226"/>
    </row>
    <row r="119" spans="1:11" s="801" customFormat="1" x14ac:dyDescent="0.2">
      <c r="A119" s="2075" t="s">
        <v>1156</v>
      </c>
      <c r="B119" s="2061" t="s">
        <v>1135</v>
      </c>
      <c r="C119" s="601"/>
      <c r="D119" s="753">
        <f>SUM(D120:D123)</f>
        <v>5918</v>
      </c>
      <c r="E119" s="753">
        <f t="shared" ref="E119:I119" si="38">SUM(E120:E123)</f>
        <v>0</v>
      </c>
      <c r="F119" s="753">
        <f t="shared" si="38"/>
        <v>0</v>
      </c>
      <c r="G119" s="753">
        <f t="shared" si="38"/>
        <v>0</v>
      </c>
      <c r="H119" s="753">
        <f t="shared" si="38"/>
        <v>5918</v>
      </c>
      <c r="I119" s="753">
        <f t="shared" si="38"/>
        <v>0</v>
      </c>
      <c r="J119" s="753"/>
      <c r="K119" s="2203" t="s">
        <v>1133</v>
      </c>
    </row>
    <row r="120" spans="1:11" s="801" customFormat="1" x14ac:dyDescent="0.2">
      <c r="A120" s="2075"/>
      <c r="B120" s="2061"/>
      <c r="C120" s="596">
        <v>2111</v>
      </c>
      <c r="D120" s="879">
        <v>168</v>
      </c>
      <c r="E120" s="879"/>
      <c r="F120" s="879"/>
      <c r="G120" s="879"/>
      <c r="H120" s="598">
        <f t="shared" ref="H120:I123" si="39">D120+F120</f>
        <v>168</v>
      </c>
      <c r="I120" s="598">
        <f t="shared" si="39"/>
        <v>0</v>
      </c>
      <c r="J120" s="879"/>
      <c r="K120" s="2204"/>
    </row>
    <row r="121" spans="1:11" s="801" customFormat="1" x14ac:dyDescent="0.2">
      <c r="A121" s="2075"/>
      <c r="B121" s="2061"/>
      <c r="C121" s="596">
        <v>2261</v>
      </c>
      <c r="D121" s="879">
        <v>2800</v>
      </c>
      <c r="E121" s="879"/>
      <c r="F121" s="879"/>
      <c r="G121" s="879"/>
      <c r="H121" s="598">
        <f t="shared" si="39"/>
        <v>2800</v>
      </c>
      <c r="I121" s="598">
        <f t="shared" si="39"/>
        <v>0</v>
      </c>
      <c r="J121" s="879"/>
      <c r="K121" s="2204"/>
    </row>
    <row r="122" spans="1:11" s="801" customFormat="1" x14ac:dyDescent="0.2">
      <c r="A122" s="2075"/>
      <c r="B122" s="2061"/>
      <c r="C122" s="596">
        <v>2262</v>
      </c>
      <c r="D122" s="879">
        <v>500</v>
      </c>
      <c r="E122" s="879"/>
      <c r="F122" s="879"/>
      <c r="G122" s="879"/>
      <c r="H122" s="598">
        <f t="shared" si="39"/>
        <v>500</v>
      </c>
      <c r="I122" s="598">
        <f t="shared" si="39"/>
        <v>0</v>
      </c>
      <c r="J122" s="879"/>
      <c r="K122" s="2204"/>
    </row>
    <row r="123" spans="1:11" s="801" customFormat="1" x14ac:dyDescent="0.2">
      <c r="A123" s="2075"/>
      <c r="B123" s="2061"/>
      <c r="C123" s="596">
        <v>2363</v>
      </c>
      <c r="D123" s="879">
        <v>2450</v>
      </c>
      <c r="E123" s="879"/>
      <c r="F123" s="879"/>
      <c r="G123" s="879"/>
      <c r="H123" s="598">
        <f t="shared" si="39"/>
        <v>2450</v>
      </c>
      <c r="I123" s="598">
        <f t="shared" si="39"/>
        <v>0</v>
      </c>
      <c r="J123" s="879"/>
      <c r="K123" s="2205"/>
    </row>
    <row r="124" spans="1:11" s="801" customFormat="1" x14ac:dyDescent="0.2">
      <c r="A124" s="874">
        <v>6</v>
      </c>
      <c r="B124" s="889" t="s">
        <v>1157</v>
      </c>
      <c r="C124" s="751"/>
      <c r="D124" s="749">
        <f>D125+D130+D134+D136</f>
        <v>6235</v>
      </c>
      <c r="E124" s="749">
        <f t="shared" ref="E124:I124" si="40">E125+E130+E134+E136</f>
        <v>0</v>
      </c>
      <c r="F124" s="749">
        <f t="shared" si="40"/>
        <v>0</v>
      </c>
      <c r="G124" s="749">
        <f t="shared" si="40"/>
        <v>0</v>
      </c>
      <c r="H124" s="749">
        <f t="shared" si="40"/>
        <v>6235</v>
      </c>
      <c r="I124" s="749">
        <f t="shared" si="40"/>
        <v>0</v>
      </c>
      <c r="J124" s="749"/>
      <c r="K124" s="876"/>
    </row>
    <row r="125" spans="1:11" s="801" customFormat="1" x14ac:dyDescent="0.2">
      <c r="A125" s="2214">
        <v>6.1</v>
      </c>
      <c r="B125" s="2215" t="s">
        <v>1139</v>
      </c>
      <c r="C125" s="601"/>
      <c r="D125" s="753">
        <f>SUM(D126:D129)</f>
        <v>3305</v>
      </c>
      <c r="E125" s="753">
        <f t="shared" ref="E125:I125" si="41">SUM(E126:E129)</f>
        <v>0</v>
      </c>
      <c r="F125" s="753">
        <f t="shared" si="41"/>
        <v>0</v>
      </c>
      <c r="G125" s="753">
        <f t="shared" si="41"/>
        <v>0</v>
      </c>
      <c r="H125" s="753">
        <f t="shared" si="41"/>
        <v>3305</v>
      </c>
      <c r="I125" s="753">
        <f t="shared" si="41"/>
        <v>0</v>
      </c>
      <c r="J125" s="753"/>
      <c r="K125" s="2141" t="s">
        <v>1119</v>
      </c>
    </row>
    <row r="126" spans="1:11" s="801" customFormat="1" x14ac:dyDescent="0.2">
      <c r="A126" s="2214"/>
      <c r="B126" s="2215"/>
      <c r="C126" s="601">
        <v>2261</v>
      </c>
      <c r="D126" s="792">
        <v>480</v>
      </c>
      <c r="E126" s="563"/>
      <c r="F126" s="563"/>
      <c r="G126" s="563"/>
      <c r="H126" s="563">
        <f t="shared" ref="H126:I129" si="42">D126+F126</f>
        <v>480</v>
      </c>
      <c r="I126" s="563">
        <f t="shared" si="42"/>
        <v>0</v>
      </c>
      <c r="J126" s="563"/>
      <c r="K126" s="2141"/>
    </row>
    <row r="127" spans="1:11" s="801" customFormat="1" x14ac:dyDescent="0.2">
      <c r="A127" s="2214"/>
      <c r="B127" s="2215"/>
      <c r="C127" s="596">
        <v>2262</v>
      </c>
      <c r="D127" s="879">
        <v>2000</v>
      </c>
      <c r="E127" s="598"/>
      <c r="F127" s="598"/>
      <c r="G127" s="598"/>
      <c r="H127" s="598">
        <f t="shared" si="42"/>
        <v>2000</v>
      </c>
      <c r="I127" s="598">
        <f t="shared" si="42"/>
        <v>0</v>
      </c>
      <c r="J127" s="598"/>
      <c r="K127" s="2141"/>
    </row>
    <row r="128" spans="1:11" s="801" customFormat="1" x14ac:dyDescent="0.2">
      <c r="A128" s="2214"/>
      <c r="B128" s="2215"/>
      <c r="C128" s="601">
        <v>2279</v>
      </c>
      <c r="D128" s="792">
        <v>300</v>
      </c>
      <c r="E128" s="563"/>
      <c r="F128" s="563"/>
      <c r="G128" s="563"/>
      <c r="H128" s="563">
        <f t="shared" si="42"/>
        <v>300</v>
      </c>
      <c r="I128" s="563">
        <f t="shared" si="42"/>
        <v>0</v>
      </c>
      <c r="J128" s="563"/>
      <c r="K128" s="2141"/>
    </row>
    <row r="129" spans="1:11" s="801" customFormat="1" x14ac:dyDescent="0.2">
      <c r="A129" s="2214"/>
      <c r="B129" s="2215"/>
      <c r="C129" s="596">
        <v>2363</v>
      </c>
      <c r="D129" s="879">
        <v>525</v>
      </c>
      <c r="E129" s="598"/>
      <c r="F129" s="598"/>
      <c r="G129" s="598"/>
      <c r="H129" s="598">
        <f t="shared" si="42"/>
        <v>525</v>
      </c>
      <c r="I129" s="598">
        <f t="shared" si="42"/>
        <v>0</v>
      </c>
      <c r="J129" s="598"/>
      <c r="K129" s="2141"/>
    </row>
    <row r="130" spans="1:11" s="801" customFormat="1" x14ac:dyDescent="0.2">
      <c r="A130" s="2214">
        <v>6.2</v>
      </c>
      <c r="B130" s="2162" t="s">
        <v>1158</v>
      </c>
      <c r="C130" s="601"/>
      <c r="D130" s="753">
        <f>SUM(D131:D133)</f>
        <v>555</v>
      </c>
      <c r="E130" s="753">
        <f t="shared" ref="E130:I130" si="43">SUM(E131:E133)</f>
        <v>0</v>
      </c>
      <c r="F130" s="753">
        <f t="shared" si="43"/>
        <v>0</v>
      </c>
      <c r="G130" s="753">
        <f t="shared" si="43"/>
        <v>0</v>
      </c>
      <c r="H130" s="753">
        <f t="shared" si="43"/>
        <v>555</v>
      </c>
      <c r="I130" s="753">
        <f t="shared" si="43"/>
        <v>0</v>
      </c>
      <c r="J130" s="753"/>
      <c r="K130" s="2213" t="s">
        <v>1129</v>
      </c>
    </row>
    <row r="131" spans="1:11" s="801" customFormat="1" x14ac:dyDescent="0.2">
      <c r="A131" s="2214"/>
      <c r="B131" s="2162"/>
      <c r="C131" s="601">
        <v>2341</v>
      </c>
      <c r="D131" s="792">
        <v>25</v>
      </c>
      <c r="E131" s="763"/>
      <c r="F131" s="763"/>
      <c r="G131" s="763"/>
      <c r="H131" s="563">
        <f t="shared" ref="H131:I133" si="44">D131+F131</f>
        <v>25</v>
      </c>
      <c r="I131" s="563">
        <f t="shared" si="44"/>
        <v>0</v>
      </c>
      <c r="J131" s="763"/>
      <c r="K131" s="2213"/>
    </row>
    <row r="132" spans="1:11" s="801" customFormat="1" x14ac:dyDescent="0.2">
      <c r="A132" s="2214"/>
      <c r="B132" s="2162"/>
      <c r="C132" s="601">
        <v>2361</v>
      </c>
      <c r="D132" s="792">
        <v>400</v>
      </c>
      <c r="E132" s="763"/>
      <c r="F132" s="763"/>
      <c r="G132" s="763"/>
      <c r="H132" s="563">
        <f t="shared" si="44"/>
        <v>400</v>
      </c>
      <c r="I132" s="563">
        <f t="shared" si="44"/>
        <v>0</v>
      </c>
      <c r="J132" s="763"/>
      <c r="K132" s="2213"/>
    </row>
    <row r="133" spans="1:11" s="801" customFormat="1" x14ac:dyDescent="0.2">
      <c r="A133" s="2214"/>
      <c r="B133" s="2162"/>
      <c r="C133" s="601">
        <v>2370</v>
      </c>
      <c r="D133" s="792">
        <v>130</v>
      </c>
      <c r="E133" s="881"/>
      <c r="F133" s="881"/>
      <c r="G133" s="881"/>
      <c r="H133" s="563">
        <f t="shared" si="44"/>
        <v>130</v>
      </c>
      <c r="I133" s="563">
        <f t="shared" si="44"/>
        <v>0</v>
      </c>
      <c r="J133" s="881"/>
      <c r="K133" s="2213"/>
    </row>
    <row r="134" spans="1:11" s="801" customFormat="1" x14ac:dyDescent="0.2">
      <c r="A134" s="752" t="s">
        <v>1159</v>
      </c>
      <c r="B134" s="897" t="s">
        <v>1130</v>
      </c>
      <c r="C134" s="881"/>
      <c r="D134" s="753">
        <f>D135</f>
        <v>350</v>
      </c>
      <c r="E134" s="753"/>
      <c r="F134" s="753"/>
      <c r="G134" s="753"/>
      <c r="H134" s="753">
        <f>H135</f>
        <v>350</v>
      </c>
      <c r="I134" s="753">
        <v>0</v>
      </c>
      <c r="J134" s="753"/>
      <c r="K134" s="898"/>
    </row>
    <row r="135" spans="1:11" s="801" customFormat="1" ht="23.25" customHeight="1" x14ac:dyDescent="0.2">
      <c r="A135" s="899" t="s">
        <v>1160</v>
      </c>
      <c r="B135" s="900" t="s">
        <v>1132</v>
      </c>
      <c r="C135" s="596">
        <v>2363</v>
      </c>
      <c r="D135" s="879">
        <v>350</v>
      </c>
      <c r="E135" s="879"/>
      <c r="F135" s="879"/>
      <c r="G135" s="879"/>
      <c r="H135" s="598">
        <f>D135</f>
        <v>350</v>
      </c>
      <c r="I135" s="598"/>
      <c r="J135" s="894"/>
      <c r="K135" s="898" t="s">
        <v>1133</v>
      </c>
    </row>
    <row r="136" spans="1:11" s="801" customFormat="1" x14ac:dyDescent="0.2">
      <c r="A136" s="2230">
        <v>6.4</v>
      </c>
      <c r="B136" s="2232" t="s">
        <v>1161</v>
      </c>
      <c r="C136" s="601"/>
      <c r="D136" s="753">
        <f>SUM(D137:D140)</f>
        <v>2025</v>
      </c>
      <c r="E136" s="563"/>
      <c r="F136" s="563"/>
      <c r="G136" s="563"/>
      <c r="H136" s="763">
        <f>SUM(H137:H140)</f>
        <v>2025</v>
      </c>
      <c r="I136" s="563"/>
      <c r="J136" s="563"/>
      <c r="K136" s="2156" t="s">
        <v>1122</v>
      </c>
    </row>
    <row r="137" spans="1:11" s="801" customFormat="1" x14ac:dyDescent="0.2">
      <c r="A137" s="2231"/>
      <c r="B137" s="2233"/>
      <c r="C137" s="601">
        <v>2121</v>
      </c>
      <c r="D137" s="792">
        <v>116</v>
      </c>
      <c r="E137" s="563"/>
      <c r="F137" s="563"/>
      <c r="G137" s="563"/>
      <c r="H137" s="563">
        <f>D137+F137</f>
        <v>116</v>
      </c>
      <c r="I137" s="563"/>
      <c r="J137" s="563"/>
      <c r="K137" s="2157"/>
    </row>
    <row r="138" spans="1:11" s="801" customFormat="1" x14ac:dyDescent="0.2">
      <c r="A138" s="2231"/>
      <c r="B138" s="2233"/>
      <c r="C138" s="601">
        <v>2122</v>
      </c>
      <c r="D138" s="792">
        <v>49</v>
      </c>
      <c r="E138" s="563"/>
      <c r="F138" s="563"/>
      <c r="G138" s="563"/>
      <c r="H138" s="563">
        <f>D138+F138</f>
        <v>49</v>
      </c>
      <c r="I138" s="563"/>
      <c r="J138" s="563"/>
      <c r="K138" s="2157"/>
    </row>
    <row r="139" spans="1:11" s="801" customFormat="1" x14ac:dyDescent="0.2">
      <c r="A139" s="2231"/>
      <c r="B139" s="2233"/>
      <c r="C139" s="601">
        <v>2262</v>
      </c>
      <c r="D139" s="792">
        <v>860</v>
      </c>
      <c r="E139" s="563"/>
      <c r="F139" s="563"/>
      <c r="G139" s="563"/>
      <c r="H139" s="563">
        <f>D139+F139</f>
        <v>860</v>
      </c>
      <c r="I139" s="563"/>
      <c r="J139" s="563"/>
      <c r="K139" s="2157"/>
    </row>
    <row r="140" spans="1:11" s="801" customFormat="1" x14ac:dyDescent="0.2">
      <c r="A140" s="2231"/>
      <c r="B140" s="2233"/>
      <c r="C140" s="601">
        <v>2279</v>
      </c>
      <c r="D140" s="792">
        <v>1000</v>
      </c>
      <c r="E140" s="563"/>
      <c r="F140" s="563"/>
      <c r="G140" s="563"/>
      <c r="H140" s="563">
        <f>D140+F140</f>
        <v>1000</v>
      </c>
      <c r="I140" s="563"/>
      <c r="J140" s="563"/>
      <c r="K140" s="2157"/>
    </row>
    <row r="141" spans="1:11" s="801" customFormat="1" x14ac:dyDescent="0.2">
      <c r="A141" s="888">
        <v>7</v>
      </c>
      <c r="B141" s="889" t="s">
        <v>1162</v>
      </c>
      <c r="C141" s="751"/>
      <c r="D141" s="749">
        <f t="shared" ref="D141:I141" si="45">D142+D146+D150</f>
        <v>13089</v>
      </c>
      <c r="E141" s="749">
        <f t="shared" si="45"/>
        <v>0</v>
      </c>
      <c r="F141" s="749">
        <f t="shared" si="45"/>
        <v>0</v>
      </c>
      <c r="G141" s="749">
        <f t="shared" si="45"/>
        <v>0</v>
      </c>
      <c r="H141" s="749">
        <f t="shared" si="45"/>
        <v>13089</v>
      </c>
      <c r="I141" s="749">
        <f t="shared" si="45"/>
        <v>0</v>
      </c>
      <c r="J141" s="749"/>
      <c r="K141" s="876"/>
    </row>
    <row r="142" spans="1:11" s="801" customFormat="1" x14ac:dyDescent="0.2">
      <c r="A142" s="2214">
        <v>7.1</v>
      </c>
      <c r="B142" s="2215" t="s">
        <v>1139</v>
      </c>
      <c r="C142" s="601"/>
      <c r="D142" s="753">
        <f>SUM(D143:D145)</f>
        <v>6270</v>
      </c>
      <c r="E142" s="753">
        <f t="shared" ref="E142:I142" si="46">SUM(E143:E145)</f>
        <v>0</v>
      </c>
      <c r="F142" s="753">
        <f t="shared" si="46"/>
        <v>0</v>
      </c>
      <c r="G142" s="753">
        <f t="shared" si="46"/>
        <v>0</v>
      </c>
      <c r="H142" s="753">
        <f t="shared" si="46"/>
        <v>6270</v>
      </c>
      <c r="I142" s="753">
        <f t="shared" si="46"/>
        <v>0</v>
      </c>
      <c r="J142" s="753"/>
      <c r="K142" s="2141" t="s">
        <v>1119</v>
      </c>
    </row>
    <row r="143" spans="1:11" s="801" customFormat="1" x14ac:dyDescent="0.2">
      <c r="A143" s="2214"/>
      <c r="B143" s="2215"/>
      <c r="C143" s="601">
        <v>2262</v>
      </c>
      <c r="D143" s="792">
        <v>4080</v>
      </c>
      <c r="E143" s="563"/>
      <c r="F143" s="563"/>
      <c r="G143" s="563"/>
      <c r="H143" s="563">
        <f t="shared" ref="H143:I145" si="47">D143+F143</f>
        <v>4080</v>
      </c>
      <c r="I143" s="563">
        <f t="shared" si="47"/>
        <v>0</v>
      </c>
      <c r="J143" s="563"/>
      <c r="K143" s="2141"/>
    </row>
    <row r="144" spans="1:11" s="801" customFormat="1" x14ac:dyDescent="0.2">
      <c r="A144" s="2214"/>
      <c r="B144" s="2215"/>
      <c r="C144" s="601">
        <v>2279</v>
      </c>
      <c r="D144" s="792">
        <v>1000</v>
      </c>
      <c r="E144" s="563"/>
      <c r="F144" s="563"/>
      <c r="G144" s="563"/>
      <c r="H144" s="563">
        <f t="shared" si="47"/>
        <v>1000</v>
      </c>
      <c r="I144" s="563">
        <f t="shared" si="47"/>
        <v>0</v>
      </c>
      <c r="J144" s="563"/>
      <c r="K144" s="2141"/>
    </row>
    <row r="145" spans="1:11" s="801" customFormat="1" x14ac:dyDescent="0.2">
      <c r="A145" s="2214"/>
      <c r="B145" s="2215"/>
      <c r="C145" s="601">
        <v>2363</v>
      </c>
      <c r="D145" s="792">
        <v>1190</v>
      </c>
      <c r="E145" s="563"/>
      <c r="F145" s="563"/>
      <c r="G145" s="563"/>
      <c r="H145" s="563">
        <f t="shared" si="47"/>
        <v>1190</v>
      </c>
      <c r="I145" s="563">
        <f t="shared" si="47"/>
        <v>0</v>
      </c>
      <c r="J145" s="563"/>
      <c r="K145" s="2141"/>
    </row>
    <row r="146" spans="1:11" s="801" customFormat="1" x14ac:dyDescent="0.2">
      <c r="A146" s="2214">
        <v>7.2</v>
      </c>
      <c r="B146" s="2162" t="s">
        <v>1163</v>
      </c>
      <c r="C146" s="601"/>
      <c r="D146" s="753">
        <f>SUM(D147:D149)</f>
        <v>700</v>
      </c>
      <c r="E146" s="753">
        <f t="shared" ref="E146:I146" si="48">SUM(E147:E149)</f>
        <v>0</v>
      </c>
      <c r="F146" s="753">
        <f t="shared" si="48"/>
        <v>0</v>
      </c>
      <c r="G146" s="753">
        <f t="shared" si="48"/>
        <v>0</v>
      </c>
      <c r="H146" s="753">
        <f t="shared" si="48"/>
        <v>700</v>
      </c>
      <c r="I146" s="753">
        <f t="shared" si="48"/>
        <v>0</v>
      </c>
      <c r="J146" s="753"/>
      <c r="K146" s="2213" t="s">
        <v>1129</v>
      </c>
    </row>
    <row r="147" spans="1:11" s="801" customFormat="1" x14ac:dyDescent="0.2">
      <c r="A147" s="2214"/>
      <c r="B147" s="2162"/>
      <c r="C147" s="601">
        <v>2341</v>
      </c>
      <c r="D147" s="792">
        <v>50</v>
      </c>
      <c r="E147" s="763"/>
      <c r="F147" s="763"/>
      <c r="G147" s="763"/>
      <c r="H147" s="563">
        <f t="shared" ref="H147:I149" si="49">D147+F147</f>
        <v>50</v>
      </c>
      <c r="I147" s="563">
        <f t="shared" si="49"/>
        <v>0</v>
      </c>
      <c r="J147" s="763"/>
      <c r="K147" s="2213"/>
    </row>
    <row r="148" spans="1:11" s="801" customFormat="1" x14ac:dyDescent="0.2">
      <c r="A148" s="2214"/>
      <c r="B148" s="2162"/>
      <c r="C148" s="601">
        <v>2361</v>
      </c>
      <c r="D148" s="792">
        <v>500</v>
      </c>
      <c r="E148" s="881"/>
      <c r="F148" s="881"/>
      <c r="G148" s="881"/>
      <c r="H148" s="563">
        <f t="shared" si="49"/>
        <v>500</v>
      </c>
      <c r="I148" s="563">
        <f t="shared" si="49"/>
        <v>0</v>
      </c>
      <c r="J148" s="881"/>
      <c r="K148" s="2213"/>
    </row>
    <row r="149" spans="1:11" s="801" customFormat="1" x14ac:dyDescent="0.2">
      <c r="A149" s="2214"/>
      <c r="B149" s="2162"/>
      <c r="C149" s="596">
        <v>2370</v>
      </c>
      <c r="D149" s="879">
        <v>150</v>
      </c>
      <c r="E149" s="882"/>
      <c r="F149" s="879"/>
      <c r="G149" s="882"/>
      <c r="H149" s="598">
        <f t="shared" si="49"/>
        <v>150</v>
      </c>
      <c r="I149" s="598">
        <f t="shared" si="49"/>
        <v>0</v>
      </c>
      <c r="J149" s="882"/>
      <c r="K149" s="2213"/>
    </row>
    <row r="150" spans="1:11" s="801" customFormat="1" x14ac:dyDescent="0.2">
      <c r="A150" s="752" t="s">
        <v>1164</v>
      </c>
      <c r="B150" s="897" t="s">
        <v>1130</v>
      </c>
      <c r="C150" s="881"/>
      <c r="D150" s="753">
        <f>D151+D153</f>
        <v>6119</v>
      </c>
      <c r="E150" s="753">
        <f t="shared" ref="E150:I150" si="50">E151+E153</f>
        <v>0</v>
      </c>
      <c r="F150" s="753">
        <f t="shared" si="50"/>
        <v>0</v>
      </c>
      <c r="G150" s="753">
        <f t="shared" si="50"/>
        <v>0</v>
      </c>
      <c r="H150" s="753">
        <f t="shared" si="50"/>
        <v>6119</v>
      </c>
      <c r="I150" s="753">
        <f t="shared" si="50"/>
        <v>0</v>
      </c>
      <c r="J150" s="753"/>
      <c r="K150" s="876"/>
    </row>
    <row r="151" spans="1:11" s="801" customFormat="1" x14ac:dyDescent="0.2">
      <c r="A151" s="2075" t="s">
        <v>1165</v>
      </c>
      <c r="B151" s="2228" t="s">
        <v>1132</v>
      </c>
      <c r="C151" s="601"/>
      <c r="D151" s="753">
        <f>SUM(D152:D152)</f>
        <v>525</v>
      </c>
      <c r="E151" s="753">
        <f t="shared" ref="E151:I151" si="51">SUM(E152:E152)</f>
        <v>0</v>
      </c>
      <c r="F151" s="753">
        <f t="shared" si="51"/>
        <v>0</v>
      </c>
      <c r="G151" s="753">
        <f t="shared" si="51"/>
        <v>0</v>
      </c>
      <c r="H151" s="753">
        <f t="shared" si="51"/>
        <v>525</v>
      </c>
      <c r="I151" s="753">
        <f t="shared" si="51"/>
        <v>0</v>
      </c>
      <c r="J151" s="753"/>
      <c r="K151" s="2216" t="s">
        <v>1133</v>
      </c>
    </row>
    <row r="152" spans="1:11" s="801" customFormat="1" x14ac:dyDescent="0.2">
      <c r="A152" s="2075"/>
      <c r="B152" s="2228"/>
      <c r="C152" s="596">
        <v>2363</v>
      </c>
      <c r="D152" s="879">
        <v>525</v>
      </c>
      <c r="E152" s="879"/>
      <c r="F152" s="879"/>
      <c r="G152" s="879"/>
      <c r="H152" s="598">
        <f>D152+F152</f>
        <v>525</v>
      </c>
      <c r="I152" s="598">
        <f>E152+G152</f>
        <v>0</v>
      </c>
      <c r="J152" s="894"/>
      <c r="K152" s="2217"/>
    </row>
    <row r="153" spans="1:11" s="801" customFormat="1" x14ac:dyDescent="0.2">
      <c r="A153" s="2229" t="s">
        <v>1166</v>
      </c>
      <c r="B153" s="2061" t="s">
        <v>1135</v>
      </c>
      <c r="C153" s="601"/>
      <c r="D153" s="753">
        <f>SUM(D154:D158)</f>
        <v>5594</v>
      </c>
      <c r="E153" s="753">
        <f t="shared" ref="E153:I153" si="52">SUM(E154:E158)</f>
        <v>0</v>
      </c>
      <c r="F153" s="753">
        <f t="shared" si="52"/>
        <v>0</v>
      </c>
      <c r="G153" s="753">
        <f t="shared" si="52"/>
        <v>0</v>
      </c>
      <c r="H153" s="753">
        <f t="shared" si="52"/>
        <v>5594</v>
      </c>
      <c r="I153" s="753">
        <f t="shared" si="52"/>
        <v>0</v>
      </c>
      <c r="J153" s="753"/>
      <c r="K153" s="2216" t="s">
        <v>1133</v>
      </c>
    </row>
    <row r="154" spans="1:11" s="801" customFormat="1" x14ac:dyDescent="0.2">
      <c r="A154" s="2229"/>
      <c r="B154" s="2061"/>
      <c r="C154" s="596">
        <v>2111</v>
      </c>
      <c r="D154" s="879">
        <v>84</v>
      </c>
      <c r="E154" s="598"/>
      <c r="F154" s="598"/>
      <c r="G154" s="598"/>
      <c r="H154" s="598">
        <f t="shared" ref="H154:I158" si="53">D154+F154</f>
        <v>84</v>
      </c>
      <c r="I154" s="598">
        <f t="shared" si="53"/>
        <v>0</v>
      </c>
      <c r="J154" s="598"/>
      <c r="K154" s="2217"/>
    </row>
    <row r="155" spans="1:11" s="801" customFormat="1" x14ac:dyDescent="0.2">
      <c r="A155" s="2229"/>
      <c r="B155" s="2061"/>
      <c r="C155" s="596">
        <v>2261</v>
      </c>
      <c r="D155" s="879">
        <v>3640</v>
      </c>
      <c r="E155" s="598"/>
      <c r="F155" s="598"/>
      <c r="G155" s="598"/>
      <c r="H155" s="598">
        <f t="shared" si="53"/>
        <v>3640</v>
      </c>
      <c r="I155" s="598">
        <f t="shared" si="53"/>
        <v>0</v>
      </c>
      <c r="J155" s="879"/>
      <c r="K155" s="2217"/>
    </row>
    <row r="156" spans="1:11" s="801" customFormat="1" x14ac:dyDescent="0.2">
      <c r="A156" s="2229"/>
      <c r="B156" s="2061"/>
      <c r="C156" s="601">
        <v>2262</v>
      </c>
      <c r="D156" s="792">
        <v>350</v>
      </c>
      <c r="E156" s="563"/>
      <c r="F156" s="563"/>
      <c r="G156" s="563"/>
      <c r="H156" s="563">
        <f t="shared" si="53"/>
        <v>350</v>
      </c>
      <c r="I156" s="563">
        <f t="shared" si="53"/>
        <v>0</v>
      </c>
      <c r="J156" s="563"/>
      <c r="K156" s="2217"/>
    </row>
    <row r="157" spans="1:11" s="801" customFormat="1" x14ac:dyDescent="0.2">
      <c r="A157" s="2229"/>
      <c r="B157" s="2061"/>
      <c r="C157" s="601">
        <v>2341</v>
      </c>
      <c r="D157" s="792">
        <v>50</v>
      </c>
      <c r="E157" s="563"/>
      <c r="F157" s="563"/>
      <c r="G157" s="563"/>
      <c r="H157" s="563">
        <f t="shared" si="53"/>
        <v>50</v>
      </c>
      <c r="I157" s="563">
        <f t="shared" si="53"/>
        <v>0</v>
      </c>
      <c r="J157" s="563"/>
      <c r="K157" s="2217"/>
    </row>
    <row r="158" spans="1:11" s="801" customFormat="1" x14ac:dyDescent="0.2">
      <c r="A158" s="2229"/>
      <c r="B158" s="2061"/>
      <c r="C158" s="596">
        <v>2363</v>
      </c>
      <c r="D158" s="879">
        <v>1470</v>
      </c>
      <c r="E158" s="598"/>
      <c r="F158" s="598"/>
      <c r="G158" s="598"/>
      <c r="H158" s="598">
        <f t="shared" si="53"/>
        <v>1470</v>
      </c>
      <c r="I158" s="598">
        <f t="shared" si="53"/>
        <v>0</v>
      </c>
      <c r="J158" s="598"/>
      <c r="K158" s="2218"/>
    </row>
    <row r="159" spans="1:11" s="801" customFormat="1" x14ac:dyDescent="0.2">
      <c r="A159" s="888">
        <v>8</v>
      </c>
      <c r="B159" s="889" t="s">
        <v>1167</v>
      </c>
      <c r="C159" s="751"/>
      <c r="D159" s="749">
        <f>D160+D165+D169</f>
        <v>16760</v>
      </c>
      <c r="E159" s="749">
        <f t="shared" ref="E159:I159" si="54">E160+E165+E169</f>
        <v>0</v>
      </c>
      <c r="F159" s="749">
        <f t="shared" si="54"/>
        <v>0</v>
      </c>
      <c r="G159" s="749">
        <f t="shared" si="54"/>
        <v>0</v>
      </c>
      <c r="H159" s="749">
        <f t="shared" si="54"/>
        <v>16760</v>
      </c>
      <c r="I159" s="749">
        <f t="shared" si="54"/>
        <v>0</v>
      </c>
      <c r="J159" s="749"/>
      <c r="K159" s="876"/>
    </row>
    <row r="160" spans="1:11" s="801" customFormat="1" x14ac:dyDescent="0.2">
      <c r="A160" s="2214">
        <v>8.1</v>
      </c>
      <c r="B160" s="2215" t="s">
        <v>1139</v>
      </c>
      <c r="C160" s="881"/>
      <c r="D160" s="753">
        <f>SUM(D161:D164)</f>
        <v>6260</v>
      </c>
      <c r="E160" s="753">
        <f t="shared" ref="E160:I160" si="55">SUM(E161:E164)</f>
        <v>0</v>
      </c>
      <c r="F160" s="753">
        <f t="shared" si="55"/>
        <v>0</v>
      </c>
      <c r="G160" s="753">
        <f t="shared" si="55"/>
        <v>0</v>
      </c>
      <c r="H160" s="753">
        <f t="shared" si="55"/>
        <v>6260</v>
      </c>
      <c r="I160" s="753">
        <f t="shared" si="55"/>
        <v>0</v>
      </c>
      <c r="J160" s="753"/>
      <c r="K160" s="2141" t="s">
        <v>1119</v>
      </c>
    </row>
    <row r="161" spans="1:11" s="801" customFormat="1" x14ac:dyDescent="0.2">
      <c r="A161" s="2214"/>
      <c r="B161" s="2215"/>
      <c r="C161" s="596">
        <v>2261</v>
      </c>
      <c r="D161" s="879">
        <v>1440</v>
      </c>
      <c r="E161" s="598"/>
      <c r="F161" s="598"/>
      <c r="G161" s="598"/>
      <c r="H161" s="598">
        <f t="shared" ref="H161:I164" si="56">D161+F161</f>
        <v>1440</v>
      </c>
      <c r="I161" s="598">
        <f t="shared" si="56"/>
        <v>0</v>
      </c>
      <c r="J161" s="598"/>
      <c r="K161" s="2141"/>
    </row>
    <row r="162" spans="1:11" s="801" customFormat="1" x14ac:dyDescent="0.2">
      <c r="A162" s="2214"/>
      <c r="B162" s="2215"/>
      <c r="C162" s="601">
        <v>2262</v>
      </c>
      <c r="D162" s="792">
        <v>1280</v>
      </c>
      <c r="E162" s="563"/>
      <c r="F162" s="563"/>
      <c r="G162" s="563"/>
      <c r="H162" s="563">
        <f t="shared" si="56"/>
        <v>1280</v>
      </c>
      <c r="I162" s="563">
        <f t="shared" si="56"/>
        <v>0</v>
      </c>
      <c r="J162" s="563"/>
      <c r="K162" s="2141"/>
    </row>
    <row r="163" spans="1:11" s="801" customFormat="1" x14ac:dyDescent="0.2">
      <c r="A163" s="2214"/>
      <c r="B163" s="2215"/>
      <c r="C163" s="601">
        <v>2279</v>
      </c>
      <c r="D163" s="792">
        <v>2000</v>
      </c>
      <c r="E163" s="563"/>
      <c r="F163" s="563"/>
      <c r="G163" s="563"/>
      <c r="H163" s="563">
        <f t="shared" si="56"/>
        <v>2000</v>
      </c>
      <c r="I163" s="563">
        <f t="shared" si="56"/>
        <v>0</v>
      </c>
      <c r="J163" s="563"/>
      <c r="K163" s="2141"/>
    </row>
    <row r="164" spans="1:11" s="801" customFormat="1" x14ac:dyDescent="0.2">
      <c r="A164" s="2214"/>
      <c r="B164" s="2215"/>
      <c r="C164" s="596">
        <v>2363</v>
      </c>
      <c r="D164" s="879">
        <v>1540</v>
      </c>
      <c r="E164" s="598"/>
      <c r="F164" s="598"/>
      <c r="G164" s="598"/>
      <c r="H164" s="598">
        <f t="shared" si="56"/>
        <v>1540</v>
      </c>
      <c r="I164" s="598">
        <f t="shared" si="56"/>
        <v>0</v>
      </c>
      <c r="J164" s="598"/>
      <c r="K164" s="2141"/>
    </row>
    <row r="165" spans="1:11" s="801" customFormat="1" x14ac:dyDescent="0.2">
      <c r="A165" s="2214">
        <v>8.1999999999999993</v>
      </c>
      <c r="B165" s="2162" t="s">
        <v>1168</v>
      </c>
      <c r="C165" s="601"/>
      <c r="D165" s="753">
        <f>SUM(D166:D168)</f>
        <v>2570</v>
      </c>
      <c r="E165" s="753">
        <f t="shared" ref="E165:I165" si="57">SUM(E166:E168)</f>
        <v>0</v>
      </c>
      <c r="F165" s="753">
        <f t="shared" si="57"/>
        <v>0</v>
      </c>
      <c r="G165" s="753">
        <f t="shared" si="57"/>
        <v>0</v>
      </c>
      <c r="H165" s="753">
        <f t="shared" si="57"/>
        <v>2570</v>
      </c>
      <c r="I165" s="753">
        <f t="shared" si="57"/>
        <v>0</v>
      </c>
      <c r="J165" s="753"/>
      <c r="K165" s="2213" t="s">
        <v>1129</v>
      </c>
    </row>
    <row r="166" spans="1:11" s="801" customFormat="1" x14ac:dyDescent="0.2">
      <c r="A166" s="2214"/>
      <c r="B166" s="2162"/>
      <c r="C166" s="601">
        <v>2341</v>
      </c>
      <c r="D166" s="792">
        <v>50</v>
      </c>
      <c r="E166" s="763"/>
      <c r="F166" s="763"/>
      <c r="G166" s="763"/>
      <c r="H166" s="563">
        <f t="shared" ref="H166:I168" si="58">D166+F166</f>
        <v>50</v>
      </c>
      <c r="I166" s="563">
        <f t="shared" si="58"/>
        <v>0</v>
      </c>
      <c r="J166" s="763"/>
      <c r="K166" s="2213"/>
    </row>
    <row r="167" spans="1:11" s="801" customFormat="1" x14ac:dyDescent="0.2">
      <c r="A167" s="2214"/>
      <c r="B167" s="2162"/>
      <c r="C167" s="601">
        <v>2361</v>
      </c>
      <c r="D167" s="792">
        <v>1050</v>
      </c>
      <c r="E167" s="881"/>
      <c r="F167" s="881"/>
      <c r="G167" s="881"/>
      <c r="H167" s="563">
        <f t="shared" si="58"/>
        <v>1050</v>
      </c>
      <c r="I167" s="563">
        <f t="shared" si="58"/>
        <v>0</v>
      </c>
      <c r="J167" s="881"/>
      <c r="K167" s="2213"/>
    </row>
    <row r="168" spans="1:11" s="801" customFormat="1" x14ac:dyDescent="0.2">
      <c r="A168" s="2214"/>
      <c r="B168" s="2162"/>
      <c r="C168" s="601">
        <v>2370</v>
      </c>
      <c r="D168" s="792">
        <v>1470</v>
      </c>
      <c r="E168" s="881"/>
      <c r="F168" s="881"/>
      <c r="G168" s="881"/>
      <c r="H168" s="563">
        <f t="shared" si="58"/>
        <v>1470</v>
      </c>
      <c r="I168" s="563">
        <f t="shared" si="58"/>
        <v>0</v>
      </c>
      <c r="J168" s="881"/>
      <c r="K168" s="2213"/>
    </row>
    <row r="169" spans="1:11" s="801" customFormat="1" x14ac:dyDescent="0.2">
      <c r="A169" s="752" t="s">
        <v>1169</v>
      </c>
      <c r="B169" s="897" t="s">
        <v>1130</v>
      </c>
      <c r="C169" s="901"/>
      <c r="D169" s="749">
        <f>D170+D173</f>
        <v>7930</v>
      </c>
      <c r="E169" s="749">
        <f t="shared" ref="E169:I169" si="59">E170+E173</f>
        <v>0</v>
      </c>
      <c r="F169" s="749">
        <f t="shared" si="59"/>
        <v>0</v>
      </c>
      <c r="G169" s="749">
        <f t="shared" si="59"/>
        <v>0</v>
      </c>
      <c r="H169" s="749">
        <f t="shared" si="59"/>
        <v>7930</v>
      </c>
      <c r="I169" s="749">
        <f t="shared" si="59"/>
        <v>0</v>
      </c>
      <c r="J169" s="749"/>
      <c r="K169" s="876"/>
    </row>
    <row r="170" spans="1:11" s="801" customFormat="1" x14ac:dyDescent="0.2">
      <c r="A170" s="2075" t="s">
        <v>1170</v>
      </c>
      <c r="B170" s="2061" t="s">
        <v>1132</v>
      </c>
      <c r="C170" s="751"/>
      <c r="D170" s="749">
        <f>SUM(D171:D172)</f>
        <v>2850</v>
      </c>
      <c r="E170" s="749">
        <f t="shared" ref="E170:I170" si="60">SUM(E171:E172)</f>
        <v>0</v>
      </c>
      <c r="F170" s="749">
        <f t="shared" si="60"/>
        <v>0</v>
      </c>
      <c r="G170" s="749">
        <f t="shared" si="60"/>
        <v>0</v>
      </c>
      <c r="H170" s="749">
        <f t="shared" si="60"/>
        <v>2850</v>
      </c>
      <c r="I170" s="749">
        <f t="shared" si="60"/>
        <v>0</v>
      </c>
      <c r="J170" s="749"/>
      <c r="K170" s="2225" t="s">
        <v>1133</v>
      </c>
    </row>
    <row r="171" spans="1:11" s="801" customFormat="1" x14ac:dyDescent="0.2">
      <c r="A171" s="2075"/>
      <c r="B171" s="2061"/>
      <c r="C171" s="893">
        <v>2341</v>
      </c>
      <c r="D171" s="894">
        <v>50</v>
      </c>
      <c r="E171" s="894"/>
      <c r="F171" s="894"/>
      <c r="G171" s="894"/>
      <c r="H171" s="598">
        <f t="shared" ref="H171:I172" si="61">D171+F171</f>
        <v>50</v>
      </c>
      <c r="I171" s="598">
        <f t="shared" si="61"/>
        <v>0</v>
      </c>
      <c r="J171" s="894"/>
      <c r="K171" s="2226"/>
    </row>
    <row r="172" spans="1:11" s="801" customFormat="1" x14ac:dyDescent="0.2">
      <c r="A172" s="2075"/>
      <c r="B172" s="2061"/>
      <c r="C172" s="751">
        <v>2363</v>
      </c>
      <c r="D172" s="896">
        <v>2800</v>
      </c>
      <c r="E172" s="896"/>
      <c r="F172" s="896"/>
      <c r="G172" s="896"/>
      <c r="H172" s="563">
        <f t="shared" si="61"/>
        <v>2800</v>
      </c>
      <c r="I172" s="563">
        <f t="shared" si="61"/>
        <v>0</v>
      </c>
      <c r="J172" s="896"/>
      <c r="K172" s="2227"/>
    </row>
    <row r="173" spans="1:11" s="801" customFormat="1" x14ac:dyDescent="0.2">
      <c r="A173" s="2194" t="s">
        <v>1171</v>
      </c>
      <c r="B173" s="2061" t="s">
        <v>1135</v>
      </c>
      <c r="C173" s="751"/>
      <c r="D173" s="749">
        <f t="shared" ref="D173:I173" si="62">SUM(D174:D177)</f>
        <v>5080</v>
      </c>
      <c r="E173" s="749">
        <f t="shared" si="62"/>
        <v>0</v>
      </c>
      <c r="F173" s="749">
        <f t="shared" si="62"/>
        <v>0</v>
      </c>
      <c r="G173" s="749">
        <f t="shared" si="62"/>
        <v>0</v>
      </c>
      <c r="H173" s="749">
        <f t="shared" si="62"/>
        <v>5080</v>
      </c>
      <c r="I173" s="749">
        <f t="shared" si="62"/>
        <v>0</v>
      </c>
      <c r="J173" s="749"/>
      <c r="K173" s="2225" t="s">
        <v>1133</v>
      </c>
    </row>
    <row r="174" spans="1:11" s="801" customFormat="1" x14ac:dyDescent="0.2">
      <c r="A174" s="2195"/>
      <c r="B174" s="2061"/>
      <c r="C174" s="893">
        <v>2111</v>
      </c>
      <c r="D174" s="894">
        <v>180</v>
      </c>
      <c r="E174" s="894"/>
      <c r="F174" s="894"/>
      <c r="G174" s="894"/>
      <c r="H174" s="598">
        <f t="shared" ref="H174:I177" si="63">D174+F174</f>
        <v>180</v>
      </c>
      <c r="I174" s="598">
        <f t="shared" si="63"/>
        <v>0</v>
      </c>
      <c r="J174" s="894"/>
      <c r="K174" s="2226"/>
    </row>
    <row r="175" spans="1:11" s="801" customFormat="1" x14ac:dyDescent="0.2">
      <c r="A175" s="2195"/>
      <c r="B175" s="2061"/>
      <c r="C175" s="751">
        <v>2261</v>
      </c>
      <c r="D175" s="896">
        <v>2400</v>
      </c>
      <c r="E175" s="896"/>
      <c r="F175" s="896"/>
      <c r="G175" s="896"/>
      <c r="H175" s="563">
        <f t="shared" si="63"/>
        <v>2400</v>
      </c>
      <c r="I175" s="563">
        <f t="shared" si="63"/>
        <v>0</v>
      </c>
      <c r="J175" s="896"/>
      <c r="K175" s="2226"/>
    </row>
    <row r="176" spans="1:11" s="801" customFormat="1" x14ac:dyDescent="0.2">
      <c r="A176" s="2195"/>
      <c r="B176" s="2061"/>
      <c r="C176" s="751">
        <v>2262</v>
      </c>
      <c r="D176" s="896">
        <v>400</v>
      </c>
      <c r="E176" s="896"/>
      <c r="F176" s="896"/>
      <c r="G176" s="896"/>
      <c r="H176" s="563">
        <f t="shared" si="63"/>
        <v>400</v>
      </c>
      <c r="I176" s="563">
        <f t="shared" si="63"/>
        <v>0</v>
      </c>
      <c r="J176" s="896"/>
      <c r="K176" s="2226"/>
    </row>
    <row r="177" spans="1:11" s="801" customFormat="1" x14ac:dyDescent="0.2">
      <c r="A177" s="2195"/>
      <c r="B177" s="2061"/>
      <c r="C177" s="893">
        <v>2363</v>
      </c>
      <c r="D177" s="894">
        <v>2100</v>
      </c>
      <c r="E177" s="894"/>
      <c r="F177" s="894"/>
      <c r="G177" s="894"/>
      <c r="H177" s="598">
        <f t="shared" si="63"/>
        <v>2100</v>
      </c>
      <c r="I177" s="598">
        <f t="shared" si="63"/>
        <v>0</v>
      </c>
      <c r="J177" s="894"/>
      <c r="K177" s="2226"/>
    </row>
    <row r="178" spans="1:11" s="801" customFormat="1" x14ac:dyDescent="0.2">
      <c r="A178" s="888">
        <v>9</v>
      </c>
      <c r="B178" s="889" t="s">
        <v>1172</v>
      </c>
      <c r="C178" s="749"/>
      <c r="D178" s="749">
        <f>D179+D184+D188</f>
        <v>28018</v>
      </c>
      <c r="E178" s="749">
        <f t="shared" ref="E178:I178" si="64">E179+E184+E188</f>
        <v>0</v>
      </c>
      <c r="F178" s="749">
        <f>F179+F184+F188</f>
        <v>0</v>
      </c>
      <c r="G178" s="749">
        <f t="shared" si="64"/>
        <v>0</v>
      </c>
      <c r="H178" s="749">
        <f t="shared" si="64"/>
        <v>28018</v>
      </c>
      <c r="I178" s="749">
        <f t="shared" si="64"/>
        <v>0</v>
      </c>
      <c r="J178" s="749"/>
      <c r="K178" s="876"/>
    </row>
    <row r="179" spans="1:11" s="801" customFormat="1" x14ac:dyDescent="0.2">
      <c r="A179" s="2214">
        <v>9.1</v>
      </c>
      <c r="B179" s="2215" t="s">
        <v>1139</v>
      </c>
      <c r="C179" s="601"/>
      <c r="D179" s="753">
        <f>SUM(D180:D183)</f>
        <v>12450</v>
      </c>
      <c r="E179" s="753">
        <f t="shared" ref="E179:I179" si="65">SUM(E180:E183)</f>
        <v>0</v>
      </c>
      <c r="F179" s="753">
        <f t="shared" si="65"/>
        <v>0</v>
      </c>
      <c r="G179" s="753">
        <f t="shared" si="65"/>
        <v>0</v>
      </c>
      <c r="H179" s="753">
        <f t="shared" si="65"/>
        <v>12450</v>
      </c>
      <c r="I179" s="753">
        <f t="shared" si="65"/>
        <v>0</v>
      </c>
      <c r="J179" s="753"/>
      <c r="K179" s="2141" t="s">
        <v>1119</v>
      </c>
    </row>
    <row r="180" spans="1:11" s="801" customFormat="1" x14ac:dyDescent="0.2">
      <c r="A180" s="2214"/>
      <c r="B180" s="2215"/>
      <c r="C180" s="601">
        <v>2261</v>
      </c>
      <c r="D180" s="792">
        <v>1200</v>
      </c>
      <c r="E180" s="563"/>
      <c r="F180" s="563"/>
      <c r="G180" s="563"/>
      <c r="H180" s="563">
        <f t="shared" ref="H180:I183" si="66">D180+F180</f>
        <v>1200</v>
      </c>
      <c r="I180" s="563">
        <f t="shared" si="66"/>
        <v>0</v>
      </c>
      <c r="J180" s="563"/>
      <c r="K180" s="2141"/>
    </row>
    <row r="181" spans="1:11" s="801" customFormat="1" x14ac:dyDescent="0.2">
      <c r="A181" s="2214"/>
      <c r="B181" s="2215"/>
      <c r="C181" s="601">
        <v>2262</v>
      </c>
      <c r="D181" s="792">
        <v>4680</v>
      </c>
      <c r="E181" s="563"/>
      <c r="F181" s="563"/>
      <c r="G181" s="563"/>
      <c r="H181" s="563">
        <f t="shared" si="66"/>
        <v>4680</v>
      </c>
      <c r="I181" s="563">
        <f t="shared" si="66"/>
        <v>0</v>
      </c>
      <c r="J181" s="563"/>
      <c r="K181" s="2141"/>
    </row>
    <row r="182" spans="1:11" s="801" customFormat="1" x14ac:dyDescent="0.2">
      <c r="A182" s="2214"/>
      <c r="B182" s="2215"/>
      <c r="C182" s="596">
        <v>2279</v>
      </c>
      <c r="D182" s="879">
        <v>4855</v>
      </c>
      <c r="E182" s="598"/>
      <c r="F182" s="598"/>
      <c r="G182" s="598"/>
      <c r="H182" s="598">
        <f t="shared" si="66"/>
        <v>4855</v>
      </c>
      <c r="I182" s="598">
        <f t="shared" si="66"/>
        <v>0</v>
      </c>
      <c r="J182" s="598"/>
      <c r="K182" s="2141"/>
    </row>
    <row r="183" spans="1:11" s="801" customFormat="1" x14ac:dyDescent="0.2">
      <c r="A183" s="2214"/>
      <c r="B183" s="2215"/>
      <c r="C183" s="596">
        <v>2363</v>
      </c>
      <c r="D183" s="879">
        <v>1715</v>
      </c>
      <c r="E183" s="598"/>
      <c r="F183" s="598"/>
      <c r="G183" s="598"/>
      <c r="H183" s="598">
        <f t="shared" si="66"/>
        <v>1715</v>
      </c>
      <c r="I183" s="598">
        <f t="shared" si="66"/>
        <v>0</v>
      </c>
      <c r="J183" s="598"/>
      <c r="K183" s="2141"/>
    </row>
    <row r="184" spans="1:11" s="801" customFormat="1" ht="11.25" customHeight="1" x14ac:dyDescent="0.2">
      <c r="A184" s="2214">
        <v>9.1999999999999993</v>
      </c>
      <c r="B184" s="2162" t="s">
        <v>1173</v>
      </c>
      <c r="C184" s="601"/>
      <c r="D184" s="753">
        <f>SUM(D185:D187)</f>
        <v>2140</v>
      </c>
      <c r="E184" s="753">
        <f t="shared" ref="E184:I184" si="67">SUM(E185:E187)</f>
        <v>0</v>
      </c>
      <c r="F184" s="753">
        <f t="shared" si="67"/>
        <v>0</v>
      </c>
      <c r="G184" s="753">
        <f t="shared" si="67"/>
        <v>0</v>
      </c>
      <c r="H184" s="753">
        <f t="shared" si="67"/>
        <v>2140</v>
      </c>
      <c r="I184" s="753">
        <f t="shared" si="67"/>
        <v>0</v>
      </c>
      <c r="J184" s="753"/>
      <c r="K184" s="2213" t="s">
        <v>1129</v>
      </c>
    </row>
    <row r="185" spans="1:11" s="801" customFormat="1" ht="11.25" customHeight="1" x14ac:dyDescent="0.2">
      <c r="A185" s="2214"/>
      <c r="B185" s="2162"/>
      <c r="C185" s="601">
        <v>2341</v>
      </c>
      <c r="D185" s="792">
        <v>100</v>
      </c>
      <c r="E185" s="763"/>
      <c r="F185" s="763"/>
      <c r="G185" s="763"/>
      <c r="H185" s="563">
        <f t="shared" ref="H185:I187" si="68">D185+F185</f>
        <v>100</v>
      </c>
      <c r="I185" s="563">
        <f t="shared" si="68"/>
        <v>0</v>
      </c>
      <c r="J185" s="763"/>
      <c r="K185" s="2213"/>
    </row>
    <row r="186" spans="1:11" s="801" customFormat="1" ht="11.25" customHeight="1" x14ac:dyDescent="0.2">
      <c r="A186" s="2214"/>
      <c r="B186" s="2162"/>
      <c r="C186" s="601">
        <v>2361</v>
      </c>
      <c r="D186" s="792">
        <v>1200</v>
      </c>
      <c r="E186" s="881"/>
      <c r="F186" s="881"/>
      <c r="G186" s="881"/>
      <c r="H186" s="563">
        <f t="shared" si="68"/>
        <v>1200</v>
      </c>
      <c r="I186" s="563">
        <f t="shared" si="68"/>
        <v>0</v>
      </c>
      <c r="J186" s="881"/>
      <c r="K186" s="2213"/>
    </row>
    <row r="187" spans="1:11" s="801" customFormat="1" x14ac:dyDescent="0.2">
      <c r="A187" s="2214"/>
      <c r="B187" s="2162"/>
      <c r="C187" s="596">
        <v>2370</v>
      </c>
      <c r="D187" s="879">
        <v>840</v>
      </c>
      <c r="E187" s="882"/>
      <c r="F187" s="879"/>
      <c r="G187" s="882"/>
      <c r="H187" s="598">
        <f t="shared" si="68"/>
        <v>840</v>
      </c>
      <c r="I187" s="598">
        <f t="shared" si="68"/>
        <v>0</v>
      </c>
      <c r="J187" s="882"/>
      <c r="K187" s="2213"/>
    </row>
    <row r="188" spans="1:11" s="801" customFormat="1" x14ac:dyDescent="0.2">
      <c r="A188" s="752" t="s">
        <v>1174</v>
      </c>
      <c r="B188" s="897" t="s">
        <v>1130</v>
      </c>
      <c r="C188" s="601"/>
      <c r="D188" s="753">
        <f>D189+D196+D200+D204</f>
        <v>13428</v>
      </c>
      <c r="E188" s="753">
        <f>E189+E196+E200</f>
        <v>0</v>
      </c>
      <c r="F188" s="753">
        <f>F189+F196+F200+F204</f>
        <v>0</v>
      </c>
      <c r="G188" s="753">
        <f>G189+G196+G200</f>
        <v>0</v>
      </c>
      <c r="H188" s="753">
        <f>H189+H196+H200+H204</f>
        <v>13428</v>
      </c>
      <c r="I188" s="753">
        <f>I189+I196+I200</f>
        <v>0</v>
      </c>
      <c r="J188" s="753"/>
      <c r="K188" s="876"/>
    </row>
    <row r="189" spans="1:11" s="801" customFormat="1" x14ac:dyDescent="0.2">
      <c r="A189" s="2075" t="s">
        <v>1175</v>
      </c>
      <c r="B189" s="2061" t="s">
        <v>1176</v>
      </c>
      <c r="C189" s="881"/>
      <c r="D189" s="753">
        <f>SUM(D190:D195)</f>
        <v>3368</v>
      </c>
      <c r="E189" s="753">
        <f t="shared" ref="E189:I189" si="69">SUM(E190:E195)</f>
        <v>0</v>
      </c>
      <c r="F189" s="753">
        <f t="shared" si="69"/>
        <v>0</v>
      </c>
      <c r="G189" s="753">
        <f t="shared" si="69"/>
        <v>0</v>
      </c>
      <c r="H189" s="753">
        <f t="shared" si="69"/>
        <v>3368</v>
      </c>
      <c r="I189" s="753">
        <f t="shared" si="69"/>
        <v>0</v>
      </c>
      <c r="J189" s="753"/>
      <c r="K189" s="2216" t="s">
        <v>1177</v>
      </c>
    </row>
    <row r="190" spans="1:11" s="801" customFormat="1" x14ac:dyDescent="0.2">
      <c r="A190" s="2075"/>
      <c r="B190" s="2061"/>
      <c r="C190" s="601">
        <v>2121</v>
      </c>
      <c r="D190" s="792">
        <v>406</v>
      </c>
      <c r="E190" s="792"/>
      <c r="F190" s="792"/>
      <c r="G190" s="792"/>
      <c r="H190" s="563">
        <f t="shared" ref="H190:I195" si="70">D190+F190</f>
        <v>406</v>
      </c>
      <c r="I190" s="563">
        <f t="shared" si="70"/>
        <v>0</v>
      </c>
      <c r="J190" s="792"/>
      <c r="K190" s="2217"/>
    </row>
    <row r="191" spans="1:11" s="801" customFormat="1" x14ac:dyDescent="0.2">
      <c r="A191" s="2075"/>
      <c r="B191" s="2061"/>
      <c r="C191" s="601">
        <v>2122</v>
      </c>
      <c r="D191" s="792">
        <v>112</v>
      </c>
      <c r="E191" s="792"/>
      <c r="F191" s="792"/>
      <c r="G191" s="792"/>
      <c r="H191" s="563">
        <f t="shared" si="70"/>
        <v>112</v>
      </c>
      <c r="I191" s="563">
        <f t="shared" si="70"/>
        <v>0</v>
      </c>
      <c r="J191" s="792"/>
      <c r="K191" s="2217"/>
    </row>
    <row r="192" spans="1:11" s="801" customFormat="1" x14ac:dyDescent="0.2">
      <c r="A192" s="2075"/>
      <c r="B192" s="2061"/>
      <c r="C192" s="601">
        <v>2261</v>
      </c>
      <c r="D192" s="792">
        <v>1120</v>
      </c>
      <c r="E192" s="792"/>
      <c r="F192" s="792"/>
      <c r="G192" s="792"/>
      <c r="H192" s="563">
        <f t="shared" si="70"/>
        <v>1120</v>
      </c>
      <c r="I192" s="563">
        <f t="shared" si="70"/>
        <v>0</v>
      </c>
      <c r="J192" s="792"/>
      <c r="K192" s="2217"/>
    </row>
    <row r="193" spans="1:11" s="801" customFormat="1" x14ac:dyDescent="0.2">
      <c r="A193" s="2075"/>
      <c r="B193" s="2061"/>
      <c r="C193" s="601">
        <v>2262</v>
      </c>
      <c r="D193" s="792">
        <v>700</v>
      </c>
      <c r="E193" s="792"/>
      <c r="F193" s="792"/>
      <c r="G193" s="792"/>
      <c r="H193" s="563">
        <f t="shared" si="70"/>
        <v>700</v>
      </c>
      <c r="I193" s="563">
        <f t="shared" si="70"/>
        <v>0</v>
      </c>
      <c r="J193" s="792"/>
      <c r="K193" s="2217"/>
    </row>
    <row r="194" spans="1:11" s="801" customFormat="1" x14ac:dyDescent="0.2">
      <c r="A194" s="2075"/>
      <c r="B194" s="2061"/>
      <c r="C194" s="601">
        <v>2341</v>
      </c>
      <c r="D194" s="792">
        <v>50</v>
      </c>
      <c r="E194" s="792"/>
      <c r="F194" s="792"/>
      <c r="G194" s="792"/>
      <c r="H194" s="563">
        <f t="shared" si="70"/>
        <v>50</v>
      </c>
      <c r="I194" s="563">
        <f t="shared" si="70"/>
        <v>0</v>
      </c>
      <c r="J194" s="792"/>
      <c r="K194" s="2217"/>
    </row>
    <row r="195" spans="1:11" s="801" customFormat="1" x14ac:dyDescent="0.2">
      <c r="A195" s="2075"/>
      <c r="B195" s="2061"/>
      <c r="C195" s="601">
        <v>2363</v>
      </c>
      <c r="D195" s="792">
        <v>980</v>
      </c>
      <c r="E195" s="792"/>
      <c r="F195" s="792"/>
      <c r="G195" s="792"/>
      <c r="H195" s="563">
        <f t="shared" si="70"/>
        <v>980</v>
      </c>
      <c r="I195" s="563">
        <f t="shared" si="70"/>
        <v>0</v>
      </c>
      <c r="J195" s="792"/>
      <c r="K195" s="2218"/>
    </row>
    <row r="196" spans="1:11" s="801" customFormat="1" x14ac:dyDescent="0.2">
      <c r="A196" s="2075" t="s">
        <v>1178</v>
      </c>
      <c r="B196" s="2061" t="s">
        <v>1179</v>
      </c>
      <c r="C196" s="601"/>
      <c r="D196" s="753">
        <f>SUM(D197:D199)</f>
        <v>3160</v>
      </c>
      <c r="E196" s="753">
        <f t="shared" ref="E196:I196" si="71">SUM(E197:E199)</f>
        <v>0</v>
      </c>
      <c r="F196" s="753">
        <f t="shared" si="71"/>
        <v>0</v>
      </c>
      <c r="G196" s="753">
        <f t="shared" si="71"/>
        <v>0</v>
      </c>
      <c r="H196" s="753">
        <f t="shared" si="71"/>
        <v>3160</v>
      </c>
      <c r="I196" s="753">
        <f t="shared" si="71"/>
        <v>0</v>
      </c>
      <c r="J196" s="753"/>
      <c r="K196" s="2216" t="s">
        <v>1133</v>
      </c>
    </row>
    <row r="197" spans="1:11" s="801" customFormat="1" x14ac:dyDescent="0.2">
      <c r="A197" s="2075"/>
      <c r="B197" s="2061"/>
      <c r="C197" s="596">
        <v>2262</v>
      </c>
      <c r="D197" s="879">
        <v>200</v>
      </c>
      <c r="E197" s="879"/>
      <c r="F197" s="879"/>
      <c r="G197" s="879"/>
      <c r="H197" s="598">
        <f t="shared" ref="H197:I199" si="72">D197+F197</f>
        <v>200</v>
      </c>
      <c r="I197" s="598">
        <f t="shared" si="72"/>
        <v>0</v>
      </c>
      <c r="J197" s="894"/>
      <c r="K197" s="2217"/>
    </row>
    <row r="198" spans="1:11" s="801" customFormat="1" x14ac:dyDescent="0.2">
      <c r="A198" s="2075"/>
      <c r="B198" s="2061"/>
      <c r="C198" s="596">
        <v>2279</v>
      </c>
      <c r="D198" s="879">
        <v>160</v>
      </c>
      <c r="E198" s="879"/>
      <c r="F198" s="879"/>
      <c r="G198" s="879"/>
      <c r="H198" s="598">
        <f t="shared" si="72"/>
        <v>160</v>
      </c>
      <c r="I198" s="598">
        <f t="shared" si="72"/>
        <v>0</v>
      </c>
      <c r="J198" s="879"/>
      <c r="K198" s="2217"/>
    </row>
    <row r="199" spans="1:11" s="801" customFormat="1" x14ac:dyDescent="0.2">
      <c r="A199" s="2075"/>
      <c r="B199" s="2061"/>
      <c r="C199" s="601">
        <v>2363</v>
      </c>
      <c r="D199" s="792">
        <v>2800</v>
      </c>
      <c r="E199" s="792"/>
      <c r="F199" s="792"/>
      <c r="G199" s="792"/>
      <c r="H199" s="563">
        <f t="shared" si="72"/>
        <v>2800</v>
      </c>
      <c r="I199" s="563">
        <f t="shared" si="72"/>
        <v>0</v>
      </c>
      <c r="J199" s="792"/>
      <c r="K199" s="2218"/>
    </row>
    <row r="200" spans="1:11" s="801" customFormat="1" x14ac:dyDescent="0.2">
      <c r="A200" s="2075" t="s">
        <v>1180</v>
      </c>
      <c r="B200" s="2061" t="s">
        <v>1181</v>
      </c>
      <c r="C200" s="601"/>
      <c r="D200" s="753">
        <f>SUM(D201:D203)</f>
        <v>3160</v>
      </c>
      <c r="E200" s="753">
        <f t="shared" ref="E200:I200" si="73">SUM(E201:E203)</f>
        <v>0</v>
      </c>
      <c r="F200" s="753">
        <f t="shared" si="73"/>
        <v>0</v>
      </c>
      <c r="G200" s="753">
        <f t="shared" si="73"/>
        <v>0</v>
      </c>
      <c r="H200" s="753">
        <f t="shared" si="73"/>
        <v>3160</v>
      </c>
      <c r="I200" s="753">
        <f t="shared" si="73"/>
        <v>0</v>
      </c>
      <c r="J200" s="753"/>
      <c r="K200" s="2216" t="s">
        <v>1133</v>
      </c>
    </row>
    <row r="201" spans="1:11" s="801" customFormat="1" x14ac:dyDescent="0.2">
      <c r="A201" s="2075"/>
      <c r="B201" s="2061"/>
      <c r="C201" s="596">
        <v>2262</v>
      </c>
      <c r="D201" s="879">
        <v>200</v>
      </c>
      <c r="E201" s="879"/>
      <c r="F201" s="879"/>
      <c r="G201" s="879"/>
      <c r="H201" s="598">
        <f t="shared" ref="H201:I203" si="74">D201+F201</f>
        <v>200</v>
      </c>
      <c r="I201" s="598">
        <f t="shared" si="74"/>
        <v>0</v>
      </c>
      <c r="J201" s="894"/>
      <c r="K201" s="2217"/>
    </row>
    <row r="202" spans="1:11" s="801" customFormat="1" x14ac:dyDescent="0.2">
      <c r="A202" s="2075"/>
      <c r="B202" s="2061"/>
      <c r="C202" s="596">
        <v>2279</v>
      </c>
      <c r="D202" s="879">
        <v>160</v>
      </c>
      <c r="E202" s="879"/>
      <c r="F202" s="879"/>
      <c r="G202" s="879"/>
      <c r="H202" s="598">
        <f t="shared" si="74"/>
        <v>160</v>
      </c>
      <c r="I202" s="598">
        <f t="shared" si="74"/>
        <v>0</v>
      </c>
      <c r="J202" s="879"/>
      <c r="K202" s="2217"/>
    </row>
    <row r="203" spans="1:11" s="801" customFormat="1" x14ac:dyDescent="0.2">
      <c r="A203" s="2075"/>
      <c r="B203" s="2061"/>
      <c r="C203" s="601">
        <v>2363</v>
      </c>
      <c r="D203" s="792">
        <v>2800</v>
      </c>
      <c r="E203" s="792"/>
      <c r="F203" s="792"/>
      <c r="G203" s="792"/>
      <c r="H203" s="563">
        <f t="shared" si="74"/>
        <v>2800</v>
      </c>
      <c r="I203" s="563">
        <f t="shared" si="74"/>
        <v>0</v>
      </c>
      <c r="J203" s="792"/>
      <c r="K203" s="2218"/>
    </row>
    <row r="204" spans="1:11" s="801" customFormat="1" x14ac:dyDescent="0.2">
      <c r="A204" s="2220" t="s">
        <v>1182</v>
      </c>
      <c r="B204" s="2063" t="s">
        <v>1183</v>
      </c>
      <c r="C204" s="601"/>
      <c r="D204" s="753">
        <f>SUM(D205:D208)</f>
        <v>3740</v>
      </c>
      <c r="E204" s="753">
        <f t="shared" ref="E204:G204" si="75">SUM(E205:E207)</f>
        <v>0</v>
      </c>
      <c r="F204" s="753">
        <f t="shared" si="75"/>
        <v>0</v>
      </c>
      <c r="G204" s="753">
        <f t="shared" si="75"/>
        <v>0</v>
      </c>
      <c r="H204" s="753">
        <f>SUM(H205:H208)</f>
        <v>3740</v>
      </c>
      <c r="I204" s="563">
        <v>0</v>
      </c>
      <c r="J204" s="792"/>
      <c r="K204" s="902"/>
    </row>
    <row r="205" spans="1:11" s="801" customFormat="1" x14ac:dyDescent="0.2">
      <c r="A205" s="2221"/>
      <c r="B205" s="2223"/>
      <c r="C205" s="596">
        <v>2121</v>
      </c>
      <c r="D205" s="879">
        <v>580</v>
      </c>
      <c r="E205" s="879"/>
      <c r="F205" s="879"/>
      <c r="G205" s="879"/>
      <c r="H205" s="598">
        <f>D205+F205</f>
        <v>580</v>
      </c>
      <c r="I205" s="598">
        <v>0</v>
      </c>
      <c r="J205" s="879"/>
      <c r="K205" s="2216" t="s">
        <v>1177</v>
      </c>
    </row>
    <row r="206" spans="1:11" s="801" customFormat="1" x14ac:dyDescent="0.2">
      <c r="A206" s="2221"/>
      <c r="B206" s="2223"/>
      <c r="C206" s="601">
        <v>2122</v>
      </c>
      <c r="D206" s="792">
        <v>160</v>
      </c>
      <c r="E206" s="792"/>
      <c r="F206" s="792"/>
      <c r="G206" s="792"/>
      <c r="H206" s="563">
        <f>D206+F206</f>
        <v>160</v>
      </c>
      <c r="I206" s="563">
        <v>0</v>
      </c>
      <c r="J206" s="792"/>
      <c r="K206" s="2217"/>
    </row>
    <row r="207" spans="1:11" s="801" customFormat="1" x14ac:dyDescent="0.2">
      <c r="A207" s="2221"/>
      <c r="B207" s="2223"/>
      <c r="C207" s="601">
        <v>2261</v>
      </c>
      <c r="D207" s="792">
        <v>1600</v>
      </c>
      <c r="E207" s="792"/>
      <c r="F207" s="792"/>
      <c r="G207" s="792"/>
      <c r="H207" s="563">
        <f>D207+F207</f>
        <v>1600</v>
      </c>
      <c r="I207" s="563">
        <v>0</v>
      </c>
      <c r="J207" s="792"/>
      <c r="K207" s="2217"/>
    </row>
    <row r="208" spans="1:11" s="801" customFormat="1" x14ac:dyDescent="0.2">
      <c r="A208" s="2222"/>
      <c r="B208" s="2224"/>
      <c r="C208" s="601">
        <v>2363</v>
      </c>
      <c r="D208" s="792">
        <v>1400</v>
      </c>
      <c r="E208" s="792"/>
      <c r="F208" s="792"/>
      <c r="G208" s="792"/>
      <c r="H208" s="563">
        <f>D208+F208</f>
        <v>1400</v>
      </c>
      <c r="I208" s="563"/>
      <c r="J208" s="792"/>
      <c r="K208" s="2218"/>
    </row>
    <row r="209" spans="1:11" s="801" customFormat="1" x14ac:dyDescent="0.2">
      <c r="A209" s="888">
        <v>10</v>
      </c>
      <c r="B209" s="889" t="s">
        <v>1184</v>
      </c>
      <c r="C209" s="751"/>
      <c r="D209" s="749">
        <f>D210+D214+D218</f>
        <v>5199</v>
      </c>
      <c r="E209" s="749">
        <f t="shared" ref="E209:I209" si="76">E210+E214+E218</f>
        <v>0</v>
      </c>
      <c r="F209" s="749">
        <f t="shared" si="76"/>
        <v>0</v>
      </c>
      <c r="G209" s="749">
        <f t="shared" si="76"/>
        <v>0</v>
      </c>
      <c r="H209" s="749">
        <f t="shared" si="76"/>
        <v>5199</v>
      </c>
      <c r="I209" s="749">
        <f t="shared" si="76"/>
        <v>0</v>
      </c>
      <c r="J209" s="749"/>
      <c r="K209" s="876"/>
    </row>
    <row r="210" spans="1:11" s="801" customFormat="1" x14ac:dyDescent="0.2">
      <c r="A210" s="2219">
        <v>10.1</v>
      </c>
      <c r="B210" s="2215" t="s">
        <v>1139</v>
      </c>
      <c r="C210" s="601"/>
      <c r="D210" s="753">
        <f>SUM(D211:D213)</f>
        <v>2549</v>
      </c>
      <c r="E210" s="753">
        <f t="shared" ref="E210:I210" si="77">SUM(E211:E213)</f>
        <v>0</v>
      </c>
      <c r="F210" s="753">
        <f t="shared" si="77"/>
        <v>0</v>
      </c>
      <c r="G210" s="753">
        <f t="shared" si="77"/>
        <v>0</v>
      </c>
      <c r="H210" s="753">
        <f t="shared" si="77"/>
        <v>2549</v>
      </c>
      <c r="I210" s="753">
        <f t="shared" si="77"/>
        <v>0</v>
      </c>
      <c r="J210" s="753"/>
      <c r="K210" s="2141" t="s">
        <v>1119</v>
      </c>
    </row>
    <row r="211" spans="1:11" s="801" customFormat="1" x14ac:dyDescent="0.2">
      <c r="A211" s="2219"/>
      <c r="B211" s="2215"/>
      <c r="C211" s="601">
        <v>2262</v>
      </c>
      <c r="D211" s="792">
        <v>1800</v>
      </c>
      <c r="E211" s="563"/>
      <c r="F211" s="563"/>
      <c r="G211" s="563"/>
      <c r="H211" s="563">
        <f t="shared" ref="H211:I213" si="78">D211+F211</f>
        <v>1800</v>
      </c>
      <c r="I211" s="563">
        <f t="shared" si="78"/>
        <v>0</v>
      </c>
      <c r="J211" s="563"/>
      <c r="K211" s="2141"/>
    </row>
    <row r="212" spans="1:11" s="801" customFormat="1" x14ac:dyDescent="0.2">
      <c r="A212" s="2219"/>
      <c r="B212" s="2215"/>
      <c r="C212" s="601">
        <v>2279</v>
      </c>
      <c r="D212" s="792">
        <v>455</v>
      </c>
      <c r="E212" s="563"/>
      <c r="F212" s="563"/>
      <c r="G212" s="563"/>
      <c r="H212" s="563">
        <f t="shared" si="78"/>
        <v>455</v>
      </c>
      <c r="I212" s="563">
        <f t="shared" si="78"/>
        <v>0</v>
      </c>
      <c r="J212" s="563"/>
      <c r="K212" s="2141"/>
    </row>
    <row r="213" spans="1:11" s="801" customFormat="1" x14ac:dyDescent="0.2">
      <c r="A213" s="2219"/>
      <c r="B213" s="2215"/>
      <c r="C213" s="601">
        <v>2363</v>
      </c>
      <c r="D213" s="792">
        <v>294</v>
      </c>
      <c r="E213" s="563"/>
      <c r="F213" s="563"/>
      <c r="G213" s="563"/>
      <c r="H213" s="563">
        <f t="shared" si="78"/>
        <v>294</v>
      </c>
      <c r="I213" s="563">
        <f t="shared" si="78"/>
        <v>0</v>
      </c>
      <c r="J213" s="563"/>
      <c r="K213" s="2141"/>
    </row>
    <row r="214" spans="1:11" s="801" customFormat="1" x14ac:dyDescent="0.2">
      <c r="A214" s="2214">
        <v>10.199999999999999</v>
      </c>
      <c r="B214" s="2162" t="s">
        <v>1185</v>
      </c>
      <c r="C214" s="601"/>
      <c r="D214" s="753">
        <f t="shared" ref="D214:I214" si="79">SUM(D215:D217)</f>
        <v>1000</v>
      </c>
      <c r="E214" s="753">
        <f t="shared" si="79"/>
        <v>0</v>
      </c>
      <c r="F214" s="753">
        <f t="shared" si="79"/>
        <v>0</v>
      </c>
      <c r="G214" s="753">
        <f t="shared" si="79"/>
        <v>0</v>
      </c>
      <c r="H214" s="753">
        <f t="shared" si="79"/>
        <v>1000</v>
      </c>
      <c r="I214" s="753">
        <f t="shared" si="79"/>
        <v>0</v>
      </c>
      <c r="J214" s="753"/>
      <c r="K214" s="2213" t="s">
        <v>1129</v>
      </c>
    </row>
    <row r="215" spans="1:11" s="801" customFormat="1" x14ac:dyDescent="0.2">
      <c r="A215" s="2214"/>
      <c r="B215" s="2162"/>
      <c r="C215" s="601">
        <v>2341</v>
      </c>
      <c r="D215" s="792">
        <v>50</v>
      </c>
      <c r="E215" s="563"/>
      <c r="F215" s="563"/>
      <c r="G215" s="563"/>
      <c r="H215" s="563">
        <f t="shared" ref="H215:I217" si="80">D215+F215</f>
        <v>50</v>
      </c>
      <c r="I215" s="563">
        <f t="shared" si="80"/>
        <v>0</v>
      </c>
      <c r="J215" s="563"/>
      <c r="K215" s="2213"/>
    </row>
    <row r="216" spans="1:11" s="801" customFormat="1" x14ac:dyDescent="0.2">
      <c r="A216" s="2214"/>
      <c r="B216" s="2162"/>
      <c r="C216" s="601">
        <v>2361</v>
      </c>
      <c r="D216" s="792">
        <v>750</v>
      </c>
      <c r="E216" s="881"/>
      <c r="F216" s="881"/>
      <c r="G216" s="881"/>
      <c r="H216" s="563">
        <f t="shared" si="80"/>
        <v>750</v>
      </c>
      <c r="I216" s="563">
        <f t="shared" si="80"/>
        <v>0</v>
      </c>
      <c r="J216" s="881"/>
      <c r="K216" s="2213"/>
    </row>
    <row r="217" spans="1:11" s="801" customFormat="1" x14ac:dyDescent="0.2">
      <c r="A217" s="2214"/>
      <c r="B217" s="2162"/>
      <c r="C217" s="596">
        <v>2370</v>
      </c>
      <c r="D217" s="879">
        <v>200</v>
      </c>
      <c r="E217" s="882"/>
      <c r="F217" s="879"/>
      <c r="G217" s="882"/>
      <c r="H217" s="598">
        <f t="shared" si="80"/>
        <v>200</v>
      </c>
      <c r="I217" s="598">
        <f t="shared" si="80"/>
        <v>0</v>
      </c>
      <c r="J217" s="882"/>
      <c r="K217" s="2213"/>
    </row>
    <row r="218" spans="1:11" s="801" customFormat="1" x14ac:dyDescent="0.2">
      <c r="A218" s="761" t="s">
        <v>1186</v>
      </c>
      <c r="B218" s="897" t="s">
        <v>1130</v>
      </c>
      <c r="C218" s="901"/>
      <c r="D218" s="749">
        <f t="shared" ref="D218:I218" si="81">D219</f>
        <v>1650</v>
      </c>
      <c r="E218" s="749">
        <f t="shared" si="81"/>
        <v>0</v>
      </c>
      <c r="F218" s="749">
        <f t="shared" si="81"/>
        <v>0</v>
      </c>
      <c r="G218" s="749">
        <f t="shared" si="81"/>
        <v>0</v>
      </c>
      <c r="H218" s="749">
        <f t="shared" si="81"/>
        <v>1650</v>
      </c>
      <c r="I218" s="749">
        <f t="shared" si="81"/>
        <v>0</v>
      </c>
      <c r="J218" s="749"/>
      <c r="K218" s="876"/>
    </row>
    <row r="219" spans="1:11" s="801" customFormat="1" x14ac:dyDescent="0.2">
      <c r="A219" s="2075" t="s">
        <v>1187</v>
      </c>
      <c r="B219" s="2061" t="s">
        <v>1132</v>
      </c>
      <c r="C219" s="751"/>
      <c r="D219" s="749">
        <f>SUM(D220:D223)</f>
        <v>1650</v>
      </c>
      <c r="E219" s="749">
        <f t="shared" ref="E219:I219" si="82">SUM(E220:E223)</f>
        <v>0</v>
      </c>
      <c r="F219" s="749">
        <f t="shared" si="82"/>
        <v>0</v>
      </c>
      <c r="G219" s="749">
        <f t="shared" si="82"/>
        <v>0</v>
      </c>
      <c r="H219" s="749">
        <f t="shared" si="82"/>
        <v>1650</v>
      </c>
      <c r="I219" s="749">
        <f t="shared" si="82"/>
        <v>0</v>
      </c>
      <c r="J219" s="749"/>
      <c r="K219" s="2203" t="s">
        <v>1133</v>
      </c>
    </row>
    <row r="220" spans="1:11" s="801" customFormat="1" x14ac:dyDescent="0.2">
      <c r="A220" s="2075"/>
      <c r="B220" s="2061"/>
      <c r="C220" s="893">
        <v>2262</v>
      </c>
      <c r="D220" s="894">
        <v>200</v>
      </c>
      <c r="E220" s="895"/>
      <c r="F220" s="894"/>
      <c r="G220" s="895"/>
      <c r="H220" s="598">
        <f t="shared" ref="H220:I223" si="83">D220+F220</f>
        <v>200</v>
      </c>
      <c r="I220" s="598">
        <f t="shared" si="83"/>
        <v>0</v>
      </c>
      <c r="J220" s="894"/>
      <c r="K220" s="2204"/>
    </row>
    <row r="221" spans="1:11" s="801" customFormat="1" x14ac:dyDescent="0.2">
      <c r="A221" s="2075"/>
      <c r="B221" s="2061"/>
      <c r="C221" s="893">
        <v>2279</v>
      </c>
      <c r="D221" s="894">
        <v>175</v>
      </c>
      <c r="E221" s="895"/>
      <c r="F221" s="894"/>
      <c r="G221" s="895"/>
      <c r="H221" s="598">
        <f t="shared" si="83"/>
        <v>175</v>
      </c>
      <c r="I221" s="598">
        <f t="shared" si="83"/>
        <v>0</v>
      </c>
      <c r="J221" s="879"/>
      <c r="K221" s="2204"/>
    </row>
    <row r="222" spans="1:11" s="801" customFormat="1" x14ac:dyDescent="0.2">
      <c r="A222" s="2075"/>
      <c r="B222" s="2061"/>
      <c r="C222" s="751">
        <v>2341</v>
      </c>
      <c r="D222" s="896">
        <v>50</v>
      </c>
      <c r="E222" s="749"/>
      <c r="F222" s="749"/>
      <c r="G222" s="749"/>
      <c r="H222" s="563">
        <f t="shared" si="83"/>
        <v>50</v>
      </c>
      <c r="I222" s="563">
        <f t="shared" si="83"/>
        <v>0</v>
      </c>
      <c r="J222" s="749"/>
      <c r="K222" s="2204"/>
    </row>
    <row r="223" spans="1:11" s="801" customFormat="1" x14ac:dyDescent="0.2">
      <c r="A223" s="2075"/>
      <c r="B223" s="2061"/>
      <c r="C223" s="751">
        <v>2363</v>
      </c>
      <c r="D223" s="896">
        <v>1225</v>
      </c>
      <c r="E223" s="749"/>
      <c r="F223" s="749"/>
      <c r="G223" s="749"/>
      <c r="H223" s="563">
        <f t="shared" si="83"/>
        <v>1225</v>
      </c>
      <c r="I223" s="563">
        <f t="shared" si="83"/>
        <v>0</v>
      </c>
      <c r="J223" s="749"/>
      <c r="K223" s="2205"/>
    </row>
    <row r="224" spans="1:11" s="801" customFormat="1" x14ac:dyDescent="0.2">
      <c r="A224" s="888">
        <v>11</v>
      </c>
      <c r="B224" s="889" t="s">
        <v>1188</v>
      </c>
      <c r="C224" s="751"/>
      <c r="D224" s="749">
        <f t="shared" ref="D224:I224" si="84">D225+D230+D234</f>
        <v>12102</v>
      </c>
      <c r="E224" s="749">
        <f t="shared" si="84"/>
        <v>0</v>
      </c>
      <c r="F224" s="749">
        <f t="shared" si="84"/>
        <v>0</v>
      </c>
      <c r="G224" s="749">
        <f t="shared" si="84"/>
        <v>0</v>
      </c>
      <c r="H224" s="749">
        <f t="shared" si="84"/>
        <v>12102</v>
      </c>
      <c r="I224" s="749">
        <f t="shared" si="84"/>
        <v>0</v>
      </c>
      <c r="J224" s="749"/>
      <c r="K224" s="876"/>
    </row>
    <row r="225" spans="1:11" s="801" customFormat="1" x14ac:dyDescent="0.2">
      <c r="A225" s="2214">
        <v>11.1</v>
      </c>
      <c r="B225" s="2215" t="s">
        <v>1139</v>
      </c>
      <c r="C225" s="601"/>
      <c r="D225" s="753">
        <f>SUM(D226:D229)</f>
        <v>2818</v>
      </c>
      <c r="E225" s="753">
        <f t="shared" ref="E225:I225" si="85">SUM(E226:E229)</f>
        <v>0</v>
      </c>
      <c r="F225" s="753">
        <f t="shared" si="85"/>
        <v>0</v>
      </c>
      <c r="G225" s="753">
        <f t="shared" si="85"/>
        <v>0</v>
      </c>
      <c r="H225" s="753">
        <f t="shared" si="85"/>
        <v>2818</v>
      </c>
      <c r="I225" s="753">
        <f t="shared" si="85"/>
        <v>0</v>
      </c>
      <c r="J225" s="753"/>
      <c r="K225" s="2141" t="s">
        <v>1119</v>
      </c>
    </row>
    <row r="226" spans="1:11" s="801" customFormat="1" x14ac:dyDescent="0.2">
      <c r="A226" s="2214"/>
      <c r="B226" s="2215"/>
      <c r="C226" s="601">
        <v>2261</v>
      </c>
      <c r="D226" s="792">
        <v>240</v>
      </c>
      <c r="E226" s="563"/>
      <c r="F226" s="563"/>
      <c r="G226" s="563"/>
      <c r="H226" s="563">
        <f t="shared" ref="H226:I229" si="86">D226+F226</f>
        <v>240</v>
      </c>
      <c r="I226" s="563">
        <f t="shared" si="86"/>
        <v>0</v>
      </c>
      <c r="J226" s="563"/>
      <c r="K226" s="2141"/>
    </row>
    <row r="227" spans="1:11" s="801" customFormat="1" x14ac:dyDescent="0.2">
      <c r="A227" s="2214"/>
      <c r="B227" s="2215"/>
      <c r="C227" s="601">
        <v>2262</v>
      </c>
      <c r="D227" s="792">
        <v>1800</v>
      </c>
      <c r="E227" s="563"/>
      <c r="F227" s="563"/>
      <c r="G227" s="563"/>
      <c r="H227" s="563">
        <f t="shared" si="86"/>
        <v>1800</v>
      </c>
      <c r="I227" s="563">
        <f t="shared" si="86"/>
        <v>0</v>
      </c>
      <c r="J227" s="563"/>
      <c r="K227" s="2141"/>
    </row>
    <row r="228" spans="1:11" s="801" customFormat="1" x14ac:dyDescent="0.2">
      <c r="A228" s="2214"/>
      <c r="B228" s="2215"/>
      <c r="C228" s="601">
        <v>2279</v>
      </c>
      <c r="D228" s="792">
        <v>400</v>
      </c>
      <c r="E228" s="563"/>
      <c r="F228" s="563"/>
      <c r="G228" s="563"/>
      <c r="H228" s="563">
        <f t="shared" si="86"/>
        <v>400</v>
      </c>
      <c r="I228" s="563">
        <f t="shared" si="86"/>
        <v>0</v>
      </c>
      <c r="J228" s="563"/>
      <c r="K228" s="2141"/>
    </row>
    <row r="229" spans="1:11" s="801" customFormat="1" x14ac:dyDescent="0.2">
      <c r="A229" s="2214"/>
      <c r="B229" s="2215"/>
      <c r="C229" s="601">
        <v>2363</v>
      </c>
      <c r="D229" s="792">
        <v>378</v>
      </c>
      <c r="E229" s="563"/>
      <c r="F229" s="563"/>
      <c r="G229" s="563"/>
      <c r="H229" s="563">
        <f t="shared" si="86"/>
        <v>378</v>
      </c>
      <c r="I229" s="563">
        <f t="shared" si="86"/>
        <v>0</v>
      </c>
      <c r="J229" s="563"/>
      <c r="K229" s="2141"/>
    </row>
    <row r="230" spans="1:11" s="801" customFormat="1" x14ac:dyDescent="0.2">
      <c r="A230" s="2214">
        <v>11.2</v>
      </c>
      <c r="B230" s="2162" t="s">
        <v>1189</v>
      </c>
      <c r="C230" s="601"/>
      <c r="D230" s="753">
        <f t="shared" ref="D230:I230" si="87">SUM(D231:D233)</f>
        <v>714</v>
      </c>
      <c r="E230" s="753">
        <f t="shared" si="87"/>
        <v>0</v>
      </c>
      <c r="F230" s="753">
        <f t="shared" si="87"/>
        <v>0</v>
      </c>
      <c r="G230" s="753">
        <f t="shared" si="87"/>
        <v>0</v>
      </c>
      <c r="H230" s="753">
        <f t="shared" si="87"/>
        <v>714</v>
      </c>
      <c r="I230" s="753">
        <f t="shared" si="87"/>
        <v>0</v>
      </c>
      <c r="J230" s="753"/>
      <c r="K230" s="2213" t="s">
        <v>1129</v>
      </c>
    </row>
    <row r="231" spans="1:11" s="801" customFormat="1" x14ac:dyDescent="0.2">
      <c r="A231" s="2214"/>
      <c r="B231" s="2162"/>
      <c r="C231" s="601">
        <v>2341</v>
      </c>
      <c r="D231" s="792">
        <v>50</v>
      </c>
      <c r="E231" s="563"/>
      <c r="F231" s="563"/>
      <c r="G231" s="563"/>
      <c r="H231" s="563">
        <f t="shared" ref="H231:I233" si="88">D231+F231</f>
        <v>50</v>
      </c>
      <c r="I231" s="563">
        <f t="shared" si="88"/>
        <v>0</v>
      </c>
      <c r="J231" s="563"/>
      <c r="K231" s="2213"/>
    </row>
    <row r="232" spans="1:11" s="801" customFormat="1" x14ac:dyDescent="0.2">
      <c r="A232" s="2214"/>
      <c r="B232" s="2162"/>
      <c r="C232" s="601">
        <v>2361</v>
      </c>
      <c r="D232" s="792">
        <v>300</v>
      </c>
      <c r="E232" s="563"/>
      <c r="F232" s="563"/>
      <c r="G232" s="563"/>
      <c r="H232" s="563">
        <f t="shared" si="88"/>
        <v>300</v>
      </c>
      <c r="I232" s="563">
        <f t="shared" si="88"/>
        <v>0</v>
      </c>
      <c r="J232" s="563"/>
      <c r="K232" s="2213"/>
    </row>
    <row r="233" spans="1:11" s="801" customFormat="1" x14ac:dyDescent="0.2">
      <c r="A233" s="2214"/>
      <c r="B233" s="2162"/>
      <c r="C233" s="601">
        <v>2370</v>
      </c>
      <c r="D233" s="792">
        <v>364</v>
      </c>
      <c r="E233" s="881"/>
      <c r="F233" s="881"/>
      <c r="G233" s="881"/>
      <c r="H233" s="563">
        <f t="shared" si="88"/>
        <v>364</v>
      </c>
      <c r="I233" s="563">
        <f t="shared" si="88"/>
        <v>0</v>
      </c>
      <c r="J233" s="881"/>
      <c r="K233" s="2213"/>
    </row>
    <row r="234" spans="1:11" s="801" customFormat="1" x14ac:dyDescent="0.2">
      <c r="A234" s="761" t="s">
        <v>1190</v>
      </c>
      <c r="B234" s="897" t="s">
        <v>1130</v>
      </c>
      <c r="C234" s="601"/>
      <c r="D234" s="753">
        <f t="shared" ref="D234:I234" si="89">D235+D237+D243</f>
        <v>8570</v>
      </c>
      <c r="E234" s="753">
        <f t="shared" si="89"/>
        <v>0</v>
      </c>
      <c r="F234" s="753">
        <f t="shared" si="89"/>
        <v>0</v>
      </c>
      <c r="G234" s="753">
        <f t="shared" si="89"/>
        <v>0</v>
      </c>
      <c r="H234" s="753">
        <f t="shared" si="89"/>
        <v>8570</v>
      </c>
      <c r="I234" s="753">
        <f t="shared" si="89"/>
        <v>0</v>
      </c>
      <c r="J234" s="753"/>
      <c r="K234" s="876"/>
    </row>
    <row r="235" spans="1:11" s="801" customFormat="1" x14ac:dyDescent="0.2">
      <c r="A235" s="2075" t="s">
        <v>1191</v>
      </c>
      <c r="B235" s="2061" t="s">
        <v>1132</v>
      </c>
      <c r="C235" s="601"/>
      <c r="D235" s="753">
        <f>SUM(D236:D236)</f>
        <v>1050</v>
      </c>
      <c r="E235" s="753">
        <f t="shared" ref="E235:I235" si="90">SUM(E236:E236)</f>
        <v>0</v>
      </c>
      <c r="F235" s="753">
        <f t="shared" si="90"/>
        <v>0</v>
      </c>
      <c r="G235" s="753">
        <f t="shared" si="90"/>
        <v>0</v>
      </c>
      <c r="H235" s="753">
        <f t="shared" si="90"/>
        <v>1050</v>
      </c>
      <c r="I235" s="753">
        <f t="shared" si="90"/>
        <v>0</v>
      </c>
      <c r="J235" s="753"/>
      <c r="K235" s="2216" t="s">
        <v>1133</v>
      </c>
    </row>
    <row r="236" spans="1:11" s="801" customFormat="1" x14ac:dyDescent="0.2">
      <c r="A236" s="2075"/>
      <c r="B236" s="2061"/>
      <c r="C236" s="765">
        <v>2363</v>
      </c>
      <c r="D236" s="792">
        <v>1050</v>
      </c>
      <c r="E236" s="792"/>
      <c r="F236" s="792"/>
      <c r="G236" s="792"/>
      <c r="H236" s="563">
        <f>D236+F236</f>
        <v>1050</v>
      </c>
      <c r="I236" s="563">
        <f>E236+G236</f>
        <v>0</v>
      </c>
      <c r="J236" s="792"/>
      <c r="K236" s="2218"/>
    </row>
    <row r="237" spans="1:11" s="801" customFormat="1" x14ac:dyDescent="0.2">
      <c r="A237" s="2075" t="s">
        <v>1192</v>
      </c>
      <c r="B237" s="2061" t="s">
        <v>1135</v>
      </c>
      <c r="C237" s="601"/>
      <c r="D237" s="753">
        <f>SUM(D238:D242)</f>
        <v>3160</v>
      </c>
      <c r="E237" s="753">
        <f t="shared" ref="E237:I237" si="91">SUM(E238:E242)</f>
        <v>0</v>
      </c>
      <c r="F237" s="753">
        <f t="shared" si="91"/>
        <v>0</v>
      </c>
      <c r="G237" s="753">
        <f t="shared" si="91"/>
        <v>0</v>
      </c>
      <c r="H237" s="753">
        <f t="shared" si="91"/>
        <v>3160</v>
      </c>
      <c r="I237" s="753">
        <f t="shared" si="91"/>
        <v>0</v>
      </c>
      <c r="J237" s="753"/>
      <c r="K237" s="2216" t="s">
        <v>1133</v>
      </c>
    </row>
    <row r="238" spans="1:11" s="801" customFormat="1" x14ac:dyDescent="0.2">
      <c r="A238" s="2075"/>
      <c r="B238" s="2061"/>
      <c r="C238" s="601">
        <v>2111</v>
      </c>
      <c r="D238" s="792">
        <v>120</v>
      </c>
      <c r="E238" s="792"/>
      <c r="F238" s="792"/>
      <c r="G238" s="792"/>
      <c r="H238" s="563">
        <f t="shared" ref="H238:I242" si="92">D238+F238</f>
        <v>120</v>
      </c>
      <c r="I238" s="563">
        <f t="shared" si="92"/>
        <v>0</v>
      </c>
      <c r="J238" s="792"/>
      <c r="K238" s="2217"/>
    </row>
    <row r="239" spans="1:11" s="801" customFormat="1" x14ac:dyDescent="0.2">
      <c r="A239" s="2075"/>
      <c r="B239" s="2061"/>
      <c r="C239" s="601">
        <v>2261</v>
      </c>
      <c r="D239" s="792">
        <v>1760</v>
      </c>
      <c r="E239" s="792"/>
      <c r="F239" s="792"/>
      <c r="G239" s="792"/>
      <c r="H239" s="563">
        <f t="shared" si="92"/>
        <v>1760</v>
      </c>
      <c r="I239" s="563">
        <f t="shared" si="92"/>
        <v>0</v>
      </c>
      <c r="J239" s="792"/>
      <c r="K239" s="2217"/>
    </row>
    <row r="240" spans="1:11" s="801" customFormat="1" x14ac:dyDescent="0.2">
      <c r="A240" s="2075"/>
      <c r="B240" s="2061"/>
      <c r="C240" s="601">
        <v>2262</v>
      </c>
      <c r="D240" s="792">
        <v>200</v>
      </c>
      <c r="E240" s="792"/>
      <c r="F240" s="792"/>
      <c r="G240" s="792"/>
      <c r="H240" s="563">
        <f t="shared" si="92"/>
        <v>200</v>
      </c>
      <c r="I240" s="563">
        <f t="shared" si="92"/>
        <v>0</v>
      </c>
      <c r="J240" s="792"/>
      <c r="K240" s="2217"/>
    </row>
    <row r="241" spans="1:12" s="801" customFormat="1" x14ac:dyDescent="0.2">
      <c r="A241" s="2075"/>
      <c r="B241" s="2061"/>
      <c r="C241" s="601">
        <v>2341</v>
      </c>
      <c r="D241" s="792">
        <v>100</v>
      </c>
      <c r="E241" s="792"/>
      <c r="F241" s="792"/>
      <c r="G241" s="792"/>
      <c r="H241" s="563">
        <f t="shared" si="92"/>
        <v>100</v>
      </c>
      <c r="I241" s="563">
        <f t="shared" si="92"/>
        <v>0</v>
      </c>
      <c r="J241" s="792"/>
      <c r="K241" s="2217"/>
    </row>
    <row r="242" spans="1:12" s="801" customFormat="1" x14ac:dyDescent="0.2">
      <c r="A242" s="2075"/>
      <c r="B242" s="2061"/>
      <c r="C242" s="601">
        <v>2363</v>
      </c>
      <c r="D242" s="792">
        <v>980</v>
      </c>
      <c r="E242" s="792"/>
      <c r="F242" s="792"/>
      <c r="G242" s="792"/>
      <c r="H242" s="563">
        <f t="shared" si="92"/>
        <v>980</v>
      </c>
      <c r="I242" s="563">
        <f t="shared" si="92"/>
        <v>0</v>
      </c>
      <c r="J242" s="792"/>
      <c r="K242" s="2218"/>
    </row>
    <row r="243" spans="1:12" s="801" customFormat="1" x14ac:dyDescent="0.2">
      <c r="A243" s="2075" t="s">
        <v>1193</v>
      </c>
      <c r="B243" s="2061" t="s">
        <v>1194</v>
      </c>
      <c r="C243" s="601"/>
      <c r="D243" s="753">
        <f>SUM(D244:D246)</f>
        <v>4360</v>
      </c>
      <c r="E243" s="753">
        <f t="shared" ref="E243:I243" si="93">SUM(E244:E246)</f>
        <v>0</v>
      </c>
      <c r="F243" s="753">
        <f t="shared" si="93"/>
        <v>0</v>
      </c>
      <c r="G243" s="753">
        <f t="shared" si="93"/>
        <v>0</v>
      </c>
      <c r="H243" s="753">
        <f t="shared" si="93"/>
        <v>4360</v>
      </c>
      <c r="I243" s="753">
        <f t="shared" si="93"/>
        <v>0</v>
      </c>
      <c r="J243" s="753"/>
      <c r="K243" s="2216" t="s">
        <v>1195</v>
      </c>
    </row>
    <row r="244" spans="1:12" s="801" customFormat="1" x14ac:dyDescent="0.2">
      <c r="A244" s="2075"/>
      <c r="B244" s="2061"/>
      <c r="C244" s="601">
        <v>2121</v>
      </c>
      <c r="D244" s="792">
        <v>800</v>
      </c>
      <c r="E244" s="763"/>
      <c r="F244" s="763"/>
      <c r="G244" s="763"/>
      <c r="H244" s="563">
        <f t="shared" ref="H244:I246" si="94">D244+F244</f>
        <v>800</v>
      </c>
      <c r="I244" s="563">
        <f t="shared" si="94"/>
        <v>0</v>
      </c>
      <c r="J244" s="763"/>
      <c r="K244" s="2217"/>
    </row>
    <row r="245" spans="1:12" s="801" customFormat="1" x14ac:dyDescent="0.2">
      <c r="A245" s="2075"/>
      <c r="B245" s="2061"/>
      <c r="C245" s="601">
        <v>2122</v>
      </c>
      <c r="D245" s="792">
        <v>890</v>
      </c>
      <c r="E245" s="763"/>
      <c r="F245" s="763"/>
      <c r="G245" s="763"/>
      <c r="H245" s="563">
        <f t="shared" si="94"/>
        <v>890</v>
      </c>
      <c r="I245" s="563">
        <f t="shared" si="94"/>
        <v>0</v>
      </c>
      <c r="J245" s="763"/>
      <c r="K245" s="2217"/>
    </row>
    <row r="246" spans="1:12" s="801" customFormat="1" x14ac:dyDescent="0.2">
      <c r="A246" s="2194"/>
      <c r="B246" s="2061"/>
      <c r="C246" s="903">
        <v>2279</v>
      </c>
      <c r="D246" s="879">
        <v>2670</v>
      </c>
      <c r="E246" s="879"/>
      <c r="F246" s="879"/>
      <c r="G246" s="879"/>
      <c r="H246" s="598">
        <f t="shared" si="94"/>
        <v>2670</v>
      </c>
      <c r="I246" s="598">
        <f t="shared" si="94"/>
        <v>0</v>
      </c>
      <c r="J246" s="854"/>
      <c r="K246" s="2218"/>
    </row>
    <row r="247" spans="1:12" s="801" customFormat="1" x14ac:dyDescent="0.2">
      <c r="A247" s="904">
        <v>12</v>
      </c>
      <c r="B247" s="889" t="s">
        <v>1196</v>
      </c>
      <c r="C247" s="751"/>
      <c r="D247" s="749">
        <f>D248+D253+D258</f>
        <v>6158</v>
      </c>
      <c r="E247" s="749">
        <f t="shared" ref="E247:I247" si="95">E248+E253+E258</f>
        <v>0</v>
      </c>
      <c r="F247" s="749">
        <f t="shared" si="95"/>
        <v>0</v>
      </c>
      <c r="G247" s="749">
        <f t="shared" si="95"/>
        <v>0</v>
      </c>
      <c r="H247" s="749">
        <f t="shared" si="95"/>
        <v>6158</v>
      </c>
      <c r="I247" s="749">
        <f t="shared" si="95"/>
        <v>0</v>
      </c>
      <c r="J247" s="749"/>
      <c r="K247" s="876"/>
    </row>
    <row r="248" spans="1:12" s="801" customFormat="1" x14ac:dyDescent="0.2">
      <c r="A248" s="2214">
        <v>12.1</v>
      </c>
      <c r="B248" s="2215" t="s">
        <v>1139</v>
      </c>
      <c r="C248" s="601"/>
      <c r="D248" s="753">
        <f>SUM(D249:D252)</f>
        <v>3406</v>
      </c>
      <c r="E248" s="753">
        <f t="shared" ref="E248:I248" si="96">SUM(E249:E252)</f>
        <v>0</v>
      </c>
      <c r="F248" s="753">
        <f t="shared" si="96"/>
        <v>0</v>
      </c>
      <c r="G248" s="753">
        <f t="shared" si="96"/>
        <v>0</v>
      </c>
      <c r="H248" s="753">
        <f t="shared" si="96"/>
        <v>3406</v>
      </c>
      <c r="I248" s="753">
        <f t="shared" si="96"/>
        <v>0</v>
      </c>
      <c r="J248" s="753"/>
      <c r="K248" s="2141" t="s">
        <v>1119</v>
      </c>
    </row>
    <row r="249" spans="1:12" s="801" customFormat="1" x14ac:dyDescent="0.2">
      <c r="A249" s="2214"/>
      <c r="B249" s="2215"/>
      <c r="C249" s="601">
        <v>2261</v>
      </c>
      <c r="D249" s="792">
        <v>384</v>
      </c>
      <c r="E249" s="563"/>
      <c r="F249" s="563">
        <v>0</v>
      </c>
      <c r="G249" s="563"/>
      <c r="H249" s="563">
        <f t="shared" ref="H249:I252" si="97">D249+F249</f>
        <v>384</v>
      </c>
      <c r="I249" s="563">
        <f t="shared" si="97"/>
        <v>0</v>
      </c>
      <c r="J249" s="563"/>
      <c r="K249" s="2141"/>
    </row>
    <row r="250" spans="1:12" s="801" customFormat="1" x14ac:dyDescent="0.2">
      <c r="A250" s="2214"/>
      <c r="B250" s="2215"/>
      <c r="C250" s="601">
        <v>2262</v>
      </c>
      <c r="D250" s="792">
        <v>1800</v>
      </c>
      <c r="E250" s="563"/>
      <c r="F250" s="563"/>
      <c r="G250" s="563"/>
      <c r="H250" s="563">
        <f t="shared" si="97"/>
        <v>1800</v>
      </c>
      <c r="I250" s="563">
        <f>E250+G250</f>
        <v>0</v>
      </c>
      <c r="J250" s="563"/>
      <c r="K250" s="2141"/>
    </row>
    <row r="251" spans="1:12" s="801" customFormat="1" x14ac:dyDescent="0.2">
      <c r="A251" s="2214"/>
      <c r="B251" s="2215"/>
      <c r="C251" s="601">
        <v>2279</v>
      </c>
      <c r="D251" s="792">
        <v>760</v>
      </c>
      <c r="E251" s="563"/>
      <c r="F251" s="563"/>
      <c r="G251" s="563"/>
      <c r="H251" s="563">
        <f t="shared" si="97"/>
        <v>760</v>
      </c>
      <c r="I251" s="563">
        <f t="shared" si="97"/>
        <v>0</v>
      </c>
      <c r="J251" s="563"/>
      <c r="K251" s="2141"/>
    </row>
    <row r="252" spans="1:12" s="801" customFormat="1" x14ac:dyDescent="0.2">
      <c r="A252" s="2214"/>
      <c r="B252" s="2215"/>
      <c r="C252" s="601">
        <v>2363</v>
      </c>
      <c r="D252" s="792">
        <v>462</v>
      </c>
      <c r="E252" s="563"/>
      <c r="F252" s="563"/>
      <c r="G252" s="563"/>
      <c r="H252" s="563">
        <f t="shared" si="97"/>
        <v>462</v>
      </c>
      <c r="I252" s="563">
        <f t="shared" si="97"/>
        <v>0</v>
      </c>
      <c r="J252" s="563"/>
      <c r="K252" s="2141"/>
    </row>
    <row r="253" spans="1:12" s="801" customFormat="1" x14ac:dyDescent="0.2">
      <c r="A253" s="2214">
        <v>12.2</v>
      </c>
      <c r="B253" s="2162" t="s">
        <v>1197</v>
      </c>
      <c r="C253" s="601"/>
      <c r="D253" s="753">
        <f>SUM(D254:D256)</f>
        <v>620</v>
      </c>
      <c r="E253" s="753">
        <f t="shared" ref="E253:I253" si="98">SUM(E254:E256)</f>
        <v>0</v>
      </c>
      <c r="F253" s="753">
        <f t="shared" si="98"/>
        <v>0</v>
      </c>
      <c r="G253" s="753">
        <f t="shared" si="98"/>
        <v>0</v>
      </c>
      <c r="H253" s="753">
        <f t="shared" si="98"/>
        <v>620</v>
      </c>
      <c r="I253" s="753">
        <f t="shared" si="98"/>
        <v>0</v>
      </c>
      <c r="J253" s="753"/>
      <c r="K253" s="2213" t="s">
        <v>1129</v>
      </c>
      <c r="L253" s="905"/>
    </row>
    <row r="254" spans="1:12" s="801" customFormat="1" x14ac:dyDescent="0.2">
      <c r="A254" s="2214"/>
      <c r="B254" s="2162"/>
      <c r="C254" s="601">
        <v>2341</v>
      </c>
      <c r="D254" s="792">
        <v>25</v>
      </c>
      <c r="E254" s="563"/>
      <c r="F254" s="563"/>
      <c r="G254" s="563"/>
      <c r="H254" s="563">
        <f t="shared" ref="H254:I256" si="99">D254+F254</f>
        <v>25</v>
      </c>
      <c r="I254" s="563">
        <f t="shared" si="99"/>
        <v>0</v>
      </c>
      <c r="J254" s="563"/>
      <c r="K254" s="2213"/>
      <c r="L254" s="905"/>
    </row>
    <row r="255" spans="1:12" s="801" customFormat="1" x14ac:dyDescent="0.2">
      <c r="A255" s="2214"/>
      <c r="B255" s="2162"/>
      <c r="C255" s="596">
        <v>2361</v>
      </c>
      <c r="D255" s="879">
        <v>420</v>
      </c>
      <c r="E255" s="598"/>
      <c r="F255" s="598"/>
      <c r="G255" s="598"/>
      <c r="H255" s="598">
        <f t="shared" si="99"/>
        <v>420</v>
      </c>
      <c r="I255" s="598">
        <f t="shared" si="99"/>
        <v>0</v>
      </c>
      <c r="J255" s="598"/>
      <c r="K255" s="2213"/>
    </row>
    <row r="256" spans="1:12" s="801" customFormat="1" x14ac:dyDescent="0.2">
      <c r="A256" s="2214"/>
      <c r="B256" s="2162"/>
      <c r="C256" s="596">
        <v>2370</v>
      </c>
      <c r="D256" s="879">
        <v>175</v>
      </c>
      <c r="E256" s="882"/>
      <c r="F256" s="879"/>
      <c r="G256" s="882"/>
      <c r="H256" s="598">
        <f t="shared" si="99"/>
        <v>175</v>
      </c>
      <c r="I256" s="598">
        <f t="shared" si="99"/>
        <v>0</v>
      </c>
      <c r="J256" s="882"/>
      <c r="K256" s="2213"/>
      <c r="L256" s="905"/>
    </row>
    <row r="257" spans="1:11" s="801" customFormat="1" x14ac:dyDescent="0.2">
      <c r="A257" s="752" t="s">
        <v>1198</v>
      </c>
      <c r="B257" s="906" t="s">
        <v>1130</v>
      </c>
      <c r="C257" s="596"/>
      <c r="D257" s="885">
        <f>D258</f>
        <v>2132</v>
      </c>
      <c r="E257" s="882"/>
      <c r="F257" s="879"/>
      <c r="G257" s="882"/>
      <c r="H257" s="891">
        <f>H258</f>
        <v>2132</v>
      </c>
      <c r="I257" s="598"/>
      <c r="J257" s="882"/>
      <c r="K257" s="907"/>
    </row>
    <row r="258" spans="1:11" s="801" customFormat="1" x14ac:dyDescent="0.2">
      <c r="A258" s="2075" t="s">
        <v>1199</v>
      </c>
      <c r="B258" s="2061" t="s">
        <v>1135</v>
      </c>
      <c r="C258" s="881"/>
      <c r="D258" s="753">
        <f>SUM(D259:D262)</f>
        <v>2132</v>
      </c>
      <c r="E258" s="753">
        <f t="shared" ref="E258:I258" si="100">SUM(E259:E262)</f>
        <v>0</v>
      </c>
      <c r="F258" s="753">
        <f t="shared" si="100"/>
        <v>0</v>
      </c>
      <c r="G258" s="753">
        <f t="shared" si="100"/>
        <v>0</v>
      </c>
      <c r="H258" s="753">
        <f t="shared" si="100"/>
        <v>2132</v>
      </c>
      <c r="I258" s="753">
        <f t="shared" si="100"/>
        <v>0</v>
      </c>
      <c r="J258" s="753"/>
      <c r="K258" s="2203" t="s">
        <v>1133</v>
      </c>
    </row>
    <row r="259" spans="1:11" s="801" customFormat="1" x14ac:dyDescent="0.2">
      <c r="A259" s="2194"/>
      <c r="B259" s="2207"/>
      <c r="C259" s="908">
        <v>2111</v>
      </c>
      <c r="D259" s="909">
        <v>42</v>
      </c>
      <c r="E259" s="753"/>
      <c r="F259" s="753"/>
      <c r="G259" s="753"/>
      <c r="H259" s="563">
        <f t="shared" ref="H259:I262" si="101">D259+F259</f>
        <v>42</v>
      </c>
      <c r="I259" s="563">
        <f t="shared" si="101"/>
        <v>0</v>
      </c>
      <c r="J259" s="753"/>
      <c r="K259" s="2204"/>
    </row>
    <row r="260" spans="1:11" s="801" customFormat="1" x14ac:dyDescent="0.2">
      <c r="A260" s="2194"/>
      <c r="B260" s="2207"/>
      <c r="C260" s="908">
        <v>2261</v>
      </c>
      <c r="D260" s="909">
        <v>1008</v>
      </c>
      <c r="E260" s="753"/>
      <c r="F260" s="753"/>
      <c r="G260" s="753"/>
      <c r="H260" s="563">
        <f t="shared" si="101"/>
        <v>1008</v>
      </c>
      <c r="I260" s="563">
        <f t="shared" si="101"/>
        <v>0</v>
      </c>
      <c r="J260" s="753"/>
      <c r="K260" s="2204"/>
    </row>
    <row r="261" spans="1:11" x14ac:dyDescent="0.2">
      <c r="A261" s="2194"/>
      <c r="B261" s="2207"/>
      <c r="C261" s="908">
        <v>2262</v>
      </c>
      <c r="D261" s="909">
        <v>200</v>
      </c>
      <c r="E261" s="753"/>
      <c r="F261" s="753"/>
      <c r="G261" s="753"/>
      <c r="H261" s="563">
        <f t="shared" si="101"/>
        <v>200</v>
      </c>
      <c r="I261" s="563">
        <f t="shared" si="101"/>
        <v>0</v>
      </c>
      <c r="J261" s="753"/>
      <c r="K261" s="2204"/>
    </row>
    <row r="262" spans="1:11" x14ac:dyDescent="0.2">
      <c r="A262" s="2075"/>
      <c r="B262" s="2061"/>
      <c r="C262" s="601">
        <v>2363</v>
      </c>
      <c r="D262" s="792">
        <v>882</v>
      </c>
      <c r="E262" s="792"/>
      <c r="F262" s="792"/>
      <c r="G262" s="792"/>
      <c r="H262" s="563">
        <f t="shared" si="101"/>
        <v>882</v>
      </c>
      <c r="I262" s="563">
        <f t="shared" si="101"/>
        <v>0</v>
      </c>
      <c r="J262" s="792"/>
      <c r="K262" s="2205"/>
    </row>
    <row r="263" spans="1:11" x14ac:dyDescent="0.2">
      <c r="A263" s="2208">
        <v>13</v>
      </c>
      <c r="B263" s="2211" t="s">
        <v>1200</v>
      </c>
      <c r="C263" s="908"/>
      <c r="D263" s="910">
        <f t="shared" ref="D263:I263" si="102">SUM(D264:D268)</f>
        <v>7580</v>
      </c>
      <c r="E263" s="753">
        <f t="shared" si="102"/>
        <v>0</v>
      </c>
      <c r="F263" s="753">
        <f t="shared" si="102"/>
        <v>0</v>
      </c>
      <c r="G263" s="753">
        <f t="shared" si="102"/>
        <v>0</v>
      </c>
      <c r="H263" s="753">
        <f t="shared" si="102"/>
        <v>7580</v>
      </c>
      <c r="I263" s="753">
        <f t="shared" si="102"/>
        <v>0</v>
      </c>
      <c r="J263" s="753"/>
      <c r="K263" s="911"/>
    </row>
    <row r="264" spans="1:11" x14ac:dyDescent="0.2">
      <c r="A264" s="2209"/>
      <c r="B264" s="2212"/>
      <c r="C264" s="596">
        <v>2121</v>
      </c>
      <c r="D264" s="879">
        <v>1175</v>
      </c>
      <c r="E264" s="879"/>
      <c r="F264" s="879"/>
      <c r="G264" s="879"/>
      <c r="H264" s="598">
        <f t="shared" ref="H264:I272" si="103">D264+F264</f>
        <v>1175</v>
      </c>
      <c r="I264" s="598">
        <f t="shared" si="103"/>
        <v>0</v>
      </c>
      <c r="J264" s="879"/>
      <c r="K264" s="2213" t="s">
        <v>1201</v>
      </c>
    </row>
    <row r="265" spans="1:11" x14ac:dyDescent="0.2">
      <c r="A265" s="2209"/>
      <c r="B265" s="2212"/>
      <c r="C265" s="601">
        <v>2122</v>
      </c>
      <c r="D265" s="792">
        <v>1890</v>
      </c>
      <c r="E265" s="792"/>
      <c r="F265" s="792"/>
      <c r="G265" s="792"/>
      <c r="H265" s="563">
        <f t="shared" si="103"/>
        <v>1890</v>
      </c>
      <c r="I265" s="563">
        <f t="shared" si="103"/>
        <v>0</v>
      </c>
      <c r="J265" s="792"/>
      <c r="K265" s="2213"/>
    </row>
    <row r="266" spans="1:11" x14ac:dyDescent="0.2">
      <c r="A266" s="2209"/>
      <c r="B266" s="2212"/>
      <c r="C266" s="596">
        <v>2279</v>
      </c>
      <c r="D266" s="879">
        <v>3065</v>
      </c>
      <c r="E266" s="879"/>
      <c r="F266" s="879"/>
      <c r="G266" s="879"/>
      <c r="H266" s="598">
        <f t="shared" si="103"/>
        <v>3065</v>
      </c>
      <c r="I266" s="598">
        <f t="shared" si="103"/>
        <v>0</v>
      </c>
      <c r="J266" s="879"/>
      <c r="K266" s="2213"/>
    </row>
    <row r="267" spans="1:11" x14ac:dyDescent="0.2">
      <c r="A267" s="2209"/>
      <c r="B267" s="2212"/>
      <c r="C267" s="601">
        <v>2341</v>
      </c>
      <c r="D267" s="792">
        <v>950</v>
      </c>
      <c r="E267" s="792"/>
      <c r="F267" s="792"/>
      <c r="G267" s="792"/>
      <c r="H267" s="563">
        <f t="shared" si="103"/>
        <v>950</v>
      </c>
      <c r="I267" s="563">
        <f t="shared" si="103"/>
        <v>0</v>
      </c>
      <c r="J267" s="792"/>
      <c r="K267" s="2213"/>
    </row>
    <row r="268" spans="1:11" x14ac:dyDescent="0.2">
      <c r="A268" s="2210"/>
      <c r="B268" s="2212"/>
      <c r="C268" s="908">
        <v>2370</v>
      </c>
      <c r="D268" s="909">
        <v>500</v>
      </c>
      <c r="E268" s="792"/>
      <c r="F268" s="909"/>
      <c r="G268" s="909"/>
      <c r="H268" s="567">
        <f t="shared" si="103"/>
        <v>500</v>
      </c>
      <c r="I268" s="563">
        <f t="shared" si="103"/>
        <v>0</v>
      </c>
      <c r="J268" s="909"/>
      <c r="K268" s="2203"/>
    </row>
    <row r="269" spans="1:11" x14ac:dyDescent="0.2">
      <c r="A269" s="2197">
        <v>14</v>
      </c>
      <c r="B269" s="2200" t="s">
        <v>1202</v>
      </c>
      <c r="C269" s="601"/>
      <c r="D269" s="912">
        <f>SUM(D270:D272)</f>
        <v>1923</v>
      </c>
      <c r="E269" s="913">
        <f>SUM(E270:E272)</f>
        <v>0</v>
      </c>
      <c r="F269" s="914">
        <f>SUM(F270:F272)</f>
        <v>0</v>
      </c>
      <c r="G269" s="913">
        <f>SUM(G270:G272)</f>
        <v>0</v>
      </c>
      <c r="H269" s="915">
        <f>SUM(H270:H272)</f>
        <v>1923</v>
      </c>
      <c r="I269" s="916"/>
      <c r="J269" s="917"/>
      <c r="K269" s="2203" t="s">
        <v>1201</v>
      </c>
    </row>
    <row r="270" spans="1:11" x14ac:dyDescent="0.2">
      <c r="A270" s="2198"/>
      <c r="B270" s="2201"/>
      <c r="C270" s="580">
        <v>2121</v>
      </c>
      <c r="D270" s="563">
        <v>279</v>
      </c>
      <c r="E270" s="792"/>
      <c r="F270" s="563"/>
      <c r="G270" s="918"/>
      <c r="H270" s="919">
        <f t="shared" si="103"/>
        <v>279</v>
      </c>
      <c r="I270" s="920"/>
      <c r="J270" s="564"/>
      <c r="K270" s="2204"/>
    </row>
    <row r="271" spans="1:11" x14ac:dyDescent="0.2">
      <c r="A271" s="2198"/>
      <c r="B271" s="2201"/>
      <c r="C271" s="921">
        <v>2122</v>
      </c>
      <c r="D271" s="563">
        <v>757</v>
      </c>
      <c r="E271" s="922"/>
      <c r="F271" s="563"/>
      <c r="G271" s="923"/>
      <c r="H271" s="919">
        <f t="shared" si="103"/>
        <v>757</v>
      </c>
      <c r="I271" s="922"/>
      <c r="J271" s="564"/>
      <c r="K271" s="2204"/>
    </row>
    <row r="272" spans="1:11" x14ac:dyDescent="0.2">
      <c r="A272" s="2199"/>
      <c r="B272" s="2202"/>
      <c r="C272" s="924">
        <v>2279</v>
      </c>
      <c r="D272" s="563">
        <v>887</v>
      </c>
      <c r="E272" s="922"/>
      <c r="F272" s="563"/>
      <c r="G272" s="925"/>
      <c r="H272" s="926">
        <f t="shared" si="103"/>
        <v>887</v>
      </c>
      <c r="I272" s="927"/>
      <c r="J272" s="564"/>
      <c r="K272" s="2205"/>
    </row>
    <row r="273" spans="1:11" x14ac:dyDescent="0.2">
      <c r="A273" s="928"/>
      <c r="B273" s="929"/>
      <c r="C273" s="930"/>
      <c r="D273" s="931"/>
      <c r="E273" s="932"/>
      <c r="F273" s="932"/>
      <c r="G273" s="927"/>
      <c r="H273" s="932"/>
      <c r="I273" s="932"/>
      <c r="J273" s="927"/>
      <c r="K273" s="933"/>
    </row>
    <row r="274" spans="1:11" x14ac:dyDescent="0.2">
      <c r="A274" s="549" t="s">
        <v>1203</v>
      </c>
      <c r="B274" s="934"/>
      <c r="C274" s="935"/>
      <c r="D274" s="934"/>
      <c r="E274" s="936"/>
      <c r="F274" s="935"/>
      <c r="G274" s="935"/>
      <c r="H274" s="863"/>
    </row>
    <row r="275" spans="1:11" x14ac:dyDescent="0.2">
      <c r="A275" s="937" t="s">
        <v>1204</v>
      </c>
      <c r="B275" s="934"/>
      <c r="C275" s="935"/>
      <c r="D275" s="934"/>
      <c r="E275" s="936"/>
      <c r="F275" s="935"/>
      <c r="G275" s="935"/>
      <c r="H275" s="863"/>
      <c r="I275" s="605"/>
    </row>
    <row r="276" spans="1:11" x14ac:dyDescent="0.2">
      <c r="A276" s="938" t="s">
        <v>1205</v>
      </c>
      <c r="B276" s="934"/>
      <c r="C276" s="935"/>
      <c r="D276" s="934"/>
      <c r="E276" s="936"/>
      <c r="F276" s="935"/>
      <c r="G276" s="935"/>
      <c r="H276" s="863"/>
    </row>
    <row r="277" spans="1:11" x14ac:dyDescent="0.2">
      <c r="A277" s="938" t="s">
        <v>1206</v>
      </c>
      <c r="B277" s="934"/>
      <c r="C277" s="935"/>
      <c r="D277" s="934"/>
      <c r="E277" s="936"/>
      <c r="F277" s="935"/>
      <c r="G277" s="935"/>
      <c r="H277" s="863"/>
    </row>
    <row r="278" spans="1:11" x14ac:dyDescent="0.2">
      <c r="A278" s="938" t="s">
        <v>1207</v>
      </c>
      <c r="B278" s="934"/>
      <c r="C278" s="935"/>
      <c r="D278" s="934"/>
      <c r="E278" s="936"/>
      <c r="F278" s="935"/>
      <c r="G278" s="935"/>
      <c r="H278" s="863"/>
    </row>
    <row r="279" spans="1:11" x14ac:dyDescent="0.2">
      <c r="A279" s="938" t="s">
        <v>1208</v>
      </c>
      <c r="B279" s="934"/>
      <c r="C279" s="935"/>
      <c r="D279" s="934"/>
      <c r="E279" s="936"/>
      <c r="F279" s="935"/>
      <c r="G279" s="935"/>
      <c r="H279" s="863"/>
    </row>
    <row r="280" spans="1:11" x14ac:dyDescent="0.2">
      <c r="A280" s="938" t="s">
        <v>1209</v>
      </c>
      <c r="B280" s="934"/>
      <c r="C280" s="935"/>
      <c r="D280" s="934"/>
      <c r="E280" s="936"/>
      <c r="F280" s="935"/>
      <c r="G280" s="935"/>
      <c r="H280" s="863"/>
    </row>
    <row r="281" spans="1:11" x14ac:dyDescent="0.2">
      <c r="A281" s="938" t="s">
        <v>1210</v>
      </c>
      <c r="B281" s="934"/>
      <c r="C281" s="935"/>
      <c r="D281" s="934"/>
      <c r="E281" s="936"/>
      <c r="F281" s="935"/>
      <c r="G281" s="935"/>
      <c r="H281" s="863"/>
    </row>
    <row r="282" spans="1:11" x14ac:dyDescent="0.2">
      <c r="B282" s="934"/>
      <c r="C282" s="935"/>
      <c r="D282" s="934"/>
      <c r="E282" s="936"/>
      <c r="F282" s="935"/>
      <c r="G282" s="935"/>
      <c r="H282" s="863"/>
    </row>
    <row r="283" spans="1:11" x14ac:dyDescent="0.2">
      <c r="A283" s="939" t="s">
        <v>1211</v>
      </c>
      <c r="B283" s="934"/>
      <c r="C283" s="935"/>
      <c r="D283" s="934"/>
      <c r="E283" s="936"/>
      <c r="F283" s="935"/>
      <c r="G283" s="935"/>
      <c r="H283" s="863"/>
    </row>
    <row r="284" spans="1:11" x14ac:dyDescent="0.2">
      <c r="A284" s="938" t="s">
        <v>1212</v>
      </c>
      <c r="B284" s="934"/>
      <c r="C284" s="935"/>
      <c r="D284" s="934"/>
      <c r="E284" s="936"/>
      <c r="F284" s="935"/>
      <c r="G284" s="935"/>
      <c r="H284" s="863"/>
    </row>
    <row r="285" spans="1:11" x14ac:dyDescent="0.2">
      <c r="A285" s="938" t="s">
        <v>1213</v>
      </c>
      <c r="B285" s="934"/>
      <c r="C285" s="935"/>
      <c r="D285" s="934"/>
      <c r="E285" s="936"/>
      <c r="F285" s="935"/>
      <c r="G285" s="935"/>
      <c r="H285" s="863"/>
    </row>
    <row r="286" spans="1:11" x14ac:dyDescent="0.2">
      <c r="A286" s="938" t="s">
        <v>1214</v>
      </c>
      <c r="B286" s="934"/>
      <c r="C286" s="935"/>
      <c r="D286" s="934"/>
      <c r="E286" s="936"/>
      <c r="F286" s="935"/>
      <c r="G286" s="935"/>
      <c r="H286" s="863"/>
    </row>
    <row r="287" spans="1:11" x14ac:dyDescent="0.2">
      <c r="A287" s="938" t="s">
        <v>1215</v>
      </c>
      <c r="B287" s="934"/>
      <c r="C287" s="935"/>
      <c r="D287" s="934"/>
      <c r="E287" s="936"/>
      <c r="F287" s="935"/>
      <c r="G287" s="935"/>
      <c r="H287" s="863"/>
    </row>
    <row r="288" spans="1:11" x14ac:dyDescent="0.2">
      <c r="A288" s="940" t="s">
        <v>1216</v>
      </c>
      <c r="B288" s="934"/>
      <c r="C288" s="935"/>
      <c r="D288" s="934"/>
      <c r="E288" s="936"/>
      <c r="F288" s="935"/>
      <c r="G288" s="935"/>
      <c r="H288" s="863"/>
    </row>
    <row r="289" spans="1:8" x14ac:dyDescent="0.2">
      <c r="A289" s="2206" t="s">
        <v>1217</v>
      </c>
      <c r="B289" s="2206"/>
      <c r="C289" s="2206"/>
      <c r="D289" s="2206"/>
      <c r="E289" s="2206"/>
      <c r="F289" s="2206"/>
      <c r="G289" s="2206"/>
      <c r="H289" s="2206"/>
    </row>
  </sheetData>
  <sheetProtection algorithmName="SHA-512" hashValue="uFpcnoPVPs7E2ez2BwyWGke3o9iHBLi4wZbEGo+sq+Zr1kjhGKt1W8x1o6ZHarGYF4K8ue5YJMZiNzXZajxcog==" saltValue="Y2+taAhw7jPpZlq+zc0d2g==" spinCount="100000" sheet="1" objects="1" scenarios="1"/>
  <mergeCells count="158">
    <mergeCell ref="A12:B12"/>
    <mergeCell ref="A15:A19"/>
    <mergeCell ref="B15:B19"/>
    <mergeCell ref="K15:K19"/>
    <mergeCell ref="A20:A29"/>
    <mergeCell ref="B20:B29"/>
    <mergeCell ref="K20:K29"/>
    <mergeCell ref="A5:K5"/>
    <mergeCell ref="A10:A11"/>
    <mergeCell ref="B10:B11"/>
    <mergeCell ref="C10:C11"/>
    <mergeCell ref="D10:E10"/>
    <mergeCell ref="F10:G10"/>
    <mergeCell ref="H10:I10"/>
    <mergeCell ref="J10:J11"/>
    <mergeCell ref="K10:K11"/>
    <mergeCell ref="A53:A54"/>
    <mergeCell ref="B53:B54"/>
    <mergeCell ref="K53:K54"/>
    <mergeCell ref="A55:A61"/>
    <mergeCell ref="B55:B61"/>
    <mergeCell ref="K55:K61"/>
    <mergeCell ref="A30:A47"/>
    <mergeCell ref="B30:B47"/>
    <mergeCell ref="K30:K47"/>
    <mergeCell ref="A48:A51"/>
    <mergeCell ref="B48:B51"/>
    <mergeCell ref="K48:K51"/>
    <mergeCell ref="A74:A77"/>
    <mergeCell ref="B74:B77"/>
    <mergeCell ref="K74:K77"/>
    <mergeCell ref="A78:A81"/>
    <mergeCell ref="B78:B81"/>
    <mergeCell ref="K78:K81"/>
    <mergeCell ref="A64:A67"/>
    <mergeCell ref="B64:B67"/>
    <mergeCell ref="K65:K67"/>
    <mergeCell ref="A68:A73"/>
    <mergeCell ref="B68:B73"/>
    <mergeCell ref="K68:K73"/>
    <mergeCell ref="A90:A92"/>
    <mergeCell ref="B90:B92"/>
    <mergeCell ref="K90:K92"/>
    <mergeCell ref="A94:A97"/>
    <mergeCell ref="B94:B97"/>
    <mergeCell ref="K94:K96"/>
    <mergeCell ref="A83:A85"/>
    <mergeCell ref="B83:B85"/>
    <mergeCell ref="K83:K85"/>
    <mergeCell ref="A86:A89"/>
    <mergeCell ref="B86:B89"/>
    <mergeCell ref="K86:K88"/>
    <mergeCell ref="A107:A113"/>
    <mergeCell ref="B107:B113"/>
    <mergeCell ref="K107:K113"/>
    <mergeCell ref="A115:A118"/>
    <mergeCell ref="B115:B118"/>
    <mergeCell ref="K115:K118"/>
    <mergeCell ref="A98:A100"/>
    <mergeCell ref="B98:B100"/>
    <mergeCell ref="K98:K100"/>
    <mergeCell ref="A102:A106"/>
    <mergeCell ref="B102:B106"/>
    <mergeCell ref="K102:K106"/>
    <mergeCell ref="A130:A133"/>
    <mergeCell ref="B130:B133"/>
    <mergeCell ref="K130:K133"/>
    <mergeCell ref="A136:A140"/>
    <mergeCell ref="B136:B140"/>
    <mergeCell ref="K136:K140"/>
    <mergeCell ref="A119:A123"/>
    <mergeCell ref="B119:B123"/>
    <mergeCell ref="K119:K123"/>
    <mergeCell ref="A125:A129"/>
    <mergeCell ref="B125:B129"/>
    <mergeCell ref="K125:K129"/>
    <mergeCell ref="A151:A152"/>
    <mergeCell ref="B151:B152"/>
    <mergeCell ref="K151:K152"/>
    <mergeCell ref="A153:A158"/>
    <mergeCell ref="B153:B158"/>
    <mergeCell ref="K153:K158"/>
    <mergeCell ref="A142:A145"/>
    <mergeCell ref="B142:B145"/>
    <mergeCell ref="K142:K145"/>
    <mergeCell ref="A146:A149"/>
    <mergeCell ref="B146:B149"/>
    <mergeCell ref="K146:K149"/>
    <mergeCell ref="A170:A172"/>
    <mergeCell ref="B170:B172"/>
    <mergeCell ref="K170:K172"/>
    <mergeCell ref="A173:A177"/>
    <mergeCell ref="B173:B177"/>
    <mergeCell ref="K173:K177"/>
    <mergeCell ref="A160:A164"/>
    <mergeCell ref="B160:B164"/>
    <mergeCell ref="K160:K164"/>
    <mergeCell ref="A165:A168"/>
    <mergeCell ref="B165:B168"/>
    <mergeCell ref="K165:K168"/>
    <mergeCell ref="A189:A195"/>
    <mergeCell ref="B189:B195"/>
    <mergeCell ref="K189:K195"/>
    <mergeCell ref="A196:A199"/>
    <mergeCell ref="B196:B199"/>
    <mergeCell ref="K196:K199"/>
    <mergeCell ref="A179:A183"/>
    <mergeCell ref="B179:B183"/>
    <mergeCell ref="K179:K183"/>
    <mergeCell ref="A184:A187"/>
    <mergeCell ref="B184:B187"/>
    <mergeCell ref="K184:K187"/>
    <mergeCell ref="A210:A213"/>
    <mergeCell ref="B210:B213"/>
    <mergeCell ref="K210:K213"/>
    <mergeCell ref="A214:A217"/>
    <mergeCell ref="B214:B217"/>
    <mergeCell ref="K214:K217"/>
    <mergeCell ref="A200:A203"/>
    <mergeCell ref="B200:B203"/>
    <mergeCell ref="K200:K203"/>
    <mergeCell ref="A204:A208"/>
    <mergeCell ref="B204:B208"/>
    <mergeCell ref="K205:K208"/>
    <mergeCell ref="A230:A233"/>
    <mergeCell ref="B230:B233"/>
    <mergeCell ref="K230:K233"/>
    <mergeCell ref="A235:A236"/>
    <mergeCell ref="B235:B236"/>
    <mergeCell ref="K235:K236"/>
    <mergeCell ref="A219:A223"/>
    <mergeCell ref="B219:B223"/>
    <mergeCell ref="K219:K223"/>
    <mergeCell ref="A225:A229"/>
    <mergeCell ref="B225:B229"/>
    <mergeCell ref="K225:K229"/>
    <mergeCell ref="A248:A252"/>
    <mergeCell ref="B248:B252"/>
    <mergeCell ref="K248:K252"/>
    <mergeCell ref="A253:A256"/>
    <mergeCell ref="B253:B256"/>
    <mergeCell ref="K253:K256"/>
    <mergeCell ref="A237:A242"/>
    <mergeCell ref="B237:B242"/>
    <mergeCell ref="K237:K242"/>
    <mergeCell ref="A243:A246"/>
    <mergeCell ref="B243:B246"/>
    <mergeCell ref="K243:K246"/>
    <mergeCell ref="A269:A272"/>
    <mergeCell ref="B269:B272"/>
    <mergeCell ref="K269:K272"/>
    <mergeCell ref="A289:H289"/>
    <mergeCell ref="A258:A262"/>
    <mergeCell ref="B258:B262"/>
    <mergeCell ref="K258:K262"/>
    <mergeCell ref="A263:A268"/>
    <mergeCell ref="B263:B268"/>
    <mergeCell ref="K264:K26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&amp;R&amp;"Times New Roman,Regular"&amp;9 81.pielikums Jūrmalas pilsētas domes
2019.gada 29.augusta saistošajiem noteikumiem Nr.31
(protokols Nr.12, 20.punkts)</firstHeader>
    <firstFooter>&amp;L&amp;9&amp;D; &amp;T&amp;R&amp;9&amp;P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7"/>
  <sheetViews>
    <sheetView showGridLines="0" view="pageLayout" zoomScaleNormal="100" workbookViewId="0">
      <selection activeCell="T6" sqref="T5:T6"/>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2071</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1584</v>
      </c>
      <c r="D6" s="1972"/>
      <c r="E6" s="1972"/>
      <c r="F6" s="1972"/>
      <c r="G6" s="1972"/>
      <c r="H6" s="1972"/>
      <c r="I6" s="1972"/>
      <c r="J6" s="1972"/>
      <c r="K6" s="1972"/>
      <c r="L6" s="1972"/>
      <c r="M6" s="1972"/>
      <c r="N6" s="1972"/>
      <c r="O6" s="1972"/>
      <c r="P6" s="1973"/>
      <c r="Q6" s="276"/>
    </row>
    <row r="7" spans="1:17" x14ac:dyDescent="0.25">
      <c r="A7" s="7" t="s">
        <v>10</v>
      </c>
      <c r="B7" s="8"/>
      <c r="C7" s="1977" t="s">
        <v>1617</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t="s">
        <v>18</v>
      </c>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461978</v>
      </c>
      <c r="D20" s="32">
        <f>SUM(D21,D24,D25,D41,D43)</f>
        <v>456463</v>
      </c>
      <c r="E20" s="33">
        <f t="shared" ref="E20:F20" si="1">SUM(E21,E24,E25,E41,E43)</f>
        <v>0</v>
      </c>
      <c r="F20" s="34">
        <f t="shared" si="1"/>
        <v>456463</v>
      </c>
      <c r="G20" s="32">
        <f>SUM(G21,G24,G43)</f>
        <v>0</v>
      </c>
      <c r="H20" s="33">
        <f t="shared" ref="H20:I20" si="2">SUM(H21,H24,H43)</f>
        <v>0</v>
      </c>
      <c r="I20" s="34">
        <f t="shared" si="2"/>
        <v>0</v>
      </c>
      <c r="J20" s="32">
        <f>SUM(J21,J26,J43)</f>
        <v>5515</v>
      </c>
      <c r="K20" s="33">
        <f t="shared" ref="K20:L20" si="3">SUM(K21,K26,K43)</f>
        <v>0</v>
      </c>
      <c r="L20" s="34">
        <f t="shared" si="3"/>
        <v>5515</v>
      </c>
      <c r="M20" s="32">
        <f>SUM(M21,M45)</f>
        <v>0</v>
      </c>
      <c r="N20" s="33">
        <f t="shared" ref="N20:O20" si="4">SUM(N21,N45)</f>
        <v>0</v>
      </c>
      <c r="O20" s="34">
        <f t="shared" si="4"/>
        <v>0</v>
      </c>
      <c r="P20" s="35"/>
    </row>
    <row r="21" spans="1:16" ht="12.75" thickTop="1" x14ac:dyDescent="0.25">
      <c r="A21" s="36"/>
      <c r="B21" s="37" t="s">
        <v>40</v>
      </c>
      <c r="C21" s="38">
        <f t="shared" si="0"/>
        <v>3915</v>
      </c>
      <c r="D21" s="39">
        <f>SUM(D22:D23)</f>
        <v>0</v>
      </c>
      <c r="E21" s="40">
        <f t="shared" ref="E21:F21" si="5">SUM(E22:E23)</f>
        <v>0</v>
      </c>
      <c r="F21" s="41">
        <f t="shared" si="5"/>
        <v>0</v>
      </c>
      <c r="G21" s="39">
        <f>SUM(G22:G23)</f>
        <v>0</v>
      </c>
      <c r="H21" s="40">
        <f t="shared" ref="H21:I21" si="6">SUM(H22:H23)</f>
        <v>0</v>
      </c>
      <c r="I21" s="41">
        <f t="shared" si="6"/>
        <v>0</v>
      </c>
      <c r="J21" s="39">
        <f>SUM(J22:J23)</f>
        <v>3915</v>
      </c>
      <c r="K21" s="40">
        <f t="shared" ref="K21:L21" si="7">SUM(K22:K23)</f>
        <v>0</v>
      </c>
      <c r="L21" s="41">
        <f t="shared" si="7"/>
        <v>3915</v>
      </c>
      <c r="M21" s="39">
        <f>SUM(M22:M23)</f>
        <v>0</v>
      </c>
      <c r="N21" s="40">
        <f t="shared" ref="N21:O21" si="8">SUM(N22:N23)</f>
        <v>0</v>
      </c>
      <c r="O21" s="41">
        <f t="shared" si="8"/>
        <v>0</v>
      </c>
      <c r="P21" s="42"/>
    </row>
    <row r="22" spans="1:16" ht="12" customHeight="1" x14ac:dyDescent="0.25">
      <c r="A22" s="43"/>
      <c r="B22" s="44" t="s">
        <v>41</v>
      </c>
      <c r="C22" s="45">
        <f t="shared" si="0"/>
        <v>6</v>
      </c>
      <c r="D22" s="46"/>
      <c r="E22" s="47"/>
      <c r="F22" s="48">
        <f>D22+E22</f>
        <v>0</v>
      </c>
      <c r="G22" s="46"/>
      <c r="H22" s="47"/>
      <c r="I22" s="48">
        <f>G22+H22</f>
        <v>0</v>
      </c>
      <c r="J22" s="46">
        <v>6</v>
      </c>
      <c r="K22" s="47"/>
      <c r="L22" s="48">
        <f>K22+J22</f>
        <v>6</v>
      </c>
      <c r="M22" s="46"/>
      <c r="N22" s="47"/>
      <c r="O22" s="48">
        <f>N22+M22</f>
        <v>0</v>
      </c>
      <c r="P22" s="49"/>
    </row>
    <row r="23" spans="1:16" x14ac:dyDescent="0.25">
      <c r="A23" s="50"/>
      <c r="B23" s="51" t="s">
        <v>42</v>
      </c>
      <c r="C23" s="52">
        <f t="shared" si="0"/>
        <v>3909</v>
      </c>
      <c r="D23" s="53"/>
      <c r="E23" s="54"/>
      <c r="F23" s="55">
        <f t="shared" ref="F23:F25" si="9">D23+E23</f>
        <v>0</v>
      </c>
      <c r="G23" s="53"/>
      <c r="H23" s="54"/>
      <c r="I23" s="55">
        <f t="shared" ref="I23:I24" si="10">G23+H23</f>
        <v>0</v>
      </c>
      <c r="J23" s="53">
        <v>3909</v>
      </c>
      <c r="K23" s="54"/>
      <c r="L23" s="56">
        <f>K23+J23</f>
        <v>3909</v>
      </c>
      <c r="M23" s="53"/>
      <c r="N23" s="54"/>
      <c r="O23" s="55">
        <f>N23+M23</f>
        <v>0</v>
      </c>
      <c r="P23" s="57"/>
    </row>
    <row r="24" spans="1:16" s="28" customFormat="1" ht="24.75" customHeight="1" thickBot="1" x14ac:dyDescent="0.3">
      <c r="A24" s="58">
        <v>19300</v>
      </c>
      <c r="B24" s="58" t="s">
        <v>43</v>
      </c>
      <c r="C24" s="59">
        <f>F24+I24</f>
        <v>456463</v>
      </c>
      <c r="D24" s="60">
        <f>D51</f>
        <v>456463</v>
      </c>
      <c r="E24" s="741">
        <f>358-358</f>
        <v>0</v>
      </c>
      <c r="F24" s="62">
        <f t="shared" si="9"/>
        <v>456463</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9" customHeight="1" thickTop="1" x14ac:dyDescent="0.25">
      <c r="A26" s="68">
        <v>21300</v>
      </c>
      <c r="B26" s="68" t="s">
        <v>46</v>
      </c>
      <c r="C26" s="69">
        <f>L26</f>
        <v>1600</v>
      </c>
      <c r="D26" s="73" t="s">
        <v>44</v>
      </c>
      <c r="E26" s="74" t="s">
        <v>44</v>
      </c>
      <c r="F26" s="75" t="s">
        <v>44</v>
      </c>
      <c r="G26" s="73" t="s">
        <v>44</v>
      </c>
      <c r="H26" s="74" t="s">
        <v>44</v>
      </c>
      <c r="I26" s="75" t="s">
        <v>44</v>
      </c>
      <c r="J26" s="77">
        <f>SUM(J27,J31,J33,J36)</f>
        <v>1600</v>
      </c>
      <c r="K26" s="78">
        <f t="shared" ref="K26:L26" si="11">SUM(K27,K31,K33,K36)</f>
        <v>0</v>
      </c>
      <c r="L26" s="79">
        <f t="shared" si="11"/>
        <v>1600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7" customHeight="1" x14ac:dyDescent="0.25">
      <c r="A36" s="80">
        <v>21390</v>
      </c>
      <c r="B36" s="68" t="s">
        <v>56</v>
      </c>
      <c r="C36" s="69">
        <f t="shared" si="16"/>
        <v>1600</v>
      </c>
      <c r="D36" s="73" t="s">
        <v>44</v>
      </c>
      <c r="E36" s="74" t="s">
        <v>44</v>
      </c>
      <c r="F36" s="75" t="s">
        <v>44</v>
      </c>
      <c r="G36" s="73" t="s">
        <v>44</v>
      </c>
      <c r="H36" s="74" t="s">
        <v>44</v>
      </c>
      <c r="I36" s="75" t="s">
        <v>44</v>
      </c>
      <c r="J36" s="77">
        <f>SUM(J37:J40)</f>
        <v>1600</v>
      </c>
      <c r="K36" s="78">
        <f t="shared" ref="K36:L36" si="19">SUM(K37:K40)</f>
        <v>0</v>
      </c>
      <c r="L36" s="79">
        <f t="shared" si="19"/>
        <v>1600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customHeight="1" x14ac:dyDescent="0.25">
      <c r="A40" s="107">
        <v>21399</v>
      </c>
      <c r="B40" s="108" t="s">
        <v>60</v>
      </c>
      <c r="C40" s="109">
        <f t="shared" si="16"/>
        <v>1600</v>
      </c>
      <c r="D40" s="110" t="s">
        <v>44</v>
      </c>
      <c r="E40" s="111" t="s">
        <v>44</v>
      </c>
      <c r="F40" s="112" t="s">
        <v>44</v>
      </c>
      <c r="G40" s="110" t="s">
        <v>44</v>
      </c>
      <c r="H40" s="111" t="s">
        <v>44</v>
      </c>
      <c r="I40" s="112" t="s">
        <v>44</v>
      </c>
      <c r="J40" s="113">
        <v>1600</v>
      </c>
      <c r="K40" s="114"/>
      <c r="L40" s="115">
        <f t="shared" si="20"/>
        <v>1600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 hidden="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2.75" thickBot="1" x14ac:dyDescent="0.3">
      <c r="A50" s="156"/>
      <c r="B50" s="29" t="s">
        <v>69</v>
      </c>
      <c r="C50" s="157">
        <f t="shared" si="0"/>
        <v>461978</v>
      </c>
      <c r="D50" s="158">
        <f>SUM(D51,D286)</f>
        <v>456463</v>
      </c>
      <c r="E50" s="159">
        <f t="shared" ref="E50:F50" si="26">SUM(E51,E286)</f>
        <v>0</v>
      </c>
      <c r="F50" s="160">
        <f t="shared" si="26"/>
        <v>456463</v>
      </c>
      <c r="G50" s="158">
        <f>SUM(G51,G286)</f>
        <v>0</v>
      </c>
      <c r="H50" s="159">
        <f>SUM(H51,H286)</f>
        <v>0</v>
      </c>
      <c r="I50" s="160">
        <f t="shared" ref="I50" si="27">SUM(I51,I286)</f>
        <v>0</v>
      </c>
      <c r="J50" s="32">
        <f>SUM(J51,J286)</f>
        <v>5515</v>
      </c>
      <c r="K50" s="33">
        <f t="shared" ref="K50:L50" si="28">SUM(K51,K286)</f>
        <v>0</v>
      </c>
      <c r="L50" s="34">
        <f t="shared" si="28"/>
        <v>5515</v>
      </c>
      <c r="M50" s="32">
        <f>SUM(M51,M286)</f>
        <v>0</v>
      </c>
      <c r="N50" s="33">
        <f t="shared" ref="N50:O50" si="29">SUM(N51,N286)</f>
        <v>0</v>
      </c>
      <c r="O50" s="34">
        <f t="shared" si="29"/>
        <v>0</v>
      </c>
      <c r="P50" s="35"/>
    </row>
    <row r="51" spans="1:16" s="28" customFormat="1" ht="41.25" customHeight="1" thickTop="1" x14ac:dyDescent="0.25">
      <c r="A51" s="161"/>
      <c r="B51" s="162" t="s">
        <v>70</v>
      </c>
      <c r="C51" s="163">
        <f t="shared" si="0"/>
        <v>461728</v>
      </c>
      <c r="D51" s="164">
        <f>SUM(D52,D194)</f>
        <v>456463</v>
      </c>
      <c r="E51" s="165">
        <f t="shared" ref="E51:F51" si="30">SUM(E52,E194)</f>
        <v>0</v>
      </c>
      <c r="F51" s="166">
        <f t="shared" si="30"/>
        <v>456463</v>
      </c>
      <c r="G51" s="164">
        <f>SUM(G52,G194)</f>
        <v>0</v>
      </c>
      <c r="H51" s="165">
        <f t="shared" ref="H51:I51" si="31">SUM(H52,H194)</f>
        <v>0</v>
      </c>
      <c r="I51" s="166">
        <f t="shared" si="31"/>
        <v>0</v>
      </c>
      <c r="J51" s="167">
        <f>SUM(J52,J194)</f>
        <v>5265</v>
      </c>
      <c r="K51" s="168">
        <f t="shared" ref="K51:L51" si="32">SUM(K52,K194)</f>
        <v>0</v>
      </c>
      <c r="L51" s="169">
        <f t="shared" si="32"/>
        <v>5265</v>
      </c>
      <c r="M51" s="167">
        <f>SUM(M52,M194)</f>
        <v>0</v>
      </c>
      <c r="N51" s="168">
        <f t="shared" ref="N51:O51" si="33">SUM(N52,N194)</f>
        <v>0</v>
      </c>
      <c r="O51" s="169">
        <f t="shared" si="33"/>
        <v>0</v>
      </c>
      <c r="P51" s="170"/>
    </row>
    <row r="52" spans="1:16" s="28" customFormat="1" ht="27.75" customHeight="1" x14ac:dyDescent="0.25">
      <c r="A52" s="24"/>
      <c r="B52" s="22" t="s">
        <v>71</v>
      </c>
      <c r="C52" s="171">
        <f t="shared" si="0"/>
        <v>411453</v>
      </c>
      <c r="D52" s="172">
        <f>SUM(D53,D75,D173,D187)</f>
        <v>406188</v>
      </c>
      <c r="E52" s="173">
        <f t="shared" ref="E52:F52" si="34">SUM(E53,E75,E173,E187)</f>
        <v>0</v>
      </c>
      <c r="F52" s="174">
        <f t="shared" si="34"/>
        <v>406188</v>
      </c>
      <c r="G52" s="172">
        <f>SUM(G53,G75,G173,G187)</f>
        <v>0</v>
      </c>
      <c r="H52" s="173">
        <f t="shared" ref="H52:I52" si="35">SUM(H53,H75,H173,H187)</f>
        <v>0</v>
      </c>
      <c r="I52" s="174">
        <f t="shared" si="35"/>
        <v>0</v>
      </c>
      <c r="J52" s="172">
        <f>SUM(J53,J75,J173,J187)</f>
        <v>5265</v>
      </c>
      <c r="K52" s="173">
        <f t="shared" ref="K52:L52" si="36">SUM(K53,K75,K173,K187)</f>
        <v>0</v>
      </c>
      <c r="L52" s="174">
        <f t="shared" si="36"/>
        <v>5265</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v>0</v>
      </c>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423">
        <v>1210</v>
      </c>
      <c r="B68" s="81" t="s">
        <v>87</v>
      </c>
      <c r="C68" s="82">
        <f t="shared" si="0"/>
        <v>0</v>
      </c>
      <c r="D68" s="46">
        <v>0</v>
      </c>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410371</v>
      </c>
      <c r="D75" s="178">
        <f>SUM(D76,D83,D130,D164,D165,D172)</f>
        <v>404748</v>
      </c>
      <c r="E75" s="179">
        <f t="shared" ref="E75:F75" si="74">SUM(E76,E83,E130,E164,E165,E172)</f>
        <v>358</v>
      </c>
      <c r="F75" s="180">
        <f t="shared" si="74"/>
        <v>405106</v>
      </c>
      <c r="G75" s="178">
        <f>SUM(G76,G83,G130,G164,G165,G172)</f>
        <v>0</v>
      </c>
      <c r="H75" s="179">
        <f t="shared" ref="H75:I75" si="75">SUM(H76,H83,H130,H164,H165,H172)</f>
        <v>0</v>
      </c>
      <c r="I75" s="180">
        <f t="shared" si="75"/>
        <v>0</v>
      </c>
      <c r="J75" s="178">
        <f>SUM(J76,J83,J130,J164,J165,J172)</f>
        <v>5265</v>
      </c>
      <c r="K75" s="179">
        <f t="shared" ref="K75:L75" si="76">SUM(K76,K83,K130,K164,K165,K172)</f>
        <v>0</v>
      </c>
      <c r="L75" s="180">
        <f t="shared" si="76"/>
        <v>5265</v>
      </c>
      <c r="M75" s="178">
        <f>SUM(M76,M83,M130,M164,M165,M172)</f>
        <v>0</v>
      </c>
      <c r="N75" s="179">
        <f t="shared" ref="N75:O75" si="77">SUM(N76,N83,N130,N164,N165,N172)</f>
        <v>0</v>
      </c>
      <c r="O75" s="180">
        <f t="shared" si="77"/>
        <v>0</v>
      </c>
      <c r="P75" s="181"/>
    </row>
    <row r="76" spans="1:16" ht="24" x14ac:dyDescent="0.25">
      <c r="A76" s="68">
        <v>2100</v>
      </c>
      <c r="B76" s="182" t="s">
        <v>95</v>
      </c>
      <c r="C76" s="69">
        <f t="shared" si="0"/>
        <v>1704</v>
      </c>
      <c r="D76" s="183">
        <f>SUM(D77,D80)</f>
        <v>1704</v>
      </c>
      <c r="E76" s="184">
        <f t="shared" ref="E76:F76" si="78">SUM(E77,E80)</f>
        <v>0</v>
      </c>
      <c r="F76" s="72">
        <f t="shared" si="78"/>
        <v>1704</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42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x14ac:dyDescent="0.25">
      <c r="A80" s="188">
        <v>2120</v>
      </c>
      <c r="B80" s="88" t="s">
        <v>99</v>
      </c>
      <c r="C80" s="89">
        <f t="shared" si="0"/>
        <v>1704</v>
      </c>
      <c r="D80" s="189">
        <f>SUM(D81:D82)</f>
        <v>1704</v>
      </c>
      <c r="E80" s="190">
        <f t="shared" ref="E80:F80" si="90">SUM(E81:E82)</f>
        <v>0</v>
      </c>
      <c r="F80" s="55">
        <f t="shared" si="90"/>
        <v>1704</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customHeight="1" x14ac:dyDescent="0.25">
      <c r="A81" s="51">
        <v>2121</v>
      </c>
      <c r="B81" s="88" t="s">
        <v>97</v>
      </c>
      <c r="C81" s="89">
        <f t="shared" si="0"/>
        <v>504</v>
      </c>
      <c r="D81" s="194">
        <v>504</v>
      </c>
      <c r="E81" s="195"/>
      <c r="F81" s="55">
        <f t="shared" ref="F81:F82" si="94">D81+E81</f>
        <v>504</v>
      </c>
      <c r="G81" s="53"/>
      <c r="H81" s="54"/>
      <c r="I81" s="55">
        <f t="shared" ref="I81:I82" si="95">G81+H81</f>
        <v>0</v>
      </c>
      <c r="J81" s="53"/>
      <c r="K81" s="54"/>
      <c r="L81" s="55">
        <f t="shared" ref="L81:L82" si="96">K81+J81</f>
        <v>0</v>
      </c>
      <c r="M81" s="53"/>
      <c r="N81" s="54"/>
      <c r="O81" s="55">
        <f t="shared" ref="O81:O82" si="97">N81+M81</f>
        <v>0</v>
      </c>
      <c r="P81" s="57"/>
    </row>
    <row r="82" spans="1:16" ht="24" customHeight="1" x14ac:dyDescent="0.25">
      <c r="A82" s="51">
        <v>2122</v>
      </c>
      <c r="B82" s="88" t="s">
        <v>98</v>
      </c>
      <c r="C82" s="89">
        <f t="shared" si="0"/>
        <v>1200</v>
      </c>
      <c r="D82" s="194">
        <v>1200</v>
      </c>
      <c r="E82" s="195"/>
      <c r="F82" s="55">
        <f t="shared" si="94"/>
        <v>1200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364902</v>
      </c>
      <c r="D83" s="183">
        <f>SUM(D84,D89,D95,D103,D112,D116,D122,D128)</f>
        <v>362344</v>
      </c>
      <c r="E83" s="184">
        <f t="shared" ref="E83:F83" si="98">SUM(E84,E89,E95,E103,E112,E116,E122,E128)</f>
        <v>358</v>
      </c>
      <c r="F83" s="72">
        <f t="shared" si="98"/>
        <v>362702</v>
      </c>
      <c r="G83" s="183">
        <f>SUM(G84,G89,G95,G103,G112,G116,G122,G128)</f>
        <v>0</v>
      </c>
      <c r="H83" s="184">
        <f t="shared" ref="H83:I83" si="99">SUM(H84,H89,H95,H103,H112,H116,H122,H128)</f>
        <v>0</v>
      </c>
      <c r="I83" s="72">
        <f t="shared" si="99"/>
        <v>0</v>
      </c>
      <c r="J83" s="183">
        <f>SUM(J84,J89,J95,J103,J112,J116,J122,J128)</f>
        <v>2200</v>
      </c>
      <c r="K83" s="184">
        <f t="shared" ref="K83:L83" si="100">SUM(K84,K89,K95,K103,K112,K116,K122,K128)</f>
        <v>0</v>
      </c>
      <c r="L83" s="72">
        <f t="shared" si="100"/>
        <v>2200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7" customHeight="1" x14ac:dyDescent="0.25">
      <c r="A89" s="188">
        <v>2220</v>
      </c>
      <c r="B89" s="88" t="s">
        <v>106</v>
      </c>
      <c r="C89" s="89">
        <f t="shared" si="102"/>
        <v>20000</v>
      </c>
      <c r="D89" s="189">
        <f>SUM(D90:D94)</f>
        <v>20000</v>
      </c>
      <c r="E89" s="190">
        <f t="shared" ref="E89:F89" si="111">SUM(E90:E94)</f>
        <v>0</v>
      </c>
      <c r="F89" s="55">
        <f t="shared" si="111"/>
        <v>20000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5" customHeight="1" x14ac:dyDescent="0.25">
      <c r="A91" s="51">
        <v>2222</v>
      </c>
      <c r="B91" s="88" t="s">
        <v>108</v>
      </c>
      <c r="C91" s="89">
        <f t="shared" si="102"/>
        <v>1500</v>
      </c>
      <c r="D91" s="194">
        <v>1500</v>
      </c>
      <c r="E91" s="195"/>
      <c r="F91" s="55">
        <f t="shared" si="115"/>
        <v>1500</v>
      </c>
      <c r="G91" s="53"/>
      <c r="H91" s="54"/>
      <c r="I91" s="55">
        <f t="shared" si="116"/>
        <v>0</v>
      </c>
      <c r="J91" s="53"/>
      <c r="K91" s="54"/>
      <c r="L91" s="55">
        <f t="shared" si="117"/>
        <v>0</v>
      </c>
      <c r="M91" s="53"/>
      <c r="N91" s="54"/>
      <c r="O91" s="55">
        <f t="shared" si="118"/>
        <v>0</v>
      </c>
      <c r="P91" s="57"/>
    </row>
    <row r="92" spans="1:16" ht="12.75" customHeight="1" x14ac:dyDescent="0.25">
      <c r="A92" s="51">
        <v>2223</v>
      </c>
      <c r="B92" s="88" t="s">
        <v>109</v>
      </c>
      <c r="C92" s="89">
        <f t="shared" si="102"/>
        <v>18500</v>
      </c>
      <c r="D92" s="194">
        <v>18500</v>
      </c>
      <c r="E92" s="195"/>
      <c r="F92" s="55">
        <f t="shared" si="115"/>
        <v>18500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193700</v>
      </c>
      <c r="D95" s="189">
        <f>SUM(D96:D102)</f>
        <v>191500</v>
      </c>
      <c r="E95" s="190">
        <f t="shared" ref="E95:F95" si="119">SUM(E96:E102)</f>
        <v>0</v>
      </c>
      <c r="F95" s="55">
        <f t="shared" si="119"/>
        <v>191500</v>
      </c>
      <c r="G95" s="189">
        <f>SUM(G96:G102)</f>
        <v>0</v>
      </c>
      <c r="H95" s="190">
        <f t="shared" ref="H95:I95" si="120">SUM(H96:H102)</f>
        <v>0</v>
      </c>
      <c r="I95" s="55">
        <f t="shared" si="120"/>
        <v>0</v>
      </c>
      <c r="J95" s="189">
        <f>SUM(J96:J102)</f>
        <v>2200</v>
      </c>
      <c r="K95" s="190">
        <f t="shared" ref="K95:L95" si="121">SUM(K96:K102)</f>
        <v>0</v>
      </c>
      <c r="L95" s="55">
        <f t="shared" si="121"/>
        <v>2200</v>
      </c>
      <c r="M95" s="189">
        <f>SUM(M96:M102)</f>
        <v>0</v>
      </c>
      <c r="N95" s="190">
        <f t="shared" ref="N95:O95" si="122">SUM(N96:N102)</f>
        <v>0</v>
      </c>
      <c r="O95" s="55">
        <f t="shared" si="122"/>
        <v>0</v>
      </c>
      <c r="P95" s="57"/>
    </row>
    <row r="96" spans="1:16" ht="26.25" customHeight="1" x14ac:dyDescent="0.25">
      <c r="A96" s="51">
        <v>2231</v>
      </c>
      <c r="B96" s="88" t="s">
        <v>113</v>
      </c>
      <c r="C96" s="89">
        <f t="shared" si="102"/>
        <v>4600</v>
      </c>
      <c r="D96" s="194">
        <v>4600</v>
      </c>
      <c r="E96" s="195"/>
      <c r="F96" s="55">
        <f t="shared" ref="F96:F102" si="123">D96+E96</f>
        <v>4600</v>
      </c>
      <c r="G96" s="53"/>
      <c r="H96" s="54"/>
      <c r="I96" s="55">
        <f t="shared" ref="I96:I102" si="124">G96+H96</f>
        <v>0</v>
      </c>
      <c r="J96" s="53"/>
      <c r="K96" s="54"/>
      <c r="L96" s="55">
        <f t="shared" ref="L96:L102" si="125">K96+J96</f>
        <v>0</v>
      </c>
      <c r="M96" s="53"/>
      <c r="N96" s="54"/>
      <c r="O96" s="55">
        <f t="shared" ref="O96:O102" si="126">N96+M96</f>
        <v>0</v>
      </c>
      <c r="P96" s="57"/>
    </row>
    <row r="97" spans="1:16" ht="27" customHeight="1" x14ac:dyDescent="0.25">
      <c r="A97" s="51">
        <v>2232</v>
      </c>
      <c r="B97" s="88" t="s">
        <v>114</v>
      </c>
      <c r="C97" s="89">
        <f t="shared" si="102"/>
        <v>5500</v>
      </c>
      <c r="D97" s="194">
        <v>5500</v>
      </c>
      <c r="E97" s="195"/>
      <c r="F97" s="55">
        <f t="shared" si="123"/>
        <v>5500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183600</v>
      </c>
      <c r="D102" s="194">
        <v>181400</v>
      </c>
      <c r="E102" s="195"/>
      <c r="F102" s="55">
        <f t="shared" si="123"/>
        <v>181400</v>
      </c>
      <c r="G102" s="53"/>
      <c r="H102" s="54"/>
      <c r="I102" s="55">
        <f t="shared" si="124"/>
        <v>0</v>
      </c>
      <c r="J102" s="53">
        <v>2200</v>
      </c>
      <c r="K102" s="54"/>
      <c r="L102" s="55">
        <f t="shared" si="125"/>
        <v>2200</v>
      </c>
      <c r="M102" s="53"/>
      <c r="N102" s="54"/>
      <c r="O102" s="55">
        <f t="shared" si="126"/>
        <v>0</v>
      </c>
      <c r="P102" s="57"/>
    </row>
    <row r="103" spans="1:16" ht="36" x14ac:dyDescent="0.25">
      <c r="A103" s="188">
        <v>2240</v>
      </c>
      <c r="B103" s="88" t="s">
        <v>120</v>
      </c>
      <c r="C103" s="89">
        <f t="shared" si="102"/>
        <v>110</v>
      </c>
      <c r="D103" s="189">
        <f>SUM(D104:D111)</f>
        <v>110</v>
      </c>
      <c r="E103" s="190">
        <f t="shared" ref="E103:F103" si="127">SUM(E104:E111)</f>
        <v>0</v>
      </c>
      <c r="F103" s="55">
        <f t="shared" si="127"/>
        <v>110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8.5" customHeight="1" x14ac:dyDescent="0.25">
      <c r="A106" s="51">
        <v>2243</v>
      </c>
      <c r="B106" s="88" t="s">
        <v>123</v>
      </c>
      <c r="C106" s="89">
        <f t="shared" si="102"/>
        <v>110</v>
      </c>
      <c r="D106" s="194">
        <v>110</v>
      </c>
      <c r="E106" s="195"/>
      <c r="F106" s="55">
        <f t="shared" si="131"/>
        <v>110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v>0</v>
      </c>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v>0</v>
      </c>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151092</v>
      </c>
      <c r="D122" s="189">
        <f>SUM(D123:D127)</f>
        <v>150734</v>
      </c>
      <c r="E122" s="190">
        <f t="shared" ref="E122:F122" si="151">SUM(E123:E127)</f>
        <v>358</v>
      </c>
      <c r="F122" s="55">
        <f t="shared" si="151"/>
        <v>151092</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6.25" customHeight="1" x14ac:dyDescent="0.25">
      <c r="A127" s="51">
        <v>2279</v>
      </c>
      <c r="B127" s="88" t="s">
        <v>144</v>
      </c>
      <c r="C127" s="89">
        <f t="shared" si="102"/>
        <v>151092</v>
      </c>
      <c r="D127" s="194">
        <v>150734</v>
      </c>
      <c r="E127" s="198">
        <v>358</v>
      </c>
      <c r="F127" s="55">
        <f t="shared" si="155"/>
        <v>151092</v>
      </c>
      <c r="G127" s="53"/>
      <c r="H127" s="54"/>
      <c r="I127" s="55">
        <f t="shared" si="156"/>
        <v>0</v>
      </c>
      <c r="J127" s="53"/>
      <c r="K127" s="54"/>
      <c r="L127" s="55">
        <f t="shared" si="157"/>
        <v>0</v>
      </c>
      <c r="M127" s="53"/>
      <c r="N127" s="54"/>
      <c r="O127" s="55">
        <f t="shared" si="158"/>
        <v>0</v>
      </c>
      <c r="P127" s="57"/>
    </row>
    <row r="128" spans="1:16" ht="48" hidden="1" x14ac:dyDescent="0.25">
      <c r="A128" s="142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42590</v>
      </c>
      <c r="D130" s="183">
        <f>SUM(D131,D136,D140,D141,D144,D151,D159,D160,D163)</f>
        <v>40700</v>
      </c>
      <c r="E130" s="184">
        <f t="shared" ref="E130:F130" si="160">SUM(E131,E136,E140,E141,E144,E151,E159,E160,E163)</f>
        <v>0</v>
      </c>
      <c r="F130" s="72">
        <f t="shared" si="160"/>
        <v>40700</v>
      </c>
      <c r="G130" s="183">
        <f>SUM(G131,G136,G140,G141,G144,G151,G159,G160,G163)</f>
        <v>0</v>
      </c>
      <c r="H130" s="184">
        <f t="shared" ref="H130:I130" si="161">SUM(H131,H136,H140,H141,H144,H151,H159,H160,H163)</f>
        <v>0</v>
      </c>
      <c r="I130" s="72">
        <f t="shared" si="161"/>
        <v>0</v>
      </c>
      <c r="J130" s="183">
        <f>SUM(J131,J136,J140,J141,J144,J151,J159,J160,J163)</f>
        <v>1890</v>
      </c>
      <c r="K130" s="184">
        <f t="shared" ref="K130:L130" si="162">SUM(K131,K136,K140,K141,K144,K151,K159,K160,K163)</f>
        <v>0</v>
      </c>
      <c r="L130" s="72">
        <f t="shared" si="162"/>
        <v>1890</v>
      </c>
      <c r="M130" s="183">
        <f>SUM(M131,M136,M140,M141,M144,M151,M159,M160,M163)</f>
        <v>0</v>
      </c>
      <c r="N130" s="184">
        <f t="shared" ref="N130:O130" si="163">SUM(N131,N136,N140,N141,N144,N151,N159,N160,N163)</f>
        <v>0</v>
      </c>
      <c r="O130" s="72">
        <f t="shared" si="163"/>
        <v>0</v>
      </c>
      <c r="P130" s="76"/>
    </row>
    <row r="131" spans="1:16" ht="24" x14ac:dyDescent="0.25">
      <c r="A131" s="1423">
        <v>2310</v>
      </c>
      <c r="B131" s="81" t="s">
        <v>148</v>
      </c>
      <c r="C131" s="82">
        <f t="shared" si="102"/>
        <v>40700</v>
      </c>
      <c r="D131" s="192">
        <f t="shared" ref="D131:O131" si="164">SUM(D132:D135)</f>
        <v>40700</v>
      </c>
      <c r="E131" s="193">
        <f t="shared" si="164"/>
        <v>0</v>
      </c>
      <c r="F131" s="133">
        <f t="shared" si="164"/>
        <v>40700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5700</v>
      </c>
      <c r="D133" s="194">
        <v>5700</v>
      </c>
      <c r="E133" s="195"/>
      <c r="F133" s="55">
        <f t="shared" si="165"/>
        <v>5700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8.25" customHeight="1" x14ac:dyDescent="0.25">
      <c r="A135" s="51">
        <v>2314</v>
      </c>
      <c r="B135" s="88" t="s">
        <v>152</v>
      </c>
      <c r="C135" s="89">
        <f t="shared" si="102"/>
        <v>35000</v>
      </c>
      <c r="D135" s="194">
        <v>35000</v>
      </c>
      <c r="E135" s="195"/>
      <c r="F135" s="55">
        <f t="shared" si="165"/>
        <v>35000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customHeight="1" x14ac:dyDescent="0.25">
      <c r="A163" s="185">
        <v>2390</v>
      </c>
      <c r="B163" s="137" t="s">
        <v>180</v>
      </c>
      <c r="C163" s="142">
        <f t="shared" si="193"/>
        <v>1890</v>
      </c>
      <c r="D163" s="202">
        <v>0</v>
      </c>
      <c r="E163" s="203"/>
      <c r="F163" s="140">
        <f t="shared" si="206"/>
        <v>0</v>
      </c>
      <c r="G163" s="143"/>
      <c r="H163" s="144"/>
      <c r="I163" s="140">
        <f t="shared" si="207"/>
        <v>0</v>
      </c>
      <c r="J163" s="143">
        <v>1890</v>
      </c>
      <c r="K163" s="144"/>
      <c r="L163" s="140">
        <f t="shared" si="208"/>
        <v>1890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6.25" customHeight="1" x14ac:dyDescent="0.25">
      <c r="A165" s="68">
        <v>2500</v>
      </c>
      <c r="B165" s="182" t="s">
        <v>182</v>
      </c>
      <c r="C165" s="69">
        <f t="shared" si="193"/>
        <v>1175</v>
      </c>
      <c r="D165" s="183">
        <f>SUM(D166,D171)</f>
        <v>0</v>
      </c>
      <c r="E165" s="184">
        <f t="shared" ref="E165:O165" si="210">SUM(E166,E171)</f>
        <v>0</v>
      </c>
      <c r="F165" s="72">
        <f t="shared" si="210"/>
        <v>0</v>
      </c>
      <c r="G165" s="183">
        <f t="shared" si="210"/>
        <v>0</v>
      </c>
      <c r="H165" s="184">
        <f t="shared" si="210"/>
        <v>0</v>
      </c>
      <c r="I165" s="72">
        <f t="shared" si="210"/>
        <v>0</v>
      </c>
      <c r="J165" s="183">
        <f t="shared" si="210"/>
        <v>1175</v>
      </c>
      <c r="K165" s="184">
        <f t="shared" si="210"/>
        <v>0</v>
      </c>
      <c r="L165" s="72">
        <f t="shared" si="210"/>
        <v>1175</v>
      </c>
      <c r="M165" s="183">
        <f t="shared" si="210"/>
        <v>0</v>
      </c>
      <c r="N165" s="184">
        <f t="shared" si="210"/>
        <v>0</v>
      </c>
      <c r="O165" s="72">
        <f t="shared" si="210"/>
        <v>0</v>
      </c>
      <c r="P165" s="76"/>
    </row>
    <row r="166" spans="1:16" ht="26.25" customHeight="1" x14ac:dyDescent="0.25">
      <c r="A166" s="1423">
        <v>2510</v>
      </c>
      <c r="B166" s="81" t="s">
        <v>183</v>
      </c>
      <c r="C166" s="82">
        <f t="shared" si="193"/>
        <v>1175</v>
      </c>
      <c r="D166" s="192">
        <f>SUM(D167:D170)</f>
        <v>0</v>
      </c>
      <c r="E166" s="193">
        <f t="shared" ref="E166:O166" si="211">SUM(E167:E170)</f>
        <v>0</v>
      </c>
      <c r="F166" s="133">
        <f t="shared" si="211"/>
        <v>0</v>
      </c>
      <c r="G166" s="192">
        <f t="shared" si="211"/>
        <v>0</v>
      </c>
      <c r="H166" s="193">
        <f t="shared" si="211"/>
        <v>0</v>
      </c>
      <c r="I166" s="133">
        <f t="shared" si="211"/>
        <v>0</v>
      </c>
      <c r="J166" s="192">
        <f t="shared" si="211"/>
        <v>1175</v>
      </c>
      <c r="K166" s="193">
        <f t="shared" si="211"/>
        <v>0</v>
      </c>
      <c r="L166" s="133">
        <f t="shared" si="211"/>
        <v>1175</v>
      </c>
      <c r="M166" s="192">
        <f t="shared" si="211"/>
        <v>0</v>
      </c>
      <c r="N166" s="193">
        <f t="shared" si="211"/>
        <v>0</v>
      </c>
      <c r="O166" s="133">
        <f t="shared" si="211"/>
        <v>0</v>
      </c>
      <c r="P166" s="49"/>
    </row>
    <row r="167" spans="1:16" ht="29.25" customHeight="1" x14ac:dyDescent="0.25">
      <c r="A167" s="51">
        <v>2512</v>
      </c>
      <c r="B167" s="88" t="s">
        <v>184</v>
      </c>
      <c r="C167" s="89">
        <f t="shared" si="193"/>
        <v>1175</v>
      </c>
      <c r="D167" s="194">
        <v>0</v>
      </c>
      <c r="E167" s="195"/>
      <c r="F167" s="55">
        <f t="shared" ref="F167:F172" si="212">D167+E167</f>
        <v>0</v>
      </c>
      <c r="G167" s="53"/>
      <c r="H167" s="54"/>
      <c r="I167" s="55">
        <f t="shared" ref="I167:I172" si="213">G167+H167</f>
        <v>0</v>
      </c>
      <c r="J167" s="53">
        <v>1175</v>
      </c>
      <c r="K167" s="54"/>
      <c r="L167" s="55">
        <f t="shared" ref="L167:L172" si="214">K167+J167</f>
        <v>1175</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x14ac:dyDescent="0.25">
      <c r="A173" s="176">
        <v>3000</v>
      </c>
      <c r="B173" s="176" t="s">
        <v>190</v>
      </c>
      <c r="C173" s="177">
        <f t="shared" si="193"/>
        <v>1082</v>
      </c>
      <c r="D173" s="178">
        <f>SUM(D174,D184)</f>
        <v>1440</v>
      </c>
      <c r="E173" s="179">
        <f t="shared" ref="E173:F173" si="216">SUM(E174,E184)</f>
        <v>-358</v>
      </c>
      <c r="F173" s="180">
        <f t="shared" si="216"/>
        <v>1082</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x14ac:dyDescent="0.25">
      <c r="A174" s="68">
        <v>3200</v>
      </c>
      <c r="B174" s="207" t="s">
        <v>191</v>
      </c>
      <c r="C174" s="69">
        <f t="shared" si="193"/>
        <v>1082</v>
      </c>
      <c r="D174" s="183">
        <f>SUM(D175,D179)</f>
        <v>1440</v>
      </c>
      <c r="E174" s="184">
        <f t="shared" ref="E174:O174" si="220">SUM(E175,E179)</f>
        <v>-358</v>
      </c>
      <c r="F174" s="72">
        <f t="shared" si="220"/>
        <v>1082</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x14ac:dyDescent="0.25">
      <c r="A175" s="1423">
        <v>3260</v>
      </c>
      <c r="B175" s="81" t="s">
        <v>192</v>
      </c>
      <c r="C175" s="82">
        <f t="shared" si="193"/>
        <v>1082</v>
      </c>
      <c r="D175" s="192">
        <f>SUM(D176:D178)</f>
        <v>1440</v>
      </c>
      <c r="E175" s="193">
        <f t="shared" ref="E175:F175" si="221">SUM(E176:E178)</f>
        <v>-358</v>
      </c>
      <c r="F175" s="133">
        <f t="shared" si="221"/>
        <v>1082</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v>0</v>
      </c>
      <c r="E177" s="195"/>
      <c r="F177" s="55">
        <f t="shared" si="225"/>
        <v>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8" t="s">
        <v>195</v>
      </c>
      <c r="C178" s="89">
        <f t="shared" si="193"/>
        <v>1082</v>
      </c>
      <c r="D178" s="194">
        <v>1440</v>
      </c>
      <c r="E178" s="198">
        <v>-358</v>
      </c>
      <c r="F178" s="55">
        <f t="shared" si="225"/>
        <v>1082</v>
      </c>
      <c r="G178" s="53"/>
      <c r="H178" s="54"/>
      <c r="I178" s="55">
        <f t="shared" si="226"/>
        <v>0</v>
      </c>
      <c r="J178" s="53"/>
      <c r="K178" s="54"/>
      <c r="L178" s="55">
        <f t="shared" si="227"/>
        <v>0</v>
      </c>
      <c r="M178" s="53"/>
      <c r="N178" s="54"/>
      <c r="O178" s="55">
        <f t="shared" si="228"/>
        <v>0</v>
      </c>
      <c r="P178" s="57"/>
    </row>
    <row r="179" spans="1:16" ht="84" hidden="1" x14ac:dyDescent="0.25">
      <c r="A179" s="142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423">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42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50275</v>
      </c>
      <c r="D194" s="172">
        <f>SUM(D195,D230,D269,D283)</f>
        <v>50275</v>
      </c>
      <c r="E194" s="173">
        <f t="shared" ref="E194:O194" si="259">SUM(E195,E230,E269,E283)</f>
        <v>0</v>
      </c>
      <c r="F194" s="174">
        <f t="shared" si="259"/>
        <v>50275</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50275</v>
      </c>
      <c r="D195" s="178">
        <f>D196+D204</f>
        <v>50275</v>
      </c>
      <c r="E195" s="179">
        <f t="shared" ref="E195:F195" si="260">E196+E204</f>
        <v>0</v>
      </c>
      <c r="F195" s="180">
        <f t="shared" si="260"/>
        <v>50275</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x14ac:dyDescent="0.25">
      <c r="A196" s="68">
        <v>5100</v>
      </c>
      <c r="B196" s="182" t="s">
        <v>213</v>
      </c>
      <c r="C196" s="69">
        <f t="shared" si="193"/>
        <v>31775</v>
      </c>
      <c r="D196" s="183">
        <f>D197+D198+D201+D202+D203</f>
        <v>31775</v>
      </c>
      <c r="E196" s="184">
        <f t="shared" ref="E196:F196" si="264">E197+E198+E201+E202+E203</f>
        <v>0</v>
      </c>
      <c r="F196" s="72">
        <f t="shared" si="264"/>
        <v>31775</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customHeight="1" x14ac:dyDescent="0.25">
      <c r="A197" s="1423">
        <v>5110</v>
      </c>
      <c r="B197" s="81" t="s">
        <v>214</v>
      </c>
      <c r="C197" s="82">
        <f t="shared" si="193"/>
        <v>20000</v>
      </c>
      <c r="D197" s="196">
        <v>20000</v>
      </c>
      <c r="E197" s="197"/>
      <c r="F197" s="133">
        <f>D197+E197</f>
        <v>20000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customHeight="1" x14ac:dyDescent="0.25">
      <c r="A202" s="188">
        <v>5140</v>
      </c>
      <c r="B202" s="88" t="s">
        <v>219</v>
      </c>
      <c r="C202" s="89">
        <f t="shared" si="193"/>
        <v>11775</v>
      </c>
      <c r="D202" s="194">
        <v>11775</v>
      </c>
      <c r="E202" s="195"/>
      <c r="F202" s="55">
        <f t="shared" si="272"/>
        <v>11775</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18500</v>
      </c>
      <c r="D204" s="183">
        <f>D205+D215+D216+D225+D226+D227+D229</f>
        <v>18500</v>
      </c>
      <c r="E204" s="184">
        <f t="shared" ref="E204:F204" si="276">E205+E215+E216+E225+E226+E227+E229</f>
        <v>0</v>
      </c>
      <c r="F204" s="72">
        <f t="shared" si="276"/>
        <v>18500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18500</v>
      </c>
      <c r="D216" s="189">
        <f>SUM(D217:D224)</f>
        <v>18500</v>
      </c>
      <c r="E216" s="190">
        <f t="shared" ref="E216:F216" si="289">SUM(E217:E224)</f>
        <v>0</v>
      </c>
      <c r="F216" s="55">
        <f t="shared" si="289"/>
        <v>18500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customHeight="1" x14ac:dyDescent="0.25">
      <c r="A220" s="51">
        <v>5234</v>
      </c>
      <c r="B220" s="88" t="s">
        <v>237</v>
      </c>
      <c r="C220" s="89">
        <f t="shared" si="288"/>
        <v>10000</v>
      </c>
      <c r="D220" s="194">
        <v>10000</v>
      </c>
      <c r="E220" s="195"/>
      <c r="F220" s="55">
        <f t="shared" si="293"/>
        <v>10000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8500</v>
      </c>
      <c r="D224" s="194">
        <v>8500</v>
      </c>
      <c r="E224" s="195"/>
      <c r="F224" s="55">
        <f t="shared" si="293"/>
        <v>8500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v>0</v>
      </c>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v>0</v>
      </c>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423">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42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42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42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423">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423">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x14ac:dyDescent="0.25">
      <c r="A286" s="199"/>
      <c r="B286" s="88" t="s">
        <v>303</v>
      </c>
      <c r="C286" s="89">
        <f t="shared" si="371"/>
        <v>250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250</v>
      </c>
      <c r="K286" s="190">
        <f t="shared" ref="K286:L286" si="383">SUM(K287:K288)</f>
        <v>0</v>
      </c>
      <c r="L286" s="55">
        <f t="shared" si="383"/>
        <v>250</v>
      </c>
      <c r="M286" s="189">
        <f>SUM(M287:M288)</f>
        <v>0</v>
      </c>
      <c r="N286" s="190">
        <f t="shared" ref="N286:O286" si="384">SUM(N287:N288)</f>
        <v>0</v>
      </c>
      <c r="O286" s="55">
        <f t="shared" si="384"/>
        <v>0</v>
      </c>
      <c r="P286" s="57"/>
    </row>
    <row r="287" spans="1:16" ht="12" customHeight="1" x14ac:dyDescent="0.25">
      <c r="A287" s="199" t="s">
        <v>304</v>
      </c>
      <c r="B287" s="51" t="s">
        <v>305</v>
      </c>
      <c r="C287" s="89">
        <f t="shared" si="371"/>
        <v>250</v>
      </c>
      <c r="D287" s="194">
        <v>0</v>
      </c>
      <c r="E287" s="195"/>
      <c r="F287" s="55">
        <f t="shared" ref="F287:F288" si="385">D287+E287</f>
        <v>0</v>
      </c>
      <c r="G287" s="53"/>
      <c r="H287" s="54"/>
      <c r="I287" s="55">
        <f t="shared" ref="I287:I288" si="386">G287+H287</f>
        <v>0</v>
      </c>
      <c r="J287" s="53">
        <v>250</v>
      </c>
      <c r="K287" s="54"/>
      <c r="L287" s="55">
        <f t="shared" ref="L287:L288" si="387">K287+J287</f>
        <v>250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461978</v>
      </c>
      <c r="D289" s="251">
        <f t="shared" ref="D289:O289" si="389">SUM(D286,D269,D230,D195,D187,D173,D75,D53,D283)</f>
        <v>456463</v>
      </c>
      <c r="E289" s="252">
        <f t="shared" si="389"/>
        <v>0</v>
      </c>
      <c r="F289" s="253">
        <f t="shared" si="389"/>
        <v>456463</v>
      </c>
      <c r="G289" s="251">
        <f t="shared" si="389"/>
        <v>0</v>
      </c>
      <c r="H289" s="252">
        <f t="shared" si="389"/>
        <v>0</v>
      </c>
      <c r="I289" s="253">
        <f t="shared" si="389"/>
        <v>0</v>
      </c>
      <c r="J289" s="251">
        <f t="shared" si="389"/>
        <v>5515</v>
      </c>
      <c r="K289" s="252">
        <f t="shared" si="389"/>
        <v>0</v>
      </c>
      <c r="L289" s="253">
        <f t="shared" si="389"/>
        <v>5515</v>
      </c>
      <c r="M289" s="251">
        <f t="shared" si="389"/>
        <v>0</v>
      </c>
      <c r="N289" s="252">
        <f t="shared" si="389"/>
        <v>0</v>
      </c>
      <c r="O289" s="253">
        <f t="shared" si="389"/>
        <v>0</v>
      </c>
      <c r="P289" s="254"/>
    </row>
    <row r="290" spans="1:16" s="28" customFormat="1" ht="13.5" thickTop="1" thickBot="1" x14ac:dyDescent="0.3">
      <c r="A290" s="1945" t="s">
        <v>309</v>
      </c>
      <c r="B290" s="1946"/>
      <c r="C290" s="255">
        <f t="shared" si="371"/>
        <v>-3665</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-3665</v>
      </c>
      <c r="K290" s="257">
        <f t="shared" ref="K290:L290" si="392">(K26+K43)-K51</f>
        <v>0</v>
      </c>
      <c r="L290" s="258">
        <f t="shared" si="392"/>
        <v>-3665</v>
      </c>
      <c r="M290" s="256">
        <f>M45-M51</f>
        <v>0</v>
      </c>
      <c r="N290" s="257">
        <f t="shared" ref="N290:O290" si="393">N45-N51</f>
        <v>0</v>
      </c>
      <c r="O290" s="258">
        <f t="shared" si="393"/>
        <v>0</v>
      </c>
      <c r="P290" s="259"/>
    </row>
    <row r="291" spans="1:16" s="28" customFormat="1" ht="12.75" thickTop="1" x14ac:dyDescent="0.25">
      <c r="A291" s="1947" t="s">
        <v>310</v>
      </c>
      <c r="B291" s="1948"/>
      <c r="C291" s="260">
        <f t="shared" si="371"/>
        <v>3665</v>
      </c>
      <c r="D291" s="261">
        <f t="shared" ref="D291:O291" si="394">SUM(D292,D293)-D300+D301</f>
        <v>0</v>
      </c>
      <c r="E291" s="262">
        <f t="shared" si="394"/>
        <v>0</v>
      </c>
      <c r="F291" s="263">
        <f t="shared" si="394"/>
        <v>0</v>
      </c>
      <c r="G291" s="261">
        <f t="shared" si="394"/>
        <v>0</v>
      </c>
      <c r="H291" s="262">
        <f t="shared" si="394"/>
        <v>0</v>
      </c>
      <c r="I291" s="263">
        <f t="shared" si="394"/>
        <v>0</v>
      </c>
      <c r="J291" s="261">
        <f t="shared" si="394"/>
        <v>3665</v>
      </c>
      <c r="K291" s="262">
        <f t="shared" si="394"/>
        <v>0</v>
      </c>
      <c r="L291" s="263">
        <f t="shared" si="394"/>
        <v>3665</v>
      </c>
      <c r="M291" s="261">
        <f t="shared" si="394"/>
        <v>0</v>
      </c>
      <c r="N291" s="262">
        <f t="shared" si="394"/>
        <v>0</v>
      </c>
      <c r="O291" s="263">
        <f t="shared" si="394"/>
        <v>0</v>
      </c>
      <c r="P291" s="264"/>
    </row>
    <row r="292" spans="1:16" s="28" customFormat="1" ht="12.75" thickBot="1" x14ac:dyDescent="0.3">
      <c r="A292" s="156" t="s">
        <v>311</v>
      </c>
      <c r="B292" s="156" t="s">
        <v>312</v>
      </c>
      <c r="C292" s="157">
        <f t="shared" si="371"/>
        <v>3665</v>
      </c>
      <c r="D292" s="158">
        <f t="shared" ref="D292:O292" si="395">D21-D286</f>
        <v>0</v>
      </c>
      <c r="E292" s="159">
        <f t="shared" si="395"/>
        <v>0</v>
      </c>
      <c r="F292" s="160">
        <f t="shared" si="395"/>
        <v>0</v>
      </c>
      <c r="G292" s="158">
        <f t="shared" si="395"/>
        <v>0</v>
      </c>
      <c r="H292" s="159">
        <f t="shared" si="395"/>
        <v>0</v>
      </c>
      <c r="I292" s="160">
        <f t="shared" si="395"/>
        <v>0</v>
      </c>
      <c r="J292" s="158">
        <f t="shared" si="395"/>
        <v>3665</v>
      </c>
      <c r="K292" s="159">
        <f t="shared" si="395"/>
        <v>0</v>
      </c>
      <c r="L292" s="160">
        <f t="shared" si="395"/>
        <v>3665</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row r="315" spans="1:13" x14ac:dyDescent="0.25">
      <c r="A315" s="4"/>
      <c r="B315" s="4"/>
      <c r="C315" s="4"/>
      <c r="D315" s="4"/>
      <c r="E315" s="4"/>
      <c r="F315" s="4"/>
      <c r="G315" s="4"/>
      <c r="H315" s="4"/>
      <c r="I315" s="4"/>
      <c r="J315" s="4"/>
      <c r="K315" s="4"/>
      <c r="L315" s="4"/>
      <c r="M315" s="4"/>
    </row>
    <row r="316" spans="1:13" x14ac:dyDescent="0.25">
      <c r="A316" s="4"/>
      <c r="B316" s="4"/>
      <c r="C316" s="4"/>
      <c r="D316" s="4"/>
      <c r="E316" s="4"/>
      <c r="F316" s="4"/>
      <c r="G316" s="4"/>
      <c r="H316" s="4"/>
      <c r="I316" s="4"/>
      <c r="J316" s="4"/>
      <c r="K316" s="4"/>
      <c r="L316" s="4"/>
      <c r="M316" s="4"/>
    </row>
    <row r="317" spans="1:13" x14ac:dyDescent="0.25">
      <c r="A317" s="4"/>
      <c r="B317" s="4"/>
      <c r="C317" s="4"/>
      <c r="D317" s="4"/>
      <c r="E317" s="4"/>
      <c r="F317" s="4"/>
      <c r="G317" s="4"/>
      <c r="H317" s="4"/>
      <c r="I317" s="4"/>
      <c r="J317" s="4"/>
      <c r="K317" s="4"/>
      <c r="L317" s="4"/>
      <c r="M317" s="4"/>
    </row>
  </sheetData>
  <sheetProtection algorithmName="SHA-512" hashValue="T+4KtjPxnOiyRVFWnLv890ol7sSrDt3DjGd8bnF0wKtnVuuniKFaCf3vIToQ8QQHzWCbN2AyyEwrvPBetk/Z4g==" saltValue="gRjuu0pH3sYtHtnMCVtxJw==" spinCount="100000" sheet="1" objects="1" scenarios="1" formatCells="0" formatColumns="0" formatRows="0" deleteColumns="0"/>
  <autoFilter ref="A18:P301">
    <filterColumn colId="2">
      <filters>
        <filter val="1 082"/>
        <filter val="1 175"/>
        <filter val="1 200"/>
        <filter val="1 500"/>
        <filter val="1 600"/>
        <filter val="1 704"/>
        <filter val="1 890"/>
        <filter val="10 000"/>
        <filter val="11 775"/>
        <filter val="110"/>
        <filter val="151 092"/>
        <filter val="18 500"/>
        <filter val="183 600"/>
        <filter val="193 700"/>
        <filter val="20 000"/>
        <filter val="250"/>
        <filter val="3 665"/>
        <filter val="-3 665"/>
        <filter val="3 909"/>
        <filter val="3 915"/>
        <filter val="31 775"/>
        <filter val="35 000"/>
        <filter val="364 902"/>
        <filter val="4 600"/>
        <filter val="40 700"/>
        <filter val="410 371"/>
        <filter val="411 453"/>
        <filter val="42 590"/>
        <filter val="456 463"/>
        <filter val="461 728"/>
        <filter val="461 978"/>
        <filter val="5 500"/>
        <filter val="5 700"/>
        <filter val="50 275"/>
        <filter val="504"/>
        <filter val="6"/>
        <filter val="8 500"/>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verticalDpi="4294967294" r:id="rId1"/>
  <headerFooter differentFirst="1">
    <oddFooter>&amp;L&amp;"Times New Roman,Regular"&amp;9&amp;D; &amp;T&amp;R&amp;"Times New Roman,Regular"&amp;9&amp;P (&amp;N)</oddFooter>
    <firstHeader xml:space="preserve">&amp;R&amp;"Times New Roman,Regular"&amp;9 10.pielikums Jūrmalas pilsētas domes
2019.gada 29.augusta saistošajiem noteikumiem Nr.31
(protokols Nr.12, 20.punkts)
 </firstHeader>
    <firstFooter>&amp;L&amp;9&amp;D; &amp;T&amp;R&amp;9&amp;P (&amp;N)</first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52"/>
  <sheetViews>
    <sheetView view="pageLayout" zoomScaleNormal="100" workbookViewId="0">
      <selection activeCell="I9" sqref="I9"/>
    </sheetView>
  </sheetViews>
  <sheetFormatPr defaultRowHeight="12.75" outlineLevelCol="1" x14ac:dyDescent="0.2"/>
  <cols>
    <col min="1" max="1" width="4.85546875" style="331" customWidth="1"/>
    <col min="2" max="2" width="36.42578125" style="331" customWidth="1"/>
    <col min="3" max="3" width="10.7109375" style="331" customWidth="1"/>
    <col min="4" max="4" width="12.28515625" style="332" hidden="1" customWidth="1" outlineLevel="1"/>
    <col min="5" max="5" width="10.85546875" style="332" hidden="1" customWidth="1" outlineLevel="1"/>
    <col min="6" max="6" width="14.28515625" style="331" customWidth="1" collapsed="1"/>
    <col min="7" max="7" width="28.28515625" style="331" hidden="1" customWidth="1" outlineLevel="1"/>
    <col min="8" max="8" width="19.5703125" style="339" customWidth="1" collapsed="1"/>
    <col min="9" max="10" width="9.85546875" style="331" customWidth="1"/>
    <col min="11" max="12" width="10.140625" style="331" bestFit="1" customWidth="1"/>
    <col min="13" max="240" width="9.140625" style="331"/>
    <col min="241" max="241" width="4.85546875" style="331" customWidth="1"/>
    <col min="242" max="242" width="48.28515625" style="331" customWidth="1"/>
    <col min="243" max="243" width="12.85546875" style="331" customWidth="1"/>
    <col min="244" max="244" width="11.7109375" style="331" customWidth="1"/>
    <col min="245" max="245" width="11.140625" style="331" customWidth="1"/>
    <col min="246" max="246" width="11.42578125" style="331" customWidth="1"/>
    <col min="247" max="247" width="11.7109375" style="331" customWidth="1"/>
    <col min="248" max="248" width="45.42578125" style="331" customWidth="1"/>
    <col min="249" max="496" width="9.140625" style="331"/>
    <col min="497" max="497" width="4.85546875" style="331" customWidth="1"/>
    <col min="498" max="498" width="48.28515625" style="331" customWidth="1"/>
    <col min="499" max="499" width="12.85546875" style="331" customWidth="1"/>
    <col min="500" max="500" width="11.7109375" style="331" customWidth="1"/>
    <col min="501" max="501" width="11.140625" style="331" customWidth="1"/>
    <col min="502" max="502" width="11.42578125" style="331" customWidth="1"/>
    <col min="503" max="503" width="11.7109375" style="331" customWidth="1"/>
    <col min="504" max="504" width="45.42578125" style="331" customWidth="1"/>
    <col min="505" max="752" width="9.140625" style="331"/>
    <col min="753" max="753" width="4.85546875" style="331" customWidth="1"/>
    <col min="754" max="754" width="48.28515625" style="331" customWidth="1"/>
    <col min="755" max="755" width="12.85546875" style="331" customWidth="1"/>
    <col min="756" max="756" width="11.7109375" style="331" customWidth="1"/>
    <col min="757" max="757" width="11.140625" style="331" customWidth="1"/>
    <col min="758" max="758" width="11.42578125" style="331" customWidth="1"/>
    <col min="759" max="759" width="11.7109375" style="331" customWidth="1"/>
    <col min="760" max="760" width="45.42578125" style="331" customWidth="1"/>
    <col min="761" max="1008" width="9.140625" style="331"/>
    <col min="1009" max="1009" width="4.85546875" style="331" customWidth="1"/>
    <col min="1010" max="1010" width="48.28515625" style="331" customWidth="1"/>
    <col min="1011" max="1011" width="12.85546875" style="331" customWidth="1"/>
    <col min="1012" max="1012" width="11.7109375" style="331" customWidth="1"/>
    <col min="1013" max="1013" width="11.140625" style="331" customWidth="1"/>
    <col min="1014" max="1014" width="11.42578125" style="331" customWidth="1"/>
    <col min="1015" max="1015" width="11.7109375" style="331" customWidth="1"/>
    <col min="1016" max="1016" width="45.42578125" style="331" customWidth="1"/>
    <col min="1017" max="1264" width="9.140625" style="331"/>
    <col min="1265" max="1265" width="4.85546875" style="331" customWidth="1"/>
    <col min="1266" max="1266" width="48.28515625" style="331" customWidth="1"/>
    <col min="1267" max="1267" width="12.85546875" style="331" customWidth="1"/>
    <col min="1268" max="1268" width="11.7109375" style="331" customWidth="1"/>
    <col min="1269" max="1269" width="11.140625" style="331" customWidth="1"/>
    <col min="1270" max="1270" width="11.42578125" style="331" customWidth="1"/>
    <col min="1271" max="1271" width="11.7109375" style="331" customWidth="1"/>
    <col min="1272" max="1272" width="45.42578125" style="331" customWidth="1"/>
    <col min="1273" max="1520" width="9.140625" style="331"/>
    <col min="1521" max="1521" width="4.85546875" style="331" customWidth="1"/>
    <col min="1522" max="1522" width="48.28515625" style="331" customWidth="1"/>
    <col min="1523" max="1523" width="12.85546875" style="331" customWidth="1"/>
    <col min="1524" max="1524" width="11.7109375" style="331" customWidth="1"/>
    <col min="1525" max="1525" width="11.140625" style="331" customWidth="1"/>
    <col min="1526" max="1526" width="11.42578125" style="331" customWidth="1"/>
    <col min="1527" max="1527" width="11.7109375" style="331" customWidth="1"/>
    <col min="1528" max="1528" width="45.42578125" style="331" customWidth="1"/>
    <col min="1529" max="1776" width="9.140625" style="331"/>
    <col min="1777" max="1777" width="4.85546875" style="331" customWidth="1"/>
    <col min="1778" max="1778" width="48.28515625" style="331" customWidth="1"/>
    <col min="1779" max="1779" width="12.85546875" style="331" customWidth="1"/>
    <col min="1780" max="1780" width="11.7109375" style="331" customWidth="1"/>
    <col min="1781" max="1781" width="11.140625" style="331" customWidth="1"/>
    <col min="1782" max="1782" width="11.42578125" style="331" customWidth="1"/>
    <col min="1783" max="1783" width="11.7109375" style="331" customWidth="1"/>
    <col min="1784" max="1784" width="45.42578125" style="331" customWidth="1"/>
    <col min="1785" max="2032" width="9.140625" style="331"/>
    <col min="2033" max="2033" width="4.85546875" style="331" customWidth="1"/>
    <col min="2034" max="2034" width="48.28515625" style="331" customWidth="1"/>
    <col min="2035" max="2035" width="12.85546875" style="331" customWidth="1"/>
    <col min="2036" max="2036" width="11.7109375" style="331" customWidth="1"/>
    <col min="2037" max="2037" width="11.140625" style="331" customWidth="1"/>
    <col min="2038" max="2038" width="11.42578125" style="331" customWidth="1"/>
    <col min="2039" max="2039" width="11.7109375" style="331" customWidth="1"/>
    <col min="2040" max="2040" width="45.42578125" style="331" customWidth="1"/>
    <col min="2041" max="2288" width="9.140625" style="331"/>
    <col min="2289" max="2289" width="4.85546875" style="331" customWidth="1"/>
    <col min="2290" max="2290" width="48.28515625" style="331" customWidth="1"/>
    <col min="2291" max="2291" width="12.85546875" style="331" customWidth="1"/>
    <col min="2292" max="2292" width="11.7109375" style="331" customWidth="1"/>
    <col min="2293" max="2293" width="11.140625" style="331" customWidth="1"/>
    <col min="2294" max="2294" width="11.42578125" style="331" customWidth="1"/>
    <col min="2295" max="2295" width="11.7109375" style="331" customWidth="1"/>
    <col min="2296" max="2296" width="45.42578125" style="331" customWidth="1"/>
    <col min="2297" max="2544" width="9.140625" style="331"/>
    <col min="2545" max="2545" width="4.85546875" style="331" customWidth="1"/>
    <col min="2546" max="2546" width="48.28515625" style="331" customWidth="1"/>
    <col min="2547" max="2547" width="12.85546875" style="331" customWidth="1"/>
    <col min="2548" max="2548" width="11.7109375" style="331" customWidth="1"/>
    <col min="2549" max="2549" width="11.140625" style="331" customWidth="1"/>
    <col min="2550" max="2550" width="11.42578125" style="331" customWidth="1"/>
    <col min="2551" max="2551" width="11.7109375" style="331" customWidth="1"/>
    <col min="2552" max="2552" width="45.42578125" style="331" customWidth="1"/>
    <col min="2553" max="2800" width="9.140625" style="331"/>
    <col min="2801" max="2801" width="4.85546875" style="331" customWidth="1"/>
    <col min="2802" max="2802" width="48.28515625" style="331" customWidth="1"/>
    <col min="2803" max="2803" width="12.85546875" style="331" customWidth="1"/>
    <col min="2804" max="2804" width="11.7109375" style="331" customWidth="1"/>
    <col min="2805" max="2805" width="11.140625" style="331" customWidth="1"/>
    <col min="2806" max="2806" width="11.42578125" style="331" customWidth="1"/>
    <col min="2807" max="2807" width="11.7109375" style="331" customWidth="1"/>
    <col min="2808" max="2808" width="45.42578125" style="331" customWidth="1"/>
    <col min="2809" max="3056" width="9.140625" style="331"/>
    <col min="3057" max="3057" width="4.85546875" style="331" customWidth="1"/>
    <col min="3058" max="3058" width="48.28515625" style="331" customWidth="1"/>
    <col min="3059" max="3059" width="12.85546875" style="331" customWidth="1"/>
    <col min="3060" max="3060" width="11.7109375" style="331" customWidth="1"/>
    <col min="3061" max="3061" width="11.140625" style="331" customWidth="1"/>
    <col min="3062" max="3062" width="11.42578125" style="331" customWidth="1"/>
    <col min="3063" max="3063" width="11.7109375" style="331" customWidth="1"/>
    <col min="3064" max="3064" width="45.42578125" style="331" customWidth="1"/>
    <col min="3065" max="3312" width="9.140625" style="331"/>
    <col min="3313" max="3313" width="4.85546875" style="331" customWidth="1"/>
    <col min="3314" max="3314" width="48.28515625" style="331" customWidth="1"/>
    <col min="3315" max="3315" width="12.85546875" style="331" customWidth="1"/>
    <col min="3316" max="3316" width="11.7109375" style="331" customWidth="1"/>
    <col min="3317" max="3317" width="11.140625" style="331" customWidth="1"/>
    <col min="3318" max="3318" width="11.42578125" style="331" customWidth="1"/>
    <col min="3319" max="3319" width="11.7109375" style="331" customWidth="1"/>
    <col min="3320" max="3320" width="45.42578125" style="331" customWidth="1"/>
    <col min="3321" max="3568" width="9.140625" style="331"/>
    <col min="3569" max="3569" width="4.85546875" style="331" customWidth="1"/>
    <col min="3570" max="3570" width="48.28515625" style="331" customWidth="1"/>
    <col min="3571" max="3571" width="12.85546875" style="331" customWidth="1"/>
    <col min="3572" max="3572" width="11.7109375" style="331" customWidth="1"/>
    <col min="3573" max="3573" width="11.140625" style="331" customWidth="1"/>
    <col min="3574" max="3574" width="11.42578125" style="331" customWidth="1"/>
    <col min="3575" max="3575" width="11.7109375" style="331" customWidth="1"/>
    <col min="3576" max="3576" width="45.42578125" style="331" customWidth="1"/>
    <col min="3577" max="3824" width="9.140625" style="331"/>
    <col min="3825" max="3825" width="4.85546875" style="331" customWidth="1"/>
    <col min="3826" max="3826" width="48.28515625" style="331" customWidth="1"/>
    <col min="3827" max="3827" width="12.85546875" style="331" customWidth="1"/>
    <col min="3828" max="3828" width="11.7109375" style="331" customWidth="1"/>
    <col min="3829" max="3829" width="11.140625" style="331" customWidth="1"/>
    <col min="3830" max="3830" width="11.42578125" style="331" customWidth="1"/>
    <col min="3831" max="3831" width="11.7109375" style="331" customWidth="1"/>
    <col min="3832" max="3832" width="45.42578125" style="331" customWidth="1"/>
    <col min="3833" max="4080" width="9.140625" style="331"/>
    <col min="4081" max="4081" width="4.85546875" style="331" customWidth="1"/>
    <col min="4082" max="4082" width="48.28515625" style="331" customWidth="1"/>
    <col min="4083" max="4083" width="12.85546875" style="331" customWidth="1"/>
    <col min="4084" max="4084" width="11.7109375" style="331" customWidth="1"/>
    <col min="4085" max="4085" width="11.140625" style="331" customWidth="1"/>
    <col min="4086" max="4086" width="11.42578125" style="331" customWidth="1"/>
    <col min="4087" max="4087" width="11.7109375" style="331" customWidth="1"/>
    <col min="4088" max="4088" width="45.42578125" style="331" customWidth="1"/>
    <col min="4089" max="4336" width="9.140625" style="331"/>
    <col min="4337" max="4337" width="4.85546875" style="331" customWidth="1"/>
    <col min="4338" max="4338" width="48.28515625" style="331" customWidth="1"/>
    <col min="4339" max="4339" width="12.85546875" style="331" customWidth="1"/>
    <col min="4340" max="4340" width="11.7109375" style="331" customWidth="1"/>
    <col min="4341" max="4341" width="11.140625" style="331" customWidth="1"/>
    <col min="4342" max="4342" width="11.42578125" style="331" customWidth="1"/>
    <col min="4343" max="4343" width="11.7109375" style="331" customWidth="1"/>
    <col min="4344" max="4344" width="45.42578125" style="331" customWidth="1"/>
    <col min="4345" max="4592" width="9.140625" style="331"/>
    <col min="4593" max="4593" width="4.85546875" style="331" customWidth="1"/>
    <col min="4594" max="4594" width="48.28515625" style="331" customWidth="1"/>
    <col min="4595" max="4595" width="12.85546875" style="331" customWidth="1"/>
    <col min="4596" max="4596" width="11.7109375" style="331" customWidth="1"/>
    <col min="4597" max="4597" width="11.140625" style="331" customWidth="1"/>
    <col min="4598" max="4598" width="11.42578125" style="331" customWidth="1"/>
    <col min="4599" max="4599" width="11.7109375" style="331" customWidth="1"/>
    <col min="4600" max="4600" width="45.42578125" style="331" customWidth="1"/>
    <col min="4601" max="4848" width="9.140625" style="331"/>
    <col min="4849" max="4849" width="4.85546875" style="331" customWidth="1"/>
    <col min="4850" max="4850" width="48.28515625" style="331" customWidth="1"/>
    <col min="4851" max="4851" width="12.85546875" style="331" customWidth="1"/>
    <col min="4852" max="4852" width="11.7109375" style="331" customWidth="1"/>
    <col min="4853" max="4853" width="11.140625" style="331" customWidth="1"/>
    <col min="4854" max="4854" width="11.42578125" style="331" customWidth="1"/>
    <col min="4855" max="4855" width="11.7109375" style="331" customWidth="1"/>
    <col min="4856" max="4856" width="45.42578125" style="331" customWidth="1"/>
    <col min="4857" max="5104" width="9.140625" style="331"/>
    <col min="5105" max="5105" width="4.85546875" style="331" customWidth="1"/>
    <col min="5106" max="5106" width="48.28515625" style="331" customWidth="1"/>
    <col min="5107" max="5107" width="12.85546875" style="331" customWidth="1"/>
    <col min="5108" max="5108" width="11.7109375" style="331" customWidth="1"/>
    <col min="5109" max="5109" width="11.140625" style="331" customWidth="1"/>
    <col min="5110" max="5110" width="11.42578125" style="331" customWidth="1"/>
    <col min="5111" max="5111" width="11.7109375" style="331" customWidth="1"/>
    <col min="5112" max="5112" width="45.42578125" style="331" customWidth="1"/>
    <col min="5113" max="5360" width="9.140625" style="331"/>
    <col min="5361" max="5361" width="4.85546875" style="331" customWidth="1"/>
    <col min="5362" max="5362" width="48.28515625" style="331" customWidth="1"/>
    <col min="5363" max="5363" width="12.85546875" style="331" customWidth="1"/>
    <col min="5364" max="5364" width="11.7109375" style="331" customWidth="1"/>
    <col min="5365" max="5365" width="11.140625" style="331" customWidth="1"/>
    <col min="5366" max="5366" width="11.42578125" style="331" customWidth="1"/>
    <col min="5367" max="5367" width="11.7109375" style="331" customWidth="1"/>
    <col min="5368" max="5368" width="45.42578125" style="331" customWidth="1"/>
    <col min="5369" max="5616" width="9.140625" style="331"/>
    <col min="5617" max="5617" width="4.85546875" style="331" customWidth="1"/>
    <col min="5618" max="5618" width="48.28515625" style="331" customWidth="1"/>
    <col min="5619" max="5619" width="12.85546875" style="331" customWidth="1"/>
    <col min="5620" max="5620" width="11.7109375" style="331" customWidth="1"/>
    <col min="5621" max="5621" width="11.140625" style="331" customWidth="1"/>
    <col min="5622" max="5622" width="11.42578125" style="331" customWidth="1"/>
    <col min="5623" max="5623" width="11.7109375" style="331" customWidth="1"/>
    <col min="5624" max="5624" width="45.42578125" style="331" customWidth="1"/>
    <col min="5625" max="5872" width="9.140625" style="331"/>
    <col min="5873" max="5873" width="4.85546875" style="331" customWidth="1"/>
    <col min="5874" max="5874" width="48.28515625" style="331" customWidth="1"/>
    <col min="5875" max="5875" width="12.85546875" style="331" customWidth="1"/>
    <col min="5876" max="5876" width="11.7109375" style="331" customWidth="1"/>
    <col min="5877" max="5877" width="11.140625" style="331" customWidth="1"/>
    <col min="5878" max="5878" width="11.42578125" style="331" customWidth="1"/>
    <col min="5879" max="5879" width="11.7109375" style="331" customWidth="1"/>
    <col min="5880" max="5880" width="45.42578125" style="331" customWidth="1"/>
    <col min="5881" max="6128" width="9.140625" style="331"/>
    <col min="6129" max="6129" width="4.85546875" style="331" customWidth="1"/>
    <col min="6130" max="6130" width="48.28515625" style="331" customWidth="1"/>
    <col min="6131" max="6131" width="12.85546875" style="331" customWidth="1"/>
    <col min="6132" max="6132" width="11.7109375" style="331" customWidth="1"/>
    <col min="6133" max="6133" width="11.140625" style="331" customWidth="1"/>
    <col min="6134" max="6134" width="11.42578125" style="331" customWidth="1"/>
    <col min="6135" max="6135" width="11.7109375" style="331" customWidth="1"/>
    <col min="6136" max="6136" width="45.42578125" style="331" customWidth="1"/>
    <col min="6137" max="6384" width="9.140625" style="331"/>
    <col min="6385" max="6385" width="4.85546875" style="331" customWidth="1"/>
    <col min="6386" max="6386" width="48.28515625" style="331" customWidth="1"/>
    <col min="6387" max="6387" width="12.85546875" style="331" customWidth="1"/>
    <col min="6388" max="6388" width="11.7109375" style="331" customWidth="1"/>
    <col min="6389" max="6389" width="11.140625" style="331" customWidth="1"/>
    <col min="6390" max="6390" width="11.42578125" style="331" customWidth="1"/>
    <col min="6391" max="6391" width="11.7109375" style="331" customWidth="1"/>
    <col min="6392" max="6392" width="45.42578125" style="331" customWidth="1"/>
    <col min="6393" max="6640" width="9.140625" style="331"/>
    <col min="6641" max="6641" width="4.85546875" style="331" customWidth="1"/>
    <col min="6642" max="6642" width="48.28515625" style="331" customWidth="1"/>
    <col min="6643" max="6643" width="12.85546875" style="331" customWidth="1"/>
    <col min="6644" max="6644" width="11.7109375" style="331" customWidth="1"/>
    <col min="6645" max="6645" width="11.140625" style="331" customWidth="1"/>
    <col min="6646" max="6646" width="11.42578125" style="331" customWidth="1"/>
    <col min="6647" max="6647" width="11.7109375" style="331" customWidth="1"/>
    <col min="6648" max="6648" width="45.42578125" style="331" customWidth="1"/>
    <col min="6649" max="6896" width="9.140625" style="331"/>
    <col min="6897" max="6897" width="4.85546875" style="331" customWidth="1"/>
    <col min="6898" max="6898" width="48.28515625" style="331" customWidth="1"/>
    <col min="6899" max="6899" width="12.85546875" style="331" customWidth="1"/>
    <col min="6900" max="6900" width="11.7109375" style="331" customWidth="1"/>
    <col min="6901" max="6901" width="11.140625" style="331" customWidth="1"/>
    <col min="6902" max="6902" width="11.42578125" style="331" customWidth="1"/>
    <col min="6903" max="6903" width="11.7109375" style="331" customWidth="1"/>
    <col min="6904" max="6904" width="45.42578125" style="331" customWidth="1"/>
    <col min="6905" max="7152" width="9.140625" style="331"/>
    <col min="7153" max="7153" width="4.85546875" style="331" customWidth="1"/>
    <col min="7154" max="7154" width="48.28515625" style="331" customWidth="1"/>
    <col min="7155" max="7155" width="12.85546875" style="331" customWidth="1"/>
    <col min="7156" max="7156" width="11.7109375" style="331" customWidth="1"/>
    <col min="7157" max="7157" width="11.140625" style="331" customWidth="1"/>
    <col min="7158" max="7158" width="11.42578125" style="331" customWidth="1"/>
    <col min="7159" max="7159" width="11.7109375" style="331" customWidth="1"/>
    <col min="7160" max="7160" width="45.42578125" style="331" customWidth="1"/>
    <col min="7161" max="7408" width="9.140625" style="331"/>
    <col min="7409" max="7409" width="4.85546875" style="331" customWidth="1"/>
    <col min="7410" max="7410" width="48.28515625" style="331" customWidth="1"/>
    <col min="7411" max="7411" width="12.85546875" style="331" customWidth="1"/>
    <col min="7412" max="7412" width="11.7109375" style="331" customWidth="1"/>
    <col min="7413" max="7413" width="11.140625" style="331" customWidth="1"/>
    <col min="7414" max="7414" width="11.42578125" style="331" customWidth="1"/>
    <col min="7415" max="7415" width="11.7109375" style="331" customWidth="1"/>
    <col min="7416" max="7416" width="45.42578125" style="331" customWidth="1"/>
    <col min="7417" max="7664" width="9.140625" style="331"/>
    <col min="7665" max="7665" width="4.85546875" style="331" customWidth="1"/>
    <col min="7666" max="7666" width="48.28515625" style="331" customWidth="1"/>
    <col min="7667" max="7667" width="12.85546875" style="331" customWidth="1"/>
    <col min="7668" max="7668" width="11.7109375" style="331" customWidth="1"/>
    <col min="7669" max="7669" width="11.140625" style="331" customWidth="1"/>
    <col min="7670" max="7670" width="11.42578125" style="331" customWidth="1"/>
    <col min="7671" max="7671" width="11.7109375" style="331" customWidth="1"/>
    <col min="7672" max="7672" width="45.42578125" style="331" customWidth="1"/>
    <col min="7673" max="7920" width="9.140625" style="331"/>
    <col min="7921" max="7921" width="4.85546875" style="331" customWidth="1"/>
    <col min="7922" max="7922" width="48.28515625" style="331" customWidth="1"/>
    <col min="7923" max="7923" width="12.85546875" style="331" customWidth="1"/>
    <col min="7924" max="7924" width="11.7109375" style="331" customWidth="1"/>
    <col min="7925" max="7925" width="11.140625" style="331" customWidth="1"/>
    <col min="7926" max="7926" width="11.42578125" style="331" customWidth="1"/>
    <col min="7927" max="7927" width="11.7109375" style="331" customWidth="1"/>
    <col min="7928" max="7928" width="45.42578125" style="331" customWidth="1"/>
    <col min="7929" max="8176" width="9.140625" style="331"/>
    <col min="8177" max="8177" width="4.85546875" style="331" customWidth="1"/>
    <col min="8178" max="8178" width="48.28515625" style="331" customWidth="1"/>
    <col min="8179" max="8179" width="12.85546875" style="331" customWidth="1"/>
    <col min="8180" max="8180" width="11.7109375" style="331" customWidth="1"/>
    <col min="8181" max="8181" width="11.140625" style="331" customWidth="1"/>
    <col min="8182" max="8182" width="11.42578125" style="331" customWidth="1"/>
    <col min="8183" max="8183" width="11.7109375" style="331" customWidth="1"/>
    <col min="8184" max="8184" width="45.42578125" style="331" customWidth="1"/>
    <col min="8185" max="8432" width="9.140625" style="331"/>
    <col min="8433" max="8433" width="4.85546875" style="331" customWidth="1"/>
    <col min="8434" max="8434" width="48.28515625" style="331" customWidth="1"/>
    <col min="8435" max="8435" width="12.85546875" style="331" customWidth="1"/>
    <col min="8436" max="8436" width="11.7109375" style="331" customWidth="1"/>
    <col min="8437" max="8437" width="11.140625" style="331" customWidth="1"/>
    <col min="8438" max="8438" width="11.42578125" style="331" customWidth="1"/>
    <col min="8439" max="8439" width="11.7109375" style="331" customWidth="1"/>
    <col min="8440" max="8440" width="45.42578125" style="331" customWidth="1"/>
    <col min="8441" max="8688" width="9.140625" style="331"/>
    <col min="8689" max="8689" width="4.85546875" style="331" customWidth="1"/>
    <col min="8690" max="8690" width="48.28515625" style="331" customWidth="1"/>
    <col min="8691" max="8691" width="12.85546875" style="331" customWidth="1"/>
    <col min="8692" max="8692" width="11.7109375" style="331" customWidth="1"/>
    <col min="8693" max="8693" width="11.140625" style="331" customWidth="1"/>
    <col min="8694" max="8694" width="11.42578125" style="331" customWidth="1"/>
    <col min="8695" max="8695" width="11.7109375" style="331" customWidth="1"/>
    <col min="8696" max="8696" width="45.42578125" style="331" customWidth="1"/>
    <col min="8697" max="8944" width="9.140625" style="331"/>
    <col min="8945" max="8945" width="4.85546875" style="331" customWidth="1"/>
    <col min="8946" max="8946" width="48.28515625" style="331" customWidth="1"/>
    <col min="8947" max="8947" width="12.85546875" style="331" customWidth="1"/>
    <col min="8948" max="8948" width="11.7109375" style="331" customWidth="1"/>
    <col min="8949" max="8949" width="11.140625" style="331" customWidth="1"/>
    <col min="8950" max="8950" width="11.42578125" style="331" customWidth="1"/>
    <col min="8951" max="8951" width="11.7109375" style="331" customWidth="1"/>
    <col min="8952" max="8952" width="45.42578125" style="331" customWidth="1"/>
    <col min="8953" max="9200" width="9.140625" style="331"/>
    <col min="9201" max="9201" width="4.85546875" style="331" customWidth="1"/>
    <col min="9202" max="9202" width="48.28515625" style="331" customWidth="1"/>
    <col min="9203" max="9203" width="12.85546875" style="331" customWidth="1"/>
    <col min="9204" max="9204" width="11.7109375" style="331" customWidth="1"/>
    <col min="9205" max="9205" width="11.140625" style="331" customWidth="1"/>
    <col min="9206" max="9206" width="11.42578125" style="331" customWidth="1"/>
    <col min="9207" max="9207" width="11.7109375" style="331" customWidth="1"/>
    <col min="9208" max="9208" width="45.42578125" style="331" customWidth="1"/>
    <col min="9209" max="9456" width="9.140625" style="331"/>
    <col min="9457" max="9457" width="4.85546875" style="331" customWidth="1"/>
    <col min="9458" max="9458" width="48.28515625" style="331" customWidth="1"/>
    <col min="9459" max="9459" width="12.85546875" style="331" customWidth="1"/>
    <col min="9460" max="9460" width="11.7109375" style="331" customWidth="1"/>
    <col min="9461" max="9461" width="11.140625" style="331" customWidth="1"/>
    <col min="9462" max="9462" width="11.42578125" style="331" customWidth="1"/>
    <col min="9463" max="9463" width="11.7109375" style="331" customWidth="1"/>
    <col min="9464" max="9464" width="45.42578125" style="331" customWidth="1"/>
    <col min="9465" max="9712" width="9.140625" style="331"/>
    <col min="9713" max="9713" width="4.85546875" style="331" customWidth="1"/>
    <col min="9714" max="9714" width="48.28515625" style="331" customWidth="1"/>
    <col min="9715" max="9715" width="12.85546875" style="331" customWidth="1"/>
    <col min="9716" max="9716" width="11.7109375" style="331" customWidth="1"/>
    <col min="9717" max="9717" width="11.140625" style="331" customWidth="1"/>
    <col min="9718" max="9718" width="11.42578125" style="331" customWidth="1"/>
    <col min="9719" max="9719" width="11.7109375" style="331" customWidth="1"/>
    <col min="9720" max="9720" width="45.42578125" style="331" customWidth="1"/>
    <col min="9721" max="9968" width="9.140625" style="331"/>
    <col min="9969" max="9969" width="4.85546875" style="331" customWidth="1"/>
    <col min="9970" max="9970" width="48.28515625" style="331" customWidth="1"/>
    <col min="9971" max="9971" width="12.85546875" style="331" customWidth="1"/>
    <col min="9972" max="9972" width="11.7109375" style="331" customWidth="1"/>
    <col min="9973" max="9973" width="11.140625" style="331" customWidth="1"/>
    <col min="9974" max="9974" width="11.42578125" style="331" customWidth="1"/>
    <col min="9975" max="9975" width="11.7109375" style="331" customWidth="1"/>
    <col min="9976" max="9976" width="45.42578125" style="331" customWidth="1"/>
    <col min="9977" max="10224" width="9.140625" style="331"/>
    <col min="10225" max="10225" width="4.85546875" style="331" customWidth="1"/>
    <col min="10226" max="10226" width="48.28515625" style="331" customWidth="1"/>
    <col min="10227" max="10227" width="12.85546875" style="331" customWidth="1"/>
    <col min="10228" max="10228" width="11.7109375" style="331" customWidth="1"/>
    <col min="10229" max="10229" width="11.140625" style="331" customWidth="1"/>
    <col min="10230" max="10230" width="11.42578125" style="331" customWidth="1"/>
    <col min="10231" max="10231" width="11.7109375" style="331" customWidth="1"/>
    <col min="10232" max="10232" width="45.42578125" style="331" customWidth="1"/>
    <col min="10233" max="10480" width="9.140625" style="331"/>
    <col min="10481" max="10481" width="4.85546875" style="331" customWidth="1"/>
    <col min="10482" max="10482" width="48.28515625" style="331" customWidth="1"/>
    <col min="10483" max="10483" width="12.85546875" style="331" customWidth="1"/>
    <col min="10484" max="10484" width="11.7109375" style="331" customWidth="1"/>
    <col min="10485" max="10485" width="11.140625" style="331" customWidth="1"/>
    <col min="10486" max="10486" width="11.42578125" style="331" customWidth="1"/>
    <col min="10487" max="10487" width="11.7109375" style="331" customWidth="1"/>
    <col min="10488" max="10488" width="45.42578125" style="331" customWidth="1"/>
    <col min="10489" max="10736" width="9.140625" style="331"/>
    <col min="10737" max="10737" width="4.85546875" style="331" customWidth="1"/>
    <col min="10738" max="10738" width="48.28515625" style="331" customWidth="1"/>
    <col min="10739" max="10739" width="12.85546875" style="331" customWidth="1"/>
    <col min="10740" max="10740" width="11.7109375" style="331" customWidth="1"/>
    <col min="10741" max="10741" width="11.140625" style="331" customWidth="1"/>
    <col min="10742" max="10742" width="11.42578125" style="331" customWidth="1"/>
    <col min="10743" max="10743" width="11.7109375" style="331" customWidth="1"/>
    <col min="10744" max="10744" width="45.42578125" style="331" customWidth="1"/>
    <col min="10745" max="10992" width="9.140625" style="331"/>
    <col min="10993" max="10993" width="4.85546875" style="331" customWidth="1"/>
    <col min="10994" max="10994" width="48.28515625" style="331" customWidth="1"/>
    <col min="10995" max="10995" width="12.85546875" style="331" customWidth="1"/>
    <col min="10996" max="10996" width="11.7109375" style="331" customWidth="1"/>
    <col min="10997" max="10997" width="11.140625" style="331" customWidth="1"/>
    <col min="10998" max="10998" width="11.42578125" style="331" customWidth="1"/>
    <col min="10999" max="10999" width="11.7109375" style="331" customWidth="1"/>
    <col min="11000" max="11000" width="45.42578125" style="331" customWidth="1"/>
    <col min="11001" max="11248" width="9.140625" style="331"/>
    <col min="11249" max="11249" width="4.85546875" style="331" customWidth="1"/>
    <col min="11250" max="11250" width="48.28515625" style="331" customWidth="1"/>
    <col min="11251" max="11251" width="12.85546875" style="331" customWidth="1"/>
    <col min="11252" max="11252" width="11.7109375" style="331" customWidth="1"/>
    <col min="11253" max="11253" width="11.140625" style="331" customWidth="1"/>
    <col min="11254" max="11254" width="11.42578125" style="331" customWidth="1"/>
    <col min="11255" max="11255" width="11.7109375" style="331" customWidth="1"/>
    <col min="11256" max="11256" width="45.42578125" style="331" customWidth="1"/>
    <col min="11257" max="11504" width="9.140625" style="331"/>
    <col min="11505" max="11505" width="4.85546875" style="331" customWidth="1"/>
    <col min="11506" max="11506" width="48.28515625" style="331" customWidth="1"/>
    <col min="11507" max="11507" width="12.85546875" style="331" customWidth="1"/>
    <col min="11508" max="11508" width="11.7109375" style="331" customWidth="1"/>
    <col min="11509" max="11509" width="11.140625" style="331" customWidth="1"/>
    <col min="11510" max="11510" width="11.42578125" style="331" customWidth="1"/>
    <col min="11511" max="11511" width="11.7109375" style="331" customWidth="1"/>
    <col min="11512" max="11512" width="45.42578125" style="331" customWidth="1"/>
    <col min="11513" max="11760" width="9.140625" style="331"/>
    <col min="11761" max="11761" width="4.85546875" style="331" customWidth="1"/>
    <col min="11762" max="11762" width="48.28515625" style="331" customWidth="1"/>
    <col min="11763" max="11763" width="12.85546875" style="331" customWidth="1"/>
    <col min="11764" max="11764" width="11.7109375" style="331" customWidth="1"/>
    <col min="11765" max="11765" width="11.140625" style="331" customWidth="1"/>
    <col min="11766" max="11766" width="11.42578125" style="331" customWidth="1"/>
    <col min="11767" max="11767" width="11.7109375" style="331" customWidth="1"/>
    <col min="11768" max="11768" width="45.42578125" style="331" customWidth="1"/>
    <col min="11769" max="12016" width="9.140625" style="331"/>
    <col min="12017" max="12017" width="4.85546875" style="331" customWidth="1"/>
    <col min="12018" max="12018" width="48.28515625" style="331" customWidth="1"/>
    <col min="12019" max="12019" width="12.85546875" style="331" customWidth="1"/>
    <col min="12020" max="12020" width="11.7109375" style="331" customWidth="1"/>
    <col min="12021" max="12021" width="11.140625" style="331" customWidth="1"/>
    <col min="12022" max="12022" width="11.42578125" style="331" customWidth="1"/>
    <col min="12023" max="12023" width="11.7109375" style="331" customWidth="1"/>
    <col min="12024" max="12024" width="45.42578125" style="331" customWidth="1"/>
    <col min="12025" max="12272" width="9.140625" style="331"/>
    <col min="12273" max="12273" width="4.85546875" style="331" customWidth="1"/>
    <col min="12274" max="12274" width="48.28515625" style="331" customWidth="1"/>
    <col min="12275" max="12275" width="12.85546875" style="331" customWidth="1"/>
    <col min="12276" max="12276" width="11.7109375" style="331" customWidth="1"/>
    <col min="12277" max="12277" width="11.140625" style="331" customWidth="1"/>
    <col min="12278" max="12278" width="11.42578125" style="331" customWidth="1"/>
    <col min="12279" max="12279" width="11.7109375" style="331" customWidth="1"/>
    <col min="12280" max="12280" width="45.42578125" style="331" customWidth="1"/>
    <col min="12281" max="12528" width="9.140625" style="331"/>
    <col min="12529" max="12529" width="4.85546875" style="331" customWidth="1"/>
    <col min="12530" max="12530" width="48.28515625" style="331" customWidth="1"/>
    <col min="12531" max="12531" width="12.85546875" style="331" customWidth="1"/>
    <col min="12532" max="12532" width="11.7109375" style="331" customWidth="1"/>
    <col min="12533" max="12533" width="11.140625" style="331" customWidth="1"/>
    <col min="12534" max="12534" width="11.42578125" style="331" customWidth="1"/>
    <col min="12535" max="12535" width="11.7109375" style="331" customWidth="1"/>
    <col min="12536" max="12536" width="45.42578125" style="331" customWidth="1"/>
    <col min="12537" max="12784" width="9.140625" style="331"/>
    <col min="12785" max="12785" width="4.85546875" style="331" customWidth="1"/>
    <col min="12786" max="12786" width="48.28515625" style="331" customWidth="1"/>
    <col min="12787" max="12787" width="12.85546875" style="331" customWidth="1"/>
    <col min="12788" max="12788" width="11.7109375" style="331" customWidth="1"/>
    <col min="12789" max="12789" width="11.140625" style="331" customWidth="1"/>
    <col min="12790" max="12790" width="11.42578125" style="331" customWidth="1"/>
    <col min="12791" max="12791" width="11.7109375" style="331" customWidth="1"/>
    <col min="12792" max="12792" width="45.42578125" style="331" customWidth="1"/>
    <col min="12793" max="13040" width="9.140625" style="331"/>
    <col min="13041" max="13041" width="4.85546875" style="331" customWidth="1"/>
    <col min="13042" max="13042" width="48.28515625" style="331" customWidth="1"/>
    <col min="13043" max="13043" width="12.85546875" style="331" customWidth="1"/>
    <col min="13044" max="13044" width="11.7109375" style="331" customWidth="1"/>
    <col min="13045" max="13045" width="11.140625" style="331" customWidth="1"/>
    <col min="13046" max="13046" width="11.42578125" style="331" customWidth="1"/>
    <col min="13047" max="13047" width="11.7109375" style="331" customWidth="1"/>
    <col min="13048" max="13048" width="45.42578125" style="331" customWidth="1"/>
    <col min="13049" max="13296" width="9.140625" style="331"/>
    <col min="13297" max="13297" width="4.85546875" style="331" customWidth="1"/>
    <col min="13298" max="13298" width="48.28515625" style="331" customWidth="1"/>
    <col min="13299" max="13299" width="12.85546875" style="331" customWidth="1"/>
    <col min="13300" max="13300" width="11.7109375" style="331" customWidth="1"/>
    <col min="13301" max="13301" width="11.140625" style="331" customWidth="1"/>
    <col min="13302" max="13302" width="11.42578125" style="331" customWidth="1"/>
    <col min="13303" max="13303" width="11.7109375" style="331" customWidth="1"/>
    <col min="13304" max="13304" width="45.42578125" style="331" customWidth="1"/>
    <col min="13305" max="13552" width="9.140625" style="331"/>
    <col min="13553" max="13553" width="4.85546875" style="331" customWidth="1"/>
    <col min="13554" max="13554" width="48.28515625" style="331" customWidth="1"/>
    <col min="13555" max="13555" width="12.85546875" style="331" customWidth="1"/>
    <col min="13556" max="13556" width="11.7109375" style="331" customWidth="1"/>
    <col min="13557" max="13557" width="11.140625" style="331" customWidth="1"/>
    <col min="13558" max="13558" width="11.42578125" style="331" customWidth="1"/>
    <col min="13559" max="13559" width="11.7109375" style="331" customWidth="1"/>
    <col min="13560" max="13560" width="45.42578125" style="331" customWidth="1"/>
    <col min="13561" max="13808" width="9.140625" style="331"/>
    <col min="13809" max="13809" width="4.85546875" style="331" customWidth="1"/>
    <col min="13810" max="13810" width="48.28515625" style="331" customWidth="1"/>
    <col min="13811" max="13811" width="12.85546875" style="331" customWidth="1"/>
    <col min="13812" max="13812" width="11.7109375" style="331" customWidth="1"/>
    <col min="13813" max="13813" width="11.140625" style="331" customWidth="1"/>
    <col min="13814" max="13814" width="11.42578125" style="331" customWidth="1"/>
    <col min="13815" max="13815" width="11.7109375" style="331" customWidth="1"/>
    <col min="13816" max="13816" width="45.42578125" style="331" customWidth="1"/>
    <col min="13817" max="14064" width="9.140625" style="331"/>
    <col min="14065" max="14065" width="4.85546875" style="331" customWidth="1"/>
    <col min="14066" max="14066" width="48.28515625" style="331" customWidth="1"/>
    <col min="14067" max="14067" width="12.85546875" style="331" customWidth="1"/>
    <col min="14068" max="14068" width="11.7109375" style="331" customWidth="1"/>
    <col min="14069" max="14069" width="11.140625" style="331" customWidth="1"/>
    <col min="14070" max="14070" width="11.42578125" style="331" customWidth="1"/>
    <col min="14071" max="14071" width="11.7109375" style="331" customWidth="1"/>
    <col min="14072" max="14072" width="45.42578125" style="331" customWidth="1"/>
    <col min="14073" max="14320" width="9.140625" style="331"/>
    <col min="14321" max="14321" width="4.85546875" style="331" customWidth="1"/>
    <col min="14322" max="14322" width="48.28515625" style="331" customWidth="1"/>
    <col min="14323" max="14323" width="12.85546875" style="331" customWidth="1"/>
    <col min="14324" max="14324" width="11.7109375" style="331" customWidth="1"/>
    <col min="14325" max="14325" width="11.140625" style="331" customWidth="1"/>
    <col min="14326" max="14326" width="11.42578125" style="331" customWidth="1"/>
    <col min="14327" max="14327" width="11.7109375" style="331" customWidth="1"/>
    <col min="14328" max="14328" width="45.42578125" style="331" customWidth="1"/>
    <col min="14329" max="14576" width="9.140625" style="331"/>
    <col min="14577" max="14577" width="4.85546875" style="331" customWidth="1"/>
    <col min="14578" max="14578" width="48.28515625" style="331" customWidth="1"/>
    <col min="14579" max="14579" width="12.85546875" style="331" customWidth="1"/>
    <col min="14580" max="14580" width="11.7109375" style="331" customWidth="1"/>
    <col min="14581" max="14581" width="11.140625" style="331" customWidth="1"/>
    <col min="14582" max="14582" width="11.42578125" style="331" customWidth="1"/>
    <col min="14583" max="14583" width="11.7109375" style="331" customWidth="1"/>
    <col min="14584" max="14584" width="45.42578125" style="331" customWidth="1"/>
    <col min="14585" max="14832" width="9.140625" style="331"/>
    <col min="14833" max="14833" width="4.85546875" style="331" customWidth="1"/>
    <col min="14834" max="14834" width="48.28515625" style="331" customWidth="1"/>
    <col min="14835" max="14835" width="12.85546875" style="331" customWidth="1"/>
    <col min="14836" max="14836" width="11.7109375" style="331" customWidth="1"/>
    <col min="14837" max="14837" width="11.140625" style="331" customWidth="1"/>
    <col min="14838" max="14838" width="11.42578125" style="331" customWidth="1"/>
    <col min="14839" max="14839" width="11.7109375" style="331" customWidth="1"/>
    <col min="14840" max="14840" width="45.42578125" style="331" customWidth="1"/>
    <col min="14841" max="15088" width="9.140625" style="331"/>
    <col min="15089" max="15089" width="4.85546875" style="331" customWidth="1"/>
    <col min="15090" max="15090" width="48.28515625" style="331" customWidth="1"/>
    <col min="15091" max="15091" width="12.85546875" style="331" customWidth="1"/>
    <col min="15092" max="15092" width="11.7109375" style="331" customWidth="1"/>
    <col min="15093" max="15093" width="11.140625" style="331" customWidth="1"/>
    <col min="15094" max="15094" width="11.42578125" style="331" customWidth="1"/>
    <col min="15095" max="15095" width="11.7109375" style="331" customWidth="1"/>
    <col min="15096" max="15096" width="45.42578125" style="331" customWidth="1"/>
    <col min="15097" max="15344" width="9.140625" style="331"/>
    <col min="15345" max="15345" width="4.85546875" style="331" customWidth="1"/>
    <col min="15346" max="15346" width="48.28515625" style="331" customWidth="1"/>
    <col min="15347" max="15347" width="12.85546875" style="331" customWidth="1"/>
    <col min="15348" max="15348" width="11.7109375" style="331" customWidth="1"/>
    <col min="15349" max="15349" width="11.140625" style="331" customWidth="1"/>
    <col min="15350" max="15350" width="11.42578125" style="331" customWidth="1"/>
    <col min="15351" max="15351" width="11.7109375" style="331" customWidth="1"/>
    <col min="15352" max="15352" width="45.42578125" style="331" customWidth="1"/>
    <col min="15353" max="15600" width="9.140625" style="331"/>
    <col min="15601" max="15601" width="4.85546875" style="331" customWidth="1"/>
    <col min="15602" max="15602" width="48.28515625" style="331" customWidth="1"/>
    <col min="15603" max="15603" width="12.85546875" style="331" customWidth="1"/>
    <col min="15604" max="15604" width="11.7109375" style="331" customWidth="1"/>
    <col min="15605" max="15605" width="11.140625" style="331" customWidth="1"/>
    <col min="15606" max="15606" width="11.42578125" style="331" customWidth="1"/>
    <col min="15607" max="15607" width="11.7109375" style="331" customWidth="1"/>
    <col min="15608" max="15608" width="45.42578125" style="331" customWidth="1"/>
    <col min="15609" max="15856" width="9.140625" style="331"/>
    <col min="15857" max="15857" width="4.85546875" style="331" customWidth="1"/>
    <col min="15858" max="15858" width="48.28515625" style="331" customWidth="1"/>
    <col min="15859" max="15859" width="12.85546875" style="331" customWidth="1"/>
    <col min="15860" max="15860" width="11.7109375" style="331" customWidth="1"/>
    <col min="15861" max="15861" width="11.140625" style="331" customWidth="1"/>
    <col min="15862" max="15862" width="11.42578125" style="331" customWidth="1"/>
    <col min="15863" max="15863" width="11.7109375" style="331" customWidth="1"/>
    <col min="15864" max="15864" width="45.42578125" style="331" customWidth="1"/>
    <col min="15865" max="16112" width="9.140625" style="331"/>
    <col min="16113" max="16113" width="4.85546875" style="331" customWidth="1"/>
    <col min="16114" max="16114" width="48.28515625" style="331" customWidth="1"/>
    <col min="16115" max="16115" width="12.85546875" style="331" customWidth="1"/>
    <col min="16116" max="16116" width="11.7109375" style="331" customWidth="1"/>
    <col min="16117" max="16117" width="11.140625" style="331" customWidth="1"/>
    <col min="16118" max="16118" width="11.42578125" style="331" customWidth="1"/>
    <col min="16119" max="16119" width="11.7109375" style="331" customWidth="1"/>
    <col min="16120" max="16120" width="45.42578125" style="331" customWidth="1"/>
    <col min="16121" max="16384" width="9.140625" style="331"/>
  </cols>
  <sheetData>
    <row r="1" spans="1:8" x14ac:dyDescent="0.2">
      <c r="H1" s="333" t="s">
        <v>493</v>
      </c>
    </row>
    <row r="2" spans="1:8" x14ac:dyDescent="0.2">
      <c r="G2" s="334"/>
      <c r="H2" s="333" t="s">
        <v>494</v>
      </c>
    </row>
    <row r="3" spans="1:8" ht="18.75" x14ac:dyDescent="0.3">
      <c r="A3" s="335" t="s">
        <v>2</v>
      </c>
      <c r="B3" s="336"/>
      <c r="C3" s="336" t="s">
        <v>495</v>
      </c>
      <c r="D3" s="337"/>
      <c r="E3" s="337"/>
      <c r="F3" s="338"/>
    </row>
    <row r="4" spans="1:8" x14ac:dyDescent="0.2">
      <c r="A4" s="2253" t="s">
        <v>4</v>
      </c>
      <c r="B4" s="2253"/>
      <c r="C4" s="340">
        <v>90000594245</v>
      </c>
      <c r="D4" s="341"/>
      <c r="E4" s="341"/>
      <c r="F4" s="340"/>
    </row>
    <row r="5" spans="1:8" ht="15.75" customHeight="1" x14ac:dyDescent="0.25">
      <c r="A5" s="2254" t="s">
        <v>496</v>
      </c>
      <c r="B5" s="2254"/>
      <c r="C5" s="2254"/>
      <c r="D5" s="2254"/>
      <c r="E5" s="2254"/>
      <c r="F5" s="2254"/>
      <c r="G5" s="2254"/>
      <c r="H5" s="2254"/>
    </row>
    <row r="6" spans="1:8" ht="15.75" customHeight="1" x14ac:dyDescent="0.2">
      <c r="A6" s="342"/>
      <c r="B6" s="342"/>
      <c r="C6" s="342"/>
      <c r="D6" s="342"/>
      <c r="E6" s="342"/>
      <c r="F6" s="342"/>
      <c r="G6" s="342"/>
      <c r="H6" s="342"/>
    </row>
    <row r="7" spans="1:8" ht="15.75" x14ac:dyDescent="0.25">
      <c r="A7" s="335" t="s">
        <v>497</v>
      </c>
      <c r="B7" s="335"/>
      <c r="C7" s="2255" t="s">
        <v>498</v>
      </c>
      <c r="D7" s="2255"/>
      <c r="E7" s="2255"/>
      <c r="F7" s="2255"/>
    </row>
    <row r="8" spans="1:8" s="348" customFormat="1" ht="13.5" customHeight="1" x14ac:dyDescent="0.25">
      <c r="A8" s="2256" t="s">
        <v>499</v>
      </c>
      <c r="B8" s="2256"/>
      <c r="C8" s="343" t="s">
        <v>434</v>
      </c>
      <c r="D8" s="344"/>
      <c r="E8" s="345"/>
      <c r="F8" s="346"/>
      <c r="G8" s="347"/>
      <c r="H8" s="339"/>
    </row>
    <row r="9" spans="1:8" x14ac:dyDescent="0.2">
      <c r="A9" s="349" t="s">
        <v>500</v>
      </c>
      <c r="B9" s="349"/>
      <c r="C9" s="350" t="s">
        <v>335</v>
      </c>
      <c r="D9" s="351"/>
      <c r="E9" s="352"/>
      <c r="F9" s="353"/>
    </row>
    <row r="10" spans="1:8" ht="49.5" customHeight="1" x14ac:dyDescent="0.2">
      <c r="A10" s="354" t="s">
        <v>501</v>
      </c>
      <c r="B10" s="354" t="s">
        <v>502</v>
      </c>
      <c r="C10" s="355" t="s">
        <v>503</v>
      </c>
      <c r="D10" s="356" t="s">
        <v>504</v>
      </c>
      <c r="E10" s="356" t="s">
        <v>505</v>
      </c>
      <c r="F10" s="356" t="s">
        <v>506</v>
      </c>
      <c r="G10" s="356" t="s">
        <v>36</v>
      </c>
      <c r="H10" s="356" t="s">
        <v>507</v>
      </c>
    </row>
    <row r="11" spans="1:8" ht="12.75" customHeight="1" x14ac:dyDescent="0.2">
      <c r="A11" s="357"/>
      <c r="B11" s="358" t="s">
        <v>508</v>
      </c>
      <c r="C11" s="359"/>
      <c r="D11" s="360">
        <f>SUM(D12:D20)</f>
        <v>382227</v>
      </c>
      <c r="E11" s="360">
        <f t="shared" ref="E11:F11" si="0">SUM(E12:E20)</f>
        <v>-19146</v>
      </c>
      <c r="F11" s="360">
        <f t="shared" si="0"/>
        <v>363081</v>
      </c>
      <c r="G11" s="360"/>
      <c r="H11" s="361"/>
    </row>
    <row r="12" spans="1:8" ht="27.75" customHeight="1" x14ac:dyDescent="0.2">
      <c r="A12" s="362">
        <v>1</v>
      </c>
      <c r="B12" s="363" t="s">
        <v>509</v>
      </c>
      <c r="C12" s="364">
        <v>6255</v>
      </c>
      <c r="D12" s="365">
        <v>25020</v>
      </c>
      <c r="E12" s="366"/>
      <c r="F12" s="367">
        <f t="shared" ref="F12:F20" si="1">D12+E12</f>
        <v>25020</v>
      </c>
      <c r="G12" s="368"/>
      <c r="H12" s="1051" t="s">
        <v>510</v>
      </c>
    </row>
    <row r="13" spans="1:8" ht="27.75" customHeight="1" x14ac:dyDescent="0.2">
      <c r="A13" s="362">
        <v>2</v>
      </c>
      <c r="B13" s="363" t="s">
        <v>511</v>
      </c>
      <c r="C13" s="364">
        <v>6423</v>
      </c>
      <c r="D13" s="365">
        <v>2736</v>
      </c>
      <c r="E13" s="366"/>
      <c r="F13" s="367">
        <f t="shared" si="1"/>
        <v>2736</v>
      </c>
      <c r="G13" s="368"/>
      <c r="H13" s="1051" t="s">
        <v>510</v>
      </c>
    </row>
    <row r="14" spans="1:8" ht="27.75" customHeight="1" x14ac:dyDescent="0.2">
      <c r="A14" s="362">
        <v>3</v>
      </c>
      <c r="B14" s="363" t="s">
        <v>512</v>
      </c>
      <c r="C14" s="364">
        <v>6423</v>
      </c>
      <c r="D14" s="365">
        <v>318000</v>
      </c>
      <c r="E14" s="366">
        <v>-19146</v>
      </c>
      <c r="F14" s="367">
        <f t="shared" si="1"/>
        <v>298854</v>
      </c>
      <c r="G14" s="368" t="s">
        <v>437</v>
      </c>
      <c r="H14" s="1051" t="s">
        <v>513</v>
      </c>
    </row>
    <row r="15" spans="1:8" ht="27.75" customHeight="1" x14ac:dyDescent="0.2">
      <c r="A15" s="362">
        <v>4</v>
      </c>
      <c r="B15" s="363" t="s">
        <v>514</v>
      </c>
      <c r="C15" s="364">
        <v>6423</v>
      </c>
      <c r="D15" s="365">
        <v>10560</v>
      </c>
      <c r="E15" s="366"/>
      <c r="F15" s="367">
        <f t="shared" si="1"/>
        <v>10560</v>
      </c>
      <c r="G15" s="368"/>
      <c r="H15" s="1051" t="s">
        <v>515</v>
      </c>
    </row>
    <row r="16" spans="1:8" ht="27.75" customHeight="1" x14ac:dyDescent="0.2">
      <c r="A16" s="370">
        <v>5</v>
      </c>
      <c r="B16" s="363" t="s">
        <v>516</v>
      </c>
      <c r="C16" s="364">
        <v>6423</v>
      </c>
      <c r="D16" s="365">
        <v>10480</v>
      </c>
      <c r="E16" s="366"/>
      <c r="F16" s="367">
        <f t="shared" si="1"/>
        <v>10480</v>
      </c>
      <c r="G16" s="368"/>
      <c r="H16" s="1051" t="s">
        <v>517</v>
      </c>
    </row>
    <row r="17" spans="1:8" ht="16.5" customHeight="1" x14ac:dyDescent="0.2">
      <c r="A17" s="2257">
        <v>6</v>
      </c>
      <c r="B17" s="2260" t="s">
        <v>518</v>
      </c>
      <c r="C17" s="364">
        <v>2314</v>
      </c>
      <c r="D17" s="365">
        <v>430</v>
      </c>
      <c r="E17" s="366"/>
      <c r="F17" s="367">
        <f t="shared" si="1"/>
        <v>430</v>
      </c>
      <c r="G17" s="371"/>
      <c r="H17" s="2261" t="s">
        <v>510</v>
      </c>
    </row>
    <row r="18" spans="1:8" ht="16.5" customHeight="1" x14ac:dyDescent="0.2">
      <c r="A18" s="2258"/>
      <c r="B18" s="2260"/>
      <c r="C18" s="364">
        <v>2279</v>
      </c>
      <c r="D18" s="365">
        <v>300</v>
      </c>
      <c r="E18" s="366"/>
      <c r="F18" s="367">
        <f t="shared" si="1"/>
        <v>300</v>
      </c>
      <c r="G18" s="371"/>
      <c r="H18" s="2261"/>
    </row>
    <row r="19" spans="1:8" ht="16.5" customHeight="1" x14ac:dyDescent="0.2">
      <c r="A19" s="2259"/>
      <c r="B19" s="2260"/>
      <c r="C19" s="364">
        <v>2314</v>
      </c>
      <c r="D19" s="365">
        <v>1750</v>
      </c>
      <c r="E19" s="366"/>
      <c r="F19" s="367">
        <f t="shared" si="1"/>
        <v>1750</v>
      </c>
      <c r="G19" s="371"/>
      <c r="H19" s="2261"/>
    </row>
    <row r="20" spans="1:8" ht="36" x14ac:dyDescent="0.2">
      <c r="A20" s="372">
        <v>7</v>
      </c>
      <c r="B20" s="363" t="s">
        <v>519</v>
      </c>
      <c r="C20" s="364">
        <v>7247</v>
      </c>
      <c r="D20" s="365">
        <v>12951</v>
      </c>
      <c r="E20" s="373"/>
      <c r="F20" s="367">
        <f t="shared" si="1"/>
        <v>12951</v>
      </c>
      <c r="G20" s="368"/>
      <c r="H20" s="1051" t="s">
        <v>520</v>
      </c>
    </row>
    <row r="21" spans="1:8" x14ac:dyDescent="0.2">
      <c r="A21" s="374"/>
      <c r="B21" s="374"/>
      <c r="C21" s="374"/>
      <c r="D21" s="375"/>
      <c r="E21" s="376"/>
      <c r="F21" s="374"/>
    </row>
    <row r="22" spans="1:8" x14ac:dyDescent="0.2">
      <c r="A22" s="349" t="s">
        <v>499</v>
      </c>
      <c r="B22" s="349"/>
      <c r="C22" s="377" t="s">
        <v>477</v>
      </c>
      <c r="D22" s="351"/>
      <c r="E22" s="352"/>
      <c r="F22" s="378"/>
    </row>
    <row r="23" spans="1:8" x14ac:dyDescent="0.2">
      <c r="A23" s="349" t="s">
        <v>500</v>
      </c>
      <c r="B23" s="349"/>
      <c r="C23" s="350" t="s">
        <v>521</v>
      </c>
      <c r="D23" s="351"/>
      <c r="E23" s="352"/>
      <c r="F23" s="378"/>
    </row>
    <row r="24" spans="1:8" ht="51" x14ac:dyDescent="0.2">
      <c r="A24" s="354" t="s">
        <v>501</v>
      </c>
      <c r="B24" s="354" t="s">
        <v>502</v>
      </c>
      <c r="C24" s="379" t="s">
        <v>503</v>
      </c>
      <c r="D24" s="356" t="s">
        <v>504</v>
      </c>
      <c r="E24" s="356" t="s">
        <v>505</v>
      </c>
      <c r="F24" s="356" t="s">
        <v>506</v>
      </c>
      <c r="G24" s="356" t="s">
        <v>36</v>
      </c>
      <c r="H24" s="356" t="s">
        <v>507</v>
      </c>
    </row>
    <row r="25" spans="1:8" ht="12.75" customHeight="1" x14ac:dyDescent="0.2">
      <c r="A25" s="357"/>
      <c r="B25" s="358" t="s">
        <v>508</v>
      </c>
      <c r="C25" s="380"/>
      <c r="D25" s="381">
        <f>SUM(D26:D26)</f>
        <v>14400</v>
      </c>
      <c r="E25" s="381">
        <f>SUM(E26:E26)</f>
        <v>0</v>
      </c>
      <c r="F25" s="381">
        <f>SUM(F26:F26)</f>
        <v>14400</v>
      </c>
      <c r="G25" s="381"/>
      <c r="H25" s="382"/>
    </row>
    <row r="26" spans="1:8" ht="55.5" customHeight="1" x14ac:dyDescent="0.2">
      <c r="A26" s="372">
        <v>1</v>
      </c>
      <c r="B26" s="383" t="s">
        <v>522</v>
      </c>
      <c r="C26" s="364">
        <v>6255</v>
      </c>
      <c r="D26" s="365">
        <v>14400</v>
      </c>
      <c r="E26" s="366"/>
      <c r="F26" s="367">
        <f t="shared" ref="F26" si="2">D26+E26</f>
        <v>14400</v>
      </c>
      <c r="G26" s="384"/>
      <c r="H26" s="369" t="s">
        <v>523</v>
      </c>
    </row>
    <row r="27" spans="1:8" x14ac:dyDescent="0.2">
      <c r="A27" s="374"/>
      <c r="B27" s="374"/>
      <c r="C27" s="374"/>
      <c r="D27" s="375"/>
      <c r="E27" s="376"/>
      <c r="F27" s="374"/>
    </row>
    <row r="28" spans="1:8" x14ac:dyDescent="0.2">
      <c r="A28" s="349" t="s">
        <v>499</v>
      </c>
      <c r="B28" s="349"/>
      <c r="C28" s="377" t="s">
        <v>524</v>
      </c>
      <c r="D28" s="385"/>
      <c r="E28" s="386"/>
      <c r="F28" s="377"/>
      <c r="G28" s="387"/>
      <c r="H28" s="335"/>
    </row>
    <row r="29" spans="1:8" x14ac:dyDescent="0.2">
      <c r="A29" s="349" t="s">
        <v>500</v>
      </c>
      <c r="B29" s="349"/>
      <c r="C29" s="350" t="s">
        <v>525</v>
      </c>
      <c r="D29" s="385"/>
      <c r="E29" s="386"/>
      <c r="F29" s="388"/>
      <c r="G29" s="387"/>
      <c r="H29" s="335"/>
    </row>
    <row r="30" spans="1:8" ht="48" x14ac:dyDescent="0.2">
      <c r="A30" s="354" t="s">
        <v>501</v>
      </c>
      <c r="B30" s="354" t="s">
        <v>502</v>
      </c>
      <c r="C30" s="355" t="s">
        <v>503</v>
      </c>
      <c r="D30" s="356" t="s">
        <v>504</v>
      </c>
      <c r="E30" s="356" t="s">
        <v>505</v>
      </c>
      <c r="F30" s="356" t="s">
        <v>506</v>
      </c>
      <c r="G30" s="356" t="s">
        <v>36</v>
      </c>
      <c r="H30" s="356" t="s">
        <v>507</v>
      </c>
    </row>
    <row r="31" spans="1:8" ht="12.75" customHeight="1" x14ac:dyDescent="0.2">
      <c r="A31" s="357"/>
      <c r="B31" s="358" t="s">
        <v>508</v>
      </c>
      <c r="C31" s="359"/>
      <c r="D31" s="360">
        <f>SUM(D32:D36)</f>
        <v>51239</v>
      </c>
      <c r="E31" s="360">
        <f>SUM(E32:E36)</f>
        <v>-2272</v>
      </c>
      <c r="F31" s="360">
        <f>SUM(F32:F36)</f>
        <v>48967</v>
      </c>
      <c r="G31" s="360"/>
      <c r="H31" s="361"/>
    </row>
    <row r="32" spans="1:8" ht="39.75" customHeight="1" x14ac:dyDescent="0.2">
      <c r="A32" s="362">
        <v>1</v>
      </c>
      <c r="B32" s="389" t="s">
        <v>526</v>
      </c>
      <c r="C32" s="390">
        <v>6423</v>
      </c>
      <c r="D32" s="391">
        <v>10368</v>
      </c>
      <c r="E32" s="392">
        <v>1728</v>
      </c>
      <c r="F32" s="367">
        <f t="shared" ref="F32:F36" si="3">D32+E32</f>
        <v>12096</v>
      </c>
      <c r="G32" s="368" t="s">
        <v>527</v>
      </c>
      <c r="H32" s="1051" t="s">
        <v>528</v>
      </c>
    </row>
    <row r="33" spans="1:9" ht="39.75" customHeight="1" x14ac:dyDescent="0.2">
      <c r="A33" s="362">
        <v>2</v>
      </c>
      <c r="B33" s="363" t="s">
        <v>529</v>
      </c>
      <c r="C33" s="364">
        <v>6423</v>
      </c>
      <c r="D33" s="393">
        <v>8550</v>
      </c>
      <c r="E33" s="392"/>
      <c r="F33" s="367">
        <f t="shared" si="3"/>
        <v>8550</v>
      </c>
      <c r="G33" s="368"/>
      <c r="H33" s="1051" t="s">
        <v>520</v>
      </c>
    </row>
    <row r="34" spans="1:9" ht="39.75" customHeight="1" x14ac:dyDescent="0.2">
      <c r="A34" s="362">
        <v>3</v>
      </c>
      <c r="B34" s="383" t="s">
        <v>530</v>
      </c>
      <c r="C34" s="364">
        <v>6255</v>
      </c>
      <c r="D34" s="393">
        <v>23311</v>
      </c>
      <c r="E34" s="392">
        <v>-4000</v>
      </c>
      <c r="F34" s="367">
        <f>D34+E34</f>
        <v>19311</v>
      </c>
      <c r="G34" s="368" t="s">
        <v>437</v>
      </c>
      <c r="H34" s="1051" t="s">
        <v>528</v>
      </c>
    </row>
    <row r="35" spans="1:9" ht="39.75" customHeight="1" x14ac:dyDescent="0.2">
      <c r="A35" s="362">
        <v>4</v>
      </c>
      <c r="B35" s="383" t="s">
        <v>531</v>
      </c>
      <c r="C35" s="364">
        <v>6255</v>
      </c>
      <c r="D35" s="393">
        <v>7250</v>
      </c>
      <c r="E35" s="392"/>
      <c r="F35" s="367">
        <f>D35+E35</f>
        <v>7250</v>
      </c>
      <c r="G35" s="368"/>
      <c r="H35" s="1051" t="s">
        <v>528</v>
      </c>
    </row>
    <row r="36" spans="1:9" ht="39.75" customHeight="1" x14ac:dyDescent="0.2">
      <c r="A36" s="362">
        <v>5</v>
      </c>
      <c r="B36" s="394" t="s">
        <v>532</v>
      </c>
      <c r="C36" s="364">
        <v>2279</v>
      </c>
      <c r="D36" s="393">
        <v>1760</v>
      </c>
      <c r="E36" s="392"/>
      <c r="F36" s="367">
        <f t="shared" si="3"/>
        <v>1760</v>
      </c>
      <c r="G36" s="368"/>
      <c r="H36" s="1051" t="s">
        <v>528</v>
      </c>
    </row>
    <row r="37" spans="1:9" ht="16.5" customHeight="1" x14ac:dyDescent="0.2">
      <c r="B37" s="395"/>
      <c r="C37" s="395"/>
      <c r="D37" s="396"/>
      <c r="E37" s="397"/>
      <c r="F37" s="395" t="s">
        <v>533</v>
      </c>
    </row>
    <row r="38" spans="1:9" x14ac:dyDescent="0.2">
      <c r="A38" s="398" t="s">
        <v>534</v>
      </c>
      <c r="B38" s="398"/>
      <c r="C38" s="398"/>
      <c r="D38" s="398"/>
      <c r="E38" s="399"/>
      <c r="F38" s="398"/>
      <c r="G38" s="400"/>
      <c r="H38" s="398"/>
      <c r="I38" s="398"/>
    </row>
    <row r="39" spans="1:9" x14ac:dyDescent="0.2">
      <c r="A39" s="398" t="s">
        <v>535</v>
      </c>
      <c r="B39" s="398"/>
      <c r="C39" s="398"/>
      <c r="D39" s="398"/>
      <c r="E39" s="398"/>
      <c r="F39" s="398"/>
      <c r="G39" s="400"/>
      <c r="H39" s="398"/>
      <c r="I39" s="398"/>
    </row>
    <row r="40" spans="1:9" x14ac:dyDescent="0.2">
      <c r="A40" s="398"/>
      <c r="B40" s="398" t="s">
        <v>536</v>
      </c>
      <c r="D40" s="398"/>
      <c r="E40" s="398"/>
      <c r="F40" s="398"/>
      <c r="G40" s="400"/>
      <c r="H40" s="398"/>
      <c r="I40" s="398"/>
    </row>
    <row r="41" spans="1:9" x14ac:dyDescent="0.2">
      <c r="A41" s="398"/>
      <c r="B41" s="398"/>
      <c r="C41" s="398"/>
      <c r="D41" s="398"/>
      <c r="E41" s="398"/>
      <c r="F41" s="398"/>
      <c r="G41" s="400"/>
      <c r="H41" s="398"/>
      <c r="I41" s="398"/>
    </row>
    <row r="42" spans="1:9" x14ac:dyDescent="0.2">
      <c r="A42" s="398" t="s">
        <v>537</v>
      </c>
      <c r="B42" s="398"/>
      <c r="C42" s="398"/>
      <c r="D42" s="398"/>
      <c r="E42" s="398"/>
      <c r="F42" s="398"/>
      <c r="G42" s="400"/>
      <c r="H42" s="398"/>
      <c r="I42" s="398"/>
    </row>
    <row r="43" spans="1:9" x14ac:dyDescent="0.2">
      <c r="A43" s="398"/>
      <c r="B43" s="398" t="s">
        <v>538</v>
      </c>
      <c r="C43" s="398"/>
      <c r="D43" s="398"/>
      <c r="E43" s="398"/>
      <c r="F43" s="398"/>
      <c r="G43" s="400"/>
      <c r="H43" s="398"/>
      <c r="I43" s="398"/>
    </row>
    <row r="44" spans="1:9" x14ac:dyDescent="0.2">
      <c r="A44" s="398"/>
      <c r="B44" s="398" t="s">
        <v>539</v>
      </c>
      <c r="C44" s="398"/>
      <c r="D44" s="398"/>
      <c r="E44" s="398"/>
      <c r="F44" s="398"/>
      <c r="G44" s="400"/>
      <c r="H44" s="398"/>
      <c r="I44" s="398"/>
    </row>
    <row r="45" spans="1:9" x14ac:dyDescent="0.2">
      <c r="A45" s="398"/>
      <c r="B45" s="398" t="s">
        <v>540</v>
      </c>
      <c r="D45" s="398"/>
      <c r="E45" s="398"/>
      <c r="F45" s="398"/>
      <c r="G45" s="400"/>
      <c r="H45" s="398"/>
      <c r="I45" s="398"/>
    </row>
    <row r="46" spans="1:9" x14ac:dyDescent="0.2">
      <c r="A46" s="398"/>
      <c r="B46" s="398" t="s">
        <v>541</v>
      </c>
      <c r="D46" s="398"/>
      <c r="E46" s="398"/>
      <c r="F46" s="398"/>
      <c r="G46" s="400"/>
      <c r="H46" s="398"/>
      <c r="I46" s="398"/>
    </row>
    <row r="47" spans="1:9" x14ac:dyDescent="0.2">
      <c r="B47" s="398" t="s">
        <v>542</v>
      </c>
      <c r="I47" s="339"/>
    </row>
    <row r="48" spans="1:9" x14ac:dyDescent="0.2">
      <c r="B48" s="398" t="s">
        <v>543</v>
      </c>
      <c r="I48" s="339"/>
    </row>
    <row r="49" spans="2:9" x14ac:dyDescent="0.2">
      <c r="B49" s="398" t="s">
        <v>544</v>
      </c>
      <c r="I49" s="339"/>
    </row>
    <row r="50" spans="2:9" x14ac:dyDescent="0.2">
      <c r="I50" s="339"/>
    </row>
    <row r="51" spans="2:9" x14ac:dyDescent="0.2">
      <c r="I51" s="339"/>
    </row>
    <row r="52" spans="2:9" x14ac:dyDescent="0.2">
      <c r="I52" s="339"/>
    </row>
  </sheetData>
  <sheetProtection algorithmName="SHA-512" hashValue="w1AMk3PKU1C9zBH0u7zVEb+u5IekPxqJ4WtFNKhGLvUX0+2iAj8EWrl/KT2HOkPMZBhUdIzJVaBhRkfcNWzdjw==" saltValue="94D1X8HJ7AtlMu/kwtSBfQ==" spinCount="100000" sheet="1" objects="1" scenarios="1"/>
  <mergeCells count="7">
    <mergeCell ref="A4:B4"/>
    <mergeCell ref="A5:H5"/>
    <mergeCell ref="C7:F7"/>
    <mergeCell ref="A8:B8"/>
    <mergeCell ref="A17:A19"/>
    <mergeCell ref="B17:B19"/>
    <mergeCell ref="H17:H1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82.pielikums Jūrmalas pilsētas domes
2019.gada 29.augusta saistošajiem noteikumiem Nr.31
(protokols Nr.12, 20.punkts) </firstHeader>
    <firstFooter>&amp;L&amp;9&amp;D; &amp;T&amp;R&amp;9&amp;P (&amp;N)</first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K76"/>
  <sheetViews>
    <sheetView view="pageLayout" zoomScaleNormal="100" workbookViewId="0">
      <selection activeCell="L6" sqref="L6"/>
    </sheetView>
  </sheetViews>
  <sheetFormatPr defaultRowHeight="12.75" outlineLevelCol="1" x14ac:dyDescent="0.2"/>
  <cols>
    <col min="1" max="1" width="6.140625" style="401" customWidth="1"/>
    <col min="2" max="2" width="28.140625" style="401" customWidth="1"/>
    <col min="3" max="3" width="10.5703125" style="401" customWidth="1"/>
    <col min="4" max="4" width="11.7109375" style="401" hidden="1" customWidth="1" outlineLevel="1"/>
    <col min="5" max="5" width="11.28515625" style="404" hidden="1" customWidth="1" outlineLevel="1"/>
    <col min="6" max="6" width="14.7109375" style="458" customWidth="1" collapsed="1"/>
    <col min="7" max="7" width="32" style="401" hidden="1" customWidth="1" outlineLevel="1"/>
    <col min="8" max="8" width="18.28515625" style="401" customWidth="1" collapsed="1"/>
    <col min="9" max="16384" width="9.140625" style="401"/>
  </cols>
  <sheetData>
    <row r="1" spans="1:9" ht="12" customHeight="1" x14ac:dyDescent="0.2">
      <c r="C1" s="402"/>
      <c r="D1" s="402"/>
      <c r="E1" s="403"/>
      <c r="F1" s="404"/>
      <c r="H1" s="333" t="s">
        <v>545</v>
      </c>
    </row>
    <row r="2" spans="1:9" ht="12" x14ac:dyDescent="0.2">
      <c r="C2" s="398"/>
      <c r="D2" s="398"/>
      <c r="E2" s="399"/>
      <c r="F2" s="404"/>
      <c r="H2" s="333" t="s">
        <v>494</v>
      </c>
    </row>
    <row r="3" spans="1:9" ht="12" x14ac:dyDescent="0.2">
      <c r="A3" s="2082" t="s">
        <v>2</v>
      </c>
      <c r="B3" s="2082"/>
      <c r="C3" s="405" t="s">
        <v>495</v>
      </c>
      <c r="D3" s="405"/>
      <c r="E3" s="406"/>
      <c r="F3" s="406"/>
      <c r="G3" s="405"/>
      <c r="H3" s="405"/>
      <c r="I3" s="405"/>
    </row>
    <row r="4" spans="1:9" ht="12" x14ac:dyDescent="0.2">
      <c r="A4" s="2082" t="s">
        <v>4</v>
      </c>
      <c r="B4" s="2082"/>
      <c r="C4" s="1185">
        <v>90000594245</v>
      </c>
      <c r="D4" s="405"/>
      <c r="E4" s="406"/>
      <c r="F4" s="406"/>
      <c r="G4" s="405"/>
      <c r="H4" s="405"/>
      <c r="I4" s="405"/>
    </row>
    <row r="5" spans="1:9" ht="15.75" x14ac:dyDescent="0.25">
      <c r="A5" s="2088" t="s">
        <v>496</v>
      </c>
      <c r="B5" s="2088"/>
      <c r="C5" s="2088"/>
      <c r="D5" s="2088"/>
      <c r="E5" s="2088"/>
      <c r="F5" s="2088"/>
      <c r="G5" s="2088"/>
      <c r="H5" s="2088"/>
    </row>
    <row r="6" spans="1:9" ht="15.75" x14ac:dyDescent="0.25">
      <c r="A6" s="407"/>
      <c r="B6" s="407"/>
      <c r="C6" s="407"/>
      <c r="D6" s="407"/>
      <c r="E6" s="408"/>
      <c r="F6" s="404"/>
      <c r="G6" s="407"/>
      <c r="H6" s="407"/>
    </row>
    <row r="7" spans="1:9" ht="15.75" x14ac:dyDescent="0.25">
      <c r="A7" s="2082" t="s">
        <v>546</v>
      </c>
      <c r="B7" s="2082"/>
      <c r="C7" s="409" t="s">
        <v>547</v>
      </c>
      <c r="D7" s="409"/>
      <c r="E7" s="410"/>
      <c r="F7" s="410"/>
      <c r="G7" s="409"/>
      <c r="H7" s="409"/>
      <c r="I7" s="409"/>
    </row>
    <row r="8" spans="1:9" ht="12" x14ac:dyDescent="0.2">
      <c r="A8" s="2082" t="s">
        <v>499</v>
      </c>
      <c r="B8" s="2082"/>
      <c r="C8" s="411" t="s">
        <v>425</v>
      </c>
      <c r="D8" s="411"/>
      <c r="E8" s="411"/>
      <c r="F8" s="411"/>
      <c r="G8" s="411"/>
      <c r="H8" s="411"/>
      <c r="I8" s="411"/>
    </row>
    <row r="9" spans="1:9" ht="12" x14ac:dyDescent="0.2">
      <c r="A9" s="2082" t="s">
        <v>500</v>
      </c>
      <c r="B9" s="2082"/>
      <c r="C9" s="412" t="s">
        <v>548</v>
      </c>
      <c r="D9" s="412"/>
      <c r="E9" s="412"/>
      <c r="F9" s="412"/>
      <c r="G9" s="412"/>
      <c r="H9" s="412"/>
      <c r="I9" s="413"/>
    </row>
    <row r="10" spans="1:9" ht="48" x14ac:dyDescent="0.2">
      <c r="A10" s="414" t="s">
        <v>501</v>
      </c>
      <c r="B10" s="415" t="s">
        <v>502</v>
      </c>
      <c r="C10" s="414" t="s">
        <v>503</v>
      </c>
      <c r="D10" s="414" t="s">
        <v>504</v>
      </c>
      <c r="E10" s="416" t="s">
        <v>505</v>
      </c>
      <c r="F10" s="416" t="s">
        <v>506</v>
      </c>
      <c r="G10" s="414" t="s">
        <v>36</v>
      </c>
      <c r="H10" s="415" t="s">
        <v>507</v>
      </c>
      <c r="I10" s="417"/>
    </row>
    <row r="11" spans="1:9" ht="17.25" customHeight="1" x14ac:dyDescent="0.2">
      <c r="A11" s="2262" t="s">
        <v>549</v>
      </c>
      <c r="B11" s="2263"/>
      <c r="C11" s="418"/>
      <c r="D11" s="418">
        <f>SUM(D12:D14)</f>
        <v>5802</v>
      </c>
      <c r="E11" s="418">
        <f>SUM(E12:E14)</f>
        <v>790</v>
      </c>
      <c r="F11" s="958">
        <f>SUM(F12:F14)</f>
        <v>6592</v>
      </c>
      <c r="G11" s="419"/>
      <c r="H11" s="418"/>
    </row>
    <row r="12" spans="1:9" ht="18" customHeight="1" x14ac:dyDescent="0.2">
      <c r="A12" s="2264">
        <v>1</v>
      </c>
      <c r="B12" s="2266" t="s">
        <v>550</v>
      </c>
      <c r="C12" s="420">
        <v>6252</v>
      </c>
      <c r="D12" s="421">
        <v>1500</v>
      </c>
      <c r="E12" s="422">
        <v>790</v>
      </c>
      <c r="F12" s="427">
        <f>D12+E12</f>
        <v>2290</v>
      </c>
      <c r="G12" s="419" t="s">
        <v>478</v>
      </c>
      <c r="H12" s="2268" t="s">
        <v>551</v>
      </c>
    </row>
    <row r="13" spans="1:9" ht="18" customHeight="1" x14ac:dyDescent="0.2">
      <c r="A13" s="2265"/>
      <c r="B13" s="2267"/>
      <c r="C13" s="424">
        <v>6423</v>
      </c>
      <c r="D13" s="421">
        <v>1710</v>
      </c>
      <c r="E13" s="422"/>
      <c r="F13" s="427">
        <f t="shared" ref="F13:F14" si="0">D13+E13</f>
        <v>1710</v>
      </c>
      <c r="G13" s="419"/>
      <c r="H13" s="2269"/>
    </row>
    <row r="14" spans="1:9" ht="33" customHeight="1" x14ac:dyDescent="0.2">
      <c r="A14" s="425">
        <v>2</v>
      </c>
      <c r="B14" s="426" t="s">
        <v>552</v>
      </c>
      <c r="C14" s="424">
        <v>6423</v>
      </c>
      <c r="D14" s="421">
        <v>2592</v>
      </c>
      <c r="E14" s="422"/>
      <c r="F14" s="427">
        <f t="shared" si="0"/>
        <v>2592</v>
      </c>
      <c r="G14" s="419"/>
      <c r="H14" s="2270"/>
    </row>
    <row r="15" spans="1:9" ht="12" x14ac:dyDescent="0.2">
      <c r="A15" s="428"/>
      <c r="B15" s="429"/>
      <c r="C15" s="430"/>
      <c r="D15" s="430"/>
      <c r="E15" s="430"/>
      <c r="F15" s="431"/>
      <c r="G15" s="428"/>
      <c r="H15" s="430"/>
    </row>
    <row r="16" spans="1:9" ht="12" x14ac:dyDescent="0.2">
      <c r="A16" s="2082" t="s">
        <v>499</v>
      </c>
      <c r="B16" s="2082"/>
      <c r="C16" s="432" t="s">
        <v>471</v>
      </c>
      <c r="D16" s="432"/>
      <c r="E16" s="432"/>
      <c r="F16" s="432"/>
      <c r="G16" s="432"/>
      <c r="H16" s="432"/>
      <c r="I16" s="432"/>
    </row>
    <row r="17" spans="1:9" ht="12" x14ac:dyDescent="0.2">
      <c r="A17" s="2082" t="s">
        <v>500</v>
      </c>
      <c r="B17" s="2082"/>
      <c r="C17" s="412" t="s">
        <v>553</v>
      </c>
      <c r="D17" s="412"/>
      <c r="E17" s="412"/>
      <c r="F17" s="412"/>
      <c r="G17" s="412"/>
      <c r="H17" s="412"/>
      <c r="I17" s="413"/>
    </row>
    <row r="18" spans="1:9" ht="48" x14ac:dyDescent="0.2">
      <c r="A18" s="414" t="s">
        <v>501</v>
      </c>
      <c r="B18" s="415" t="s">
        <v>502</v>
      </c>
      <c r="C18" s="414" t="s">
        <v>503</v>
      </c>
      <c r="D18" s="414" t="s">
        <v>504</v>
      </c>
      <c r="E18" s="416" t="s">
        <v>505</v>
      </c>
      <c r="F18" s="416" t="s">
        <v>506</v>
      </c>
      <c r="G18" s="414" t="s">
        <v>36</v>
      </c>
      <c r="H18" s="415" t="s">
        <v>507</v>
      </c>
      <c r="I18" s="417"/>
    </row>
    <row r="19" spans="1:9" ht="17.25" customHeight="1" x14ac:dyDescent="0.2">
      <c r="A19" s="2262" t="s">
        <v>549</v>
      </c>
      <c r="B19" s="2263"/>
      <c r="C19" s="958"/>
      <c r="D19" s="418">
        <f>SUM(D20:D22)</f>
        <v>533050</v>
      </c>
      <c r="E19" s="418">
        <f>SUM(E20:E22)</f>
        <v>6700</v>
      </c>
      <c r="F19" s="958">
        <f>SUM(F20:F22)</f>
        <v>539750</v>
      </c>
      <c r="G19" s="419"/>
      <c r="H19" s="418"/>
    </row>
    <row r="20" spans="1:9" ht="17.25" customHeight="1" x14ac:dyDescent="0.2">
      <c r="A20" s="2264">
        <v>1</v>
      </c>
      <c r="B20" s="2266" t="s">
        <v>554</v>
      </c>
      <c r="C20" s="420">
        <v>6252</v>
      </c>
      <c r="D20" s="421">
        <v>37000</v>
      </c>
      <c r="E20" s="422">
        <v>2000</v>
      </c>
      <c r="F20" s="427">
        <f t="shared" ref="F20:F22" si="1">D20+E20</f>
        <v>39000</v>
      </c>
      <c r="G20" s="419" t="s">
        <v>472</v>
      </c>
      <c r="H20" s="2271" t="s">
        <v>551</v>
      </c>
    </row>
    <row r="21" spans="1:9" ht="17.25" customHeight="1" x14ac:dyDescent="0.2">
      <c r="A21" s="2265"/>
      <c r="B21" s="2267"/>
      <c r="C21" s="424">
        <v>6423</v>
      </c>
      <c r="D21" s="421">
        <v>15000</v>
      </c>
      <c r="E21" s="422">
        <v>-2000</v>
      </c>
      <c r="F21" s="427">
        <f t="shared" si="1"/>
        <v>13000</v>
      </c>
      <c r="G21" s="419" t="s">
        <v>437</v>
      </c>
      <c r="H21" s="2272"/>
    </row>
    <row r="22" spans="1:9" ht="33" customHeight="1" x14ac:dyDescent="0.2">
      <c r="A22" s="425">
        <v>2</v>
      </c>
      <c r="B22" s="426" t="s">
        <v>552</v>
      </c>
      <c r="C22" s="424">
        <v>6423</v>
      </c>
      <c r="D22" s="421">
        <v>481050</v>
      </c>
      <c r="E22" s="433">
        <v>6700</v>
      </c>
      <c r="F22" s="427">
        <f t="shared" si="1"/>
        <v>487750</v>
      </c>
      <c r="G22" s="419" t="s">
        <v>555</v>
      </c>
      <c r="H22" s="2273"/>
    </row>
    <row r="23" spans="1:9" ht="12" x14ac:dyDescent="0.2">
      <c r="A23" s="428"/>
      <c r="B23" s="429"/>
      <c r="C23" s="430"/>
      <c r="D23" s="430"/>
      <c r="E23" s="430"/>
      <c r="F23" s="431"/>
      <c r="G23" s="428"/>
      <c r="H23" s="430"/>
    </row>
    <row r="24" spans="1:9" ht="12" x14ac:dyDescent="0.2">
      <c r="A24" s="2082" t="s">
        <v>499</v>
      </c>
      <c r="B24" s="2082"/>
      <c r="C24" s="434" t="s">
        <v>434</v>
      </c>
      <c r="D24" s="434"/>
      <c r="E24" s="434"/>
      <c r="F24" s="434"/>
      <c r="G24" s="434"/>
      <c r="H24" s="434"/>
      <c r="I24" s="434"/>
    </row>
    <row r="25" spans="1:9" ht="12" x14ac:dyDescent="0.2">
      <c r="A25" s="2082" t="s">
        <v>500</v>
      </c>
      <c r="B25" s="2082"/>
      <c r="C25" s="412" t="s">
        <v>335</v>
      </c>
      <c r="D25" s="412"/>
      <c r="E25" s="412"/>
      <c r="F25" s="412"/>
      <c r="G25" s="412"/>
      <c r="H25" s="412"/>
      <c r="I25" s="413"/>
    </row>
    <row r="26" spans="1:9" ht="48" x14ac:dyDescent="0.2">
      <c r="A26" s="414" t="s">
        <v>501</v>
      </c>
      <c r="B26" s="415" t="s">
        <v>502</v>
      </c>
      <c r="C26" s="414" t="s">
        <v>503</v>
      </c>
      <c r="D26" s="414" t="s">
        <v>504</v>
      </c>
      <c r="E26" s="416" t="s">
        <v>505</v>
      </c>
      <c r="F26" s="416" t="s">
        <v>506</v>
      </c>
      <c r="G26" s="414" t="s">
        <v>36</v>
      </c>
      <c r="H26" s="415" t="s">
        <v>507</v>
      </c>
      <c r="I26" s="417"/>
    </row>
    <row r="27" spans="1:9" ht="17.25" customHeight="1" x14ac:dyDescent="0.2">
      <c r="A27" s="2262" t="s">
        <v>549</v>
      </c>
      <c r="B27" s="2263"/>
      <c r="C27" s="418"/>
      <c r="D27" s="418">
        <f>SUM(D28:D32)</f>
        <v>80265</v>
      </c>
      <c r="E27" s="418">
        <f>SUM(E28:E32)</f>
        <v>1000</v>
      </c>
      <c r="F27" s="418">
        <f>SUM(F28:F32)</f>
        <v>81265</v>
      </c>
      <c r="G27" s="419"/>
      <c r="H27" s="435"/>
      <c r="I27" s="417"/>
    </row>
    <row r="28" spans="1:9" ht="33" customHeight="1" x14ac:dyDescent="0.2">
      <c r="A28" s="436">
        <v>1</v>
      </c>
      <c r="B28" s="437" t="s">
        <v>556</v>
      </c>
      <c r="C28" s="438">
        <v>6260</v>
      </c>
      <c r="D28" s="421">
        <v>27000</v>
      </c>
      <c r="E28" s="422"/>
      <c r="F28" s="427">
        <f t="shared" ref="F28:F32" si="2">D28+E28</f>
        <v>27000</v>
      </c>
      <c r="G28" s="419"/>
      <c r="H28" s="439" t="s">
        <v>551</v>
      </c>
      <c r="I28" s="417"/>
    </row>
    <row r="29" spans="1:9" ht="33" customHeight="1" x14ac:dyDescent="0.2">
      <c r="A29" s="440">
        <v>2</v>
      </c>
      <c r="B29" s="441" t="s">
        <v>554</v>
      </c>
      <c r="C29" s="438">
        <v>6252</v>
      </c>
      <c r="D29" s="421">
        <v>9500</v>
      </c>
      <c r="E29" s="422">
        <v>1000</v>
      </c>
      <c r="F29" s="427">
        <f t="shared" si="2"/>
        <v>10500</v>
      </c>
      <c r="G29" s="419" t="s">
        <v>472</v>
      </c>
      <c r="H29" s="439" t="s">
        <v>551</v>
      </c>
      <c r="I29" s="417"/>
    </row>
    <row r="30" spans="1:9" ht="33" customHeight="1" x14ac:dyDescent="0.2">
      <c r="A30" s="436">
        <v>3</v>
      </c>
      <c r="B30" s="441" t="s">
        <v>557</v>
      </c>
      <c r="C30" s="438">
        <v>6423</v>
      </c>
      <c r="D30" s="421">
        <v>20500</v>
      </c>
      <c r="E30" s="422"/>
      <c r="F30" s="427">
        <f t="shared" si="2"/>
        <v>20500</v>
      </c>
      <c r="G30" s="419"/>
      <c r="H30" s="439" t="s">
        <v>551</v>
      </c>
      <c r="I30" s="417"/>
    </row>
    <row r="31" spans="1:9" ht="33" customHeight="1" x14ac:dyDescent="0.2">
      <c r="A31" s="436">
        <v>4</v>
      </c>
      <c r="B31" s="441" t="s">
        <v>558</v>
      </c>
      <c r="C31" s="438">
        <v>6423</v>
      </c>
      <c r="D31" s="421">
        <v>18765</v>
      </c>
      <c r="E31" s="422"/>
      <c r="F31" s="427">
        <f t="shared" si="2"/>
        <v>18765</v>
      </c>
      <c r="G31" s="419"/>
      <c r="H31" s="439" t="s">
        <v>559</v>
      </c>
      <c r="I31" s="417"/>
    </row>
    <row r="32" spans="1:9" ht="33" customHeight="1" x14ac:dyDescent="0.2">
      <c r="A32" s="442">
        <v>5</v>
      </c>
      <c r="B32" s="443" t="s">
        <v>560</v>
      </c>
      <c r="C32" s="438">
        <v>6259</v>
      </c>
      <c r="D32" s="421">
        <v>4500</v>
      </c>
      <c r="E32" s="422"/>
      <c r="F32" s="427">
        <f t="shared" si="2"/>
        <v>4500</v>
      </c>
      <c r="G32" s="419"/>
      <c r="H32" s="444" t="s">
        <v>551</v>
      </c>
      <c r="I32" s="417"/>
    </row>
    <row r="33" spans="1:11" ht="12" x14ac:dyDescent="0.2">
      <c r="A33" s="428"/>
      <c r="B33" s="429"/>
      <c r="C33" s="430"/>
      <c r="D33" s="430"/>
      <c r="E33" s="430"/>
      <c r="F33" s="431"/>
      <c r="G33" s="428"/>
      <c r="H33" s="430"/>
    </row>
    <row r="34" spans="1:11" ht="12" x14ac:dyDescent="0.2">
      <c r="A34" s="2082" t="s">
        <v>499</v>
      </c>
      <c r="B34" s="2082"/>
      <c r="C34" s="432" t="s">
        <v>477</v>
      </c>
      <c r="D34" s="432"/>
      <c r="E34" s="432"/>
      <c r="F34" s="432"/>
      <c r="G34" s="432"/>
      <c r="H34" s="432"/>
      <c r="I34" s="432"/>
    </row>
    <row r="35" spans="1:11" ht="12" x14ac:dyDescent="0.2">
      <c r="A35" s="2082" t="s">
        <v>500</v>
      </c>
      <c r="B35" s="2082"/>
      <c r="C35" s="412" t="s">
        <v>521</v>
      </c>
      <c r="D35" s="412"/>
      <c r="E35" s="412"/>
      <c r="F35" s="412"/>
      <c r="G35" s="412"/>
      <c r="H35" s="412"/>
      <c r="I35" s="413"/>
    </row>
    <row r="36" spans="1:11" ht="48" x14ac:dyDescent="0.2">
      <c r="A36" s="414" t="s">
        <v>501</v>
      </c>
      <c r="B36" s="415" t="s">
        <v>502</v>
      </c>
      <c r="C36" s="414" t="s">
        <v>503</v>
      </c>
      <c r="D36" s="414" t="s">
        <v>504</v>
      </c>
      <c r="E36" s="416" t="s">
        <v>505</v>
      </c>
      <c r="F36" s="416" t="s">
        <v>506</v>
      </c>
      <c r="G36" s="414" t="s">
        <v>36</v>
      </c>
      <c r="H36" s="415" t="s">
        <v>507</v>
      </c>
      <c r="I36" s="417"/>
    </row>
    <row r="37" spans="1:11" ht="17.25" customHeight="1" x14ac:dyDescent="0.2">
      <c r="A37" s="2262" t="s">
        <v>549</v>
      </c>
      <c r="B37" s="2263"/>
      <c r="C37" s="418"/>
      <c r="D37" s="418">
        <f>SUM(D38:D42)</f>
        <v>230200</v>
      </c>
      <c r="E37" s="418">
        <f>SUM(E38:E42)</f>
        <v>1500</v>
      </c>
      <c r="F37" s="418">
        <f>SUM(F38:F42)</f>
        <v>231700</v>
      </c>
      <c r="G37" s="419"/>
      <c r="H37" s="418"/>
    </row>
    <row r="38" spans="1:11" ht="19.5" customHeight="1" x14ac:dyDescent="0.2">
      <c r="A38" s="2274">
        <v>1</v>
      </c>
      <c r="B38" s="2277" t="s">
        <v>561</v>
      </c>
      <c r="C38" s="424">
        <v>6360</v>
      </c>
      <c r="D38" s="421">
        <v>204200</v>
      </c>
      <c r="E38" s="422"/>
      <c r="F38" s="423">
        <f t="shared" ref="F38:F42" si="3">D38+E38</f>
        <v>204200</v>
      </c>
      <c r="G38" s="419"/>
      <c r="H38" s="2268" t="s">
        <v>551</v>
      </c>
    </row>
    <row r="39" spans="1:11" ht="19.5" customHeight="1" x14ac:dyDescent="0.2">
      <c r="A39" s="2275"/>
      <c r="B39" s="2278"/>
      <c r="C39" s="424">
        <v>6270</v>
      </c>
      <c r="D39" s="421">
        <v>2000</v>
      </c>
      <c r="E39" s="422">
        <v>1500</v>
      </c>
      <c r="F39" s="423">
        <f t="shared" si="3"/>
        <v>3500</v>
      </c>
      <c r="G39" s="419" t="s">
        <v>478</v>
      </c>
      <c r="H39" s="2269"/>
    </row>
    <row r="40" spans="1:11" ht="19.5" customHeight="1" x14ac:dyDescent="0.2">
      <c r="A40" s="2275"/>
      <c r="B40" s="2278"/>
      <c r="C40" s="424">
        <v>6324</v>
      </c>
      <c r="D40" s="421">
        <v>1000</v>
      </c>
      <c r="E40" s="422"/>
      <c r="F40" s="423">
        <f t="shared" si="3"/>
        <v>1000</v>
      </c>
      <c r="G40" s="419"/>
      <c r="H40" s="2269"/>
    </row>
    <row r="41" spans="1:11" ht="19.5" customHeight="1" x14ac:dyDescent="0.2">
      <c r="A41" s="2275"/>
      <c r="B41" s="2278"/>
      <c r="C41" s="424">
        <v>6255</v>
      </c>
      <c r="D41" s="421">
        <v>1000</v>
      </c>
      <c r="E41" s="422"/>
      <c r="F41" s="423">
        <f t="shared" si="3"/>
        <v>1000</v>
      </c>
      <c r="G41" s="419"/>
      <c r="H41" s="2269"/>
    </row>
    <row r="42" spans="1:11" ht="19.5" customHeight="1" x14ac:dyDescent="0.2">
      <c r="A42" s="2276"/>
      <c r="B42" s="2279"/>
      <c r="C42" s="424">
        <v>6423</v>
      </c>
      <c r="D42" s="421">
        <v>22000</v>
      </c>
      <c r="E42" s="422"/>
      <c r="F42" s="423">
        <f t="shared" si="3"/>
        <v>22000</v>
      </c>
      <c r="G42" s="419"/>
      <c r="H42" s="2270"/>
    </row>
    <row r="43" spans="1:11" ht="12" x14ac:dyDescent="0.2">
      <c r="A43" s="445"/>
      <c r="B43" s="445"/>
      <c r="C43" s="445"/>
      <c r="D43" s="445"/>
      <c r="E43" s="446"/>
      <c r="F43" s="404"/>
      <c r="G43" s="445"/>
      <c r="H43" s="445"/>
    </row>
    <row r="44" spans="1:11" ht="12" x14ac:dyDescent="0.2">
      <c r="A44" s="2082" t="s">
        <v>499</v>
      </c>
      <c r="B44" s="2082"/>
      <c r="C44" s="432" t="s">
        <v>524</v>
      </c>
      <c r="D44" s="432"/>
      <c r="E44" s="432"/>
      <c r="F44" s="432"/>
      <c r="G44" s="432"/>
      <c r="H44" s="432"/>
      <c r="I44" s="432"/>
      <c r="J44" s="432"/>
      <c r="K44" s="432"/>
    </row>
    <row r="45" spans="1:11" ht="12" x14ac:dyDescent="0.2">
      <c r="A45" s="2082" t="s">
        <v>500</v>
      </c>
      <c r="B45" s="2082"/>
      <c r="C45" s="412" t="s">
        <v>525</v>
      </c>
      <c r="D45" s="412"/>
      <c r="E45" s="412"/>
      <c r="F45" s="412"/>
      <c r="G45" s="412"/>
      <c r="H45" s="412"/>
      <c r="I45" s="413"/>
      <c r="J45" s="447"/>
      <c r="K45" s="447"/>
    </row>
    <row r="46" spans="1:11" ht="48" x14ac:dyDescent="0.2">
      <c r="A46" s="414" t="s">
        <v>501</v>
      </c>
      <c r="B46" s="415" t="s">
        <v>502</v>
      </c>
      <c r="C46" s="414" t="s">
        <v>503</v>
      </c>
      <c r="D46" s="414" t="s">
        <v>504</v>
      </c>
      <c r="E46" s="416" t="s">
        <v>505</v>
      </c>
      <c r="F46" s="416" t="s">
        <v>506</v>
      </c>
      <c r="G46" s="414" t="s">
        <v>36</v>
      </c>
      <c r="H46" s="415" t="s">
        <v>507</v>
      </c>
      <c r="I46" s="417"/>
    </row>
    <row r="47" spans="1:11" ht="17.25" customHeight="1" x14ac:dyDescent="0.2">
      <c r="A47" s="2262" t="s">
        <v>549</v>
      </c>
      <c r="B47" s="2263"/>
      <c r="C47" s="418"/>
      <c r="D47" s="418">
        <f>SUM(D48:D52)</f>
        <v>88470</v>
      </c>
      <c r="E47" s="418">
        <f>SUM(E48:E52)</f>
        <v>-1000</v>
      </c>
      <c r="F47" s="418">
        <f>SUM(F48:F52)</f>
        <v>87470</v>
      </c>
      <c r="G47" s="419"/>
      <c r="H47" s="418"/>
    </row>
    <row r="48" spans="1:11" ht="30.75" customHeight="1" x14ac:dyDescent="0.2">
      <c r="A48" s="436">
        <v>1</v>
      </c>
      <c r="B48" s="437" t="s">
        <v>556</v>
      </c>
      <c r="C48" s="420">
        <v>6260</v>
      </c>
      <c r="D48" s="421">
        <v>52000</v>
      </c>
      <c r="E48" s="422"/>
      <c r="F48" s="427">
        <f t="shared" ref="F48:F52" si="4">D48+E48</f>
        <v>52000</v>
      </c>
      <c r="G48" s="419"/>
      <c r="H48" s="2268" t="s">
        <v>551</v>
      </c>
    </row>
    <row r="49" spans="1:9" ht="30.75" customHeight="1" x14ac:dyDescent="0.2">
      <c r="A49" s="436">
        <v>2</v>
      </c>
      <c r="B49" s="441" t="s">
        <v>554</v>
      </c>
      <c r="C49" s="420">
        <v>6252</v>
      </c>
      <c r="D49" s="421">
        <v>6970</v>
      </c>
      <c r="E49" s="422">
        <v>-1000</v>
      </c>
      <c r="F49" s="427">
        <f t="shared" si="4"/>
        <v>5970</v>
      </c>
      <c r="G49" s="419" t="s">
        <v>437</v>
      </c>
      <c r="H49" s="2269"/>
    </row>
    <row r="50" spans="1:9" ht="30.75" customHeight="1" x14ac:dyDescent="0.2">
      <c r="A50" s="436">
        <v>3</v>
      </c>
      <c r="B50" s="441" t="s">
        <v>562</v>
      </c>
      <c r="C50" s="420">
        <v>6423</v>
      </c>
      <c r="D50" s="421">
        <v>12500</v>
      </c>
      <c r="E50" s="422"/>
      <c r="F50" s="427">
        <f t="shared" si="4"/>
        <v>12500</v>
      </c>
      <c r="G50" s="419"/>
      <c r="H50" s="2269"/>
    </row>
    <row r="51" spans="1:9" ht="21.75" customHeight="1" x14ac:dyDescent="0.2">
      <c r="A51" s="2274">
        <v>4</v>
      </c>
      <c r="B51" s="2283" t="s">
        <v>563</v>
      </c>
      <c r="C51" s="438">
        <v>6254</v>
      </c>
      <c r="D51" s="421">
        <v>6000</v>
      </c>
      <c r="E51" s="422"/>
      <c r="F51" s="427">
        <f t="shared" si="4"/>
        <v>6000</v>
      </c>
      <c r="G51" s="419"/>
      <c r="H51" s="2269"/>
    </row>
    <row r="52" spans="1:9" ht="21.75" customHeight="1" x14ac:dyDescent="0.2">
      <c r="A52" s="2276"/>
      <c r="B52" s="2284"/>
      <c r="C52" s="438">
        <v>6423</v>
      </c>
      <c r="D52" s="421">
        <v>11000</v>
      </c>
      <c r="E52" s="422"/>
      <c r="F52" s="427">
        <f t="shared" si="4"/>
        <v>11000</v>
      </c>
      <c r="G52" s="419"/>
      <c r="H52" s="2270"/>
    </row>
    <row r="53" spans="1:9" ht="12" x14ac:dyDescent="0.2">
      <c r="A53" s="445"/>
      <c r="B53" s="445"/>
      <c r="C53" s="445"/>
      <c r="D53" s="446"/>
      <c r="E53" s="446"/>
      <c r="F53" s="404"/>
      <c r="G53" s="445"/>
      <c r="H53" s="446"/>
    </row>
    <row r="54" spans="1:9" ht="12" x14ac:dyDescent="0.2">
      <c r="A54" s="2082" t="s">
        <v>499</v>
      </c>
      <c r="B54" s="2082"/>
      <c r="C54" s="432" t="s">
        <v>564</v>
      </c>
      <c r="D54" s="432"/>
      <c r="E54" s="432"/>
      <c r="F54" s="432"/>
      <c r="G54" s="432"/>
      <c r="H54" s="432"/>
      <c r="I54" s="432"/>
    </row>
    <row r="55" spans="1:9" ht="12" x14ac:dyDescent="0.2">
      <c r="A55" s="2082" t="s">
        <v>500</v>
      </c>
      <c r="B55" s="2082"/>
      <c r="C55" s="412" t="s">
        <v>565</v>
      </c>
      <c r="D55" s="412"/>
      <c r="E55" s="412"/>
      <c r="F55" s="412"/>
      <c r="G55" s="412"/>
      <c r="H55" s="412"/>
      <c r="I55" s="413"/>
    </row>
    <row r="56" spans="1:9" ht="48" x14ac:dyDescent="0.2">
      <c r="A56" s="414" t="s">
        <v>501</v>
      </c>
      <c r="B56" s="415" t="s">
        <v>502</v>
      </c>
      <c r="C56" s="414" t="s">
        <v>503</v>
      </c>
      <c r="D56" s="414" t="s">
        <v>504</v>
      </c>
      <c r="E56" s="416" t="s">
        <v>505</v>
      </c>
      <c r="F56" s="416" t="s">
        <v>506</v>
      </c>
      <c r="G56" s="414" t="s">
        <v>36</v>
      </c>
      <c r="H56" s="415" t="s">
        <v>507</v>
      </c>
      <c r="I56" s="417"/>
    </row>
    <row r="57" spans="1:9" ht="12" x14ac:dyDescent="0.2">
      <c r="A57" s="2262" t="s">
        <v>549</v>
      </c>
      <c r="B57" s="2263"/>
      <c r="C57" s="418"/>
      <c r="D57" s="418">
        <f>SUM(D58:D61)</f>
        <v>341522</v>
      </c>
      <c r="E57" s="418">
        <f>SUM(E58:E61)</f>
        <v>-2185</v>
      </c>
      <c r="F57" s="418">
        <f>SUM(F58:F61)</f>
        <v>339337</v>
      </c>
      <c r="G57" s="419"/>
      <c r="H57" s="418"/>
    </row>
    <row r="58" spans="1:9" ht="30" customHeight="1" x14ac:dyDescent="0.2">
      <c r="A58" s="436">
        <v>1</v>
      </c>
      <c r="B58" s="437" t="s">
        <v>566</v>
      </c>
      <c r="C58" s="420">
        <v>6423</v>
      </c>
      <c r="D58" s="448">
        <v>320872</v>
      </c>
      <c r="E58" s="433">
        <v>-2185</v>
      </c>
      <c r="F58" s="427">
        <f t="shared" ref="F58:F61" si="5">D58+E58</f>
        <v>318687</v>
      </c>
      <c r="G58" s="419" t="s">
        <v>482</v>
      </c>
      <c r="H58" s="2280" t="s">
        <v>551</v>
      </c>
    </row>
    <row r="59" spans="1:9" ht="30" customHeight="1" x14ac:dyDescent="0.2">
      <c r="A59" s="436">
        <v>2</v>
      </c>
      <c r="B59" s="437" t="s">
        <v>567</v>
      </c>
      <c r="C59" s="420">
        <v>6423</v>
      </c>
      <c r="D59" s="448">
        <v>1050</v>
      </c>
      <c r="E59" s="433"/>
      <c r="F59" s="427">
        <f t="shared" si="5"/>
        <v>1050</v>
      </c>
      <c r="G59" s="419"/>
      <c r="H59" s="2281"/>
    </row>
    <row r="60" spans="1:9" ht="30" customHeight="1" x14ac:dyDescent="0.2">
      <c r="A60" s="436">
        <v>3</v>
      </c>
      <c r="B60" s="449" t="s">
        <v>568</v>
      </c>
      <c r="C60" s="450">
        <v>6423</v>
      </c>
      <c r="D60" s="448">
        <v>13000</v>
      </c>
      <c r="E60" s="433"/>
      <c r="F60" s="427">
        <f t="shared" si="5"/>
        <v>13000</v>
      </c>
      <c r="G60" s="419"/>
      <c r="H60" s="2281"/>
    </row>
    <row r="61" spans="1:9" ht="30" customHeight="1" x14ac:dyDescent="0.2">
      <c r="A61" s="436">
        <v>4</v>
      </c>
      <c r="B61" s="449" t="s">
        <v>569</v>
      </c>
      <c r="C61" s="450">
        <v>6423</v>
      </c>
      <c r="D61" s="448">
        <v>6600</v>
      </c>
      <c r="E61" s="433"/>
      <c r="F61" s="427">
        <f t="shared" si="5"/>
        <v>6600</v>
      </c>
      <c r="G61" s="419"/>
      <c r="H61" s="2282"/>
    </row>
    <row r="62" spans="1:9" ht="12" x14ac:dyDescent="0.2">
      <c r="D62" s="404"/>
      <c r="F62" s="404"/>
      <c r="H62" s="404"/>
    </row>
    <row r="63" spans="1:9" ht="12" x14ac:dyDescent="0.2">
      <c r="A63" s="451" t="s">
        <v>570</v>
      </c>
      <c r="F63" s="404"/>
    </row>
    <row r="64" spans="1:9" ht="12" x14ac:dyDescent="0.2">
      <c r="A64" s="452" t="s">
        <v>535</v>
      </c>
      <c r="B64" s="398"/>
      <c r="C64" s="398"/>
      <c r="D64" s="398"/>
      <c r="E64" s="453"/>
      <c r="F64" s="453"/>
      <c r="G64" s="447"/>
      <c r="H64" s="447"/>
    </row>
    <row r="65" spans="1:8" ht="12" x14ac:dyDescent="0.2">
      <c r="A65" s="398"/>
      <c r="B65" s="398" t="s">
        <v>536</v>
      </c>
      <c r="C65" s="447"/>
      <c r="D65" s="398"/>
      <c r="E65" s="453"/>
      <c r="F65" s="453"/>
      <c r="G65" s="447"/>
      <c r="H65" s="447"/>
    </row>
    <row r="66" spans="1:8" ht="12" x14ac:dyDescent="0.2">
      <c r="A66" s="398"/>
      <c r="B66" s="398"/>
      <c r="C66" s="398"/>
      <c r="D66" s="398"/>
      <c r="E66" s="453"/>
      <c r="F66" s="453"/>
      <c r="G66" s="447"/>
      <c r="H66" s="447"/>
    </row>
    <row r="67" spans="1:8" ht="12" x14ac:dyDescent="0.2">
      <c r="A67" s="452" t="s">
        <v>537</v>
      </c>
      <c r="B67" s="398"/>
      <c r="C67" s="398"/>
      <c r="D67" s="398"/>
      <c r="E67" s="453"/>
      <c r="F67" s="453"/>
      <c r="G67" s="447"/>
      <c r="H67" s="447"/>
    </row>
    <row r="68" spans="1:8" ht="12" x14ac:dyDescent="0.2">
      <c r="A68" s="398"/>
      <c r="B68" s="398" t="s">
        <v>538</v>
      </c>
      <c r="C68" s="447"/>
      <c r="D68" s="398"/>
      <c r="E68" s="453"/>
      <c r="F68" s="453"/>
      <c r="G68" s="447"/>
      <c r="H68" s="447"/>
    </row>
    <row r="69" spans="1:8" ht="12" x14ac:dyDescent="0.2">
      <c r="A69" s="398"/>
      <c r="B69" s="398" t="s">
        <v>539</v>
      </c>
      <c r="C69" s="398"/>
      <c r="D69" s="398"/>
      <c r="E69" s="453"/>
      <c r="F69" s="453"/>
      <c r="G69" s="447"/>
      <c r="H69" s="447"/>
    </row>
    <row r="70" spans="1:8" ht="12" x14ac:dyDescent="0.2">
      <c r="A70" s="398"/>
      <c r="B70" s="398" t="s">
        <v>541</v>
      </c>
      <c r="C70" s="447"/>
      <c r="D70" s="398"/>
      <c r="E70" s="453"/>
      <c r="F70" s="453"/>
      <c r="G70" s="447"/>
      <c r="H70" s="447"/>
    </row>
    <row r="71" spans="1:8" x14ac:dyDescent="0.2">
      <c r="A71" s="454"/>
      <c r="B71" s="398" t="s">
        <v>543</v>
      </c>
      <c r="C71" s="447"/>
      <c r="D71" s="455"/>
      <c r="E71" s="453"/>
      <c r="F71" s="453"/>
      <c r="G71" s="447"/>
      <c r="H71" s="447"/>
    </row>
    <row r="73" spans="1:8" ht="12" x14ac:dyDescent="0.2">
      <c r="A73" s="456"/>
      <c r="B73" s="456"/>
      <c r="C73" s="456"/>
      <c r="D73" s="456"/>
      <c r="E73" s="457"/>
      <c r="F73" s="457"/>
      <c r="H73" s="456"/>
    </row>
    <row r="74" spans="1:8" ht="12" x14ac:dyDescent="0.2">
      <c r="A74" s="456"/>
      <c r="B74" s="456"/>
      <c r="C74" s="456"/>
      <c r="D74" s="456"/>
      <c r="E74" s="457"/>
      <c r="F74" s="457"/>
      <c r="H74" s="456"/>
    </row>
    <row r="75" spans="1:8" ht="12" x14ac:dyDescent="0.2">
      <c r="A75" s="456"/>
      <c r="B75" s="456"/>
      <c r="C75" s="456"/>
      <c r="D75" s="456"/>
      <c r="E75" s="457"/>
      <c r="F75" s="457"/>
      <c r="H75" s="456"/>
    </row>
    <row r="76" spans="1:8" ht="12" x14ac:dyDescent="0.2">
      <c r="F76" s="404"/>
    </row>
  </sheetData>
  <sheetProtection algorithmName="SHA-512" hashValue="Lh57xByEBpuf+5eloWKv1k4rR95iHkV8DdPuYm1JIiii0wahD+gWdxvt01aSAPIzIPGPgO3rRHCs4lbN/5727A==" saltValue="izS4I5Gpt2MixnN6y3r8cQ==" spinCount="100000" sheet="1" objects="1" scenarios="1"/>
  <mergeCells count="35">
    <mergeCell ref="A54:B54"/>
    <mergeCell ref="A55:B55"/>
    <mergeCell ref="A57:B57"/>
    <mergeCell ref="H58:H61"/>
    <mergeCell ref="H38:H42"/>
    <mergeCell ref="A44:B44"/>
    <mergeCell ref="A45:B45"/>
    <mergeCell ref="A47:B47"/>
    <mergeCell ref="H48:H52"/>
    <mergeCell ref="A51:A52"/>
    <mergeCell ref="B51:B52"/>
    <mergeCell ref="A27:B27"/>
    <mergeCell ref="A34:B34"/>
    <mergeCell ref="A35:B35"/>
    <mergeCell ref="A37:B37"/>
    <mergeCell ref="A38:A42"/>
    <mergeCell ref="B38:B42"/>
    <mergeCell ref="A25:B25"/>
    <mergeCell ref="A11:B11"/>
    <mergeCell ref="A12:A13"/>
    <mergeCell ref="B12:B13"/>
    <mergeCell ref="H12:H14"/>
    <mergeCell ref="A16:B16"/>
    <mergeCell ref="A17:B17"/>
    <mergeCell ref="A19:B19"/>
    <mergeCell ref="A20:A21"/>
    <mergeCell ref="B20:B21"/>
    <mergeCell ref="H20:H22"/>
    <mergeCell ref="A24:B24"/>
    <mergeCell ref="A9:B9"/>
    <mergeCell ref="A3:B3"/>
    <mergeCell ref="A4:B4"/>
    <mergeCell ref="A5:H5"/>
    <mergeCell ref="A7:B7"/>
    <mergeCell ref="A8:B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83.pielikums Jūrmalas pilsētas domes
2019.gada 29.augusta saistošajiem noteikumiem Nr.31
(protokols Nr.12, 20.punkts)
 </firstHeader>
    <firstFooter>&amp;L&amp;9&amp;D; &amp;T&amp;R&amp;9&amp;P (&amp;N)</first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H62"/>
  <sheetViews>
    <sheetView view="pageLayout" zoomScaleNormal="100" workbookViewId="0">
      <selection activeCell="M9" sqref="M9"/>
    </sheetView>
  </sheetViews>
  <sheetFormatPr defaultRowHeight="12" outlineLevelCol="1" x14ac:dyDescent="0.2"/>
  <cols>
    <col min="1" max="1" width="6.140625" style="459" customWidth="1"/>
    <col min="2" max="2" width="28.140625" style="459" customWidth="1"/>
    <col min="3" max="3" width="10.5703125" style="459" customWidth="1"/>
    <col min="4" max="4" width="11.7109375" style="459" hidden="1" customWidth="1" outlineLevel="1"/>
    <col min="5" max="5" width="11.28515625" style="459" hidden="1" customWidth="1" outlineLevel="1"/>
    <col min="6" max="6" width="14.7109375" style="479" customWidth="1" collapsed="1"/>
    <col min="7" max="7" width="29" style="459" hidden="1" customWidth="1" outlineLevel="1"/>
    <col min="8" max="8" width="18.28515625" style="459" customWidth="1" collapsed="1"/>
    <col min="9" max="16384" width="9.140625" style="459"/>
  </cols>
  <sheetData>
    <row r="1" spans="1:8" ht="12" customHeight="1" x14ac:dyDescent="0.2">
      <c r="C1" s="402"/>
      <c r="D1" s="402"/>
      <c r="E1" s="402"/>
      <c r="F1" s="459"/>
      <c r="H1" s="333" t="s">
        <v>571</v>
      </c>
    </row>
    <row r="2" spans="1:8" x14ac:dyDescent="0.2">
      <c r="C2" s="398"/>
      <c r="D2" s="398"/>
      <c r="E2" s="398"/>
      <c r="F2" s="459"/>
      <c r="H2" s="333" t="s">
        <v>494</v>
      </c>
    </row>
    <row r="3" spans="1:8" x14ac:dyDescent="0.2">
      <c r="A3" s="2288" t="s">
        <v>2</v>
      </c>
      <c r="B3" s="2288"/>
      <c r="C3" s="484" t="s">
        <v>495</v>
      </c>
      <c r="D3" s="460"/>
      <c r="E3" s="460"/>
      <c r="F3" s="459"/>
      <c r="G3" s="460"/>
      <c r="H3" s="460"/>
    </row>
    <row r="4" spans="1:8" x14ac:dyDescent="0.2">
      <c r="A4" s="2288" t="s">
        <v>4</v>
      </c>
      <c r="B4" s="2288"/>
      <c r="C4" s="1052">
        <v>90000594245</v>
      </c>
      <c r="D4" s="460"/>
      <c r="E4" s="460"/>
      <c r="F4" s="459"/>
      <c r="G4" s="460"/>
      <c r="H4" s="460"/>
    </row>
    <row r="5" spans="1:8" ht="15.75" x14ac:dyDescent="0.25">
      <c r="A5" s="2289" t="s">
        <v>496</v>
      </c>
      <c r="B5" s="2289"/>
      <c r="C5" s="2289"/>
      <c r="D5" s="2289"/>
      <c r="E5" s="2289"/>
      <c r="F5" s="2289"/>
      <c r="G5" s="2289"/>
      <c r="H5" s="2289"/>
    </row>
    <row r="6" spans="1:8" ht="11.25" customHeight="1" x14ac:dyDescent="0.2">
      <c r="A6" s="461"/>
      <c r="B6" s="461"/>
      <c r="C6" s="461"/>
      <c r="D6" s="461"/>
      <c r="E6" s="461"/>
      <c r="F6" s="459"/>
      <c r="G6" s="461"/>
      <c r="H6" s="461"/>
    </row>
    <row r="7" spans="1:8" x14ac:dyDescent="0.2">
      <c r="A7" s="2288" t="s">
        <v>546</v>
      </c>
      <c r="B7" s="2288"/>
      <c r="C7" s="460" t="s">
        <v>572</v>
      </c>
      <c r="D7" s="460"/>
      <c r="E7" s="460"/>
      <c r="F7" s="459"/>
      <c r="G7" s="460"/>
      <c r="H7" s="460"/>
    </row>
    <row r="8" spans="1:8" x14ac:dyDescent="0.2">
      <c r="A8" s="462"/>
      <c r="B8" s="462"/>
      <c r="C8" s="460"/>
      <c r="D8" s="460"/>
      <c r="E8" s="460"/>
      <c r="F8" s="459"/>
      <c r="G8" s="460"/>
      <c r="H8" s="460"/>
    </row>
    <row r="9" spans="1:8" x14ac:dyDescent="0.2">
      <c r="A9" s="349" t="s">
        <v>499</v>
      </c>
      <c r="B9" s="349"/>
      <c r="C9" s="377" t="s">
        <v>425</v>
      </c>
      <c r="D9" s="385"/>
      <c r="E9" s="386"/>
      <c r="F9" s="377"/>
      <c r="G9" s="387"/>
      <c r="H9" s="387"/>
    </row>
    <row r="10" spans="1:8" x14ac:dyDescent="0.2">
      <c r="A10" s="349" t="s">
        <v>500</v>
      </c>
      <c r="B10" s="349"/>
      <c r="C10" s="377" t="s">
        <v>548</v>
      </c>
      <c r="D10" s="385"/>
      <c r="E10" s="386"/>
      <c r="F10" s="388"/>
      <c r="G10" s="387"/>
      <c r="H10" s="387"/>
    </row>
    <row r="11" spans="1:8" ht="48" x14ac:dyDescent="0.2">
      <c r="A11" s="463" t="s">
        <v>501</v>
      </c>
      <c r="B11" s="464" t="s">
        <v>502</v>
      </c>
      <c r="C11" s="463" t="s">
        <v>503</v>
      </c>
      <c r="D11" s="463" t="s">
        <v>504</v>
      </c>
      <c r="E11" s="463" t="s">
        <v>505</v>
      </c>
      <c r="F11" s="463" t="s">
        <v>506</v>
      </c>
      <c r="G11" s="463" t="s">
        <v>36</v>
      </c>
      <c r="H11" s="463" t="s">
        <v>507</v>
      </c>
    </row>
    <row r="12" spans="1:8" x14ac:dyDescent="0.2">
      <c r="A12" s="2285" t="s">
        <v>573</v>
      </c>
      <c r="B12" s="2286"/>
      <c r="C12" s="359"/>
      <c r="D12" s="360">
        <f>SUM(D13:D19)</f>
        <v>219039</v>
      </c>
      <c r="E12" s="360">
        <f>SUM(E13:E19)</f>
        <v>19689</v>
      </c>
      <c r="F12" s="360">
        <f>SUM(F13:F19)</f>
        <v>238728</v>
      </c>
      <c r="G12" s="360"/>
      <c r="H12" s="465"/>
    </row>
    <row r="13" spans="1:8" ht="30" customHeight="1" x14ac:dyDescent="0.2">
      <c r="A13" s="362">
        <v>1</v>
      </c>
      <c r="B13" s="466" t="s">
        <v>574</v>
      </c>
      <c r="C13" s="1182">
        <v>6330</v>
      </c>
      <c r="D13" s="393">
        <v>2846</v>
      </c>
      <c r="E13" s="392"/>
      <c r="F13" s="367">
        <f>D13+E13</f>
        <v>2846</v>
      </c>
      <c r="G13" s="368"/>
      <c r="H13" s="471" t="s">
        <v>575</v>
      </c>
    </row>
    <row r="14" spans="1:8" ht="30" customHeight="1" x14ac:dyDescent="0.2">
      <c r="A14" s="362">
        <v>2</v>
      </c>
      <c r="B14" s="466" t="s">
        <v>576</v>
      </c>
      <c r="C14" s="1182">
        <v>2239</v>
      </c>
      <c r="D14" s="393">
        <v>86</v>
      </c>
      <c r="E14" s="392"/>
      <c r="F14" s="367">
        <f t="shared" ref="F14:F19" si="0">D14+E14</f>
        <v>86</v>
      </c>
      <c r="G14" s="368"/>
      <c r="H14" s="471" t="s">
        <v>575</v>
      </c>
    </row>
    <row r="15" spans="1:8" ht="30" customHeight="1" x14ac:dyDescent="0.2">
      <c r="A15" s="468">
        <v>3</v>
      </c>
      <c r="B15" s="466" t="s">
        <v>577</v>
      </c>
      <c r="C15" s="1182">
        <v>2279</v>
      </c>
      <c r="D15" s="392">
        <v>5100</v>
      </c>
      <c r="E15" s="392"/>
      <c r="F15" s="367">
        <f t="shared" si="0"/>
        <v>5100</v>
      </c>
      <c r="G15" s="368"/>
      <c r="H15" s="471" t="s">
        <v>528</v>
      </c>
    </row>
    <row r="16" spans="1:8" ht="30" customHeight="1" x14ac:dyDescent="0.2">
      <c r="A16" s="2257">
        <v>5</v>
      </c>
      <c r="B16" s="2290" t="s">
        <v>578</v>
      </c>
      <c r="C16" s="1182">
        <v>1150</v>
      </c>
      <c r="D16" s="393">
        <v>158300</v>
      </c>
      <c r="E16" s="392">
        <v>9342</v>
      </c>
      <c r="F16" s="367">
        <f t="shared" si="0"/>
        <v>167642</v>
      </c>
      <c r="G16" s="2268" t="s">
        <v>579</v>
      </c>
      <c r="H16" s="471" t="s">
        <v>528</v>
      </c>
    </row>
    <row r="17" spans="1:8" ht="30" customHeight="1" x14ac:dyDescent="0.2">
      <c r="A17" s="2258"/>
      <c r="B17" s="2291"/>
      <c r="C17" s="1182">
        <v>2279</v>
      </c>
      <c r="D17" s="393">
        <v>10000</v>
      </c>
      <c r="E17" s="392">
        <v>4626</v>
      </c>
      <c r="F17" s="367">
        <f t="shared" si="0"/>
        <v>14626</v>
      </c>
      <c r="G17" s="2269"/>
      <c r="H17" s="471" t="s">
        <v>528</v>
      </c>
    </row>
    <row r="18" spans="1:8" ht="30" customHeight="1" x14ac:dyDescent="0.2">
      <c r="A18" s="2258"/>
      <c r="B18" s="2291"/>
      <c r="C18" s="1182">
        <v>2322</v>
      </c>
      <c r="D18" s="393">
        <v>6000</v>
      </c>
      <c r="E18" s="392">
        <v>3340</v>
      </c>
      <c r="F18" s="367">
        <f t="shared" si="0"/>
        <v>9340</v>
      </c>
      <c r="G18" s="2269"/>
      <c r="H18" s="471" t="s">
        <v>528</v>
      </c>
    </row>
    <row r="19" spans="1:8" ht="30" customHeight="1" x14ac:dyDescent="0.2">
      <c r="A19" s="2259"/>
      <c r="B19" s="2292"/>
      <c r="C19" s="1182">
        <v>1210</v>
      </c>
      <c r="D19" s="393">
        <v>36707</v>
      </c>
      <c r="E19" s="392">
        <v>2381</v>
      </c>
      <c r="F19" s="367">
        <f t="shared" si="0"/>
        <v>39088</v>
      </c>
      <c r="G19" s="2270"/>
      <c r="H19" s="471" t="s">
        <v>528</v>
      </c>
    </row>
    <row r="20" spans="1:8" x14ac:dyDescent="0.2">
      <c r="A20" s="462"/>
      <c r="B20" s="462"/>
      <c r="C20" s="460"/>
      <c r="D20" s="460"/>
      <c r="E20" s="460"/>
      <c r="F20" s="459"/>
      <c r="G20" s="460"/>
      <c r="H20" s="460"/>
    </row>
    <row r="21" spans="1:8" x14ac:dyDescent="0.2">
      <c r="A21" s="349" t="s">
        <v>499</v>
      </c>
      <c r="B21" s="349"/>
      <c r="C21" s="377" t="s">
        <v>471</v>
      </c>
      <c r="D21" s="385"/>
      <c r="E21" s="386"/>
      <c r="F21" s="377"/>
      <c r="G21" s="387"/>
      <c r="H21" s="387"/>
    </row>
    <row r="22" spans="1:8" x14ac:dyDescent="0.2">
      <c r="A22" s="349" t="s">
        <v>500</v>
      </c>
      <c r="B22" s="349"/>
      <c r="C22" s="377" t="s">
        <v>553</v>
      </c>
      <c r="D22" s="385"/>
      <c r="E22" s="386"/>
      <c r="F22" s="388"/>
      <c r="G22" s="387"/>
      <c r="H22" s="387"/>
    </row>
    <row r="23" spans="1:8" ht="48" x14ac:dyDescent="0.2">
      <c r="A23" s="463" t="s">
        <v>501</v>
      </c>
      <c r="B23" s="464" t="s">
        <v>502</v>
      </c>
      <c r="C23" s="463" t="s">
        <v>503</v>
      </c>
      <c r="D23" s="463" t="s">
        <v>504</v>
      </c>
      <c r="E23" s="463" t="s">
        <v>505</v>
      </c>
      <c r="F23" s="463" t="s">
        <v>506</v>
      </c>
      <c r="G23" s="463" t="s">
        <v>36</v>
      </c>
      <c r="H23" s="463" t="s">
        <v>507</v>
      </c>
    </row>
    <row r="24" spans="1:8" x14ac:dyDescent="0.2">
      <c r="A24" s="2285" t="s">
        <v>573</v>
      </c>
      <c r="B24" s="2286"/>
      <c r="C24" s="359"/>
      <c r="D24" s="360">
        <f>SUM(D25:D26)</f>
        <v>147332</v>
      </c>
      <c r="E24" s="469">
        <f>SUM(E25:E26)</f>
        <v>950</v>
      </c>
      <c r="F24" s="359">
        <f>SUM(F25:F26)</f>
        <v>148282</v>
      </c>
      <c r="G24" s="359"/>
      <c r="H24" s="470"/>
    </row>
    <row r="25" spans="1:8" ht="34.5" customHeight="1" x14ac:dyDescent="0.2">
      <c r="A25" s="362">
        <v>1</v>
      </c>
      <c r="B25" s="363" t="s">
        <v>580</v>
      </c>
      <c r="C25" s="1182">
        <v>6412</v>
      </c>
      <c r="D25" s="393">
        <v>143062</v>
      </c>
      <c r="E25" s="392"/>
      <c r="F25" s="1184">
        <f>D25+E25</f>
        <v>143062</v>
      </c>
      <c r="G25" s="368"/>
      <c r="H25" s="471" t="s">
        <v>520</v>
      </c>
    </row>
    <row r="26" spans="1:8" ht="36.75" customHeight="1" x14ac:dyDescent="0.2">
      <c r="A26" s="362">
        <v>2</v>
      </c>
      <c r="B26" s="363" t="s">
        <v>581</v>
      </c>
      <c r="C26" s="1182">
        <v>6412</v>
      </c>
      <c r="D26" s="393">
        <v>4270</v>
      </c>
      <c r="E26" s="392">
        <f>435*12-4270</f>
        <v>950</v>
      </c>
      <c r="F26" s="1184">
        <f>D26+E26</f>
        <v>5220</v>
      </c>
      <c r="G26" s="368" t="s">
        <v>582</v>
      </c>
      <c r="H26" s="471" t="s">
        <v>520</v>
      </c>
    </row>
    <row r="27" spans="1:8" x14ac:dyDescent="0.2">
      <c r="A27" s="462"/>
      <c r="B27" s="462"/>
      <c r="C27" s="460"/>
      <c r="D27" s="460"/>
      <c r="E27" s="460"/>
      <c r="F27" s="459"/>
      <c r="G27" s="460"/>
      <c r="H27" s="460"/>
    </row>
    <row r="28" spans="1:8" x14ac:dyDescent="0.2">
      <c r="A28" s="349" t="s">
        <v>499</v>
      </c>
      <c r="B28" s="349"/>
      <c r="C28" s="377" t="s">
        <v>477</v>
      </c>
      <c r="D28" s="385"/>
      <c r="E28" s="386"/>
      <c r="F28" s="377"/>
      <c r="G28" s="387"/>
      <c r="H28" s="387"/>
    </row>
    <row r="29" spans="1:8" x14ac:dyDescent="0.2">
      <c r="A29" s="349" t="s">
        <v>500</v>
      </c>
      <c r="B29" s="349"/>
      <c r="C29" s="377" t="s">
        <v>521</v>
      </c>
      <c r="D29" s="385"/>
      <c r="E29" s="386"/>
      <c r="F29" s="388"/>
      <c r="G29" s="387"/>
      <c r="H29" s="387"/>
    </row>
    <row r="30" spans="1:8" ht="48" x14ac:dyDescent="0.2">
      <c r="A30" s="463" t="s">
        <v>501</v>
      </c>
      <c r="B30" s="464" t="s">
        <v>502</v>
      </c>
      <c r="C30" s="463" t="s">
        <v>503</v>
      </c>
      <c r="D30" s="463" t="s">
        <v>504</v>
      </c>
      <c r="E30" s="463" t="s">
        <v>505</v>
      </c>
      <c r="F30" s="463" t="s">
        <v>506</v>
      </c>
      <c r="G30" s="463" t="s">
        <v>36</v>
      </c>
      <c r="H30" s="463" t="s">
        <v>507</v>
      </c>
    </row>
    <row r="31" spans="1:8" x14ac:dyDescent="0.2">
      <c r="A31" s="2285" t="s">
        <v>573</v>
      </c>
      <c r="B31" s="2286"/>
      <c r="C31" s="359"/>
      <c r="D31" s="360">
        <f>SUM(D32:D32)</f>
        <v>39200</v>
      </c>
      <c r="E31" s="469">
        <f>SUM(E32:E32)</f>
        <v>8574</v>
      </c>
      <c r="F31" s="359">
        <f>SUM(F32:F32)</f>
        <v>47774</v>
      </c>
      <c r="G31" s="359"/>
      <c r="H31" s="470"/>
    </row>
    <row r="32" spans="1:8" ht="30" customHeight="1" x14ac:dyDescent="0.2">
      <c r="A32" s="372">
        <v>1</v>
      </c>
      <c r="B32" s="466" t="s">
        <v>1711</v>
      </c>
      <c r="C32" s="364">
        <v>6330</v>
      </c>
      <c r="D32" s="393">
        <v>39200</v>
      </c>
      <c r="E32" s="392">
        <v>8574</v>
      </c>
      <c r="F32" s="367">
        <f>D32+E32</f>
        <v>47774</v>
      </c>
      <c r="G32" s="368" t="s">
        <v>479</v>
      </c>
      <c r="H32" s="471" t="s">
        <v>523</v>
      </c>
    </row>
    <row r="33" spans="1:8" x14ac:dyDescent="0.2">
      <c r="A33" s="462"/>
      <c r="B33" s="462"/>
      <c r="C33" s="460"/>
      <c r="D33" s="460"/>
      <c r="E33" s="460"/>
      <c r="F33" s="459"/>
      <c r="G33" s="460"/>
      <c r="H33" s="460"/>
    </row>
    <row r="34" spans="1:8" x14ac:dyDescent="0.2">
      <c r="A34" s="349" t="s">
        <v>499</v>
      </c>
      <c r="B34" s="349"/>
      <c r="C34" s="377" t="s">
        <v>583</v>
      </c>
      <c r="D34" s="385"/>
      <c r="E34" s="386"/>
      <c r="F34" s="377"/>
      <c r="G34" s="387"/>
      <c r="H34" s="387"/>
    </row>
    <row r="35" spans="1:8" x14ac:dyDescent="0.2">
      <c r="A35" s="349" t="s">
        <v>500</v>
      </c>
      <c r="B35" s="349"/>
      <c r="C35" s="377" t="s">
        <v>525</v>
      </c>
      <c r="D35" s="385"/>
      <c r="E35" s="386"/>
      <c r="F35" s="388"/>
      <c r="G35" s="387"/>
      <c r="H35" s="387"/>
    </row>
    <row r="36" spans="1:8" ht="48" x14ac:dyDescent="0.2">
      <c r="A36" s="463" t="s">
        <v>501</v>
      </c>
      <c r="B36" s="464" t="s">
        <v>502</v>
      </c>
      <c r="C36" s="463" t="s">
        <v>503</v>
      </c>
      <c r="D36" s="463" t="s">
        <v>504</v>
      </c>
      <c r="E36" s="463" t="s">
        <v>505</v>
      </c>
      <c r="F36" s="463" t="s">
        <v>506</v>
      </c>
      <c r="G36" s="463" t="s">
        <v>36</v>
      </c>
      <c r="H36" s="463" t="s">
        <v>507</v>
      </c>
    </row>
    <row r="37" spans="1:8" x14ac:dyDescent="0.2">
      <c r="A37" s="2285" t="s">
        <v>573</v>
      </c>
      <c r="B37" s="2287"/>
      <c r="C37" s="472"/>
      <c r="D37" s="360">
        <f>SUM(D38:D41)</f>
        <v>468613</v>
      </c>
      <c r="E37" s="360">
        <f>SUM(E38:E41)</f>
        <v>0</v>
      </c>
      <c r="F37" s="360">
        <f>SUM(F38:F41)</f>
        <v>468613</v>
      </c>
      <c r="G37" s="360"/>
      <c r="H37" s="465"/>
    </row>
    <row r="38" spans="1:8" ht="36.75" customHeight="1" x14ac:dyDescent="0.2">
      <c r="A38" s="372">
        <v>1</v>
      </c>
      <c r="B38" s="394" t="s">
        <v>584</v>
      </c>
      <c r="C38" s="1182">
        <v>6419</v>
      </c>
      <c r="D38" s="393">
        <v>170928</v>
      </c>
      <c r="E38" s="392"/>
      <c r="F38" s="1184">
        <f>D38+E38</f>
        <v>170928</v>
      </c>
      <c r="G38" s="368"/>
      <c r="H38" s="471" t="s">
        <v>520</v>
      </c>
    </row>
    <row r="39" spans="1:8" ht="36.75" customHeight="1" x14ac:dyDescent="0.2">
      <c r="A39" s="372">
        <v>2</v>
      </c>
      <c r="B39" s="394" t="s">
        <v>585</v>
      </c>
      <c r="C39" s="364">
        <v>6419</v>
      </c>
      <c r="D39" s="393">
        <v>226949</v>
      </c>
      <c r="E39" s="392"/>
      <c r="F39" s="1184">
        <f t="shared" ref="F39:F41" si="1">D39+E39</f>
        <v>226949</v>
      </c>
      <c r="G39" s="368"/>
      <c r="H39" s="471" t="s">
        <v>520</v>
      </c>
    </row>
    <row r="40" spans="1:8" ht="30" customHeight="1" x14ac:dyDescent="0.2">
      <c r="A40" s="372">
        <v>4</v>
      </c>
      <c r="B40" s="363" t="s">
        <v>586</v>
      </c>
      <c r="C40" s="364">
        <v>6423</v>
      </c>
      <c r="D40" s="393">
        <v>2736</v>
      </c>
      <c r="E40" s="392"/>
      <c r="F40" s="1184">
        <f t="shared" si="1"/>
        <v>2736</v>
      </c>
      <c r="G40" s="368"/>
      <c r="H40" s="471" t="s">
        <v>520</v>
      </c>
    </row>
    <row r="41" spans="1:8" ht="50.25" customHeight="1" x14ac:dyDescent="0.2">
      <c r="A41" s="473">
        <v>5</v>
      </c>
      <c r="B41" s="1181" t="s">
        <v>587</v>
      </c>
      <c r="C41" s="1183">
        <v>6419</v>
      </c>
      <c r="D41" s="474">
        <f>72000-4000</f>
        <v>68000</v>
      </c>
      <c r="E41" s="475"/>
      <c r="F41" s="1184">
        <f t="shared" si="1"/>
        <v>68000</v>
      </c>
      <c r="G41" s="368"/>
      <c r="H41" s="471" t="s">
        <v>520</v>
      </c>
    </row>
    <row r="42" spans="1:8" x14ac:dyDescent="0.2">
      <c r="A42" s="462"/>
      <c r="B42" s="462"/>
      <c r="C42" s="460"/>
      <c r="D42" s="460"/>
      <c r="E42" s="460"/>
      <c r="F42" s="459"/>
      <c r="G42" s="460"/>
      <c r="H42" s="460"/>
    </row>
    <row r="43" spans="1:8" x14ac:dyDescent="0.2">
      <c r="A43" s="398" t="s">
        <v>534</v>
      </c>
      <c r="B43" s="398"/>
      <c r="C43" s="398"/>
      <c r="D43" s="398"/>
      <c r="E43" s="399"/>
      <c r="F43" s="398"/>
      <c r="G43" s="476"/>
      <c r="H43" s="398"/>
    </row>
    <row r="44" spans="1:8" x14ac:dyDescent="0.2">
      <c r="A44" s="398" t="s">
        <v>535</v>
      </c>
      <c r="B44" s="398"/>
      <c r="C44" s="398"/>
      <c r="D44" s="398"/>
      <c r="E44" s="398"/>
      <c r="F44" s="398"/>
      <c r="G44" s="476"/>
      <c r="H44" s="398"/>
    </row>
    <row r="45" spans="1:8" x14ac:dyDescent="0.2">
      <c r="A45" s="398"/>
      <c r="B45" s="398" t="s">
        <v>588</v>
      </c>
      <c r="D45" s="398"/>
      <c r="E45" s="398"/>
      <c r="F45" s="398"/>
      <c r="G45" s="476"/>
      <c r="H45" s="398"/>
    </row>
    <row r="46" spans="1:8" x14ac:dyDescent="0.2">
      <c r="A46" s="398"/>
      <c r="B46" s="398" t="s">
        <v>589</v>
      </c>
      <c r="D46" s="398"/>
      <c r="E46" s="398"/>
      <c r="F46" s="398"/>
      <c r="G46" s="476"/>
      <c r="H46" s="398"/>
    </row>
    <row r="47" spans="1:8" x14ac:dyDescent="0.2">
      <c r="A47" s="398"/>
      <c r="B47" s="398" t="s">
        <v>536</v>
      </c>
      <c r="D47" s="398"/>
      <c r="E47" s="398"/>
      <c r="F47" s="398"/>
      <c r="G47" s="476"/>
      <c r="H47" s="398"/>
    </row>
    <row r="48" spans="1:8" x14ac:dyDescent="0.2">
      <c r="A48" s="398"/>
      <c r="B48" s="398"/>
      <c r="C48" s="398"/>
      <c r="D48" s="398"/>
      <c r="E48" s="398"/>
      <c r="F48" s="398"/>
      <c r="G48" s="476"/>
      <c r="H48" s="398"/>
    </row>
    <row r="49" spans="1:8" x14ac:dyDescent="0.2">
      <c r="A49" s="398" t="s">
        <v>537</v>
      </c>
      <c r="B49" s="398"/>
      <c r="C49" s="398"/>
      <c r="D49" s="398"/>
      <c r="E49" s="398"/>
      <c r="F49" s="398"/>
      <c r="G49" s="476"/>
      <c r="H49" s="398"/>
    </row>
    <row r="50" spans="1:8" x14ac:dyDescent="0.2">
      <c r="A50" s="398"/>
      <c r="B50" s="398" t="s">
        <v>538</v>
      </c>
      <c r="C50" s="398"/>
      <c r="D50" s="398"/>
      <c r="E50" s="398"/>
      <c r="F50" s="398"/>
      <c r="G50" s="476"/>
      <c r="H50" s="398"/>
    </row>
    <row r="51" spans="1:8" x14ac:dyDescent="0.2">
      <c r="A51" s="398"/>
      <c r="B51" s="398" t="s">
        <v>539</v>
      </c>
      <c r="C51" s="398"/>
      <c r="D51" s="398"/>
      <c r="E51" s="398"/>
      <c r="F51" s="398"/>
      <c r="G51" s="476"/>
      <c r="H51" s="398"/>
    </row>
    <row r="52" spans="1:8" x14ac:dyDescent="0.2">
      <c r="A52" s="398"/>
      <c r="B52" s="398" t="s">
        <v>540</v>
      </c>
      <c r="D52" s="398"/>
      <c r="E52" s="398"/>
      <c r="F52" s="398"/>
      <c r="G52" s="476"/>
      <c r="H52" s="398"/>
    </row>
    <row r="53" spans="1:8" x14ac:dyDescent="0.2">
      <c r="A53" s="387"/>
      <c r="B53" s="398" t="s">
        <v>542</v>
      </c>
      <c r="D53" s="477"/>
      <c r="E53" s="477"/>
      <c r="F53" s="387"/>
      <c r="G53" s="387"/>
      <c r="H53" s="335"/>
    </row>
    <row r="54" spans="1:8" x14ac:dyDescent="0.2">
      <c r="A54" s="387"/>
      <c r="B54" s="398" t="s">
        <v>543</v>
      </c>
      <c r="D54" s="477"/>
      <c r="E54" s="477"/>
      <c r="F54" s="387"/>
      <c r="G54" s="387"/>
      <c r="H54" s="335"/>
    </row>
    <row r="55" spans="1:8" x14ac:dyDescent="0.2">
      <c r="A55" s="387"/>
      <c r="B55" s="398" t="s">
        <v>544</v>
      </c>
      <c r="D55" s="477"/>
      <c r="E55" s="477"/>
      <c r="F55" s="387"/>
      <c r="G55" s="387"/>
      <c r="H55" s="335"/>
    </row>
    <row r="56" spans="1:8" x14ac:dyDescent="0.2">
      <c r="A56" s="387"/>
      <c r="B56" s="398" t="s">
        <v>590</v>
      </c>
      <c r="D56" s="477"/>
      <c r="E56" s="477"/>
      <c r="F56" s="387"/>
      <c r="G56" s="387"/>
      <c r="H56" s="335"/>
    </row>
    <row r="59" spans="1:8" x14ac:dyDescent="0.2">
      <c r="A59" s="478"/>
      <c r="B59" s="478"/>
      <c r="C59" s="478"/>
      <c r="D59" s="478"/>
      <c r="E59" s="478"/>
      <c r="F59" s="478"/>
      <c r="H59" s="478"/>
    </row>
    <row r="60" spans="1:8" x14ac:dyDescent="0.2">
      <c r="A60" s="478"/>
      <c r="B60" s="478"/>
      <c r="C60" s="478"/>
      <c r="D60" s="478"/>
      <c r="E60" s="478"/>
      <c r="F60" s="478"/>
      <c r="H60" s="478"/>
    </row>
    <row r="61" spans="1:8" x14ac:dyDescent="0.2">
      <c r="A61" s="478"/>
      <c r="B61" s="478"/>
      <c r="C61" s="478"/>
      <c r="D61" s="478"/>
      <c r="E61" s="478"/>
      <c r="F61" s="478"/>
      <c r="H61" s="478"/>
    </row>
    <row r="62" spans="1:8" x14ac:dyDescent="0.2">
      <c r="F62" s="459"/>
    </row>
  </sheetData>
  <sheetProtection algorithmName="SHA-512" hashValue="MqgMWCfZHtHY2s/0kxn6Yo3s8cA1mdl1U/5o8a+iJs7So/LzaSFxRJqd35AgMogz+ZGCAXmfqUtFx6Xu/hDCog==" saltValue="z0iShyurB5hTRTgVm3iD8A==" spinCount="100000" sheet="1" objects="1" scenarios="1"/>
  <mergeCells count="11">
    <mergeCell ref="A24:B24"/>
    <mergeCell ref="A31:B31"/>
    <mergeCell ref="A37:B37"/>
    <mergeCell ref="A3:B3"/>
    <mergeCell ref="A4:B4"/>
    <mergeCell ref="A5:H5"/>
    <mergeCell ref="A7:B7"/>
    <mergeCell ref="A12:B12"/>
    <mergeCell ref="A16:A19"/>
    <mergeCell ref="B16:B19"/>
    <mergeCell ref="G16:G19"/>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84.pielikums Jūrmalas pilsētas domes
2019.gada 29.augusta saistošajiem noteikumiem Nr.31
(protokols Nr.12, 20.punkts) </firstHeader>
    <firstFooter>&amp;L&amp;9&amp;D; &amp;T&amp;R&amp;9&amp;P (&amp;N)</first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L93"/>
  <sheetViews>
    <sheetView view="pageLayout" zoomScaleNormal="100" workbookViewId="0">
      <selection activeCell="K13" sqref="K12:K13"/>
    </sheetView>
  </sheetViews>
  <sheetFormatPr defaultRowHeight="12.75" outlineLevelCol="1" x14ac:dyDescent="0.2"/>
  <cols>
    <col min="1" max="1" width="6.140625" style="399" customWidth="1"/>
    <col min="2" max="2" width="17.28515625" style="399" customWidth="1"/>
    <col min="3" max="3" width="16.7109375" style="399" customWidth="1"/>
    <col min="4" max="4" width="10.5703125" style="482" customWidth="1"/>
    <col min="5" max="5" width="11.7109375" style="399" hidden="1" customWidth="1" outlineLevel="1"/>
    <col min="6" max="6" width="11.28515625" style="399" hidden="1" customWidth="1" outlineLevel="1"/>
    <col min="7" max="7" width="14.7109375" style="520" customWidth="1" collapsed="1"/>
    <col min="8" max="8" width="37.140625" style="399" hidden="1" customWidth="1" outlineLevel="1"/>
    <col min="9" max="9" width="19.5703125" style="399" customWidth="1" collapsed="1"/>
    <col min="10" max="16384" width="9.140625" style="399"/>
  </cols>
  <sheetData>
    <row r="1" spans="1:9" ht="12" customHeight="1" x14ac:dyDescent="0.2">
      <c r="D1" s="480"/>
      <c r="E1" s="403"/>
      <c r="F1" s="403"/>
      <c r="G1" s="399"/>
      <c r="I1" s="481" t="s">
        <v>591</v>
      </c>
    </row>
    <row r="2" spans="1:9" ht="12" x14ac:dyDescent="0.2">
      <c r="G2" s="399"/>
      <c r="I2" s="481" t="s">
        <v>494</v>
      </c>
    </row>
    <row r="3" spans="1:9" ht="12" x14ac:dyDescent="0.2">
      <c r="G3" s="399"/>
      <c r="I3" s="481"/>
    </row>
    <row r="4" spans="1:9" ht="12" x14ac:dyDescent="0.2">
      <c r="A4" s="2253" t="s">
        <v>2</v>
      </c>
      <c r="B4" s="2253"/>
      <c r="C4" s="484" t="s">
        <v>495</v>
      </c>
      <c r="D4" s="483"/>
      <c r="E4" s="484"/>
      <c r="F4" s="484"/>
      <c r="G4" s="399"/>
      <c r="H4" s="484"/>
      <c r="I4" s="484"/>
    </row>
    <row r="5" spans="1:9" ht="12" x14ac:dyDescent="0.2">
      <c r="A5" s="2253" t="s">
        <v>1712</v>
      </c>
      <c r="B5" s="2253"/>
      <c r="C5" s="1211">
        <v>90000594245</v>
      </c>
      <c r="D5" s="483"/>
      <c r="E5" s="484"/>
      <c r="F5" s="484"/>
      <c r="G5" s="399"/>
      <c r="H5" s="484"/>
      <c r="I5" s="484"/>
    </row>
    <row r="6" spans="1:9" ht="15.75" x14ac:dyDescent="0.25">
      <c r="A6" s="2289" t="s">
        <v>496</v>
      </c>
      <c r="B6" s="2289"/>
      <c r="C6" s="2289"/>
      <c r="D6" s="2289"/>
      <c r="E6" s="2289"/>
      <c r="F6" s="2289"/>
      <c r="G6" s="2289"/>
      <c r="H6" s="2289"/>
      <c r="I6" s="2289"/>
    </row>
    <row r="7" spans="1:9" ht="15.75" x14ac:dyDescent="0.25">
      <c r="A7" s="485"/>
      <c r="B7" s="485"/>
      <c r="C7" s="485"/>
      <c r="D7" s="486"/>
      <c r="E7" s="485"/>
      <c r="F7" s="485"/>
      <c r="G7" s="399"/>
      <c r="H7" s="485"/>
      <c r="I7" s="485"/>
    </row>
    <row r="8" spans="1:9" x14ac:dyDescent="0.2">
      <c r="A8" s="2253" t="s">
        <v>546</v>
      </c>
      <c r="B8" s="2253"/>
      <c r="C8" s="1054" t="s">
        <v>592</v>
      </c>
      <c r="D8" s="1054"/>
      <c r="E8" s="1054"/>
      <c r="F8" s="1054"/>
      <c r="H8" s="484"/>
      <c r="I8" s="484"/>
    </row>
    <row r="9" spans="1:9" x14ac:dyDescent="0.2">
      <c r="A9" s="2253" t="s">
        <v>499</v>
      </c>
      <c r="B9" s="2253"/>
      <c r="C9" s="487" t="s">
        <v>593</v>
      </c>
      <c r="D9" s="432"/>
      <c r="E9" s="488"/>
      <c r="F9" s="411"/>
      <c r="H9" s="484"/>
      <c r="I9" s="484"/>
    </row>
    <row r="10" spans="1:9" x14ac:dyDescent="0.2">
      <c r="A10" s="2253" t="s">
        <v>500</v>
      </c>
      <c r="B10" s="2253"/>
      <c r="C10" s="487" t="s">
        <v>594</v>
      </c>
      <c r="D10" s="432"/>
      <c r="E10" s="488"/>
      <c r="F10" s="411"/>
      <c r="H10" s="484"/>
      <c r="I10" s="484"/>
    </row>
    <row r="11" spans="1:9" ht="48" x14ac:dyDescent="0.2">
      <c r="A11" s="356" t="s">
        <v>501</v>
      </c>
      <c r="B11" s="2293" t="s">
        <v>502</v>
      </c>
      <c r="C11" s="2294"/>
      <c r="D11" s="489" t="s">
        <v>503</v>
      </c>
      <c r="E11" s="356" t="s">
        <v>504</v>
      </c>
      <c r="F11" s="356" t="s">
        <v>505</v>
      </c>
      <c r="G11" s="356" t="s">
        <v>506</v>
      </c>
      <c r="H11" s="356" t="s">
        <v>36</v>
      </c>
      <c r="I11" s="356" t="s">
        <v>507</v>
      </c>
    </row>
    <row r="12" spans="1:9" ht="12.75" customHeight="1" x14ac:dyDescent="0.2">
      <c r="A12" s="2295" t="s">
        <v>549</v>
      </c>
      <c r="B12" s="2296"/>
      <c r="C12" s="2297"/>
      <c r="D12" s="1169"/>
      <c r="E12" s="491">
        <f>SUM(E13:E14)</f>
        <v>45712</v>
      </c>
      <c r="F12" s="491">
        <f>SUM(F13:F14)</f>
        <v>0</v>
      </c>
      <c r="G12" s="1168">
        <f>SUM(G13:G14)</f>
        <v>45712</v>
      </c>
      <c r="H12" s="492"/>
      <c r="I12" s="491"/>
    </row>
    <row r="13" spans="1:9" ht="27" customHeight="1" x14ac:dyDescent="0.2">
      <c r="A13" s="493">
        <v>1</v>
      </c>
      <c r="B13" s="2298" t="s">
        <v>595</v>
      </c>
      <c r="C13" s="2299"/>
      <c r="D13" s="1174">
        <v>2279</v>
      </c>
      <c r="E13" s="467">
        <v>45000</v>
      </c>
      <c r="F13" s="494"/>
      <c r="G13" s="503">
        <f>E13+F13</f>
        <v>45000</v>
      </c>
      <c r="H13" s="492"/>
      <c r="I13" s="2300" t="s">
        <v>596</v>
      </c>
    </row>
    <row r="14" spans="1:9" ht="27" customHeight="1" x14ac:dyDescent="0.2">
      <c r="A14" s="493">
        <v>2</v>
      </c>
      <c r="B14" s="2298" t="s">
        <v>597</v>
      </c>
      <c r="C14" s="2299"/>
      <c r="D14" s="1176">
        <v>2239</v>
      </c>
      <c r="E14" s="496">
        <v>712</v>
      </c>
      <c r="F14" s="494">
        <v>0</v>
      </c>
      <c r="G14" s="503">
        <f t="shared" ref="G14" si="0">E14+F14</f>
        <v>712</v>
      </c>
      <c r="H14" s="492"/>
      <c r="I14" s="2301"/>
    </row>
    <row r="15" spans="1:9" ht="12" x14ac:dyDescent="0.2">
      <c r="A15" s="497"/>
      <c r="B15" s="497"/>
      <c r="C15" s="497"/>
      <c r="D15" s="498"/>
      <c r="E15" s="497"/>
      <c r="F15" s="497"/>
      <c r="G15" s="399"/>
      <c r="H15" s="497"/>
      <c r="I15" s="497"/>
    </row>
    <row r="16" spans="1:9" ht="12" x14ac:dyDescent="0.2">
      <c r="A16" s="2253" t="s">
        <v>499</v>
      </c>
      <c r="B16" s="2253"/>
      <c r="C16" s="411"/>
      <c r="D16" s="487" t="s">
        <v>440</v>
      </c>
      <c r="E16" s="484"/>
      <c r="F16" s="484"/>
      <c r="G16" s="399"/>
      <c r="H16" s="484"/>
      <c r="I16" s="484"/>
    </row>
    <row r="17" spans="1:9" ht="12" x14ac:dyDescent="0.2">
      <c r="A17" s="2253" t="s">
        <v>500</v>
      </c>
      <c r="B17" s="2253"/>
      <c r="C17" s="411"/>
      <c r="D17" s="487" t="s">
        <v>598</v>
      </c>
      <c r="E17" s="484"/>
      <c r="F17" s="484"/>
      <c r="G17" s="399"/>
      <c r="H17" s="484"/>
      <c r="I17" s="484"/>
    </row>
    <row r="18" spans="1:9" ht="48" x14ac:dyDescent="0.2">
      <c r="A18" s="356" t="s">
        <v>501</v>
      </c>
      <c r="B18" s="2293" t="s">
        <v>502</v>
      </c>
      <c r="C18" s="2294"/>
      <c r="D18" s="489" t="s">
        <v>503</v>
      </c>
      <c r="E18" s="356" t="s">
        <v>504</v>
      </c>
      <c r="F18" s="356" t="s">
        <v>505</v>
      </c>
      <c r="G18" s="356" t="s">
        <v>506</v>
      </c>
      <c r="H18" s="356" t="s">
        <v>36</v>
      </c>
      <c r="I18" s="356" t="s">
        <v>507</v>
      </c>
    </row>
    <row r="19" spans="1:9" ht="15" customHeight="1" x14ac:dyDescent="0.2">
      <c r="A19" s="2295" t="s">
        <v>549</v>
      </c>
      <c r="B19" s="2296"/>
      <c r="C19" s="2297"/>
      <c r="D19" s="490"/>
      <c r="E19" s="491">
        <f>SUM(E20:E31)</f>
        <v>28724</v>
      </c>
      <c r="F19" s="491">
        <f t="shared" ref="F19:G19" si="1">SUM(F20:F31)</f>
        <v>185</v>
      </c>
      <c r="G19" s="1168">
        <f t="shared" si="1"/>
        <v>28909</v>
      </c>
      <c r="H19" s="492"/>
      <c r="I19" s="2300" t="s">
        <v>599</v>
      </c>
    </row>
    <row r="20" spans="1:9" ht="15.75" customHeight="1" x14ac:dyDescent="0.2">
      <c r="A20" s="2303">
        <v>1</v>
      </c>
      <c r="B20" s="2306" t="s">
        <v>600</v>
      </c>
      <c r="C20" s="2307"/>
      <c r="D20" s="420">
        <v>2244</v>
      </c>
      <c r="E20" s="467">
        <v>177</v>
      </c>
      <c r="F20" s="492">
        <v>162</v>
      </c>
      <c r="G20" s="506">
        <f t="shared" ref="G20:G31" si="2">E20+F20</f>
        <v>339</v>
      </c>
      <c r="H20" s="492" t="s">
        <v>442</v>
      </c>
      <c r="I20" s="2302"/>
    </row>
    <row r="21" spans="1:9" ht="15" customHeight="1" x14ac:dyDescent="0.2">
      <c r="A21" s="2304"/>
      <c r="B21" s="2308"/>
      <c r="C21" s="2309"/>
      <c r="D21" s="420">
        <v>2224</v>
      </c>
      <c r="E21" s="467">
        <v>43</v>
      </c>
      <c r="F21" s="492"/>
      <c r="G21" s="506">
        <f t="shared" si="2"/>
        <v>43</v>
      </c>
      <c r="H21" s="492"/>
      <c r="I21" s="2302"/>
    </row>
    <row r="22" spans="1:9" ht="15" customHeight="1" x14ac:dyDescent="0.2">
      <c r="A22" s="2304"/>
      <c r="B22" s="2308"/>
      <c r="C22" s="2309"/>
      <c r="D22" s="420">
        <v>2222</v>
      </c>
      <c r="E22" s="467">
        <v>70</v>
      </c>
      <c r="F22" s="492"/>
      <c r="G22" s="506">
        <f t="shared" si="2"/>
        <v>70</v>
      </c>
      <c r="H22" s="492"/>
      <c r="I22" s="2302"/>
    </row>
    <row r="23" spans="1:9" ht="15" customHeight="1" x14ac:dyDescent="0.2">
      <c r="A23" s="2304"/>
      <c r="B23" s="2308"/>
      <c r="C23" s="2309"/>
      <c r="D23" s="420">
        <v>2223</v>
      </c>
      <c r="E23" s="467">
        <v>73</v>
      </c>
      <c r="F23" s="492">
        <v>23</v>
      </c>
      <c r="G23" s="506">
        <f t="shared" si="2"/>
        <v>96</v>
      </c>
      <c r="H23" s="492" t="s">
        <v>441</v>
      </c>
      <c r="I23" s="2302"/>
    </row>
    <row r="24" spans="1:9" ht="15" customHeight="1" x14ac:dyDescent="0.2">
      <c r="A24" s="2304"/>
      <c r="B24" s="2308"/>
      <c r="C24" s="2309"/>
      <c r="D24" s="420">
        <v>2212</v>
      </c>
      <c r="E24" s="467">
        <v>122</v>
      </c>
      <c r="F24" s="492"/>
      <c r="G24" s="506">
        <f t="shared" si="2"/>
        <v>122</v>
      </c>
      <c r="H24" s="492"/>
      <c r="I24" s="2302"/>
    </row>
    <row r="25" spans="1:9" ht="15" customHeight="1" x14ac:dyDescent="0.2">
      <c r="A25" s="2304"/>
      <c r="B25" s="2308"/>
      <c r="C25" s="2309"/>
      <c r="D25" s="1172">
        <v>2221</v>
      </c>
      <c r="E25" s="467">
        <v>125</v>
      </c>
      <c r="F25" s="492"/>
      <c r="G25" s="506">
        <f t="shared" si="2"/>
        <v>125</v>
      </c>
      <c r="H25" s="492"/>
      <c r="I25" s="2302"/>
    </row>
    <row r="26" spans="1:9" ht="15" customHeight="1" x14ac:dyDescent="0.2">
      <c r="A26" s="2304"/>
      <c r="B26" s="2308"/>
      <c r="C26" s="2309"/>
      <c r="D26" s="1173">
        <v>2311</v>
      </c>
      <c r="E26" s="467">
        <v>240</v>
      </c>
      <c r="F26" s="492"/>
      <c r="G26" s="506">
        <f t="shared" si="2"/>
        <v>240</v>
      </c>
      <c r="H26" s="492"/>
      <c r="I26" s="2302"/>
    </row>
    <row r="27" spans="1:9" ht="15" customHeight="1" x14ac:dyDescent="0.2">
      <c r="A27" s="2304"/>
      <c r="B27" s="2308"/>
      <c r="C27" s="2309"/>
      <c r="D27" s="1172">
        <v>2312</v>
      </c>
      <c r="E27" s="467">
        <v>162</v>
      </c>
      <c r="F27" s="492"/>
      <c r="G27" s="506">
        <f t="shared" si="2"/>
        <v>162</v>
      </c>
      <c r="H27" s="492"/>
      <c r="I27" s="2302"/>
    </row>
    <row r="28" spans="1:9" ht="15" customHeight="1" x14ac:dyDescent="0.2">
      <c r="A28" s="2305"/>
      <c r="B28" s="2310"/>
      <c r="C28" s="2311"/>
      <c r="D28" s="438">
        <v>2279</v>
      </c>
      <c r="E28" s="467">
        <v>23073</v>
      </c>
      <c r="F28" s="492"/>
      <c r="G28" s="506">
        <f t="shared" si="2"/>
        <v>23073</v>
      </c>
      <c r="H28" s="492"/>
      <c r="I28" s="2302"/>
    </row>
    <row r="29" spans="1:9" ht="15.75" customHeight="1" x14ac:dyDescent="0.2">
      <c r="A29" s="493">
        <v>2</v>
      </c>
      <c r="B29" s="2298" t="s">
        <v>601</v>
      </c>
      <c r="C29" s="2299"/>
      <c r="D29" s="1174">
        <v>2279</v>
      </c>
      <c r="E29" s="467">
        <v>1139</v>
      </c>
      <c r="F29" s="492"/>
      <c r="G29" s="506">
        <f t="shared" si="2"/>
        <v>1139</v>
      </c>
      <c r="H29" s="492"/>
      <c r="I29" s="2302"/>
    </row>
    <row r="30" spans="1:9" ht="25.5" customHeight="1" x14ac:dyDescent="0.2">
      <c r="A30" s="500">
        <v>3</v>
      </c>
      <c r="B30" s="2298" t="s">
        <v>602</v>
      </c>
      <c r="C30" s="2299"/>
      <c r="D30" s="1174">
        <v>2279</v>
      </c>
      <c r="E30" s="467">
        <v>1500</v>
      </c>
      <c r="F30" s="492"/>
      <c r="G30" s="506">
        <f t="shared" si="2"/>
        <v>1500</v>
      </c>
      <c r="H30" s="501"/>
      <c r="I30" s="2302"/>
    </row>
    <row r="31" spans="1:9" ht="45.75" customHeight="1" x14ac:dyDescent="0.2">
      <c r="A31" s="362">
        <v>4</v>
      </c>
      <c r="B31" s="2314" t="s">
        <v>603</v>
      </c>
      <c r="C31" s="2315"/>
      <c r="D31" s="1175">
        <v>2279</v>
      </c>
      <c r="E31" s="502">
        <v>2000</v>
      </c>
      <c r="F31" s="492"/>
      <c r="G31" s="503">
        <f t="shared" si="2"/>
        <v>2000</v>
      </c>
      <c r="H31" s="501"/>
      <c r="I31" s="1180" t="s">
        <v>604</v>
      </c>
    </row>
    <row r="32" spans="1:9" ht="12" x14ac:dyDescent="0.2">
      <c r="A32" s="497"/>
      <c r="B32" s="497"/>
      <c r="C32" s="497"/>
      <c r="D32" s="498"/>
      <c r="E32" s="497"/>
      <c r="F32" s="497"/>
      <c r="G32" s="399"/>
      <c r="H32" s="497"/>
      <c r="I32" s="505"/>
    </row>
    <row r="33" spans="1:9" ht="12" x14ac:dyDescent="0.2">
      <c r="A33" s="2253" t="s">
        <v>499</v>
      </c>
      <c r="B33" s="2253"/>
      <c r="C33" s="484"/>
      <c r="D33" s="487" t="s">
        <v>445</v>
      </c>
      <c r="E33" s="484"/>
      <c r="F33" s="484"/>
      <c r="G33" s="399"/>
      <c r="H33" s="484"/>
      <c r="I33" s="484"/>
    </row>
    <row r="34" spans="1:9" ht="12" x14ac:dyDescent="0.2">
      <c r="A34" s="2253" t="s">
        <v>500</v>
      </c>
      <c r="B34" s="2253"/>
      <c r="C34" s="484"/>
      <c r="D34" s="487" t="s">
        <v>605</v>
      </c>
      <c r="E34" s="484"/>
      <c r="F34" s="484"/>
      <c r="G34" s="399"/>
      <c r="H34" s="484"/>
      <c r="I34" s="484"/>
    </row>
    <row r="35" spans="1:9" ht="48" x14ac:dyDescent="0.2">
      <c r="A35" s="356" t="s">
        <v>501</v>
      </c>
      <c r="B35" s="2293" t="s">
        <v>502</v>
      </c>
      <c r="C35" s="2294"/>
      <c r="D35" s="489" t="s">
        <v>503</v>
      </c>
      <c r="E35" s="356" t="s">
        <v>504</v>
      </c>
      <c r="F35" s="356" t="s">
        <v>505</v>
      </c>
      <c r="G35" s="356" t="s">
        <v>506</v>
      </c>
      <c r="H35" s="356" t="s">
        <v>36</v>
      </c>
      <c r="I35" s="356" t="s">
        <v>507</v>
      </c>
    </row>
    <row r="36" spans="1:9" ht="12" x14ac:dyDescent="0.2">
      <c r="A36" s="2295" t="s">
        <v>549</v>
      </c>
      <c r="B36" s="2296"/>
      <c r="C36" s="2297"/>
      <c r="D36" s="490"/>
      <c r="E36" s="491">
        <f>SUM(E37:E51)</f>
        <v>62365</v>
      </c>
      <c r="F36" s="491">
        <f t="shared" ref="F36:G36" si="3">SUM(F37:F51)</f>
        <v>2000</v>
      </c>
      <c r="G36" s="1168">
        <f t="shared" si="3"/>
        <v>64365</v>
      </c>
      <c r="H36" s="492"/>
      <c r="I36" s="491"/>
    </row>
    <row r="37" spans="1:9" ht="41.25" customHeight="1" x14ac:dyDescent="0.2">
      <c r="A37" s="493">
        <v>1</v>
      </c>
      <c r="B37" s="2312" t="s">
        <v>606</v>
      </c>
      <c r="C37" s="2313"/>
      <c r="D37" s="1177">
        <v>2279</v>
      </c>
      <c r="E37" s="467">
        <v>7500</v>
      </c>
      <c r="F37" s="494"/>
      <c r="G37" s="506">
        <f t="shared" ref="G37:G51" si="4">E37+F37</f>
        <v>7500</v>
      </c>
      <c r="H37" s="492"/>
      <c r="I37" s="504" t="s">
        <v>607</v>
      </c>
    </row>
    <row r="38" spans="1:9" ht="41.25" customHeight="1" x14ac:dyDescent="0.2">
      <c r="A38" s="493">
        <v>2</v>
      </c>
      <c r="B38" s="2316" t="s">
        <v>608</v>
      </c>
      <c r="C38" s="2317"/>
      <c r="D38" s="1177">
        <v>2279</v>
      </c>
      <c r="E38" s="467">
        <v>100</v>
      </c>
      <c r="F38" s="494"/>
      <c r="G38" s="506">
        <f t="shared" si="4"/>
        <v>100</v>
      </c>
      <c r="H38" s="492"/>
      <c r="I38" s="504" t="s">
        <v>609</v>
      </c>
    </row>
    <row r="39" spans="1:9" ht="41.25" customHeight="1" x14ac:dyDescent="0.2">
      <c r="A39" s="493">
        <v>3</v>
      </c>
      <c r="B39" s="2312" t="s">
        <v>610</v>
      </c>
      <c r="C39" s="2313"/>
      <c r="D39" s="1177">
        <v>2279</v>
      </c>
      <c r="E39" s="467">
        <v>4878</v>
      </c>
      <c r="F39" s="494"/>
      <c r="G39" s="506">
        <f t="shared" si="4"/>
        <v>4878</v>
      </c>
      <c r="H39" s="507"/>
      <c r="I39" s="1180" t="s">
        <v>611</v>
      </c>
    </row>
    <row r="40" spans="1:9" ht="41.25" customHeight="1" x14ac:dyDescent="0.2">
      <c r="A40" s="493">
        <v>4</v>
      </c>
      <c r="B40" s="2312" t="s">
        <v>612</v>
      </c>
      <c r="C40" s="2313"/>
      <c r="D40" s="1177">
        <v>2279</v>
      </c>
      <c r="E40" s="467">
        <v>8000</v>
      </c>
      <c r="F40" s="494">
        <v>2000</v>
      </c>
      <c r="G40" s="506">
        <f t="shared" si="4"/>
        <v>10000</v>
      </c>
      <c r="H40" s="492" t="s">
        <v>446</v>
      </c>
      <c r="I40" s="1180" t="s">
        <v>613</v>
      </c>
    </row>
    <row r="41" spans="1:9" ht="41.25" customHeight="1" x14ac:dyDescent="0.2">
      <c r="A41" s="493">
        <v>5</v>
      </c>
      <c r="B41" s="2312" t="s">
        <v>614</v>
      </c>
      <c r="C41" s="2313"/>
      <c r="D41" s="1177">
        <v>2279</v>
      </c>
      <c r="E41" s="467">
        <v>7000</v>
      </c>
      <c r="F41" s="494"/>
      <c r="G41" s="506">
        <f t="shared" si="4"/>
        <v>7000</v>
      </c>
      <c r="H41" s="492"/>
      <c r="I41" s="1180" t="s">
        <v>615</v>
      </c>
    </row>
    <row r="42" spans="1:9" ht="41.25" customHeight="1" x14ac:dyDescent="0.2">
      <c r="A42" s="493">
        <v>6</v>
      </c>
      <c r="B42" s="2312" t="s">
        <v>616</v>
      </c>
      <c r="C42" s="2313"/>
      <c r="D42" s="1177">
        <v>2279</v>
      </c>
      <c r="E42" s="467">
        <v>11000</v>
      </c>
      <c r="F42" s="494"/>
      <c r="G42" s="506">
        <f>E42+F42</f>
        <v>11000</v>
      </c>
      <c r="H42" s="492"/>
      <c r="I42" s="1180" t="s">
        <v>617</v>
      </c>
    </row>
    <row r="43" spans="1:9" ht="41.25" customHeight="1" x14ac:dyDescent="0.2">
      <c r="A43" s="493">
        <v>7</v>
      </c>
      <c r="B43" s="2312" t="s">
        <v>618</v>
      </c>
      <c r="C43" s="2313"/>
      <c r="D43" s="1178">
        <v>2279</v>
      </c>
      <c r="E43" s="508">
        <v>4000</v>
      </c>
      <c r="F43" s="494"/>
      <c r="G43" s="506">
        <f t="shared" si="4"/>
        <v>4000</v>
      </c>
      <c r="H43" s="492"/>
      <c r="I43" s="1180" t="s">
        <v>619</v>
      </c>
    </row>
    <row r="44" spans="1:9" ht="41.25" customHeight="1" x14ac:dyDescent="0.2">
      <c r="A44" s="493">
        <v>8</v>
      </c>
      <c r="B44" s="2312" t="s">
        <v>620</v>
      </c>
      <c r="C44" s="2313"/>
      <c r="D44" s="1177">
        <v>2279</v>
      </c>
      <c r="E44" s="467">
        <v>3500</v>
      </c>
      <c r="F44" s="509"/>
      <c r="G44" s="506">
        <f t="shared" si="4"/>
        <v>3500</v>
      </c>
      <c r="H44" s="492"/>
      <c r="I44" s="1180" t="s">
        <v>621</v>
      </c>
    </row>
    <row r="45" spans="1:9" ht="41.25" customHeight="1" x14ac:dyDescent="0.2">
      <c r="A45" s="493">
        <v>9</v>
      </c>
      <c r="B45" s="2312" t="s">
        <v>622</v>
      </c>
      <c r="C45" s="2313"/>
      <c r="D45" s="1177">
        <v>2279</v>
      </c>
      <c r="E45" s="467">
        <v>3374</v>
      </c>
      <c r="F45" s="509"/>
      <c r="G45" s="506">
        <f t="shared" si="4"/>
        <v>3374</v>
      </c>
      <c r="H45" s="492"/>
      <c r="I45" s="1180" t="s">
        <v>621</v>
      </c>
    </row>
    <row r="46" spans="1:9" ht="41.25" customHeight="1" x14ac:dyDescent="0.2">
      <c r="A46" s="493">
        <v>10</v>
      </c>
      <c r="B46" s="2312" t="s">
        <v>623</v>
      </c>
      <c r="C46" s="2320"/>
      <c r="D46" s="1177">
        <v>3263</v>
      </c>
      <c r="E46" s="467">
        <v>9078</v>
      </c>
      <c r="F46" s="509"/>
      <c r="G46" s="506">
        <f t="shared" si="4"/>
        <v>9078</v>
      </c>
      <c r="H46" s="492"/>
      <c r="I46" s="1180" t="s">
        <v>624</v>
      </c>
    </row>
    <row r="47" spans="1:9" ht="41.25" customHeight="1" x14ac:dyDescent="0.2">
      <c r="A47" s="493">
        <v>11</v>
      </c>
      <c r="B47" s="2312" t="s">
        <v>625</v>
      </c>
      <c r="C47" s="2313"/>
      <c r="D47" s="1179">
        <v>2231</v>
      </c>
      <c r="E47" s="510">
        <v>200</v>
      </c>
      <c r="F47" s="509"/>
      <c r="G47" s="506">
        <f t="shared" si="4"/>
        <v>200</v>
      </c>
      <c r="H47" s="511"/>
      <c r="I47" s="1180" t="s">
        <v>626</v>
      </c>
    </row>
    <row r="48" spans="1:9" ht="41.25" customHeight="1" x14ac:dyDescent="0.2">
      <c r="A48" s="493">
        <v>12</v>
      </c>
      <c r="B48" s="2312" t="s">
        <v>627</v>
      </c>
      <c r="C48" s="2313"/>
      <c r="D48" s="1174">
        <v>2231</v>
      </c>
      <c r="E48" s="467">
        <v>1000</v>
      </c>
      <c r="F48" s="494"/>
      <c r="G48" s="506">
        <f t="shared" si="4"/>
        <v>1000</v>
      </c>
      <c r="H48" s="501"/>
      <c r="I48" s="1180" t="s">
        <v>626</v>
      </c>
    </row>
    <row r="49" spans="1:12" ht="15.75" customHeight="1" x14ac:dyDescent="0.2">
      <c r="A49" s="2303">
        <v>13</v>
      </c>
      <c r="B49" s="2321" t="s">
        <v>628</v>
      </c>
      <c r="C49" s="2322"/>
      <c r="D49" s="1174">
        <v>2279</v>
      </c>
      <c r="E49" s="467">
        <v>1920</v>
      </c>
      <c r="F49" s="494"/>
      <c r="G49" s="506">
        <f t="shared" si="4"/>
        <v>1920</v>
      </c>
      <c r="H49" s="2303"/>
      <c r="I49" s="2300" t="s">
        <v>629</v>
      </c>
    </row>
    <row r="50" spans="1:12" ht="15.75" customHeight="1" x14ac:dyDescent="0.2">
      <c r="A50" s="2304"/>
      <c r="B50" s="2323"/>
      <c r="C50" s="2324"/>
      <c r="D50" s="1174">
        <v>2312</v>
      </c>
      <c r="E50" s="467">
        <v>210</v>
      </c>
      <c r="F50" s="494"/>
      <c r="G50" s="506">
        <f t="shared" si="4"/>
        <v>210</v>
      </c>
      <c r="H50" s="2304"/>
      <c r="I50" s="2302"/>
    </row>
    <row r="51" spans="1:12" ht="15.75" customHeight="1" x14ac:dyDescent="0.2">
      <c r="A51" s="2305"/>
      <c r="B51" s="2325"/>
      <c r="C51" s="2326"/>
      <c r="D51" s="1174">
        <v>2264</v>
      </c>
      <c r="E51" s="467">
        <v>605</v>
      </c>
      <c r="F51" s="494"/>
      <c r="G51" s="506">
        <f t="shared" si="4"/>
        <v>605</v>
      </c>
      <c r="H51" s="2305"/>
      <c r="I51" s="2301"/>
    </row>
    <row r="52" spans="1:12" x14ac:dyDescent="0.2">
      <c r="A52" s="398" t="s">
        <v>534</v>
      </c>
      <c r="B52" s="398"/>
      <c r="C52" s="398"/>
      <c r="D52" s="512"/>
      <c r="E52" s="512"/>
      <c r="F52" s="512"/>
      <c r="G52" s="512"/>
      <c r="H52" s="513"/>
      <c r="I52" s="454"/>
      <c r="J52" s="454"/>
      <c r="K52" s="454"/>
      <c r="L52" s="454"/>
    </row>
    <row r="53" spans="1:12" x14ac:dyDescent="0.2">
      <c r="A53" s="398" t="s">
        <v>535</v>
      </c>
      <c r="B53" s="398"/>
      <c r="C53" s="398"/>
      <c r="D53" s="514"/>
      <c r="E53" s="398"/>
      <c r="F53" s="398"/>
      <c r="G53" s="515"/>
      <c r="H53" s="398"/>
      <c r="I53" s="454"/>
      <c r="J53" s="454"/>
      <c r="K53" s="454"/>
      <c r="L53" s="454"/>
    </row>
    <row r="54" spans="1:12" x14ac:dyDescent="0.2">
      <c r="A54" s="398"/>
      <c r="B54" s="398" t="s">
        <v>630</v>
      </c>
      <c r="D54" s="514"/>
      <c r="E54" s="398"/>
      <c r="F54" s="398"/>
      <c r="G54" s="515"/>
      <c r="H54" s="398"/>
      <c r="I54" s="454"/>
      <c r="J54" s="454"/>
      <c r="K54" s="454"/>
      <c r="L54" s="454"/>
    </row>
    <row r="55" spans="1:12" x14ac:dyDescent="0.2">
      <c r="A55" s="398" t="s">
        <v>537</v>
      </c>
      <c r="B55" s="398"/>
      <c r="C55" s="398"/>
      <c r="D55" s="514"/>
      <c r="E55" s="398"/>
      <c r="G55" s="515"/>
      <c r="H55" s="398"/>
      <c r="I55" s="454"/>
      <c r="J55" s="454"/>
      <c r="K55" s="454"/>
      <c r="L55" s="454"/>
    </row>
    <row r="56" spans="1:12" x14ac:dyDescent="0.2">
      <c r="A56" s="398"/>
      <c r="B56" s="398" t="s">
        <v>631</v>
      </c>
      <c r="C56" s="398"/>
      <c r="D56" s="514"/>
      <c r="E56" s="398"/>
      <c r="F56" s="398"/>
      <c r="G56" s="515"/>
      <c r="H56" s="398"/>
      <c r="I56" s="454"/>
      <c r="J56" s="454"/>
      <c r="K56" s="454"/>
      <c r="L56" s="454"/>
    </row>
    <row r="57" spans="1:12" x14ac:dyDescent="0.2">
      <c r="A57" s="398"/>
      <c r="B57" s="398" t="s">
        <v>632</v>
      </c>
      <c r="C57" s="398"/>
      <c r="D57" s="514"/>
      <c r="E57" s="398"/>
      <c r="F57" s="398"/>
      <c r="G57" s="515"/>
      <c r="H57" s="398"/>
      <c r="I57" s="454"/>
      <c r="J57" s="454"/>
      <c r="K57" s="454"/>
      <c r="L57" s="454"/>
    </row>
    <row r="58" spans="1:12" x14ac:dyDescent="0.2">
      <c r="A58" s="398"/>
      <c r="B58" s="398" t="s">
        <v>633</v>
      </c>
      <c r="D58" s="514"/>
      <c r="E58" s="398"/>
      <c r="F58" s="398"/>
      <c r="G58" s="515"/>
      <c r="H58" s="398"/>
      <c r="I58" s="454"/>
      <c r="J58" s="454"/>
      <c r="K58" s="454"/>
      <c r="L58" s="454"/>
    </row>
    <row r="59" spans="1:12" x14ac:dyDescent="0.2">
      <c r="A59" s="454"/>
      <c r="B59" s="398" t="s">
        <v>634</v>
      </c>
      <c r="C59" s="454"/>
      <c r="D59" s="516"/>
      <c r="E59" s="455"/>
      <c r="F59" s="454"/>
      <c r="G59" s="454"/>
      <c r="H59" s="454"/>
      <c r="I59" s="454"/>
      <c r="J59" s="454"/>
      <c r="K59" s="454"/>
      <c r="L59" s="454"/>
    </row>
    <row r="60" spans="1:12" x14ac:dyDescent="0.2">
      <c r="A60" s="454"/>
      <c r="B60" s="398" t="s">
        <v>635</v>
      </c>
      <c r="D60" s="516"/>
      <c r="E60" s="516"/>
      <c r="F60" s="454"/>
      <c r="G60" s="331"/>
      <c r="H60" s="331"/>
      <c r="I60" s="454"/>
      <c r="J60" s="454"/>
      <c r="K60" s="454"/>
      <c r="L60" s="454"/>
    </row>
    <row r="61" spans="1:12" x14ac:dyDescent="0.2">
      <c r="A61" s="452" t="s">
        <v>636</v>
      </c>
      <c r="B61" s="454"/>
      <c r="C61" s="454"/>
      <c r="D61" s="516"/>
      <c r="E61" s="516"/>
      <c r="F61" s="454"/>
      <c r="G61" s="331"/>
      <c r="H61" s="331"/>
      <c r="I61" s="454"/>
      <c r="J61" s="454"/>
      <c r="K61" s="454"/>
      <c r="L61" s="454"/>
    </row>
    <row r="62" spans="1:12" x14ac:dyDescent="0.2">
      <c r="A62" s="517" t="s">
        <v>637</v>
      </c>
      <c r="B62" s="454"/>
      <c r="C62" s="454"/>
      <c r="D62" s="516"/>
      <c r="E62" s="516"/>
      <c r="F62" s="454"/>
      <c r="G62" s="331"/>
      <c r="H62" s="331"/>
      <c r="I62" s="454"/>
      <c r="J62" s="454"/>
      <c r="K62" s="454"/>
      <c r="L62" s="454"/>
    </row>
    <row r="63" spans="1:12" x14ac:dyDescent="0.2">
      <c r="A63" s="518" t="s">
        <v>638</v>
      </c>
      <c r="B63" s="454"/>
      <c r="C63" s="454"/>
      <c r="D63" s="516"/>
      <c r="E63" s="516"/>
      <c r="F63" s="454"/>
      <c r="G63" s="331"/>
      <c r="H63" s="331"/>
      <c r="I63" s="454"/>
      <c r="J63" s="454"/>
      <c r="K63" s="454"/>
      <c r="L63" s="454"/>
    </row>
    <row r="64" spans="1:12" x14ac:dyDescent="0.2">
      <c r="A64" s="518" t="s">
        <v>639</v>
      </c>
      <c r="B64" s="454"/>
      <c r="C64" s="454"/>
      <c r="D64" s="516"/>
      <c r="E64" s="516"/>
      <c r="F64" s="454"/>
      <c r="G64" s="331"/>
      <c r="H64" s="331"/>
      <c r="I64" s="454"/>
      <c r="J64" s="454"/>
      <c r="K64" s="454"/>
      <c r="L64" s="454"/>
    </row>
    <row r="65" spans="1:12" x14ac:dyDescent="0.2">
      <c r="A65" s="518" t="s">
        <v>640</v>
      </c>
      <c r="B65" s="454"/>
      <c r="C65" s="454"/>
      <c r="D65" s="516"/>
      <c r="E65" s="516"/>
      <c r="F65" s="454"/>
      <c r="G65" s="331"/>
      <c r="H65" s="331"/>
      <c r="I65" s="454"/>
      <c r="J65" s="454"/>
      <c r="K65" s="454"/>
      <c r="L65" s="454"/>
    </row>
    <row r="66" spans="1:12" x14ac:dyDescent="0.2">
      <c r="A66" s="517" t="s">
        <v>641</v>
      </c>
      <c r="B66" s="454"/>
      <c r="C66" s="454"/>
      <c r="D66" s="516"/>
      <c r="E66" s="516"/>
      <c r="F66" s="454"/>
      <c r="G66" s="331"/>
      <c r="H66" s="331"/>
      <c r="I66" s="454"/>
      <c r="J66" s="454"/>
      <c r="K66" s="454"/>
      <c r="L66" s="454"/>
    </row>
    <row r="67" spans="1:12" x14ac:dyDescent="0.2">
      <c r="A67" s="517" t="s">
        <v>642</v>
      </c>
      <c r="B67" s="454"/>
      <c r="C67" s="454"/>
      <c r="D67" s="516"/>
      <c r="E67" s="516"/>
      <c r="F67" s="454"/>
      <c r="G67" s="331"/>
      <c r="H67" s="331"/>
      <c r="I67" s="454"/>
      <c r="J67" s="454"/>
      <c r="K67" s="454"/>
      <c r="L67" s="454"/>
    </row>
    <row r="68" spans="1:12" x14ac:dyDescent="0.2">
      <c r="A68" s="517" t="s">
        <v>643</v>
      </c>
      <c r="B68" s="454"/>
      <c r="C68" s="454"/>
      <c r="D68" s="516"/>
      <c r="E68" s="516"/>
      <c r="F68" s="454"/>
      <c r="G68" s="331"/>
      <c r="H68" s="331"/>
      <c r="I68" s="454"/>
      <c r="J68" s="454"/>
      <c r="K68" s="454"/>
      <c r="L68" s="454"/>
    </row>
    <row r="69" spans="1:12" x14ac:dyDescent="0.2">
      <c r="A69" s="517" t="s">
        <v>644</v>
      </c>
      <c r="B69" s="454"/>
      <c r="C69" s="454"/>
      <c r="D69" s="516"/>
      <c r="E69" s="516"/>
      <c r="F69" s="454"/>
      <c r="G69" s="331"/>
      <c r="H69" s="331"/>
      <c r="I69" s="454"/>
      <c r="J69" s="454"/>
      <c r="K69" s="454"/>
      <c r="L69" s="454"/>
    </row>
    <row r="70" spans="1:12" x14ac:dyDescent="0.2">
      <c r="A70" s="517" t="s">
        <v>645</v>
      </c>
      <c r="B70" s="454"/>
      <c r="C70" s="454"/>
      <c r="D70" s="516"/>
      <c r="E70" s="516"/>
      <c r="F70" s="454"/>
      <c r="G70" s="331"/>
      <c r="H70" s="331"/>
      <c r="I70" s="454"/>
      <c r="J70" s="454"/>
      <c r="K70" s="454"/>
      <c r="L70" s="454"/>
    </row>
    <row r="71" spans="1:12" x14ac:dyDescent="0.2">
      <c r="A71" s="517" t="s">
        <v>646</v>
      </c>
      <c r="B71" s="454"/>
      <c r="C71" s="454"/>
      <c r="D71" s="516"/>
      <c r="E71" s="516"/>
      <c r="F71" s="454"/>
      <c r="G71" s="331"/>
      <c r="H71" s="331"/>
      <c r="I71" s="454"/>
      <c r="J71" s="454"/>
      <c r="K71" s="454"/>
      <c r="L71" s="454"/>
    </row>
    <row r="72" spans="1:12" x14ac:dyDescent="0.2">
      <c r="A72" s="518" t="s">
        <v>647</v>
      </c>
      <c r="B72" s="454"/>
      <c r="C72" s="454"/>
      <c r="D72" s="516"/>
      <c r="E72" s="516"/>
      <c r="F72" s="454"/>
      <c r="G72" s="331"/>
      <c r="H72" s="331"/>
      <c r="I72" s="454"/>
      <c r="J72" s="454"/>
      <c r="K72" s="454"/>
      <c r="L72" s="454"/>
    </row>
    <row r="73" spans="1:12" x14ac:dyDescent="0.2">
      <c r="A73" s="518" t="s">
        <v>648</v>
      </c>
      <c r="B73" s="454"/>
      <c r="C73" s="454"/>
      <c r="D73" s="516"/>
      <c r="E73" s="516"/>
      <c r="F73" s="454"/>
      <c r="G73" s="331"/>
      <c r="H73" s="331"/>
      <c r="I73" s="454"/>
      <c r="J73" s="454"/>
      <c r="K73" s="454"/>
      <c r="L73" s="454"/>
    </row>
    <row r="74" spans="1:12" x14ac:dyDescent="0.2">
      <c r="A74" s="518" t="s">
        <v>649</v>
      </c>
      <c r="B74" s="454"/>
      <c r="C74" s="454"/>
      <c r="D74" s="516"/>
      <c r="E74" s="516"/>
      <c r="F74" s="454"/>
      <c r="G74" s="331"/>
      <c r="H74" s="331"/>
      <c r="I74" s="454"/>
      <c r="J74" s="454"/>
      <c r="K74" s="454"/>
      <c r="L74" s="454"/>
    </row>
    <row r="75" spans="1:12" x14ac:dyDescent="0.2">
      <c r="A75" s="518" t="s">
        <v>650</v>
      </c>
      <c r="B75" s="454"/>
      <c r="C75" s="454"/>
      <c r="D75" s="516"/>
      <c r="E75" s="516"/>
      <c r="F75" s="454"/>
      <c r="G75" s="331"/>
      <c r="H75" s="331"/>
      <c r="I75" s="454"/>
      <c r="J75" s="454"/>
      <c r="K75" s="454"/>
      <c r="L75" s="454"/>
    </row>
    <row r="76" spans="1:12" x14ac:dyDescent="0.2">
      <c r="A76" s="518" t="s">
        <v>651</v>
      </c>
      <c r="B76" s="454"/>
      <c r="C76" s="454"/>
      <c r="D76" s="516"/>
      <c r="E76" s="516"/>
      <c r="F76" s="454"/>
      <c r="G76" s="331"/>
      <c r="H76" s="331"/>
      <c r="I76" s="454"/>
      <c r="J76" s="454"/>
      <c r="K76" s="454"/>
      <c r="L76" s="454"/>
    </row>
    <row r="77" spans="1:12" x14ac:dyDescent="0.2">
      <c r="A77" s="518" t="s">
        <v>652</v>
      </c>
      <c r="B77" s="454"/>
      <c r="C77" s="454"/>
      <c r="D77" s="516"/>
      <c r="E77" s="516"/>
      <c r="F77" s="454"/>
      <c r="G77" s="331"/>
      <c r="H77" s="331"/>
      <c r="I77" s="454"/>
      <c r="J77" s="454"/>
      <c r="K77" s="454"/>
      <c r="L77" s="454"/>
    </row>
    <row r="78" spans="1:12" x14ac:dyDescent="0.2">
      <c r="A78" s="518" t="s">
        <v>653</v>
      </c>
      <c r="B78" s="454"/>
      <c r="C78" s="454"/>
      <c r="D78" s="516"/>
      <c r="E78" s="516"/>
      <c r="F78" s="454"/>
      <c r="G78" s="331"/>
      <c r="H78" s="331"/>
      <c r="I78" s="454"/>
      <c r="J78" s="454"/>
      <c r="K78" s="454"/>
      <c r="L78" s="454"/>
    </row>
    <row r="79" spans="1:12" x14ac:dyDescent="0.2">
      <c r="A79" s="518" t="s">
        <v>651</v>
      </c>
      <c r="B79" s="454"/>
      <c r="C79" s="454"/>
      <c r="D79" s="516"/>
      <c r="E79" s="516"/>
      <c r="F79" s="454"/>
      <c r="G79" s="331"/>
      <c r="H79" s="331"/>
      <c r="I79" s="454"/>
      <c r="J79" s="454"/>
      <c r="K79" s="454"/>
      <c r="L79" s="454"/>
    </row>
    <row r="80" spans="1:12" x14ac:dyDescent="0.2">
      <c r="A80" s="518" t="s">
        <v>654</v>
      </c>
      <c r="B80" s="454"/>
      <c r="C80" s="454"/>
      <c r="D80" s="516"/>
      <c r="E80" s="516"/>
      <c r="F80" s="454"/>
      <c r="G80" s="331"/>
      <c r="H80" s="331"/>
      <c r="I80" s="454"/>
      <c r="J80" s="454"/>
      <c r="K80" s="454"/>
      <c r="L80" s="454"/>
    </row>
    <row r="81" spans="1:12" x14ac:dyDescent="0.2">
      <c r="A81" s="518" t="s">
        <v>655</v>
      </c>
      <c r="B81" s="454"/>
      <c r="C81" s="454"/>
      <c r="D81" s="516"/>
      <c r="E81" s="516"/>
      <c r="F81" s="454"/>
      <c r="G81" s="331"/>
      <c r="H81" s="331"/>
      <c r="I81" s="454"/>
      <c r="J81" s="454"/>
      <c r="K81" s="454"/>
      <c r="L81" s="454"/>
    </row>
    <row r="82" spans="1:12" x14ac:dyDescent="0.2">
      <c r="A82" s="518" t="s">
        <v>656</v>
      </c>
      <c r="B82" s="454"/>
      <c r="C82" s="454"/>
      <c r="D82" s="516"/>
      <c r="E82" s="516"/>
      <c r="F82" s="454"/>
      <c r="G82" s="331"/>
      <c r="H82" s="331"/>
      <c r="I82" s="454"/>
      <c r="J82" s="454"/>
      <c r="K82" s="454"/>
      <c r="L82" s="454"/>
    </row>
    <row r="83" spans="1:12" x14ac:dyDescent="0.2">
      <c r="A83" s="518" t="s">
        <v>657</v>
      </c>
      <c r="B83" s="454"/>
      <c r="C83" s="454"/>
      <c r="D83" s="516"/>
      <c r="E83" s="516"/>
      <c r="F83" s="454"/>
      <c r="G83" s="331"/>
      <c r="H83" s="331"/>
      <c r="I83" s="454"/>
      <c r="J83" s="454"/>
      <c r="K83" s="454"/>
      <c r="L83" s="454"/>
    </row>
    <row r="84" spans="1:12" x14ac:dyDescent="0.2">
      <c r="A84" s="518" t="s">
        <v>658</v>
      </c>
      <c r="B84" s="454"/>
      <c r="C84" s="454"/>
      <c r="D84" s="516"/>
      <c r="E84" s="516"/>
      <c r="F84" s="454"/>
      <c r="G84" s="331"/>
      <c r="H84" s="331"/>
      <c r="I84" s="454"/>
      <c r="J84" s="454"/>
      <c r="K84" s="454"/>
      <c r="L84" s="454"/>
    </row>
    <row r="85" spans="1:12" x14ac:dyDescent="0.2">
      <c r="A85" s="518" t="s">
        <v>659</v>
      </c>
      <c r="B85" s="454"/>
      <c r="C85" s="454"/>
      <c r="D85" s="516"/>
      <c r="E85" s="516"/>
      <c r="F85" s="454"/>
      <c r="G85" s="331"/>
      <c r="H85" s="331"/>
      <c r="I85" s="454"/>
      <c r="J85" s="454"/>
      <c r="K85" s="454"/>
      <c r="L85" s="454"/>
    </row>
    <row r="86" spans="1:12" x14ac:dyDescent="0.2">
      <c r="A86" s="518" t="s">
        <v>660</v>
      </c>
      <c r="B86" s="454"/>
      <c r="C86" s="454"/>
      <c r="D86" s="516"/>
      <c r="E86" s="516"/>
      <c r="F86" s="454"/>
      <c r="G86" s="331"/>
      <c r="H86" s="331"/>
      <c r="I86" s="454"/>
      <c r="J86" s="454"/>
      <c r="K86" s="454"/>
      <c r="L86" s="454"/>
    </row>
    <row r="87" spans="1:12" ht="26.25" customHeight="1" x14ac:dyDescent="0.2">
      <c r="A87" s="2318" t="s">
        <v>661</v>
      </c>
      <c r="B87" s="2318"/>
      <c r="C87" s="2318"/>
      <c r="D87" s="2318"/>
      <c r="E87" s="2318"/>
      <c r="F87" s="2318"/>
      <c r="G87" s="2318"/>
      <c r="H87" s="2318"/>
      <c r="I87" s="2318"/>
      <c r="J87" s="2318"/>
      <c r="K87" s="2318"/>
      <c r="L87" s="2318"/>
    </row>
    <row r="88" spans="1:12" x14ac:dyDescent="0.2">
      <c r="A88" s="518" t="s">
        <v>662</v>
      </c>
      <c r="B88" s="454"/>
      <c r="C88" s="454"/>
      <c r="D88" s="516"/>
      <c r="E88" s="516"/>
      <c r="F88" s="454"/>
      <c r="G88" s="331"/>
      <c r="H88" s="331"/>
      <c r="I88" s="454"/>
      <c r="J88" s="454"/>
      <c r="K88" s="454"/>
      <c r="L88" s="454"/>
    </row>
    <row r="89" spans="1:12" x14ac:dyDescent="0.2">
      <c r="A89" s="519" t="s">
        <v>663</v>
      </c>
      <c r="B89" s="454"/>
      <c r="C89" s="454"/>
      <c r="D89" s="516"/>
      <c r="E89" s="516"/>
      <c r="F89" s="454"/>
      <c r="G89" s="331"/>
      <c r="H89" s="331"/>
      <c r="I89" s="454"/>
      <c r="J89" s="454"/>
      <c r="K89" s="454"/>
      <c r="L89" s="454"/>
    </row>
    <row r="90" spans="1:12" ht="25.5" customHeight="1" x14ac:dyDescent="0.2">
      <c r="A90" s="2319" t="s">
        <v>1713</v>
      </c>
      <c r="B90" s="2319"/>
      <c r="C90" s="2319"/>
      <c r="D90" s="2319"/>
      <c r="E90" s="2319"/>
      <c r="F90" s="2319"/>
      <c r="G90" s="2319"/>
      <c r="H90" s="2319"/>
      <c r="I90" s="2319"/>
      <c r="J90" s="2319"/>
      <c r="K90" s="2319"/>
      <c r="L90" s="2319"/>
    </row>
    <row r="91" spans="1:12" x14ac:dyDescent="0.2">
      <c r="A91" s="519" t="s">
        <v>664</v>
      </c>
      <c r="B91" s="454"/>
      <c r="C91" s="454"/>
      <c r="D91" s="516"/>
      <c r="E91" s="516"/>
      <c r="F91" s="454"/>
      <c r="G91" s="331"/>
      <c r="H91" s="331"/>
      <c r="I91" s="454"/>
      <c r="J91" s="454"/>
      <c r="K91" s="454"/>
      <c r="L91" s="454"/>
    </row>
    <row r="92" spans="1:12" x14ac:dyDescent="0.2">
      <c r="A92" s="454"/>
      <c r="B92" s="454"/>
      <c r="C92" s="454"/>
      <c r="D92" s="516"/>
      <c r="E92" s="516"/>
      <c r="F92" s="454"/>
      <c r="G92" s="331"/>
      <c r="H92" s="331"/>
      <c r="I92" s="454"/>
      <c r="J92" s="454"/>
      <c r="K92" s="454"/>
      <c r="L92" s="454"/>
    </row>
    <row r="93" spans="1:12" x14ac:dyDescent="0.2">
      <c r="A93" s="454"/>
      <c r="B93" s="454"/>
      <c r="C93" s="454"/>
      <c r="D93" s="516"/>
      <c r="E93" s="516"/>
      <c r="F93" s="454"/>
      <c r="G93" s="331"/>
      <c r="H93" s="331"/>
      <c r="I93" s="454"/>
      <c r="J93" s="454"/>
      <c r="K93" s="454"/>
      <c r="L93" s="454"/>
    </row>
  </sheetData>
  <sheetProtection algorithmName="SHA-512" hashValue="v1cJ+ryJ96H3y1jnNvRTHZOdhgix0KzwKAbOayChulxpxZzQ/hujXIx/u4edRlEPoaPrq47V0qQOWLT9uHUxcg==" saltValue="DxWt5xul7LJZcxQUUHjX6A==" spinCount="100000" sheet="1" objects="1" scenarios="1"/>
  <mergeCells count="43">
    <mergeCell ref="A87:L87"/>
    <mergeCell ref="A90:L90"/>
    <mergeCell ref="H49:H51"/>
    <mergeCell ref="I49:I51"/>
    <mergeCell ref="B44:C44"/>
    <mergeCell ref="B45:C45"/>
    <mergeCell ref="B46:C46"/>
    <mergeCell ref="B47:C47"/>
    <mergeCell ref="B48:C48"/>
    <mergeCell ref="A49:A51"/>
    <mergeCell ref="B49:C51"/>
    <mergeCell ref="B43:C43"/>
    <mergeCell ref="B37:C37"/>
    <mergeCell ref="A16:B16"/>
    <mergeCell ref="A17:B17"/>
    <mergeCell ref="B18:C18"/>
    <mergeCell ref="A19:C19"/>
    <mergeCell ref="B31:C31"/>
    <mergeCell ref="A33:B33"/>
    <mergeCell ref="A34:B34"/>
    <mergeCell ref="B35:C35"/>
    <mergeCell ref="A36:C36"/>
    <mergeCell ref="B38:C38"/>
    <mergeCell ref="B39:C39"/>
    <mergeCell ref="B40:C40"/>
    <mergeCell ref="B41:C41"/>
    <mergeCell ref="B42:C42"/>
    <mergeCell ref="I19:I30"/>
    <mergeCell ref="A20:A28"/>
    <mergeCell ref="B20:C28"/>
    <mergeCell ref="B29:C29"/>
    <mergeCell ref="B30:C30"/>
    <mergeCell ref="A10:B10"/>
    <mergeCell ref="B11:C11"/>
    <mergeCell ref="A12:C12"/>
    <mergeCell ref="B13:C13"/>
    <mergeCell ref="I13:I14"/>
    <mergeCell ref="B14:C14"/>
    <mergeCell ref="A9:B9"/>
    <mergeCell ref="A4:B4"/>
    <mergeCell ref="A5:B5"/>
    <mergeCell ref="A6:I6"/>
    <mergeCell ref="A8:B8"/>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85.pielikums Jūrmalas pilsētas domes
2019.gada 29.augusta saistošajiem noteikumiem Nr.31
(protokols Nr.12, 20.punkts)
 </firstHeader>
    <firstFooter>&amp;L&amp;9&amp;D; &amp;T&amp;R&amp;9&amp;P (&amp;N)</first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91"/>
  <sheetViews>
    <sheetView view="pageLayout" zoomScaleNormal="100" workbookViewId="0">
      <selection activeCell="M9" sqref="M9"/>
    </sheetView>
  </sheetViews>
  <sheetFormatPr defaultRowHeight="12.75" outlineLevelCol="1" x14ac:dyDescent="0.2"/>
  <cols>
    <col min="1" max="1" width="6.140625" style="399" customWidth="1"/>
    <col min="2" max="2" width="17.28515625" style="399" customWidth="1"/>
    <col min="3" max="3" width="18.42578125" style="399" customWidth="1"/>
    <col min="4" max="4" width="10.5703125" style="482" customWidth="1"/>
    <col min="5" max="5" width="11.7109375" style="399" hidden="1" customWidth="1" outlineLevel="1"/>
    <col min="6" max="6" width="11.28515625" style="399" hidden="1" customWidth="1" outlineLevel="1"/>
    <col min="7" max="7" width="14.7109375" style="520" customWidth="1" collapsed="1"/>
    <col min="8" max="8" width="29" style="399" hidden="1" customWidth="1" outlineLevel="1"/>
    <col min="9" max="9" width="19" style="399" customWidth="1" collapsed="1"/>
    <col min="10" max="16384" width="9.140625" style="399"/>
  </cols>
  <sheetData>
    <row r="1" spans="1:9" ht="12" customHeight="1" x14ac:dyDescent="0.2">
      <c r="D1" s="480"/>
      <c r="E1" s="403"/>
      <c r="F1" s="403"/>
      <c r="G1" s="399"/>
      <c r="I1" s="481" t="s">
        <v>665</v>
      </c>
    </row>
    <row r="2" spans="1:9" ht="12" x14ac:dyDescent="0.2">
      <c r="G2" s="399"/>
      <c r="I2" s="481" t="s">
        <v>666</v>
      </c>
    </row>
    <row r="3" spans="1:9" ht="12" x14ac:dyDescent="0.2">
      <c r="G3" s="399"/>
      <c r="I3" s="481"/>
    </row>
    <row r="4" spans="1:9" ht="12" x14ac:dyDescent="0.2">
      <c r="A4" s="2253" t="s">
        <v>2</v>
      </c>
      <c r="B4" s="2253"/>
      <c r="C4" s="484" t="s">
        <v>667</v>
      </c>
      <c r="D4" s="483"/>
      <c r="E4" s="484"/>
      <c r="F4" s="484"/>
      <c r="G4" s="399"/>
      <c r="H4" s="484"/>
      <c r="I4" s="484"/>
    </row>
    <row r="5" spans="1:9" ht="12" x14ac:dyDescent="0.2">
      <c r="A5" s="2253" t="s">
        <v>4</v>
      </c>
      <c r="B5" s="2253"/>
      <c r="C5" s="521">
        <v>90000594245</v>
      </c>
      <c r="D5" s="483"/>
      <c r="E5" s="484"/>
      <c r="F5" s="484"/>
      <c r="G5" s="399"/>
      <c r="H5" s="484"/>
      <c r="I5" s="484"/>
    </row>
    <row r="6" spans="1:9" ht="15.75" x14ac:dyDescent="0.25">
      <c r="A6" s="2289" t="s">
        <v>496</v>
      </c>
      <c r="B6" s="2289"/>
      <c r="C6" s="2289"/>
      <c r="D6" s="2289"/>
      <c r="E6" s="2289"/>
      <c r="F6" s="2289"/>
      <c r="G6" s="2289"/>
      <c r="H6" s="2289"/>
      <c r="I6" s="2289"/>
    </row>
    <row r="7" spans="1:9" ht="15.75" x14ac:dyDescent="0.25">
      <c r="A7" s="485"/>
      <c r="B7" s="485"/>
      <c r="C7" s="485"/>
      <c r="D7" s="486"/>
      <c r="E7" s="485"/>
      <c r="F7" s="485"/>
      <c r="G7" s="399"/>
      <c r="H7" s="485"/>
      <c r="I7" s="485"/>
    </row>
    <row r="8" spans="1:9" ht="15.75" x14ac:dyDescent="0.25">
      <c r="A8" s="2253" t="s">
        <v>546</v>
      </c>
      <c r="B8" s="2253"/>
      <c r="C8" s="522" t="s">
        <v>668</v>
      </c>
      <c r="D8" s="483"/>
      <c r="E8" s="484"/>
      <c r="F8" s="484"/>
      <c r="G8" s="399"/>
      <c r="H8" s="484"/>
      <c r="I8" s="484"/>
    </row>
    <row r="9" spans="1:9" ht="12" x14ac:dyDescent="0.2">
      <c r="A9" s="2253" t="s">
        <v>499</v>
      </c>
      <c r="B9" s="2253"/>
      <c r="C9" s="484" t="s">
        <v>669</v>
      </c>
      <c r="D9" s="483"/>
      <c r="E9" s="484"/>
      <c r="F9" s="484"/>
      <c r="G9" s="399"/>
      <c r="H9" s="484"/>
      <c r="I9" s="484"/>
    </row>
    <row r="10" spans="1:9" ht="12" x14ac:dyDescent="0.2">
      <c r="A10" s="2253" t="s">
        <v>500</v>
      </c>
      <c r="B10" s="2253"/>
      <c r="C10" s="523" t="s">
        <v>670</v>
      </c>
      <c r="D10" s="483"/>
      <c r="E10" s="484"/>
      <c r="F10" s="484"/>
      <c r="G10" s="399"/>
      <c r="H10" s="484"/>
      <c r="I10" s="484"/>
    </row>
    <row r="11" spans="1:9" ht="48" x14ac:dyDescent="0.2">
      <c r="A11" s="356" t="s">
        <v>501</v>
      </c>
      <c r="B11" s="2293" t="s">
        <v>502</v>
      </c>
      <c r="C11" s="2294"/>
      <c r="D11" s="489" t="s">
        <v>503</v>
      </c>
      <c r="E11" s="356" t="s">
        <v>504</v>
      </c>
      <c r="F11" s="356" t="s">
        <v>505</v>
      </c>
      <c r="G11" s="356" t="s">
        <v>506</v>
      </c>
      <c r="H11" s="356" t="s">
        <v>36</v>
      </c>
      <c r="I11" s="356" t="s">
        <v>507</v>
      </c>
    </row>
    <row r="12" spans="1:9" ht="12.75" customHeight="1" x14ac:dyDescent="0.2">
      <c r="A12" s="2295" t="s">
        <v>549</v>
      </c>
      <c r="B12" s="2296"/>
      <c r="C12" s="2297"/>
      <c r="D12" s="490"/>
      <c r="E12" s="491">
        <f>SUM(E13:E13)</f>
        <v>33241</v>
      </c>
      <c r="F12" s="491">
        <f>SUM(F13:F13)</f>
        <v>0</v>
      </c>
      <c r="G12" s="1168">
        <f>SUM(G13:G13)</f>
        <v>33241</v>
      </c>
      <c r="H12" s="492"/>
      <c r="I12" s="491"/>
    </row>
    <row r="13" spans="1:9" ht="39.75" customHeight="1" x14ac:dyDescent="0.2">
      <c r="A13" s="493">
        <v>1</v>
      </c>
      <c r="B13" s="2298" t="s">
        <v>671</v>
      </c>
      <c r="C13" s="2299"/>
      <c r="D13" s="524">
        <v>3263</v>
      </c>
      <c r="E13" s="525">
        <v>33241</v>
      </c>
      <c r="F13" s="525"/>
      <c r="G13" s="506">
        <f>E13+F13</f>
        <v>33241</v>
      </c>
      <c r="H13" s="492"/>
      <c r="I13" s="1056" t="s">
        <v>672</v>
      </c>
    </row>
    <row r="14" spans="1:9" ht="12" x14ac:dyDescent="0.2">
      <c r="A14" s="497"/>
      <c r="B14" s="497"/>
      <c r="C14" s="497"/>
      <c r="D14" s="498"/>
      <c r="E14" s="497"/>
      <c r="F14" s="497"/>
      <c r="G14" s="399"/>
      <c r="H14" s="497"/>
      <c r="I14" s="497"/>
    </row>
    <row r="15" spans="1:9" ht="12" x14ac:dyDescent="0.2">
      <c r="A15" s="2253" t="s">
        <v>499</v>
      </c>
      <c r="B15" s="2253"/>
      <c r="C15" s="484" t="s">
        <v>449</v>
      </c>
      <c r="D15" s="483"/>
      <c r="E15" s="484"/>
      <c r="F15" s="484"/>
      <c r="G15" s="399"/>
      <c r="H15" s="484"/>
      <c r="I15" s="484"/>
    </row>
    <row r="16" spans="1:9" ht="12" x14ac:dyDescent="0.2">
      <c r="A16" s="2253" t="s">
        <v>500</v>
      </c>
      <c r="B16" s="2253"/>
      <c r="C16" s="523" t="s">
        <v>673</v>
      </c>
      <c r="D16" s="483"/>
      <c r="E16" s="484"/>
      <c r="F16" s="484"/>
      <c r="G16" s="399"/>
      <c r="H16" s="484"/>
      <c r="I16" s="484"/>
    </row>
    <row r="17" spans="1:9" ht="48" x14ac:dyDescent="0.2">
      <c r="A17" s="356" t="s">
        <v>501</v>
      </c>
      <c r="B17" s="2293" t="s">
        <v>502</v>
      </c>
      <c r="C17" s="2294"/>
      <c r="D17" s="489" t="s">
        <v>503</v>
      </c>
      <c r="E17" s="356" t="s">
        <v>504</v>
      </c>
      <c r="F17" s="356" t="s">
        <v>505</v>
      </c>
      <c r="G17" s="356" t="s">
        <v>506</v>
      </c>
      <c r="H17" s="356" t="s">
        <v>36</v>
      </c>
      <c r="I17" s="356" t="s">
        <v>507</v>
      </c>
    </row>
    <row r="18" spans="1:9" ht="12" x14ac:dyDescent="0.2">
      <c r="A18" s="2295" t="s">
        <v>549</v>
      </c>
      <c r="B18" s="2296"/>
      <c r="C18" s="2297"/>
      <c r="D18" s="490"/>
      <c r="E18" s="491">
        <f>SUM(E19:E22)</f>
        <v>4850</v>
      </c>
      <c r="F18" s="491">
        <f>SUM(F19:F22)</f>
        <v>0</v>
      </c>
      <c r="G18" s="1168">
        <f>SUM(G19:G22)</f>
        <v>4850</v>
      </c>
      <c r="H18" s="492"/>
      <c r="I18" s="2327" t="s">
        <v>674</v>
      </c>
    </row>
    <row r="19" spans="1:9" ht="15.75" customHeight="1" x14ac:dyDescent="0.2">
      <c r="A19" s="2303">
        <v>1</v>
      </c>
      <c r="B19" s="2306" t="s">
        <v>675</v>
      </c>
      <c r="C19" s="2307"/>
      <c r="D19" s="524">
        <v>2279</v>
      </c>
      <c r="E19" s="492">
        <v>1450</v>
      </c>
      <c r="F19" s="492">
        <v>-750</v>
      </c>
      <c r="G19" s="506">
        <f t="shared" ref="G19:G22" si="0">E19+F19</f>
        <v>700</v>
      </c>
      <c r="H19" s="2330" t="s">
        <v>676</v>
      </c>
      <c r="I19" s="2328"/>
    </row>
    <row r="20" spans="1:9" ht="15.75" customHeight="1" x14ac:dyDescent="0.2">
      <c r="A20" s="2304"/>
      <c r="B20" s="2308"/>
      <c r="C20" s="2309"/>
      <c r="D20" s="524">
        <v>2314</v>
      </c>
      <c r="E20" s="492"/>
      <c r="F20" s="492">
        <v>750</v>
      </c>
      <c r="G20" s="506">
        <f t="shared" si="0"/>
        <v>750</v>
      </c>
      <c r="H20" s="2331"/>
      <c r="I20" s="2328"/>
    </row>
    <row r="21" spans="1:9" ht="15.75" customHeight="1" x14ac:dyDescent="0.2">
      <c r="A21" s="2305"/>
      <c r="B21" s="2310"/>
      <c r="C21" s="2311"/>
      <c r="D21" s="524">
        <v>2231</v>
      </c>
      <c r="E21" s="492">
        <v>300</v>
      </c>
      <c r="F21" s="492"/>
      <c r="G21" s="506">
        <f t="shared" si="0"/>
        <v>300</v>
      </c>
      <c r="H21" s="492"/>
      <c r="I21" s="2329"/>
    </row>
    <row r="22" spans="1:9" ht="27" customHeight="1" x14ac:dyDescent="0.2">
      <c r="A22" s="493">
        <v>2</v>
      </c>
      <c r="B22" s="2298" t="s">
        <v>677</v>
      </c>
      <c r="C22" s="2299"/>
      <c r="D22" s="524">
        <v>2279</v>
      </c>
      <c r="E22" s="526">
        <v>3100</v>
      </c>
      <c r="F22" s="526"/>
      <c r="G22" s="503">
        <f t="shared" si="0"/>
        <v>3100</v>
      </c>
      <c r="H22" s="492"/>
      <c r="I22" s="493" t="s">
        <v>674</v>
      </c>
    </row>
    <row r="23" spans="1:9" ht="12" x14ac:dyDescent="0.2">
      <c r="A23" s="497"/>
      <c r="B23" s="497"/>
      <c r="C23" s="497"/>
      <c r="D23" s="498"/>
      <c r="E23" s="497"/>
      <c r="F23" s="497"/>
      <c r="G23" s="399"/>
      <c r="H23" s="497"/>
      <c r="I23" s="497"/>
    </row>
    <row r="24" spans="1:9" ht="12" x14ac:dyDescent="0.2">
      <c r="A24" s="2253" t="s">
        <v>499</v>
      </c>
      <c r="B24" s="2253"/>
      <c r="C24" s="484" t="s">
        <v>678</v>
      </c>
      <c r="D24" s="483"/>
      <c r="E24" s="484"/>
      <c r="F24" s="484"/>
      <c r="G24" s="399"/>
      <c r="H24" s="484"/>
      <c r="I24" s="484"/>
    </row>
    <row r="25" spans="1:9" ht="12" x14ac:dyDescent="0.2">
      <c r="A25" s="2253" t="s">
        <v>500</v>
      </c>
      <c r="B25" s="2253"/>
      <c r="C25" s="523" t="s">
        <v>673</v>
      </c>
      <c r="D25" s="483"/>
      <c r="E25" s="484"/>
      <c r="F25" s="484"/>
      <c r="G25" s="399"/>
      <c r="H25" s="484"/>
      <c r="I25" s="484"/>
    </row>
    <row r="26" spans="1:9" ht="48" x14ac:dyDescent="0.2">
      <c r="A26" s="356" t="s">
        <v>501</v>
      </c>
      <c r="B26" s="2293" t="s">
        <v>502</v>
      </c>
      <c r="C26" s="2294"/>
      <c r="D26" s="489" t="s">
        <v>503</v>
      </c>
      <c r="E26" s="356" t="s">
        <v>504</v>
      </c>
      <c r="F26" s="356" t="s">
        <v>505</v>
      </c>
      <c r="G26" s="356" t="s">
        <v>506</v>
      </c>
      <c r="H26" s="356" t="s">
        <v>36</v>
      </c>
      <c r="I26" s="356" t="s">
        <v>507</v>
      </c>
    </row>
    <row r="27" spans="1:9" ht="12" x14ac:dyDescent="0.2">
      <c r="A27" s="2295" t="s">
        <v>549</v>
      </c>
      <c r="B27" s="2296"/>
      <c r="C27" s="2297"/>
      <c r="D27" s="490"/>
      <c r="E27" s="491">
        <f>SUM(E28:E28)</f>
        <v>11400</v>
      </c>
      <c r="F27" s="491">
        <f>SUM(F28:F28)</f>
        <v>0</v>
      </c>
      <c r="G27" s="491">
        <f>SUM(G28:G28)</f>
        <v>11400</v>
      </c>
      <c r="H27" s="492"/>
      <c r="I27" s="491"/>
    </row>
    <row r="28" spans="1:9" ht="27" customHeight="1" x14ac:dyDescent="0.2">
      <c r="A28" s="493">
        <v>1</v>
      </c>
      <c r="B28" s="2298" t="s">
        <v>679</v>
      </c>
      <c r="C28" s="2299"/>
      <c r="D28" s="524">
        <v>2279</v>
      </c>
      <c r="E28" s="525">
        <v>11400</v>
      </c>
      <c r="F28" s="525"/>
      <c r="G28" s="506">
        <f t="shared" ref="G28" si="1">E28+F28</f>
        <v>11400</v>
      </c>
      <c r="H28" s="492"/>
      <c r="I28" s="1056" t="s">
        <v>674</v>
      </c>
    </row>
    <row r="29" spans="1:9" ht="12" x14ac:dyDescent="0.2">
      <c r="G29" s="399"/>
    </row>
    <row r="30" spans="1:9" ht="12" x14ac:dyDescent="0.2">
      <c r="A30" s="2253" t="s">
        <v>499</v>
      </c>
      <c r="B30" s="2253"/>
      <c r="C30" s="484" t="s">
        <v>453</v>
      </c>
      <c r="G30" s="399"/>
    </row>
    <row r="31" spans="1:9" ht="12" x14ac:dyDescent="0.2">
      <c r="A31" s="2253" t="s">
        <v>500</v>
      </c>
      <c r="B31" s="2253"/>
      <c r="C31" s="523" t="s">
        <v>673</v>
      </c>
      <c r="G31" s="399"/>
    </row>
    <row r="32" spans="1:9" ht="48" x14ac:dyDescent="0.2">
      <c r="A32" s="356" t="s">
        <v>501</v>
      </c>
      <c r="B32" s="2293" t="s">
        <v>502</v>
      </c>
      <c r="C32" s="2294"/>
      <c r="D32" s="489" t="s">
        <v>503</v>
      </c>
      <c r="E32" s="356" t="s">
        <v>504</v>
      </c>
      <c r="F32" s="356" t="s">
        <v>505</v>
      </c>
      <c r="G32" s="356" t="s">
        <v>506</v>
      </c>
      <c r="H32" s="356" t="s">
        <v>36</v>
      </c>
      <c r="I32" s="356" t="s">
        <v>507</v>
      </c>
    </row>
    <row r="33" spans="1:9" ht="12" customHeight="1" x14ac:dyDescent="0.2">
      <c r="A33" s="2295" t="s">
        <v>549</v>
      </c>
      <c r="B33" s="2296"/>
      <c r="C33" s="2297"/>
      <c r="D33" s="490"/>
      <c r="E33" s="491">
        <f>SUM(E34:E38)</f>
        <v>5878</v>
      </c>
      <c r="F33" s="491">
        <f>SUM(F34:F38)</f>
        <v>-400</v>
      </c>
      <c r="G33" s="1168">
        <f>SUM(G34:G38)</f>
        <v>5478</v>
      </c>
      <c r="H33" s="492"/>
      <c r="I33" s="527"/>
    </row>
    <row r="34" spans="1:9" ht="27" customHeight="1" x14ac:dyDescent="0.2">
      <c r="A34" s="493">
        <v>1</v>
      </c>
      <c r="B34" s="2332" t="s">
        <v>680</v>
      </c>
      <c r="C34" s="2333"/>
      <c r="D34" s="524">
        <v>2279</v>
      </c>
      <c r="E34" s="492">
        <v>1100</v>
      </c>
      <c r="F34" s="492"/>
      <c r="G34" s="506">
        <f t="shared" ref="G34:G38" si="2">E34+F34</f>
        <v>1100</v>
      </c>
      <c r="H34" s="492"/>
      <c r="I34" s="1056" t="s">
        <v>674</v>
      </c>
    </row>
    <row r="35" spans="1:9" ht="15.75" customHeight="1" x14ac:dyDescent="0.2">
      <c r="A35" s="2303">
        <v>2</v>
      </c>
      <c r="B35" s="2334" t="s">
        <v>681</v>
      </c>
      <c r="C35" s="2335"/>
      <c r="D35" s="524">
        <v>2279</v>
      </c>
      <c r="E35" s="492">
        <v>1760</v>
      </c>
      <c r="F35" s="492"/>
      <c r="G35" s="506">
        <f t="shared" si="2"/>
        <v>1760</v>
      </c>
      <c r="H35" s="2330"/>
      <c r="I35" s="2327" t="s">
        <v>674</v>
      </c>
    </row>
    <row r="36" spans="1:9" ht="15.75" customHeight="1" x14ac:dyDescent="0.2">
      <c r="A36" s="2305"/>
      <c r="B36" s="2336"/>
      <c r="C36" s="2337"/>
      <c r="D36" s="531">
        <v>2314</v>
      </c>
      <c r="E36" s="528">
        <v>50</v>
      </c>
      <c r="F36" s="528"/>
      <c r="G36" s="533">
        <f t="shared" si="2"/>
        <v>50</v>
      </c>
      <c r="H36" s="2331"/>
      <c r="I36" s="2329"/>
    </row>
    <row r="37" spans="1:9" ht="15.75" customHeight="1" x14ac:dyDescent="0.2">
      <c r="A37" s="2303">
        <v>3</v>
      </c>
      <c r="B37" s="2306" t="s">
        <v>682</v>
      </c>
      <c r="C37" s="2307"/>
      <c r="D37" s="524">
        <v>2279</v>
      </c>
      <c r="E37" s="526">
        <v>2470</v>
      </c>
      <c r="F37" s="526">
        <v>-400</v>
      </c>
      <c r="G37" s="503">
        <f t="shared" si="2"/>
        <v>2070</v>
      </c>
      <c r="H37" s="511" t="s">
        <v>683</v>
      </c>
      <c r="I37" s="2303" t="s">
        <v>674</v>
      </c>
    </row>
    <row r="38" spans="1:9" ht="15.75" customHeight="1" x14ac:dyDescent="0.2">
      <c r="A38" s="2305"/>
      <c r="B38" s="2310"/>
      <c r="C38" s="2311"/>
      <c r="D38" s="524">
        <v>2314</v>
      </c>
      <c r="E38" s="526">
        <v>498</v>
      </c>
      <c r="F38" s="526"/>
      <c r="G38" s="503">
        <f t="shared" si="2"/>
        <v>498</v>
      </c>
      <c r="H38" s="492"/>
      <c r="I38" s="2305"/>
    </row>
    <row r="39" spans="1:9" ht="12" x14ac:dyDescent="0.2">
      <c r="G39" s="399"/>
    </row>
    <row r="40" spans="1:9" ht="12" x14ac:dyDescent="0.2">
      <c r="A40" s="2253" t="s">
        <v>499</v>
      </c>
      <c r="B40" s="2253"/>
      <c r="C40" s="484" t="s">
        <v>456</v>
      </c>
      <c r="G40" s="399"/>
    </row>
    <row r="41" spans="1:9" ht="12" x14ac:dyDescent="0.2">
      <c r="A41" s="2253" t="s">
        <v>500</v>
      </c>
      <c r="B41" s="2253"/>
      <c r="C41" s="523" t="s">
        <v>673</v>
      </c>
      <c r="G41" s="399"/>
    </row>
    <row r="42" spans="1:9" ht="48" x14ac:dyDescent="0.2">
      <c r="A42" s="356" t="s">
        <v>501</v>
      </c>
      <c r="B42" s="2293" t="s">
        <v>502</v>
      </c>
      <c r="C42" s="2294"/>
      <c r="D42" s="489" t="s">
        <v>503</v>
      </c>
      <c r="E42" s="356" t="s">
        <v>504</v>
      </c>
      <c r="F42" s="356" t="s">
        <v>505</v>
      </c>
      <c r="G42" s="356" t="s">
        <v>506</v>
      </c>
      <c r="H42" s="356" t="s">
        <v>36</v>
      </c>
      <c r="I42" s="356" t="s">
        <v>507</v>
      </c>
    </row>
    <row r="43" spans="1:9" ht="14.25" customHeight="1" x14ac:dyDescent="0.2">
      <c r="A43" s="2295" t="s">
        <v>549</v>
      </c>
      <c r="B43" s="2296"/>
      <c r="C43" s="2297"/>
      <c r="D43" s="490"/>
      <c r="E43" s="491">
        <f>SUM(E44:E59)</f>
        <v>50938</v>
      </c>
      <c r="F43" s="491">
        <f t="shared" ref="F43:G43" si="3">SUM(F44:F59)</f>
        <v>400</v>
      </c>
      <c r="G43" s="1168">
        <f t="shared" si="3"/>
        <v>51338</v>
      </c>
      <c r="H43" s="492"/>
      <c r="I43" s="527"/>
    </row>
    <row r="44" spans="1:9" ht="15.75" customHeight="1" x14ac:dyDescent="0.2">
      <c r="A44" s="2303">
        <v>1</v>
      </c>
      <c r="B44" s="2334" t="s">
        <v>684</v>
      </c>
      <c r="C44" s="2335"/>
      <c r="D44" s="524">
        <v>2314</v>
      </c>
      <c r="E44" s="525">
        <v>720</v>
      </c>
      <c r="F44" s="525"/>
      <c r="G44" s="506">
        <f t="shared" ref="G44:G59" si="4">E44+F44</f>
        <v>720</v>
      </c>
      <c r="H44" s="525"/>
      <c r="I44" s="2303" t="s">
        <v>674</v>
      </c>
    </row>
    <row r="45" spans="1:9" ht="15.75" customHeight="1" x14ac:dyDescent="0.2">
      <c r="A45" s="2305"/>
      <c r="B45" s="2336"/>
      <c r="C45" s="2337"/>
      <c r="D45" s="524">
        <v>2279</v>
      </c>
      <c r="E45" s="492">
        <v>1100</v>
      </c>
      <c r="F45" s="492"/>
      <c r="G45" s="506">
        <f t="shared" si="4"/>
        <v>1100</v>
      </c>
      <c r="H45" s="492"/>
      <c r="I45" s="2305"/>
    </row>
    <row r="46" spans="1:9" ht="27" customHeight="1" x14ac:dyDescent="0.2">
      <c r="A46" s="493">
        <v>2</v>
      </c>
      <c r="B46" s="2298" t="s">
        <v>685</v>
      </c>
      <c r="C46" s="2299"/>
      <c r="D46" s="524">
        <v>2314</v>
      </c>
      <c r="E46" s="526">
        <v>2774</v>
      </c>
      <c r="F46" s="492"/>
      <c r="G46" s="506">
        <f t="shared" si="4"/>
        <v>2774</v>
      </c>
      <c r="H46" s="492"/>
      <c r="I46" s="1055" t="s">
        <v>674</v>
      </c>
    </row>
    <row r="47" spans="1:9" ht="27" customHeight="1" x14ac:dyDescent="0.2">
      <c r="A47" s="530">
        <v>3</v>
      </c>
      <c r="B47" s="2298" t="s">
        <v>686</v>
      </c>
      <c r="C47" s="2299"/>
      <c r="D47" s="531">
        <v>2279</v>
      </c>
      <c r="E47" s="532">
        <v>7000</v>
      </c>
      <c r="F47" s="528"/>
      <c r="G47" s="533">
        <f t="shared" si="4"/>
        <v>7000</v>
      </c>
      <c r="H47" s="528"/>
      <c r="I47" s="1055" t="s">
        <v>674</v>
      </c>
    </row>
    <row r="48" spans="1:9" ht="27" customHeight="1" x14ac:dyDescent="0.2">
      <c r="A48" s="534">
        <v>4</v>
      </c>
      <c r="B48" s="2306" t="s">
        <v>687</v>
      </c>
      <c r="C48" s="2307"/>
      <c r="D48" s="524">
        <v>2279</v>
      </c>
      <c r="E48" s="526">
        <v>3000</v>
      </c>
      <c r="F48" s="526"/>
      <c r="G48" s="503">
        <f t="shared" si="4"/>
        <v>3000</v>
      </c>
      <c r="H48" s="492"/>
      <c r="I48" s="1053" t="s">
        <v>674</v>
      </c>
    </row>
    <row r="49" spans="1:9" ht="15.75" customHeight="1" x14ac:dyDescent="0.2">
      <c r="A49" s="2338">
        <v>5</v>
      </c>
      <c r="B49" s="2341" t="s">
        <v>688</v>
      </c>
      <c r="C49" s="2341"/>
      <c r="D49" s="524">
        <v>2279</v>
      </c>
      <c r="E49" s="526">
        <v>500</v>
      </c>
      <c r="F49" s="526"/>
      <c r="G49" s="503">
        <f t="shared" si="4"/>
        <v>500</v>
      </c>
      <c r="H49" s="492"/>
      <c r="I49" s="2303" t="s">
        <v>674</v>
      </c>
    </row>
    <row r="50" spans="1:9" ht="15.75" customHeight="1" x14ac:dyDescent="0.2">
      <c r="A50" s="2339"/>
      <c r="B50" s="2342"/>
      <c r="C50" s="2342"/>
      <c r="D50" s="524">
        <v>2231</v>
      </c>
      <c r="E50" s="499">
        <v>300</v>
      </c>
      <c r="F50" s="499"/>
      <c r="G50" s="503">
        <f t="shared" si="4"/>
        <v>300</v>
      </c>
      <c r="H50" s="499"/>
      <c r="I50" s="2304"/>
    </row>
    <row r="51" spans="1:9" ht="15.75" customHeight="1" x14ac:dyDescent="0.2">
      <c r="A51" s="2340"/>
      <c r="B51" s="2343"/>
      <c r="C51" s="2343"/>
      <c r="D51" s="524">
        <v>2314</v>
      </c>
      <c r="E51" s="499">
        <v>100</v>
      </c>
      <c r="F51" s="529"/>
      <c r="G51" s="535">
        <f t="shared" si="4"/>
        <v>100</v>
      </c>
      <c r="H51" s="529"/>
      <c r="I51" s="2305"/>
    </row>
    <row r="52" spans="1:9" ht="27" customHeight="1" x14ac:dyDescent="0.2">
      <c r="A52" s="495">
        <v>6</v>
      </c>
      <c r="B52" s="2344" t="s">
        <v>689</v>
      </c>
      <c r="C52" s="2344"/>
      <c r="D52" s="524">
        <v>2279</v>
      </c>
      <c r="E52" s="503">
        <v>19050</v>
      </c>
      <c r="F52" s="499"/>
      <c r="G52" s="503">
        <f t="shared" si="4"/>
        <v>19050</v>
      </c>
      <c r="H52" s="499"/>
      <c r="I52" s="1056" t="s">
        <v>674</v>
      </c>
    </row>
    <row r="53" spans="1:9" ht="15.75" customHeight="1" x14ac:dyDescent="0.2">
      <c r="A53" s="2345">
        <v>7</v>
      </c>
      <c r="B53" s="2346" t="s">
        <v>690</v>
      </c>
      <c r="C53" s="2346"/>
      <c r="D53" s="524">
        <v>2231</v>
      </c>
      <c r="E53" s="499">
        <v>2000</v>
      </c>
      <c r="F53" s="499"/>
      <c r="G53" s="503">
        <f t="shared" si="4"/>
        <v>2000</v>
      </c>
      <c r="H53" s="536"/>
      <c r="I53" s="2347" t="s">
        <v>691</v>
      </c>
    </row>
    <row r="54" spans="1:9" ht="15.75" customHeight="1" x14ac:dyDescent="0.2">
      <c r="A54" s="2345"/>
      <c r="B54" s="2346"/>
      <c r="C54" s="2346"/>
      <c r="D54" s="524">
        <v>2279</v>
      </c>
      <c r="E54" s="499">
        <v>2120</v>
      </c>
      <c r="F54" s="499"/>
      <c r="G54" s="503">
        <f>E54+F54</f>
        <v>2120</v>
      </c>
      <c r="H54" s="536"/>
      <c r="I54" s="2347"/>
    </row>
    <row r="55" spans="1:9" ht="15.75" customHeight="1" x14ac:dyDescent="0.2">
      <c r="A55" s="2345"/>
      <c r="B55" s="2346"/>
      <c r="C55" s="2346"/>
      <c r="D55" s="524">
        <v>6422</v>
      </c>
      <c r="E55" s="499">
        <v>5500</v>
      </c>
      <c r="F55" s="499"/>
      <c r="G55" s="503">
        <f>E55+F55</f>
        <v>5500</v>
      </c>
      <c r="H55" s="536"/>
      <c r="I55" s="2347"/>
    </row>
    <row r="56" spans="1:9" ht="15.75" customHeight="1" x14ac:dyDescent="0.2">
      <c r="A56" s="2345"/>
      <c r="B56" s="2346"/>
      <c r="C56" s="2346"/>
      <c r="D56" s="524">
        <v>2314</v>
      </c>
      <c r="F56" s="537">
        <v>400</v>
      </c>
      <c r="G56" s="503">
        <f>E56+F56</f>
        <v>400</v>
      </c>
      <c r="H56" s="536" t="s">
        <v>692</v>
      </c>
      <c r="I56" s="2347"/>
    </row>
    <row r="57" spans="1:9" ht="15.75" customHeight="1" x14ac:dyDescent="0.2">
      <c r="A57" s="2345">
        <v>8</v>
      </c>
      <c r="B57" s="2346" t="s">
        <v>693</v>
      </c>
      <c r="C57" s="2346"/>
      <c r="D57" s="524">
        <v>2231</v>
      </c>
      <c r="E57" s="499">
        <v>1440</v>
      </c>
      <c r="F57" s="499"/>
      <c r="G57" s="503">
        <f t="shared" si="4"/>
        <v>1440</v>
      </c>
      <c r="H57" s="499"/>
      <c r="I57" s="2348" t="s">
        <v>674</v>
      </c>
    </row>
    <row r="58" spans="1:9" ht="15.75" customHeight="1" x14ac:dyDescent="0.2">
      <c r="A58" s="2345"/>
      <c r="B58" s="2346"/>
      <c r="C58" s="2346"/>
      <c r="D58" s="524">
        <v>2279</v>
      </c>
      <c r="E58" s="499">
        <v>300</v>
      </c>
      <c r="F58" s="499"/>
      <c r="G58" s="503">
        <f t="shared" si="4"/>
        <v>300</v>
      </c>
      <c r="H58" s="536"/>
      <c r="I58" s="2348"/>
    </row>
    <row r="59" spans="1:9" ht="34.5" customHeight="1" x14ac:dyDescent="0.2">
      <c r="A59" s="495">
        <v>9</v>
      </c>
      <c r="B59" s="2349" t="s">
        <v>694</v>
      </c>
      <c r="C59" s="2350"/>
      <c r="D59" s="524">
        <v>2279</v>
      </c>
      <c r="E59" s="506">
        <v>5034</v>
      </c>
      <c r="F59" s="495"/>
      <c r="G59" s="503">
        <f t="shared" si="4"/>
        <v>5034</v>
      </c>
      <c r="H59" s="536"/>
      <c r="I59" s="1056" t="s">
        <v>674</v>
      </c>
    </row>
    <row r="60" spans="1:9" ht="12" x14ac:dyDescent="0.2">
      <c r="G60" s="399"/>
    </row>
    <row r="61" spans="1:9" ht="12" x14ac:dyDescent="0.2">
      <c r="A61" s="2253" t="s">
        <v>499</v>
      </c>
      <c r="B61" s="2253"/>
      <c r="C61" s="484" t="s">
        <v>695</v>
      </c>
      <c r="D61" s="483"/>
      <c r="E61" s="484"/>
      <c r="F61" s="484"/>
      <c r="G61" s="399"/>
      <c r="H61" s="484"/>
      <c r="I61" s="484"/>
    </row>
    <row r="62" spans="1:9" ht="12" x14ac:dyDescent="0.2">
      <c r="A62" s="2253" t="s">
        <v>500</v>
      </c>
      <c r="B62" s="2253"/>
      <c r="C62" s="523" t="s">
        <v>673</v>
      </c>
      <c r="D62" s="483"/>
      <c r="E62" s="484"/>
      <c r="F62" s="484"/>
      <c r="G62" s="399"/>
      <c r="H62" s="484"/>
      <c r="I62" s="484"/>
    </row>
    <row r="63" spans="1:9" ht="48" x14ac:dyDescent="0.2">
      <c r="A63" s="356" t="s">
        <v>501</v>
      </c>
      <c r="B63" s="2293" t="s">
        <v>502</v>
      </c>
      <c r="C63" s="2294"/>
      <c r="D63" s="489" t="s">
        <v>503</v>
      </c>
      <c r="E63" s="356" t="s">
        <v>504</v>
      </c>
      <c r="F63" s="356" t="s">
        <v>505</v>
      </c>
      <c r="G63" s="356" t="s">
        <v>506</v>
      </c>
      <c r="H63" s="356" t="s">
        <v>36</v>
      </c>
      <c r="I63" s="356" t="s">
        <v>507</v>
      </c>
    </row>
    <row r="64" spans="1:9" ht="15.75" customHeight="1" x14ac:dyDescent="0.2">
      <c r="A64" s="2295" t="s">
        <v>549</v>
      </c>
      <c r="B64" s="2296"/>
      <c r="C64" s="2297"/>
      <c r="D64" s="490"/>
      <c r="E64" s="491">
        <f>SUM(E65:E65)</f>
        <v>1500</v>
      </c>
      <c r="F64" s="491">
        <f>SUM(F65:F65)</f>
        <v>0</v>
      </c>
      <c r="G64" s="1168">
        <f>SUM(G65:G65)</f>
        <v>1500</v>
      </c>
      <c r="H64" s="492"/>
    </row>
    <row r="65" spans="1:9" ht="29.25" customHeight="1" x14ac:dyDescent="0.2">
      <c r="A65" s="493">
        <v>1</v>
      </c>
      <c r="B65" s="2298" t="s">
        <v>696</v>
      </c>
      <c r="C65" s="2299"/>
      <c r="D65" s="524">
        <v>2279</v>
      </c>
      <c r="E65" s="492">
        <v>1500</v>
      </c>
      <c r="F65" s="492"/>
      <c r="G65" s="506">
        <f t="shared" ref="G65" si="5">E65+F65</f>
        <v>1500</v>
      </c>
      <c r="H65" s="492"/>
      <c r="I65" s="538" t="s">
        <v>674</v>
      </c>
    </row>
    <row r="67" spans="1:9" ht="12" x14ac:dyDescent="0.2">
      <c r="A67" s="2253" t="s">
        <v>499</v>
      </c>
      <c r="B67" s="2253"/>
      <c r="C67" s="484" t="s">
        <v>697</v>
      </c>
      <c r="D67" s="483"/>
      <c r="E67" s="484"/>
      <c r="F67" s="484"/>
      <c r="G67" s="399"/>
      <c r="H67" s="484"/>
      <c r="I67" s="484"/>
    </row>
    <row r="68" spans="1:9" ht="12" x14ac:dyDescent="0.2">
      <c r="A68" s="2253" t="s">
        <v>500</v>
      </c>
      <c r="B68" s="2253"/>
      <c r="C68" s="523" t="s">
        <v>673</v>
      </c>
      <c r="D68" s="483"/>
      <c r="E68" s="484"/>
      <c r="F68" s="484"/>
      <c r="G68" s="399"/>
      <c r="H68" s="484"/>
      <c r="I68" s="484"/>
    </row>
    <row r="69" spans="1:9" ht="48" x14ac:dyDescent="0.2">
      <c r="A69" s="356" t="s">
        <v>501</v>
      </c>
      <c r="B69" s="2293" t="s">
        <v>502</v>
      </c>
      <c r="C69" s="2294"/>
      <c r="D69" s="489" t="s">
        <v>503</v>
      </c>
      <c r="E69" s="356" t="s">
        <v>504</v>
      </c>
      <c r="F69" s="356" t="s">
        <v>505</v>
      </c>
      <c r="G69" s="356" t="s">
        <v>506</v>
      </c>
      <c r="H69" s="356" t="s">
        <v>36</v>
      </c>
      <c r="I69" s="356" t="s">
        <v>507</v>
      </c>
    </row>
    <row r="70" spans="1:9" ht="12" x14ac:dyDescent="0.2">
      <c r="A70" s="2295" t="s">
        <v>549</v>
      </c>
      <c r="B70" s="2296"/>
      <c r="C70" s="2297"/>
      <c r="D70" s="1171"/>
      <c r="E70" s="491">
        <f>SUM(E71:E78)</f>
        <v>2420</v>
      </c>
      <c r="F70" s="491">
        <f>SUM(F71:F78)</f>
        <v>0</v>
      </c>
      <c r="G70" s="1168">
        <f>SUM(G71:G78)</f>
        <v>2420</v>
      </c>
      <c r="H70" s="492"/>
    </row>
    <row r="71" spans="1:9" ht="17.25" customHeight="1" x14ac:dyDescent="0.2">
      <c r="A71" s="2348">
        <v>1</v>
      </c>
      <c r="B71" s="2351" t="s">
        <v>698</v>
      </c>
      <c r="C71" s="2351"/>
      <c r="D71" s="524">
        <v>2231</v>
      </c>
      <c r="E71" s="525">
        <v>400</v>
      </c>
      <c r="F71" s="492"/>
      <c r="G71" s="506">
        <f t="shared" ref="G71:G78" si="6">E71+F71</f>
        <v>400</v>
      </c>
      <c r="H71" s="492"/>
      <c r="I71" s="2347" t="s">
        <v>699</v>
      </c>
    </row>
    <row r="72" spans="1:9" ht="17.25" customHeight="1" x14ac:dyDescent="0.2">
      <c r="A72" s="2348"/>
      <c r="B72" s="2351"/>
      <c r="C72" s="2351"/>
      <c r="D72" s="524">
        <v>2311</v>
      </c>
      <c r="E72" s="492">
        <v>30</v>
      </c>
      <c r="F72" s="492"/>
      <c r="G72" s="506">
        <f t="shared" si="6"/>
        <v>30</v>
      </c>
      <c r="H72" s="492"/>
      <c r="I72" s="2347"/>
    </row>
    <row r="73" spans="1:9" ht="17.25" customHeight="1" x14ac:dyDescent="0.2">
      <c r="A73" s="2348"/>
      <c r="B73" s="2351"/>
      <c r="C73" s="2351"/>
      <c r="D73" s="524">
        <v>2279</v>
      </c>
      <c r="E73" s="492">
        <v>500</v>
      </c>
      <c r="F73" s="492"/>
      <c r="G73" s="506">
        <f t="shared" si="6"/>
        <v>500</v>
      </c>
      <c r="H73" s="492"/>
      <c r="I73" s="2347"/>
    </row>
    <row r="74" spans="1:9" ht="17.25" customHeight="1" x14ac:dyDescent="0.2">
      <c r="A74" s="2348">
        <v>2</v>
      </c>
      <c r="B74" s="2351" t="s">
        <v>700</v>
      </c>
      <c r="C74" s="2351"/>
      <c r="D74" s="524">
        <v>2279</v>
      </c>
      <c r="E74" s="525">
        <v>500</v>
      </c>
      <c r="F74" s="492"/>
      <c r="G74" s="506">
        <f t="shared" si="6"/>
        <v>500</v>
      </c>
      <c r="H74" s="492"/>
      <c r="I74" s="2347" t="s">
        <v>699</v>
      </c>
    </row>
    <row r="75" spans="1:9" ht="17.25" customHeight="1" x14ac:dyDescent="0.2">
      <c r="A75" s="2348"/>
      <c r="B75" s="2351"/>
      <c r="C75" s="2351"/>
      <c r="D75" s="524">
        <v>2231</v>
      </c>
      <c r="E75" s="499">
        <v>350</v>
      </c>
      <c r="F75" s="499"/>
      <c r="G75" s="506">
        <f t="shared" si="6"/>
        <v>350</v>
      </c>
      <c r="H75" s="499"/>
      <c r="I75" s="2347"/>
    </row>
    <row r="76" spans="1:9" ht="17.25" customHeight="1" x14ac:dyDescent="0.2">
      <c r="A76" s="2345">
        <v>3</v>
      </c>
      <c r="B76" s="2344" t="s">
        <v>701</v>
      </c>
      <c r="C76" s="2344"/>
      <c r="D76" s="1170">
        <v>2231</v>
      </c>
      <c r="E76" s="499">
        <v>200</v>
      </c>
      <c r="F76" s="499"/>
      <c r="G76" s="506">
        <f t="shared" si="6"/>
        <v>200</v>
      </c>
      <c r="H76" s="499"/>
      <c r="I76" s="2347" t="s">
        <v>699</v>
      </c>
    </row>
    <row r="77" spans="1:9" ht="17.25" customHeight="1" x14ac:dyDescent="0.2">
      <c r="A77" s="2345"/>
      <c r="B77" s="2344"/>
      <c r="C77" s="2344"/>
      <c r="D77" s="1170">
        <v>2279</v>
      </c>
      <c r="E77" s="499">
        <v>400</v>
      </c>
      <c r="F77" s="499"/>
      <c r="G77" s="506">
        <f t="shared" si="6"/>
        <v>400</v>
      </c>
      <c r="H77" s="499"/>
      <c r="I77" s="2347"/>
    </row>
    <row r="78" spans="1:9" ht="17.25" customHeight="1" x14ac:dyDescent="0.2">
      <c r="A78" s="2345"/>
      <c r="B78" s="2344"/>
      <c r="C78" s="2344"/>
      <c r="D78" s="1170">
        <v>2311</v>
      </c>
      <c r="E78" s="499">
        <v>40</v>
      </c>
      <c r="F78" s="499"/>
      <c r="G78" s="506">
        <f t="shared" si="6"/>
        <v>40</v>
      </c>
      <c r="H78" s="499"/>
      <c r="I78" s="2347"/>
    </row>
    <row r="80" spans="1:9" x14ac:dyDescent="0.2">
      <c r="A80" s="399" t="s">
        <v>534</v>
      </c>
    </row>
    <row r="81" spans="1:2" x14ac:dyDescent="0.2">
      <c r="A81" s="399" t="s">
        <v>535</v>
      </c>
    </row>
    <row r="82" spans="1:2" x14ac:dyDescent="0.2">
      <c r="B82" s="399" t="s">
        <v>702</v>
      </c>
    </row>
    <row r="83" spans="1:2" x14ac:dyDescent="0.2">
      <c r="B83" s="399" t="s">
        <v>703</v>
      </c>
    </row>
    <row r="85" spans="1:2" x14ac:dyDescent="0.2">
      <c r="A85" s="399" t="s">
        <v>537</v>
      </c>
    </row>
    <row r="86" spans="1:2" x14ac:dyDescent="0.2">
      <c r="B86" s="399" t="s">
        <v>704</v>
      </c>
    </row>
    <row r="87" spans="1:2" x14ac:dyDescent="0.2">
      <c r="B87" s="399" t="s">
        <v>705</v>
      </c>
    </row>
    <row r="88" spans="1:2" x14ac:dyDescent="0.2">
      <c r="B88" s="399" t="s">
        <v>706</v>
      </c>
    </row>
    <row r="89" spans="1:2" x14ac:dyDescent="0.2">
      <c r="B89" s="399" t="s">
        <v>707</v>
      </c>
    </row>
    <row r="90" spans="1:2" x14ac:dyDescent="0.2">
      <c r="B90" s="399" t="s">
        <v>539</v>
      </c>
    </row>
    <row r="91" spans="1:2" x14ac:dyDescent="0.2">
      <c r="B91" s="399" t="s">
        <v>708</v>
      </c>
    </row>
  </sheetData>
  <sheetProtection algorithmName="SHA-512" hashValue="jcoOEGjcoTjf3bt033k++slSD6xpINCQQKXTKOyZOKnWSoPgsDnl2TToI8b1uZt5XLQF4vCKi4Z0PosdfQIgWw==" saltValue="NNbu74zWz2aW7XqkxIdUNQ==" spinCount="100000" sheet="1" objects="1" scenarios="1"/>
  <mergeCells count="74">
    <mergeCell ref="I71:I73"/>
    <mergeCell ref="A74:A75"/>
    <mergeCell ref="B74:C75"/>
    <mergeCell ref="I74:I75"/>
    <mergeCell ref="A76:A78"/>
    <mergeCell ref="B76:C78"/>
    <mergeCell ref="I76:I78"/>
    <mergeCell ref="A67:B67"/>
    <mergeCell ref="A68:B68"/>
    <mergeCell ref="B69:C69"/>
    <mergeCell ref="A70:C70"/>
    <mergeCell ref="A71:A73"/>
    <mergeCell ref="B71:C73"/>
    <mergeCell ref="B65:C65"/>
    <mergeCell ref="B52:C52"/>
    <mergeCell ref="A53:A56"/>
    <mergeCell ref="B53:C56"/>
    <mergeCell ref="I53:I56"/>
    <mergeCell ref="A57:A58"/>
    <mergeCell ref="B57:C58"/>
    <mergeCell ref="I57:I58"/>
    <mergeCell ref="B59:C59"/>
    <mergeCell ref="A61:B61"/>
    <mergeCell ref="A62:B62"/>
    <mergeCell ref="B63:C63"/>
    <mergeCell ref="A64:C64"/>
    <mergeCell ref="I49:I51"/>
    <mergeCell ref="A41:B41"/>
    <mergeCell ref="B42:C42"/>
    <mergeCell ref="A43:C43"/>
    <mergeCell ref="A44:A45"/>
    <mergeCell ref="B44:C45"/>
    <mergeCell ref="I44:I45"/>
    <mergeCell ref="B46:C46"/>
    <mergeCell ref="B47:C47"/>
    <mergeCell ref="B48:C48"/>
    <mergeCell ref="A49:A51"/>
    <mergeCell ref="B49:C51"/>
    <mergeCell ref="H35:H36"/>
    <mergeCell ref="I35:I36"/>
    <mergeCell ref="A37:A38"/>
    <mergeCell ref="B37:C38"/>
    <mergeCell ref="I37:I38"/>
    <mergeCell ref="A40:B40"/>
    <mergeCell ref="A31:B31"/>
    <mergeCell ref="B32:C32"/>
    <mergeCell ref="A33:C33"/>
    <mergeCell ref="B34:C34"/>
    <mergeCell ref="A35:A36"/>
    <mergeCell ref="B35:C36"/>
    <mergeCell ref="A30:B30"/>
    <mergeCell ref="A18:C18"/>
    <mergeCell ref="I18:I21"/>
    <mergeCell ref="A19:A21"/>
    <mergeCell ref="B19:C21"/>
    <mergeCell ref="H19:H20"/>
    <mergeCell ref="B22:C22"/>
    <mergeCell ref="A24:B24"/>
    <mergeCell ref="A25:B25"/>
    <mergeCell ref="B26:C26"/>
    <mergeCell ref="A27:C27"/>
    <mergeCell ref="B28:C28"/>
    <mergeCell ref="B17:C17"/>
    <mergeCell ref="A4:B4"/>
    <mergeCell ref="A5:B5"/>
    <mergeCell ref="A6:I6"/>
    <mergeCell ref="A8:B8"/>
    <mergeCell ref="A9:B9"/>
    <mergeCell ref="A10:B10"/>
    <mergeCell ref="B11:C11"/>
    <mergeCell ref="A12:C12"/>
    <mergeCell ref="B13:C13"/>
    <mergeCell ref="A15:B15"/>
    <mergeCell ref="A16:B16"/>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86.pielikums Jūrmalas pilsētas domes
2019.gada 29.augusta saistošajiem noteikumiem Nr.31
(protokols Nr.12, 20.punkts)
 </firstHeader>
    <firstFooter>&amp;L&amp;9&amp;D; &amp;T&amp;R&amp;9&amp;P (&amp;N)</firstFoot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U125"/>
  <sheetViews>
    <sheetView view="pageLayout" zoomScale="80" zoomScaleNormal="75" zoomScaleSheetLayoutView="70" zoomScalePageLayoutView="80" workbookViewId="0">
      <selection activeCell="E13" sqref="E13"/>
    </sheetView>
  </sheetViews>
  <sheetFormatPr defaultRowHeight="12.75" x14ac:dyDescent="0.2"/>
  <cols>
    <col min="1" max="1" width="14.42578125" style="612" customWidth="1"/>
    <col min="2" max="2" width="13.5703125" style="612" customWidth="1"/>
    <col min="3" max="3" width="48.28515625" style="612" customWidth="1"/>
    <col min="4" max="18" width="13.7109375" style="612" customWidth="1"/>
    <col min="19" max="20" width="9.140625" style="612"/>
    <col min="21" max="21" width="9.85546875" style="612" customWidth="1"/>
    <col min="22" max="16384" width="9.140625" style="612"/>
  </cols>
  <sheetData>
    <row r="1" spans="1:18" x14ac:dyDescent="0.2">
      <c r="R1" s="1752" t="s">
        <v>1952</v>
      </c>
    </row>
    <row r="2" spans="1:18" x14ac:dyDescent="0.2">
      <c r="R2" s="1752" t="s">
        <v>494</v>
      </c>
    </row>
    <row r="3" spans="1:18" ht="19.5" customHeight="1" x14ac:dyDescent="0.3">
      <c r="A3" s="2352" t="s">
        <v>1953</v>
      </c>
      <c r="B3" s="2352"/>
      <c r="C3" s="2352"/>
      <c r="D3" s="2352"/>
      <c r="E3" s="2352"/>
      <c r="F3" s="2352"/>
      <c r="G3" s="2352"/>
      <c r="H3" s="2352"/>
      <c r="I3" s="2352"/>
      <c r="J3" s="2352"/>
      <c r="K3" s="2352"/>
      <c r="L3" s="2352"/>
      <c r="M3" s="2352"/>
      <c r="N3" s="2352"/>
      <c r="O3" s="2352"/>
      <c r="P3" s="2352"/>
      <c r="Q3" s="2352"/>
      <c r="R3" s="2352"/>
    </row>
    <row r="4" spans="1:18" ht="13.5" thickBot="1" x14ac:dyDescent="0.25">
      <c r="A4" s="1487"/>
      <c r="B4" s="1487"/>
      <c r="C4" s="1487"/>
      <c r="D4" s="1488"/>
      <c r="E4" s="1488"/>
      <c r="F4" s="1488"/>
      <c r="G4" s="1488"/>
      <c r="H4" s="1489"/>
      <c r="I4" s="1490"/>
      <c r="J4" s="1490"/>
      <c r="K4" s="1490"/>
      <c r="L4" s="1490"/>
      <c r="M4" s="1490"/>
      <c r="N4" s="1490"/>
      <c r="O4" s="1490"/>
      <c r="P4" s="1490"/>
      <c r="Q4" s="1490"/>
      <c r="R4" s="1491"/>
    </row>
    <row r="5" spans="1:18" ht="51" customHeight="1" x14ac:dyDescent="0.2">
      <c r="A5" s="1492" t="s">
        <v>1954</v>
      </c>
      <c r="B5" s="1493" t="s">
        <v>1955</v>
      </c>
      <c r="C5" s="1494" t="s">
        <v>1956</v>
      </c>
      <c r="D5" s="1495">
        <v>2019</v>
      </c>
      <c r="E5" s="1495">
        <v>2020</v>
      </c>
      <c r="F5" s="1496">
        <v>2021</v>
      </c>
      <c r="G5" s="1497">
        <v>2022</v>
      </c>
      <c r="H5" s="1493">
        <v>2023</v>
      </c>
      <c r="I5" s="1497">
        <v>2024</v>
      </c>
      <c r="J5" s="1497">
        <v>2025</v>
      </c>
      <c r="K5" s="1493">
        <v>2026</v>
      </c>
      <c r="L5" s="1493">
        <v>2027</v>
      </c>
      <c r="M5" s="1493">
        <v>2028</v>
      </c>
      <c r="N5" s="1493">
        <v>2029</v>
      </c>
      <c r="O5" s="1493">
        <v>2030</v>
      </c>
      <c r="P5" s="1496">
        <v>2031</v>
      </c>
      <c r="Q5" s="1493">
        <v>2032</v>
      </c>
      <c r="R5" s="1498" t="s">
        <v>1957</v>
      </c>
    </row>
    <row r="6" spans="1:18" ht="15.75" x14ac:dyDescent="0.25">
      <c r="A6" s="1499"/>
      <c r="B6" s="1500"/>
      <c r="C6" s="1501" t="s">
        <v>1958</v>
      </c>
      <c r="D6" s="1502">
        <f t="shared" ref="D6:R6" si="0">SUM(D15:D104)</f>
        <v>6831899.9906727979</v>
      </c>
      <c r="E6" s="1502">
        <f t="shared" si="0"/>
        <v>7144501.5758764502</v>
      </c>
      <c r="F6" s="1502">
        <f t="shared" si="0"/>
        <v>8895558.9564195853</v>
      </c>
      <c r="G6" s="1502">
        <f t="shared" si="0"/>
        <v>11812412.925720574</v>
      </c>
      <c r="H6" s="1502">
        <f t="shared" si="0"/>
        <v>11575768.725</v>
      </c>
      <c r="I6" s="1502">
        <f t="shared" si="0"/>
        <v>11328845.425000001</v>
      </c>
      <c r="J6" s="1502">
        <f t="shared" si="0"/>
        <v>8943024.125</v>
      </c>
      <c r="K6" s="1502">
        <f t="shared" si="0"/>
        <v>8123310.9000000004</v>
      </c>
      <c r="L6" s="1502">
        <f t="shared" si="0"/>
        <v>7489732.9890000001</v>
      </c>
      <c r="M6" s="1502">
        <f t="shared" si="0"/>
        <v>7153258.0419999994</v>
      </c>
      <c r="N6" s="1502">
        <f t="shared" si="0"/>
        <v>6624116.7420000006</v>
      </c>
      <c r="O6" s="1502">
        <f t="shared" si="0"/>
        <v>6090409.3939999994</v>
      </c>
      <c r="P6" s="1502">
        <f t="shared" si="0"/>
        <v>5811362.8790000007</v>
      </c>
      <c r="Q6" s="1502">
        <f t="shared" si="0"/>
        <v>4457530.1720000003</v>
      </c>
      <c r="R6" s="1503">
        <f t="shared" si="0"/>
        <v>21738000.182999998</v>
      </c>
    </row>
    <row r="7" spans="1:18" ht="31.5" x14ac:dyDescent="0.25">
      <c r="A7" s="1504"/>
      <c r="B7" s="1505"/>
      <c r="C7" s="1506" t="s">
        <v>1959</v>
      </c>
      <c r="D7" s="1507">
        <f>D6/D13</f>
        <v>9.9935766204236554E-2</v>
      </c>
      <c r="E7" s="1507">
        <f t="shared" ref="E7:Q7" si="1">E6/E13</f>
        <v>0.10450844422596349</v>
      </c>
      <c r="F7" s="1507">
        <f t="shared" si="1"/>
        <v>0.13012258688482412</v>
      </c>
      <c r="G7" s="1507">
        <f>G6/G13</f>
        <v>0.17278978586694163</v>
      </c>
      <c r="H7" s="1507">
        <f t="shared" si="1"/>
        <v>0.16932819838043178</v>
      </c>
      <c r="I7" s="1507">
        <f t="shared" si="1"/>
        <v>0.16571625013574612</v>
      </c>
      <c r="J7" s="1508">
        <f t="shared" si="1"/>
        <v>0.1308168985692125</v>
      </c>
      <c r="K7" s="1507">
        <f t="shared" si="1"/>
        <v>0.11882628551574866</v>
      </c>
      <c r="L7" s="1507">
        <f t="shared" si="1"/>
        <v>0.10955842531985764</v>
      </c>
      <c r="M7" s="1507">
        <f t="shared" si="1"/>
        <v>0.10463653218868148</v>
      </c>
      <c r="N7" s="1507">
        <f t="shared" si="1"/>
        <v>9.6896351372510292E-2</v>
      </c>
      <c r="O7" s="1507">
        <f t="shared" si="1"/>
        <v>8.9089379252890802E-2</v>
      </c>
      <c r="P7" s="1508">
        <f t="shared" si="1"/>
        <v>8.500753857588747E-2</v>
      </c>
      <c r="Q7" s="1507">
        <f t="shared" si="1"/>
        <v>6.5203924783075365E-2</v>
      </c>
      <c r="R7" s="1509"/>
    </row>
    <row r="8" spans="1:18" ht="19.5" hidden="1" customHeight="1" x14ac:dyDescent="0.25">
      <c r="A8" s="1504"/>
      <c r="B8" s="1505"/>
      <c r="C8" s="1505" t="s">
        <v>1960</v>
      </c>
      <c r="D8" s="1510"/>
      <c r="E8" s="1510"/>
      <c r="F8" s="1511"/>
      <c r="G8" s="1511"/>
      <c r="H8" s="1510"/>
      <c r="I8" s="1511"/>
      <c r="J8" s="1511"/>
      <c r="K8" s="1512"/>
      <c r="L8" s="1512"/>
      <c r="M8" s="1512"/>
      <c r="N8" s="1512"/>
      <c r="O8" s="1512"/>
      <c r="P8" s="1513"/>
      <c r="Q8" s="1512"/>
      <c r="R8" s="1514"/>
    </row>
    <row r="9" spans="1:18" ht="19.5" customHeight="1" x14ac:dyDescent="0.25">
      <c r="A9" s="1504"/>
      <c r="B9" s="1505"/>
      <c r="C9" s="2353" t="s">
        <v>1961</v>
      </c>
      <c r="D9" s="1510">
        <f>SUM(D48:D103)</f>
        <v>6690188.914422798</v>
      </c>
      <c r="E9" s="1510">
        <f t="shared" ref="E9:R9" si="2">SUM(E48:E103)</f>
        <v>5775030.0052816998</v>
      </c>
      <c r="F9" s="1510">
        <f t="shared" si="2"/>
        <v>6682515</v>
      </c>
      <c r="G9" s="1510">
        <f t="shared" si="2"/>
        <v>7327790</v>
      </c>
      <c r="H9" s="1510">
        <f t="shared" si="2"/>
        <v>6277399</v>
      </c>
      <c r="I9" s="1510">
        <f t="shared" si="2"/>
        <v>6141766</v>
      </c>
      <c r="J9" s="1510">
        <f t="shared" si="2"/>
        <v>3860295</v>
      </c>
      <c r="K9" s="1510">
        <f t="shared" si="2"/>
        <v>3309217</v>
      </c>
      <c r="L9" s="1510">
        <f t="shared" si="2"/>
        <v>2853621.29</v>
      </c>
      <c r="M9" s="1510">
        <f t="shared" si="2"/>
        <v>2644627</v>
      </c>
      <c r="N9" s="1510">
        <f t="shared" si="2"/>
        <v>2212397</v>
      </c>
      <c r="O9" s="1510">
        <f t="shared" si="2"/>
        <v>2163091</v>
      </c>
      <c r="P9" s="1511">
        <f t="shared" si="2"/>
        <v>2113994</v>
      </c>
      <c r="Q9" s="1510">
        <f t="shared" si="2"/>
        <v>1944274</v>
      </c>
      <c r="R9" s="1503">
        <f t="shared" si="2"/>
        <v>7669959</v>
      </c>
    </row>
    <row r="10" spans="1:18" ht="19.5" customHeight="1" x14ac:dyDescent="0.25">
      <c r="A10" s="1504"/>
      <c r="B10" s="1505"/>
      <c r="C10" s="2353"/>
      <c r="D10" s="1515">
        <f>D9/D13</f>
        <v>9.786284285875356E-2</v>
      </c>
      <c r="E10" s="1515">
        <f t="shared" ref="E10:Q10" si="3">E9/E13</f>
        <v>8.4476068036447888E-2</v>
      </c>
      <c r="F10" s="1515">
        <f t="shared" si="3"/>
        <v>9.7750590261573414E-2</v>
      </c>
      <c r="G10" s="1515">
        <f t="shared" si="3"/>
        <v>0.10718955330633077</v>
      </c>
      <c r="H10" s="1515">
        <f t="shared" si="3"/>
        <v>9.1824628535425765E-2</v>
      </c>
      <c r="I10" s="1516">
        <f t="shared" si="3"/>
        <v>8.9840614162252183E-2</v>
      </c>
      <c r="J10" s="1516">
        <f t="shared" si="3"/>
        <v>5.6467679434135283E-2</v>
      </c>
      <c r="K10" s="1515">
        <f t="shared" si="3"/>
        <v>4.840661263815093E-2</v>
      </c>
      <c r="L10" s="1515">
        <f t="shared" si="3"/>
        <v>4.1742243074724496E-2</v>
      </c>
      <c r="M10" s="1515">
        <f t="shared" si="3"/>
        <v>3.8685113355030866E-2</v>
      </c>
      <c r="N10" s="1515">
        <f t="shared" si="3"/>
        <v>3.2362533064712047E-2</v>
      </c>
      <c r="O10" s="1515">
        <f t="shared" si="3"/>
        <v>3.1641294039668762E-2</v>
      </c>
      <c r="P10" s="1516">
        <f t="shared" si="3"/>
        <v>3.0923112227869989E-2</v>
      </c>
      <c r="Q10" s="1515">
        <f t="shared" si="3"/>
        <v>2.8440479539549163E-2</v>
      </c>
      <c r="R10" s="1517"/>
    </row>
    <row r="11" spans="1:18" ht="19.5" customHeight="1" x14ac:dyDescent="0.25">
      <c r="A11" s="1504"/>
      <c r="B11" s="1505"/>
      <c r="C11" s="2354" t="s">
        <v>1962</v>
      </c>
      <c r="D11" s="1510">
        <f t="shared" ref="D11:R11" si="4">SUM(D15:D46)</f>
        <v>141711.07624999998</v>
      </c>
      <c r="E11" s="1510">
        <f t="shared" si="4"/>
        <v>1369471.5705947503</v>
      </c>
      <c r="F11" s="1510">
        <f t="shared" si="4"/>
        <v>2213043.9564195853</v>
      </c>
      <c r="G11" s="1510">
        <f t="shared" si="4"/>
        <v>4484622.9257205743</v>
      </c>
      <c r="H11" s="1510">
        <f t="shared" si="4"/>
        <v>5298369.7249999996</v>
      </c>
      <c r="I11" s="1510">
        <f t="shared" si="4"/>
        <v>5187079.4250000007</v>
      </c>
      <c r="J11" s="1510">
        <f t="shared" si="4"/>
        <v>5082729.1250000009</v>
      </c>
      <c r="K11" s="1510">
        <f t="shared" si="4"/>
        <v>4814093.9000000004</v>
      </c>
      <c r="L11" s="1510">
        <f t="shared" si="4"/>
        <v>4636111.699</v>
      </c>
      <c r="M11" s="1510">
        <f t="shared" si="4"/>
        <v>4508631.0419999994</v>
      </c>
      <c r="N11" s="1510">
        <f t="shared" si="4"/>
        <v>4411719.7420000006</v>
      </c>
      <c r="O11" s="1510">
        <f t="shared" si="4"/>
        <v>3927318.3939999999</v>
      </c>
      <c r="P11" s="1510">
        <f t="shared" si="4"/>
        <v>3697368.8790000002</v>
      </c>
      <c r="Q11" s="1510">
        <f t="shared" si="4"/>
        <v>2513256.1720000003</v>
      </c>
      <c r="R11" s="1503">
        <f t="shared" si="4"/>
        <v>14068041.183</v>
      </c>
    </row>
    <row r="12" spans="1:18" ht="19.5" customHeight="1" x14ac:dyDescent="0.25">
      <c r="A12" s="1504"/>
      <c r="B12" s="1505"/>
      <c r="C12" s="2354"/>
      <c r="D12" s="1515">
        <f>D11/D13</f>
        <v>2.0729233454830007E-3</v>
      </c>
      <c r="E12" s="1515">
        <f t="shared" ref="E12:O12" si="5">E11/E13</f>
        <v>2.0032376189515602E-2</v>
      </c>
      <c r="F12" s="1515">
        <f t="shared" si="5"/>
        <v>3.2371996623250708E-2</v>
      </c>
      <c r="G12" s="1515">
        <f t="shared" si="5"/>
        <v>6.5600232560610858E-2</v>
      </c>
      <c r="H12" s="1515">
        <f t="shared" si="5"/>
        <v>7.7503569845006018E-2</v>
      </c>
      <c r="I12" s="1516">
        <f t="shared" si="5"/>
        <v>7.5875635973493949E-2</v>
      </c>
      <c r="J12" s="1516">
        <f t="shared" si="5"/>
        <v>7.4349219135077235E-2</v>
      </c>
      <c r="K12" s="1515">
        <f t="shared" si="5"/>
        <v>7.0419672877597733E-2</v>
      </c>
      <c r="L12" s="1515">
        <f t="shared" si="5"/>
        <v>6.7816182245133153E-2</v>
      </c>
      <c r="M12" s="1515">
        <f t="shared" si="5"/>
        <v>6.5951418833650619E-2</v>
      </c>
      <c r="N12" s="1515">
        <f t="shared" si="5"/>
        <v>6.4533818307798252E-2</v>
      </c>
      <c r="O12" s="1515">
        <f t="shared" si="5"/>
        <v>5.7448085213222047E-2</v>
      </c>
      <c r="P12" s="1516">
        <f>P11/P13</f>
        <v>5.4084426348017481E-2</v>
      </c>
      <c r="Q12" s="1516">
        <f>Q11/Q13</f>
        <v>3.6763445243526198E-2</v>
      </c>
      <c r="R12" s="1517"/>
    </row>
    <row r="13" spans="1:18" ht="33.75" customHeight="1" thickBot="1" x14ac:dyDescent="0.3">
      <c r="A13" s="1518"/>
      <c r="B13" s="1519"/>
      <c r="C13" s="1520" t="s">
        <v>1963</v>
      </c>
      <c r="D13" s="1521">
        <f>92273148-12379022-11531214</f>
        <v>68362912</v>
      </c>
      <c r="E13" s="1521">
        <f t="shared" ref="E13:R13" si="6">92273148-12379022-11531214</f>
        <v>68362912</v>
      </c>
      <c r="F13" s="1521">
        <f t="shared" si="6"/>
        <v>68362912</v>
      </c>
      <c r="G13" s="1521">
        <f t="shared" si="6"/>
        <v>68362912</v>
      </c>
      <c r="H13" s="1521">
        <f t="shared" si="6"/>
        <v>68362912</v>
      </c>
      <c r="I13" s="1521">
        <f t="shared" si="6"/>
        <v>68362912</v>
      </c>
      <c r="J13" s="1521">
        <f t="shared" si="6"/>
        <v>68362912</v>
      </c>
      <c r="K13" s="1521">
        <f t="shared" si="6"/>
        <v>68362912</v>
      </c>
      <c r="L13" s="1521">
        <f t="shared" si="6"/>
        <v>68362912</v>
      </c>
      <c r="M13" s="1521">
        <f t="shared" si="6"/>
        <v>68362912</v>
      </c>
      <c r="N13" s="1521">
        <f t="shared" si="6"/>
        <v>68362912</v>
      </c>
      <c r="O13" s="1521">
        <f t="shared" si="6"/>
        <v>68362912</v>
      </c>
      <c r="P13" s="1521">
        <f t="shared" si="6"/>
        <v>68362912</v>
      </c>
      <c r="Q13" s="1521">
        <f t="shared" si="6"/>
        <v>68362912</v>
      </c>
      <c r="R13" s="1522">
        <f t="shared" si="6"/>
        <v>68362912</v>
      </c>
    </row>
    <row r="14" spans="1:18" ht="16.5" thickBot="1" x14ac:dyDescent="0.25">
      <c r="A14" s="1523">
        <f>SUM(A15:A46)</f>
        <v>53602632</v>
      </c>
      <c r="B14" s="1524"/>
      <c r="C14" s="1524" t="s">
        <v>1964</v>
      </c>
      <c r="D14" s="1525">
        <f t="shared" ref="D14:R14" si="7">SUM(D15:D46)</f>
        <v>141711.07624999998</v>
      </c>
      <c r="E14" s="1525">
        <f t="shared" si="7"/>
        <v>1369471.5705947503</v>
      </c>
      <c r="F14" s="1525">
        <f t="shared" si="7"/>
        <v>2213043.9564195853</v>
      </c>
      <c r="G14" s="1525">
        <f t="shared" si="7"/>
        <v>4484622.9257205743</v>
      </c>
      <c r="H14" s="1525">
        <f t="shared" si="7"/>
        <v>5298369.7249999996</v>
      </c>
      <c r="I14" s="1525">
        <f t="shared" si="7"/>
        <v>5187079.4250000007</v>
      </c>
      <c r="J14" s="1525">
        <f t="shared" si="7"/>
        <v>5082729.1250000009</v>
      </c>
      <c r="K14" s="1525">
        <f t="shared" si="7"/>
        <v>4814093.9000000004</v>
      </c>
      <c r="L14" s="1525">
        <f t="shared" si="7"/>
        <v>4636111.699</v>
      </c>
      <c r="M14" s="1525">
        <f t="shared" si="7"/>
        <v>4508631.0419999994</v>
      </c>
      <c r="N14" s="1525">
        <f t="shared" si="7"/>
        <v>4411719.7420000006</v>
      </c>
      <c r="O14" s="1525">
        <f t="shared" si="7"/>
        <v>3927318.3939999999</v>
      </c>
      <c r="P14" s="1525">
        <f t="shared" si="7"/>
        <v>3697368.8790000002</v>
      </c>
      <c r="Q14" s="1525">
        <f t="shared" si="7"/>
        <v>2513256.1720000003</v>
      </c>
      <c r="R14" s="1526">
        <f t="shared" si="7"/>
        <v>14068041.183</v>
      </c>
    </row>
    <row r="15" spans="1:18" ht="47.25" x14ac:dyDescent="0.25">
      <c r="A15" s="1527">
        <f>1462506+4830432-379022</f>
        <v>5913916</v>
      </c>
      <c r="B15" s="1528" t="s">
        <v>1965</v>
      </c>
      <c r="C15" s="1529" t="s">
        <v>1966</v>
      </c>
      <c r="D15" s="1530"/>
      <c r="E15" s="1530">
        <v>0</v>
      </c>
      <c r="F15" s="1530">
        <v>0</v>
      </c>
      <c r="G15" s="1530">
        <v>295700</v>
      </c>
      <c r="H15" s="1530">
        <v>295700</v>
      </c>
      <c r="I15" s="1530">
        <v>295700</v>
      </c>
      <c r="J15" s="1530">
        <v>295700</v>
      </c>
      <c r="K15" s="1530">
        <v>295700</v>
      </c>
      <c r="L15" s="1530">
        <v>295700</v>
      </c>
      <c r="M15" s="1530">
        <v>295700</v>
      </c>
      <c r="N15" s="1530">
        <v>295700</v>
      </c>
      <c r="O15" s="1531">
        <v>295700</v>
      </c>
      <c r="P15" s="1530">
        <v>295700</v>
      </c>
      <c r="Q15" s="1531">
        <v>295700</v>
      </c>
      <c r="R15" s="1532">
        <f>295700+295700+295700+295700+295700+295700+295700+295700+295616</f>
        <v>2661216</v>
      </c>
    </row>
    <row r="16" spans="1:18" ht="16.5" thickBot="1" x14ac:dyDescent="0.3">
      <c r="A16" s="1533"/>
      <c r="B16" s="1534"/>
      <c r="C16" s="1535" t="s">
        <v>1967</v>
      </c>
      <c r="D16" s="1536">
        <f>(A15/3/2)*0.027</f>
        <v>26612.621999999999</v>
      </c>
      <c r="E16" s="1536">
        <f>(D16+(A15/3)*2/2)*0.027</f>
        <v>53943.784793999999</v>
      </c>
      <c r="F16" s="1536">
        <f>(E16+(A15/2))*0.027</f>
        <v>81294.348189437995</v>
      </c>
      <c r="G16" s="1537">
        <f>(A15-F15)*0.027</f>
        <v>159675.73199999999</v>
      </c>
      <c r="H16" s="1537">
        <f>(A15-F15-G15)*0.027</f>
        <v>151691.83199999999</v>
      </c>
      <c r="I16" s="1537">
        <f>(A15-F15-G15-H15)*0.027</f>
        <v>143707.932</v>
      </c>
      <c r="J16" s="1537">
        <f>(A15-F15-G15-H15-I15)*0.027</f>
        <v>135724.03200000001</v>
      </c>
      <c r="K16" s="1538">
        <f>(A15-F15-G15-H15-I15-J15)*0.027</f>
        <v>127740.132</v>
      </c>
      <c r="L16" s="1537">
        <v>94069</v>
      </c>
      <c r="M16" s="1538">
        <f>(A15-F15-G15-H15-I15-J15-K15-L15)*0.027</f>
        <v>111772.33199999999</v>
      </c>
      <c r="N16" s="1537">
        <f>(A15-F15-G15-H15-I15-J15-K15-L15-M15)*0.027</f>
        <v>103788.432</v>
      </c>
      <c r="O16" s="1538">
        <f>(A15-F15-G15-H15-I15-J15-K15-L15-M15-N15)*0.027</f>
        <v>95804.531999999992</v>
      </c>
      <c r="P16" s="1537">
        <f>(A15-E15-F15-G15-H15-I15-J15-K15-L15-M15-N15-O15)*0.027</f>
        <v>87820.631999999998</v>
      </c>
      <c r="Q16" s="1539">
        <f>(A15-E15-F15-G15-H15-I15-J15-K15-L15-M15-N15-O15-P15)*0.027</f>
        <v>79836.732000000004</v>
      </c>
      <c r="R16" s="1540">
        <f>71853+63869+55885+47901+39917+31933+23949+15966+7982</f>
        <v>359255</v>
      </c>
    </row>
    <row r="17" spans="1:21" ht="31.5" x14ac:dyDescent="0.25">
      <c r="A17" s="1527">
        <f>2274277+1127482+510195</f>
        <v>3911954</v>
      </c>
      <c r="B17" s="1528" t="s">
        <v>1968</v>
      </c>
      <c r="C17" s="1529" t="s">
        <v>1969</v>
      </c>
      <c r="D17" s="1541">
        <v>0</v>
      </c>
      <c r="E17" s="1542">
        <v>0</v>
      </c>
      <c r="F17" s="1542">
        <v>0</v>
      </c>
      <c r="G17" s="1542">
        <f>593300+106700</f>
        <v>700000</v>
      </c>
      <c r="H17" s="1542">
        <f>312000+202000</f>
        <v>514000</v>
      </c>
      <c r="I17" s="1542">
        <f>312000+202000</f>
        <v>514000</v>
      </c>
      <c r="J17" s="1542">
        <v>312000</v>
      </c>
      <c r="K17" s="1542">
        <v>312000</v>
      </c>
      <c r="L17" s="1542">
        <v>312000</v>
      </c>
      <c r="M17" s="1542">
        <v>312000</v>
      </c>
      <c r="N17" s="1542">
        <v>312000</v>
      </c>
      <c r="O17" s="1543">
        <v>312000</v>
      </c>
      <c r="P17" s="1542">
        <f>312459-505</f>
        <v>311954</v>
      </c>
      <c r="Q17" s="1543"/>
      <c r="R17" s="1544"/>
      <c r="U17" s="1545"/>
    </row>
    <row r="18" spans="1:21" ht="16.5" thickBot="1" x14ac:dyDescent="0.3">
      <c r="A18" s="1546"/>
      <c r="B18" s="1547"/>
      <c r="C18" s="1548" t="s">
        <v>1967</v>
      </c>
      <c r="D18" s="1549">
        <f>(A17/3/2)*0.027</f>
        <v>17603.793000000001</v>
      </c>
      <c r="E18" s="1549">
        <f>(D18+(A17/3)*2/2)*0.027</f>
        <v>35682.888411</v>
      </c>
      <c r="F18" s="1549">
        <f>(E18+(A17/2))*0.027</f>
        <v>53774.816987096994</v>
      </c>
      <c r="G18" s="1549">
        <f>A17*0.027</f>
        <v>105622.758</v>
      </c>
      <c r="H18" s="1549">
        <f>(A17-F17-G17)*0.027</f>
        <v>86722.758000000002</v>
      </c>
      <c r="I18" s="1549">
        <f>(A17-F17-G17-H17)*0.027</f>
        <v>72844.758000000002</v>
      </c>
      <c r="J18" s="1549">
        <f>(A17-F17-G17-H17-I17)*0.027</f>
        <v>58966.758000000002</v>
      </c>
      <c r="K18" s="1550">
        <f>(A17-F17-G17-H17-I17-J17)*0.027</f>
        <v>50542.758000000002</v>
      </c>
      <c r="L18" s="1549">
        <f>(A17-F17-G17-H17-I17-J17-K17)*0.027</f>
        <v>42118.758000000002</v>
      </c>
      <c r="M18" s="1550">
        <f>(A17-F17-G17-H17-I17-J17-K17-L17)*0.027</f>
        <v>33694.758000000002</v>
      </c>
      <c r="N18" s="1549">
        <f>(A17-F17-G17-H17-I17-J17-K17-L17-M17)*0.027</f>
        <v>25270.757999999998</v>
      </c>
      <c r="O18" s="1550">
        <f>(A17-F17-G17-H17-I17-J17-K17-L17-M17-N17)*0.027</f>
        <v>16846.757999999998</v>
      </c>
      <c r="P18" s="1549">
        <f>(A17-D17-E17-F17-G17-H17-I17-J17-K17-L17-M17-N17-O17)*0.027</f>
        <v>8422.7579999999998</v>
      </c>
      <c r="Q18" s="1550"/>
      <c r="R18" s="1551"/>
    </row>
    <row r="19" spans="1:21" ht="47.25" x14ac:dyDescent="0.25">
      <c r="A19" s="1533">
        <f>1135705+129698-159468-309289</f>
        <v>796646</v>
      </c>
      <c r="B19" s="1534" t="s">
        <v>1970</v>
      </c>
      <c r="C19" s="1552" t="s">
        <v>1971</v>
      </c>
      <c r="D19" s="1553">
        <v>0</v>
      </c>
      <c r="E19" s="1553">
        <v>0</v>
      </c>
      <c r="F19" s="1553">
        <v>159300</v>
      </c>
      <c r="G19" s="1553">
        <v>159300</v>
      </c>
      <c r="H19" s="1553">
        <v>159300</v>
      </c>
      <c r="I19" s="1553">
        <v>159300</v>
      </c>
      <c r="J19" s="1553">
        <v>159446</v>
      </c>
      <c r="K19" s="1553"/>
      <c r="L19" s="1539"/>
      <c r="M19" s="1539"/>
      <c r="N19" s="1539"/>
      <c r="O19" s="1539"/>
      <c r="P19" s="1553"/>
      <c r="Q19" s="1539"/>
      <c r="R19" s="1540"/>
    </row>
    <row r="20" spans="1:21" ht="16.5" thickBot="1" x14ac:dyDescent="0.3">
      <c r="A20" s="1546"/>
      <c r="B20" s="1554"/>
      <c r="C20" s="1548" t="s">
        <v>1967</v>
      </c>
      <c r="D20" s="1555">
        <f>((A19/2)/2)*0.027</f>
        <v>5377.3604999999998</v>
      </c>
      <c r="E20" s="1555">
        <f>(D20+A19/2)*0.027</f>
        <v>10899.909733500001</v>
      </c>
      <c r="F20" s="1555">
        <f>(A19-E19)*0.027</f>
        <v>21509.441999999999</v>
      </c>
      <c r="G20" s="1555">
        <f>(A19-E19-F19)*0.027-0.49</f>
        <v>17207.851999999999</v>
      </c>
      <c r="H20" s="1555">
        <f>(A19-E19-F19-G19)*0.027-0.049</f>
        <v>12907.192999999999</v>
      </c>
      <c r="I20" s="1555">
        <f>(A19-E19-F19-G19-H19)*0.027-0.049</f>
        <v>8606.0929999999989</v>
      </c>
      <c r="J20" s="1555">
        <f>(A19-E19-F19-G19-H19-I19)*0.027-0.49</f>
        <v>4304.5520000000006</v>
      </c>
      <c r="K20" s="1555"/>
      <c r="L20" s="1555"/>
      <c r="M20" s="1555"/>
      <c r="N20" s="1555"/>
      <c r="O20" s="1555"/>
      <c r="P20" s="1556"/>
      <c r="Q20" s="1555"/>
      <c r="R20" s="1557"/>
    </row>
    <row r="21" spans="1:21" ht="47.25" x14ac:dyDescent="0.25">
      <c r="A21" s="1558">
        <f>1423690+1297848+843282+4807578</f>
        <v>8372398</v>
      </c>
      <c r="B21" s="1559" t="s">
        <v>1972</v>
      </c>
      <c r="C21" s="1560" t="s">
        <v>1973</v>
      </c>
      <c r="D21" s="1561"/>
      <c r="E21" s="1561">
        <v>0</v>
      </c>
      <c r="F21" s="1561">
        <v>0</v>
      </c>
      <c r="G21" s="1561">
        <v>0</v>
      </c>
      <c r="H21" s="1561">
        <v>418600</v>
      </c>
      <c r="I21" s="1561">
        <v>418600</v>
      </c>
      <c r="J21" s="1561">
        <v>418600</v>
      </c>
      <c r="K21" s="1561">
        <v>418600</v>
      </c>
      <c r="L21" s="1561">
        <v>418600</v>
      </c>
      <c r="M21" s="1561">
        <v>418600</v>
      </c>
      <c r="N21" s="1561">
        <v>418600</v>
      </c>
      <c r="O21" s="1562">
        <v>418600</v>
      </c>
      <c r="P21" s="1561">
        <v>418600</v>
      </c>
      <c r="Q21" s="1562">
        <v>418600</v>
      </c>
      <c r="R21" s="1563">
        <f>418600+418600+418600+418600+418600+418600+418600+418600+418600+418998</f>
        <v>4186398</v>
      </c>
    </row>
    <row r="22" spans="1:21" ht="16.5" thickBot="1" x14ac:dyDescent="0.3">
      <c r="A22" s="1546"/>
      <c r="B22" s="1554"/>
      <c r="C22" s="1548" t="s">
        <v>1967</v>
      </c>
      <c r="D22" s="1556"/>
      <c r="E22" s="1556">
        <f>(A21/3/2)*0.027</f>
        <v>37675.791000000005</v>
      </c>
      <c r="F22" s="1556">
        <f>(E22+(A21/3)*2/2)*0.027</f>
        <v>76368.828357000006</v>
      </c>
      <c r="G22" s="1556">
        <f>(F22+(A21/2))*0.027</f>
        <v>115089.33136563899</v>
      </c>
      <c r="H22" s="1556">
        <f>(A21-G21)*0.027</f>
        <v>226054.74599999998</v>
      </c>
      <c r="I22" s="1556">
        <f>(A21-G21-H21)*0.027</f>
        <v>214752.546</v>
      </c>
      <c r="J22" s="1556">
        <f>(A21-G21-H21-I21)*0.027</f>
        <v>203450.34599999999</v>
      </c>
      <c r="K22" s="1556">
        <f>(A21-G21-H21-I21-J21)*0.027</f>
        <v>192148.14600000001</v>
      </c>
      <c r="L22" s="1556">
        <f>(A21-G21-H21-I21-J21-K21)*0.027</f>
        <v>180845.946</v>
      </c>
      <c r="M22" s="1555">
        <f>(A21-G21-H21-I21-J21-K21-L21)*0.027</f>
        <v>169543.74599999998</v>
      </c>
      <c r="N22" s="1555">
        <f>(A21-G21-H21-I21-J21-K21-L21-M21)*0.027</f>
        <v>158241.546</v>
      </c>
      <c r="O22" s="1555">
        <f>(A21-G21-H21-I21-J21-K21-L21-M21-N21)*0.027</f>
        <v>146939.34599999999</v>
      </c>
      <c r="P22" s="1556">
        <f>(A21-G21-H21-I21-J21-K21-L21-M21-N21-O21)*0.027</f>
        <v>135637.14600000001</v>
      </c>
      <c r="Q22" s="1555">
        <f>SUM(A21-E21-F21-G21-H21-I21-J21-K21-L21-M21-N21-O21-P21)*0.027</f>
        <v>124334.946</v>
      </c>
      <c r="R22" s="1557">
        <f>113033+101731+90428+79126+67824+56522+45220+33917+22615+11313</f>
        <v>621729</v>
      </c>
    </row>
    <row r="23" spans="1:21" ht="47.25" x14ac:dyDescent="0.25">
      <c r="A23" s="1527">
        <f>816390-46604</f>
        <v>769786</v>
      </c>
      <c r="B23" s="1528" t="s">
        <v>1970</v>
      </c>
      <c r="C23" s="1560" t="s">
        <v>1798</v>
      </c>
      <c r="D23" s="1531"/>
      <c r="E23" s="1531"/>
      <c r="F23" s="1531">
        <v>154000</v>
      </c>
      <c r="G23" s="1531">
        <v>154000</v>
      </c>
      <c r="H23" s="1531">
        <v>154000</v>
      </c>
      <c r="I23" s="1531">
        <v>154000</v>
      </c>
      <c r="J23" s="1531">
        <v>153786</v>
      </c>
      <c r="K23" s="1531"/>
      <c r="L23" s="1531"/>
      <c r="M23" s="1531"/>
      <c r="N23" s="1531"/>
      <c r="O23" s="1531"/>
      <c r="P23" s="1531"/>
      <c r="Q23" s="1531"/>
      <c r="R23" s="1564"/>
    </row>
    <row r="24" spans="1:21" ht="16.5" thickBot="1" x14ac:dyDescent="0.3">
      <c r="A24" s="1546"/>
      <c r="B24" s="1554"/>
      <c r="C24" s="1548" t="s">
        <v>1967</v>
      </c>
      <c r="D24" s="1555">
        <f>((A23/2)/2)*0.027</f>
        <v>5196.0555000000004</v>
      </c>
      <c r="E24" s="1555">
        <f>(D24+A23/2)*0.027</f>
        <v>10532.4044985</v>
      </c>
      <c r="F24" s="1555">
        <f>(A23-D23-E23)*0.027-0.49</f>
        <v>20783.732</v>
      </c>
      <c r="G24" s="1555">
        <f>(A23-D23-E23-F23)*0.027-0.49</f>
        <v>16625.732</v>
      </c>
      <c r="H24" s="1555">
        <f>(A23-D23-E23-F23-G23)*0.027-0.49</f>
        <v>12467.732</v>
      </c>
      <c r="I24" s="1555">
        <f>(A23-D23-E23-F23-G23-H23)*0.027-0.49</f>
        <v>8309.732</v>
      </c>
      <c r="J24" s="1555">
        <f>(A23-D23-E23-F23-G23-H23-I23)*0.027-0.049</f>
        <v>4152.1729999999998</v>
      </c>
      <c r="K24" s="1555"/>
      <c r="L24" s="1555"/>
      <c r="M24" s="1555"/>
      <c r="N24" s="1555"/>
      <c r="O24" s="1555"/>
      <c r="P24" s="1555"/>
      <c r="Q24" s="1555"/>
      <c r="R24" s="1565"/>
    </row>
    <row r="25" spans="1:21" ht="47.25" x14ac:dyDescent="0.25">
      <c r="A25" s="1558">
        <f>1387873+480280+492399-493102-31711+74604+31711-322175</f>
        <v>1619879</v>
      </c>
      <c r="B25" s="1559" t="s">
        <v>1968</v>
      </c>
      <c r="C25" s="1560" t="s">
        <v>1974</v>
      </c>
      <c r="D25" s="1561">
        <v>0</v>
      </c>
      <c r="E25" s="1561">
        <v>0</v>
      </c>
      <c r="F25" s="1561">
        <v>0</v>
      </c>
      <c r="G25" s="1561">
        <f>236100-123300-7900+7400+3200-32200</f>
        <v>83300</v>
      </c>
      <c r="H25" s="1561">
        <f>236100-123300-7900+7400+3200-32200</f>
        <v>83300</v>
      </c>
      <c r="I25" s="1561">
        <f>236100-123300-7900+7400+3200-32200</f>
        <v>83300</v>
      </c>
      <c r="J25" s="1561">
        <f>236100-123200-8000+7400+3200-32200</f>
        <v>83300</v>
      </c>
      <c r="K25" s="1561">
        <f>236100+7400+3200-32200</f>
        <v>214500</v>
      </c>
      <c r="L25" s="1561">
        <f>236100+7400+3200-32200</f>
        <v>214500</v>
      </c>
      <c r="M25" s="1561">
        <f>236100+7400+3200-32200</f>
        <v>214500</v>
      </c>
      <c r="N25" s="1561">
        <f>236100+7400+3200-32200</f>
        <v>214500</v>
      </c>
      <c r="O25" s="1562">
        <f>236100+7400+3200-32300</f>
        <v>214400</v>
      </c>
      <c r="P25" s="1561">
        <f>235639+7004+3911-32275</f>
        <v>214279</v>
      </c>
      <c r="Q25" s="1562"/>
      <c r="R25" s="1563"/>
    </row>
    <row r="26" spans="1:21" ht="16.5" thickBot="1" x14ac:dyDescent="0.3">
      <c r="A26" s="1546"/>
      <c r="B26" s="1554"/>
      <c r="C26" s="1548" t="s">
        <v>1975</v>
      </c>
      <c r="D26" s="1556">
        <f>(A25/3/2)*0.027-1450</f>
        <v>5839.4554999999991</v>
      </c>
      <c r="E26" s="1556">
        <f>(D26+(A25/3)*2/2)*0.027-2939</f>
        <v>11797.5762985</v>
      </c>
      <c r="F26" s="1556">
        <f>(E26+(A25/2))*0.027-4429</f>
        <v>17757.901060059499</v>
      </c>
      <c r="G26" s="1556">
        <f>(A25-F25)*0.027-8699</f>
        <v>35037.733</v>
      </c>
      <c r="H26" s="1556">
        <f>(A25-F25-G25)*0.027-7829</f>
        <v>33658.633000000002</v>
      </c>
      <c r="I26" s="1556">
        <f>(A25-F25-G25-H25)*0.027-6960</f>
        <v>32278.533000000003</v>
      </c>
      <c r="J26" s="1556">
        <f>(A25-F25-G25-H25-I25)*0.027-6091</f>
        <v>30898.432999999997</v>
      </c>
      <c r="K26" s="1555">
        <f>(A25-F25-G25-H25-I25-J25)*0.027-5221</f>
        <v>29519.332999999999</v>
      </c>
      <c r="L26" s="1555">
        <f>(A25-F25-G25-H25-I25-J25-K25)*0.027-4352</f>
        <v>24596.832999999999</v>
      </c>
      <c r="M26" s="1555">
        <f>(A25-F25-G25-H25-I25-J25-K25-L25)*0.027-3482</f>
        <v>19675.332999999999</v>
      </c>
      <c r="N26" s="1555">
        <f>(A25-F25-G25-H25-I25-J25-K25-L25-M25)*0.027-2613</f>
        <v>14752.832999999999</v>
      </c>
      <c r="O26" s="1555">
        <f>(A25-F25-G25-H25-I25-J25-K25-L25-M25-N25)*0.027-1744</f>
        <v>9830.3330000000005</v>
      </c>
      <c r="P26" s="1556">
        <f>(A25-E25-F25-G25-H25-I25-J25-K25-L25-M25-N25-O25)*0.027-871</f>
        <v>4914.5330000000004</v>
      </c>
      <c r="Q26" s="1555"/>
      <c r="R26" s="1557"/>
    </row>
    <row r="27" spans="1:21" ht="47.25" x14ac:dyDescent="0.25">
      <c r="A27" s="1527">
        <v>1289745</v>
      </c>
      <c r="B27" s="1528"/>
      <c r="C27" s="1529" t="s">
        <v>1976</v>
      </c>
      <c r="D27" s="1531"/>
      <c r="E27" s="1531"/>
      <c r="F27" s="1531">
        <v>129000</v>
      </c>
      <c r="G27" s="1531">
        <v>129000</v>
      </c>
      <c r="H27" s="1531">
        <v>129000</v>
      </c>
      <c r="I27" s="1531">
        <v>129000</v>
      </c>
      <c r="J27" s="1531">
        <v>129000</v>
      </c>
      <c r="K27" s="1531">
        <v>129000</v>
      </c>
      <c r="L27" s="1531">
        <v>129000</v>
      </c>
      <c r="M27" s="1531">
        <v>129000</v>
      </c>
      <c r="N27" s="1531">
        <v>129000</v>
      </c>
      <c r="O27" s="1531">
        <v>128745</v>
      </c>
      <c r="P27" s="1531"/>
      <c r="Q27" s="1531"/>
      <c r="R27" s="1564"/>
    </row>
    <row r="28" spans="1:21" ht="16.5" thickBot="1" x14ac:dyDescent="0.3">
      <c r="A28" s="1546"/>
      <c r="B28" s="1554" t="s">
        <v>1970</v>
      </c>
      <c r="C28" s="1548" t="s">
        <v>1975</v>
      </c>
      <c r="D28" s="1555">
        <f>((A27/2)/2)*0.027</f>
        <v>8705.7787499999995</v>
      </c>
      <c r="E28" s="1555">
        <f>(D28+A27/2)*0.027</f>
        <v>17646.613526250003</v>
      </c>
      <c r="F28" s="1555">
        <f>(A27-D27-E27)*0.027</f>
        <v>34823.114999999998</v>
      </c>
      <c r="G28" s="1555">
        <f>(A27-D27-E27-F27)*0.027</f>
        <v>31340.114999999998</v>
      </c>
      <c r="H28" s="1555">
        <f>(A27-D27-E27-F27-G27)*0.027</f>
        <v>27857.114999999998</v>
      </c>
      <c r="I28" s="1555">
        <f>(A27-D27-E27-F27-G27-H27)*0.027</f>
        <v>24374.114999999998</v>
      </c>
      <c r="J28" s="1555">
        <f>(A27-D27-E27-F27-G27-H27-I27)*0.027</f>
        <v>20891.114999999998</v>
      </c>
      <c r="K28" s="1555">
        <f>(A27-D27-E27-F27-G27-H27-I27-J27)*0.027</f>
        <v>17408.115000000002</v>
      </c>
      <c r="L28" s="1555">
        <f>(A27-D27-E27-F27-G27-H27-I27-J27-K27)*0.027</f>
        <v>13925.115</v>
      </c>
      <c r="M28" s="1555">
        <f>(A27-D27-E27-F27-G27-H27-I27-J27-K27-L27)*0.027</f>
        <v>10442.115</v>
      </c>
      <c r="N28" s="1555">
        <f>(A27-D27-E27-F27-G27-H27-I27-J27-K27-L27-M27)*0.027</f>
        <v>6959.1149999999998</v>
      </c>
      <c r="O28" s="1555">
        <f>(A27-D27-E27-F27-G27-H27-I27-J27-K27-L27-M27-N27)*0.027</f>
        <v>3476.1149999999998</v>
      </c>
      <c r="P28" s="1555"/>
      <c r="Q28" s="1555"/>
      <c r="R28" s="1565"/>
    </row>
    <row r="29" spans="1:21" ht="47.25" x14ac:dyDescent="0.25">
      <c r="A29" s="1527">
        <v>2223273</v>
      </c>
      <c r="B29" s="1528" t="s">
        <v>1977</v>
      </c>
      <c r="C29" s="1529" t="s">
        <v>1784</v>
      </c>
      <c r="D29" s="1530"/>
      <c r="E29" s="1530">
        <v>0</v>
      </c>
      <c r="F29" s="1530">
        <v>0</v>
      </c>
      <c r="G29" s="1530">
        <v>222300</v>
      </c>
      <c r="H29" s="1530">
        <v>222300</v>
      </c>
      <c r="I29" s="1530">
        <v>222300</v>
      </c>
      <c r="J29" s="1530">
        <v>222300</v>
      </c>
      <c r="K29" s="1530">
        <v>222300</v>
      </c>
      <c r="L29" s="1530">
        <v>222300</v>
      </c>
      <c r="M29" s="1530">
        <v>222300</v>
      </c>
      <c r="N29" s="1531">
        <v>222300</v>
      </c>
      <c r="O29" s="1531">
        <v>222300</v>
      </c>
      <c r="P29" s="1530">
        <v>222573</v>
      </c>
      <c r="Q29" s="1531"/>
      <c r="R29" s="1532"/>
    </row>
    <row r="30" spans="1:21" ht="16.5" thickBot="1" x14ac:dyDescent="0.3">
      <c r="A30" s="1546"/>
      <c r="B30" s="1554"/>
      <c r="C30" s="1548" t="s">
        <v>1967</v>
      </c>
      <c r="D30" s="1556"/>
      <c r="E30" s="1556">
        <f>(A29/3/2)*0.027</f>
        <v>10004.728499999999</v>
      </c>
      <c r="F30" s="1556">
        <f>(E30+A29/2)*0.027</f>
        <v>30284.313169499997</v>
      </c>
      <c r="G30" s="1556">
        <f>A29*0.027</f>
        <v>60028.370999999999</v>
      </c>
      <c r="H30" s="1556">
        <f>(A29-G29)*0.027</f>
        <v>54026.271000000001</v>
      </c>
      <c r="I30" s="1556">
        <f>(A29-G29-H29)*0.027</f>
        <v>48024.171000000002</v>
      </c>
      <c r="J30" s="1556">
        <f>(A29-G29-H29-I29)*0.027</f>
        <v>42022.070999999996</v>
      </c>
      <c r="K30" s="1556">
        <f>(A29-G29-H29-I29-J29)*0.027</f>
        <v>36019.970999999998</v>
      </c>
      <c r="L30" s="1556">
        <f>(A29-G29-H29-I29-J29-K29)*0.027</f>
        <v>30017.870999999999</v>
      </c>
      <c r="M30" s="1555">
        <f>(A29-G29-H29-I29-J29-K29-L29)*0.027</f>
        <v>24015.771000000001</v>
      </c>
      <c r="N30" s="1555">
        <f>(A29-G29-H29-I29-J29-K29-L29-M29)*0.027</f>
        <v>18013.670999999998</v>
      </c>
      <c r="O30" s="1555">
        <f>(A29-G29-H29-I29-J29-K29-L29-M29-N29)*0.027</f>
        <v>12011.571</v>
      </c>
      <c r="P30" s="1556">
        <f>(A29-G29-H29-I29-J29-K29-L29-M29-N29-O29)*0.027</f>
        <v>6009.4709999999995</v>
      </c>
      <c r="Q30" s="1555"/>
      <c r="R30" s="1557"/>
    </row>
    <row r="31" spans="1:21" ht="47.25" x14ac:dyDescent="0.25">
      <c r="A31" s="1558">
        <f>280919+13590+222945</f>
        <v>517454</v>
      </c>
      <c r="B31" s="1559" t="s">
        <v>1977</v>
      </c>
      <c r="C31" s="1560" t="s">
        <v>1978</v>
      </c>
      <c r="D31" s="1561"/>
      <c r="E31" s="1561">
        <v>0</v>
      </c>
      <c r="F31" s="1561">
        <v>0</v>
      </c>
      <c r="G31" s="1561">
        <v>103500</v>
      </c>
      <c r="H31" s="1561">
        <v>103500</v>
      </c>
      <c r="I31" s="1561">
        <v>103500</v>
      </c>
      <c r="J31" s="1561">
        <v>103500</v>
      </c>
      <c r="K31" s="1561">
        <v>103454</v>
      </c>
      <c r="L31" s="1562"/>
      <c r="M31" s="1562"/>
      <c r="N31" s="1562"/>
      <c r="O31" s="1562"/>
      <c r="P31" s="1561"/>
      <c r="Q31" s="1562"/>
      <c r="R31" s="1563"/>
    </row>
    <row r="32" spans="1:21" ht="16.5" thickBot="1" x14ac:dyDescent="0.3">
      <c r="A32" s="1546"/>
      <c r="B32" s="1554"/>
      <c r="C32" s="1548" t="s">
        <v>1967</v>
      </c>
      <c r="D32" s="1556"/>
      <c r="E32" s="1556">
        <f>(A31/3/2)*0.027</f>
        <v>2328.5429999999997</v>
      </c>
      <c r="F32" s="1556">
        <f>(E32+A31/2)*0.027</f>
        <v>7048.4996609999998</v>
      </c>
      <c r="G32" s="1556">
        <f>(A31-E31-F31)*0.027</f>
        <v>13971.258</v>
      </c>
      <c r="H32" s="1556">
        <f>(A31-E31-F31-G31)*0.027</f>
        <v>11176.758</v>
      </c>
      <c r="I32" s="1556">
        <f>(A31-E31-F31-G31-H31)*0.027</f>
        <v>8382.2579999999998</v>
      </c>
      <c r="J32" s="1556">
        <f>(A31-E31-F31-G31-H31-I31)*0.027</f>
        <v>5587.7579999999998</v>
      </c>
      <c r="K32" s="1556">
        <f>(A31-E31-F31-G31-H31-I31-J31)*0.027</f>
        <v>2793.2579999999998</v>
      </c>
      <c r="L32" s="1555"/>
      <c r="M32" s="1555"/>
      <c r="N32" s="1555"/>
      <c r="O32" s="1555"/>
      <c r="P32" s="1556"/>
      <c r="Q32" s="1555"/>
      <c r="R32" s="1557"/>
    </row>
    <row r="33" spans="1:18" ht="47.25" x14ac:dyDescent="0.25">
      <c r="A33" s="1558">
        <f>1495263-10268-502733</f>
        <v>982262</v>
      </c>
      <c r="B33" s="1559" t="s">
        <v>1979</v>
      </c>
      <c r="C33" s="1560" t="s">
        <v>1980</v>
      </c>
      <c r="D33" s="1562">
        <v>0</v>
      </c>
      <c r="E33" s="1562">
        <v>0</v>
      </c>
      <c r="F33" s="1562">
        <v>0</v>
      </c>
      <c r="G33" s="1562">
        <f t="shared" ref="G33:O33" si="8">149500-50200</f>
        <v>99300</v>
      </c>
      <c r="H33" s="1562">
        <f t="shared" si="8"/>
        <v>99300</v>
      </c>
      <c r="I33" s="1562">
        <f t="shared" si="8"/>
        <v>99300</v>
      </c>
      <c r="J33" s="1562">
        <f t="shared" si="8"/>
        <v>99300</v>
      </c>
      <c r="K33" s="1562">
        <f t="shared" si="8"/>
        <v>99300</v>
      </c>
      <c r="L33" s="1562">
        <f t="shared" si="8"/>
        <v>99300</v>
      </c>
      <c r="M33" s="1562">
        <f t="shared" si="8"/>
        <v>99300</v>
      </c>
      <c r="N33" s="1562">
        <f t="shared" si="8"/>
        <v>99300</v>
      </c>
      <c r="O33" s="1562">
        <f t="shared" si="8"/>
        <v>99300</v>
      </c>
      <c r="P33" s="1561">
        <f>139495-50933</f>
        <v>88562</v>
      </c>
      <c r="Q33" s="1562"/>
      <c r="R33" s="1563"/>
    </row>
    <row r="34" spans="1:18" ht="16.5" thickBot="1" x14ac:dyDescent="0.3">
      <c r="A34" s="1546"/>
      <c r="B34" s="1554"/>
      <c r="C34" s="1548" t="s">
        <v>1967</v>
      </c>
      <c r="D34" s="1555">
        <f>(A33/3/2)*0.027</f>
        <v>4420.1790000000001</v>
      </c>
      <c r="E34" s="1555">
        <f>(D34+(A33/3)*2/2)*0.027</f>
        <v>8959.7028330000012</v>
      </c>
      <c r="F34" s="1555">
        <f>(E34+(A33/2))*0.027</f>
        <v>13502.448976490999</v>
      </c>
      <c r="G34" s="1555">
        <f>A33*0.027</f>
        <v>26521.074000000001</v>
      </c>
      <c r="H34" s="1555">
        <f>(A33-G33)*0.027</f>
        <v>23839.973999999998</v>
      </c>
      <c r="I34" s="1555">
        <f>(A33-G33-H33)*0.027</f>
        <v>21158.874</v>
      </c>
      <c r="J34" s="1555">
        <f>(A33-G33-H33-I33)*0.027</f>
        <v>18477.774000000001</v>
      </c>
      <c r="K34" s="1555">
        <f>(A33-G33-H33-I33-J33)*0.027</f>
        <v>15796.673999999999</v>
      </c>
      <c r="L34" s="1555">
        <f>(A33-G33-H33-I33-J33-K33)*0.027</f>
        <v>13115.574000000001</v>
      </c>
      <c r="M34" s="1555">
        <f>(A33-G33-H33-I33-J33-K33-L33)*0.027</f>
        <v>10434.474</v>
      </c>
      <c r="N34" s="1555">
        <f>(A33-G33-H33-I33-J33-K33-L33-M33)*0.027</f>
        <v>7753.3739999999998</v>
      </c>
      <c r="O34" s="1555">
        <f>(A33-G33-H33-I33-J33-K33-L33-M33-N33)*0.027</f>
        <v>5072.2740000000003</v>
      </c>
      <c r="P34" s="1556">
        <f>(A33-G33-H33-I33-J33-K33-L33-M33-N33-O33)*0.027</f>
        <v>2391.174</v>
      </c>
      <c r="Q34" s="1555"/>
      <c r="R34" s="1557"/>
    </row>
    <row r="35" spans="1:18" ht="31.5" x14ac:dyDescent="0.25">
      <c r="A35" s="1527">
        <v>6000000</v>
      </c>
      <c r="B35" s="1528" t="s">
        <v>1977</v>
      </c>
      <c r="C35" s="1529" t="s">
        <v>1799</v>
      </c>
      <c r="D35" s="1530"/>
      <c r="E35" s="1530"/>
      <c r="F35" s="1530"/>
      <c r="G35" s="1530">
        <v>225000</v>
      </c>
      <c r="H35" s="1530">
        <v>375000</v>
      </c>
      <c r="I35" s="1530">
        <v>375000</v>
      </c>
      <c r="J35" s="1530">
        <v>375000</v>
      </c>
      <c r="K35" s="1530">
        <v>375000</v>
      </c>
      <c r="L35" s="1530">
        <v>375000</v>
      </c>
      <c r="M35" s="1530">
        <v>375000</v>
      </c>
      <c r="N35" s="1530">
        <v>375000</v>
      </c>
      <c r="O35" s="1531">
        <v>375000</v>
      </c>
      <c r="P35" s="1530">
        <v>375000</v>
      </c>
      <c r="Q35" s="1531">
        <v>375000</v>
      </c>
      <c r="R35" s="1532">
        <f>2550000-375000-375000+225000</f>
        <v>2025000</v>
      </c>
    </row>
    <row r="36" spans="1:18" ht="16.5" thickBot="1" x14ac:dyDescent="0.3">
      <c r="A36" s="1566"/>
      <c r="B36" s="1567"/>
      <c r="C36" s="1568" t="s">
        <v>1967</v>
      </c>
      <c r="D36" s="1569"/>
      <c r="E36" s="1569">
        <f>((A35/2)/2)*0.027</f>
        <v>40500</v>
      </c>
      <c r="F36" s="1569">
        <f>(E36+A35/2)*0.027</f>
        <v>82093.5</v>
      </c>
      <c r="G36" s="1569">
        <f>(A35-F35)*0.027</f>
        <v>162000</v>
      </c>
      <c r="H36" s="1569">
        <f>(A35-F35-G35)*0.027</f>
        <v>155925</v>
      </c>
      <c r="I36" s="1569">
        <f>(A35-F35-G35-H35)*0.027</f>
        <v>145800</v>
      </c>
      <c r="J36" s="1569">
        <f>(A35-F35-G35-H35-I35)*0.027</f>
        <v>135675</v>
      </c>
      <c r="K36" s="1569">
        <f>(A35-F35-G35-H35-I35-J35)*0.027</f>
        <v>125550</v>
      </c>
      <c r="L36" s="1569">
        <f>(A35-F35-G35-H35-I35-J35-K35)*0.027</f>
        <v>115425</v>
      </c>
      <c r="M36" s="1569">
        <f>(A35-F35-G35-H35-I35-J35-K35-L35)*0.027</f>
        <v>105300</v>
      </c>
      <c r="N36" s="1569">
        <f>(A35-F35-G35-H35-I35-J35-K35-L35-M35)*0.027</f>
        <v>95175</v>
      </c>
      <c r="O36" s="1570">
        <f>(A35-F35-G35-H35-I35-J35-K35-L35-M35-N35)*0.027</f>
        <v>85050</v>
      </c>
      <c r="P36" s="1569">
        <f>(A35-F35-G35-H35-I35-J35-K35-L35-M35-N35-O35)*0.027</f>
        <v>74925</v>
      </c>
      <c r="Q36" s="1570">
        <f>SUM(A35-F35-G35-H35-I35-J35-K35-L35-M35-N35-O35-P35)*0.027</f>
        <v>64800</v>
      </c>
      <c r="R36" s="1571">
        <f>293625-58725+40500</f>
        <v>275400</v>
      </c>
    </row>
    <row r="37" spans="1:18" ht="63" x14ac:dyDescent="0.25">
      <c r="A37" s="1558">
        <f>2152272+71001</f>
        <v>2223273</v>
      </c>
      <c r="B37" s="1559" t="s">
        <v>1977</v>
      </c>
      <c r="C37" s="1560" t="s">
        <v>1981</v>
      </c>
      <c r="D37" s="1561"/>
      <c r="E37" s="1561">
        <v>0</v>
      </c>
      <c r="F37" s="1561">
        <v>0</v>
      </c>
      <c r="G37" s="1561">
        <v>86400</v>
      </c>
      <c r="H37" s="1561">
        <v>159600</v>
      </c>
      <c r="I37" s="1561">
        <v>149600</v>
      </c>
      <c r="J37" s="1561">
        <v>261200</v>
      </c>
      <c r="K37" s="1561">
        <v>261200</v>
      </c>
      <c r="L37" s="1561">
        <v>261200</v>
      </c>
      <c r="M37" s="1562">
        <v>261200</v>
      </c>
      <c r="N37" s="1562">
        <v>261200</v>
      </c>
      <c r="O37" s="1562">
        <v>261200</v>
      </c>
      <c r="P37" s="1561">
        <v>260473</v>
      </c>
      <c r="Q37" s="1562"/>
      <c r="R37" s="1563"/>
    </row>
    <row r="38" spans="1:18" ht="16.5" thickBot="1" x14ac:dyDescent="0.3">
      <c r="A38" s="1546"/>
      <c r="B38" s="1554"/>
      <c r="C38" s="1548" t="s">
        <v>1967</v>
      </c>
      <c r="D38" s="1556"/>
      <c r="E38" s="1556">
        <f>(A37/3/2)*0.027</f>
        <v>10004.728499999999</v>
      </c>
      <c r="F38" s="1556">
        <f>(E38+A37/2)*0.027</f>
        <v>30284.313169499997</v>
      </c>
      <c r="G38" s="1556">
        <f>(A37-E37-F37)*0.027</f>
        <v>60028.370999999999</v>
      </c>
      <c r="H38" s="1556">
        <f>(A37-E37-F37-G37)*0.027</f>
        <v>57695.570999999996</v>
      </c>
      <c r="I38" s="1556">
        <f>(A37-E37-F37-G37-H37)*0.027</f>
        <v>53386.370999999999</v>
      </c>
      <c r="J38" s="1556">
        <f>(A37-E37-F37-G37-H37-I37)*0.027</f>
        <v>49347.171000000002</v>
      </c>
      <c r="K38" s="1556">
        <f>(A37-E37-F37-G37-H37-I37-J37)*0.027</f>
        <v>42294.771000000001</v>
      </c>
      <c r="L38" s="1556">
        <f>(A37-E37-F37-G37-H37-I37-J37-K37)*0.027</f>
        <v>35242.370999999999</v>
      </c>
      <c r="M38" s="1555">
        <f>(A37-E37-F37-G37-H37-I37-J37-K37-L37)*0.027</f>
        <v>28189.971000000001</v>
      </c>
      <c r="N38" s="1555">
        <f>(A37-E37-F37-G37-H37-I37-J37-K37-L37-M37)*0.027</f>
        <v>21137.571</v>
      </c>
      <c r="O38" s="1555">
        <f>(A37-E37-F37-G37-H37-I37-J37-K37-L37-M37-N37)*0.027</f>
        <v>14085.171</v>
      </c>
      <c r="P38" s="1556">
        <f>(A37-E37-F37-G37-H37-I37-J37-K37-L37-M37-N37-O37)*0.027</f>
        <v>7032.7709999999997</v>
      </c>
      <c r="Q38" s="1555"/>
      <c r="R38" s="1557"/>
    </row>
    <row r="39" spans="1:18" ht="31.5" x14ac:dyDescent="0.25">
      <c r="A39" s="1527">
        <f>4924140-1215479+66663</f>
        <v>3775324</v>
      </c>
      <c r="B39" s="1528">
        <v>2019</v>
      </c>
      <c r="C39" s="1528" t="s">
        <v>1982</v>
      </c>
      <c r="D39" s="1543"/>
      <c r="E39" s="1543">
        <f>492500-124900+8000</f>
        <v>375600</v>
      </c>
      <c r="F39" s="1543">
        <f>692500-173400</f>
        <v>519100</v>
      </c>
      <c r="G39" s="1542">
        <f>292500-68300</f>
        <v>224200</v>
      </c>
      <c r="H39" s="1542">
        <f>492500-126900+8000</f>
        <v>373600</v>
      </c>
      <c r="I39" s="1542">
        <f>492500-120900+8000</f>
        <v>379600</v>
      </c>
      <c r="J39" s="1542">
        <f>492500-120900+8000</f>
        <v>379600</v>
      </c>
      <c r="K39" s="1542">
        <f>492500-120900+8000</f>
        <v>379600</v>
      </c>
      <c r="L39" s="1542">
        <f>492500-120900+8000</f>
        <v>379600</v>
      </c>
      <c r="M39" s="1542">
        <f>492500-120900+9000</f>
        <v>380600</v>
      </c>
      <c r="N39" s="1542">
        <f>491640-117479+9663</f>
        <v>383824</v>
      </c>
      <c r="O39" s="1543"/>
      <c r="P39" s="1542"/>
      <c r="Q39" s="1543"/>
      <c r="R39" s="1544"/>
    </row>
    <row r="40" spans="1:18" ht="16.5" thickBot="1" x14ac:dyDescent="0.3">
      <c r="A40" s="1566"/>
      <c r="B40" s="1572"/>
      <c r="C40" s="1573" t="s">
        <v>1967</v>
      </c>
      <c r="D40" s="1574">
        <f>E40/12*8</f>
        <v>67955.831999999995</v>
      </c>
      <c r="E40" s="1574">
        <f>A39*0.027</f>
        <v>101933.74799999999</v>
      </c>
      <c r="F40" s="1537">
        <f>(A39-E39)*0.027</f>
        <v>91792.547999999995</v>
      </c>
      <c r="G40" s="1537">
        <f>(A39-E39-F39)*0.027</f>
        <v>77776.847999999998</v>
      </c>
      <c r="H40" s="1575">
        <f>(A39-E39-F39-G39)*0.027</f>
        <v>71723.448000000004</v>
      </c>
      <c r="I40" s="1575">
        <f>(A39-E39-F39-G39-H39)*0.027</f>
        <v>61636.248</v>
      </c>
      <c r="J40" s="1575">
        <f>(A39-E39-F39-G39-H39-I39)*0.027</f>
        <v>51387.048000000003</v>
      </c>
      <c r="K40" s="1575">
        <f>(A39-E39-F39-G39-H39-I39-J39)*0.027</f>
        <v>41137.847999999998</v>
      </c>
      <c r="L40" s="1575">
        <f>(A39-E39-F39-G39-H39-I39-J39-K39)*0.027</f>
        <v>30888.648000000001</v>
      </c>
      <c r="M40" s="1575">
        <f>(A39-E39-F39-G39-H39-I39-J39-K39-L39)*0.027</f>
        <v>20639.448</v>
      </c>
      <c r="N40" s="1575">
        <f>(A39-E39-F39-G39-H39-I39-J39-K39-L39-M39)*0.027</f>
        <v>10363.248</v>
      </c>
      <c r="O40" s="1574"/>
      <c r="P40" s="1575"/>
      <c r="Q40" s="1574"/>
      <c r="R40" s="1576"/>
    </row>
    <row r="41" spans="1:18" ht="15.75" x14ac:dyDescent="0.25">
      <c r="A41" s="1527">
        <v>7000000</v>
      </c>
      <c r="B41" s="1528" t="s">
        <v>1977</v>
      </c>
      <c r="C41" s="1529" t="s">
        <v>1983</v>
      </c>
      <c r="D41" s="1531"/>
      <c r="E41" s="1531"/>
      <c r="F41" s="1531"/>
      <c r="G41" s="1531">
        <v>350000</v>
      </c>
      <c r="H41" s="1531">
        <v>350000</v>
      </c>
      <c r="I41" s="1531">
        <v>350000</v>
      </c>
      <c r="J41" s="1531">
        <v>350000</v>
      </c>
      <c r="K41" s="1531">
        <v>350000</v>
      </c>
      <c r="L41" s="1531">
        <v>350000</v>
      </c>
      <c r="M41" s="1531">
        <v>350000</v>
      </c>
      <c r="N41" s="1531">
        <v>350000</v>
      </c>
      <c r="O41" s="1531">
        <v>350000</v>
      </c>
      <c r="P41" s="1530">
        <v>350000</v>
      </c>
      <c r="Q41" s="1531">
        <v>350000</v>
      </c>
      <c r="R41" s="1532">
        <f>3850000-350000-350000</f>
        <v>3150000</v>
      </c>
    </row>
    <row r="42" spans="1:18" ht="16.5" thickBot="1" x14ac:dyDescent="0.3">
      <c r="A42" s="1566"/>
      <c r="B42" s="1567"/>
      <c r="C42" s="1568" t="s">
        <v>1975</v>
      </c>
      <c r="D42" s="1570"/>
      <c r="E42" s="1570">
        <f>(A41/2/2)*0.027</f>
        <v>47250</v>
      </c>
      <c r="F42" s="1570">
        <f>(E42+A41/2)*0.027</f>
        <v>95775.75</v>
      </c>
      <c r="G42" s="1570">
        <f>A41*0.027</f>
        <v>189000</v>
      </c>
      <c r="H42" s="1570">
        <f>(A41-G41)*0.027</f>
        <v>179550</v>
      </c>
      <c r="I42" s="1570">
        <f>(A41-G41-H41)*0.027</f>
        <v>170100</v>
      </c>
      <c r="J42" s="1570">
        <f>(A41-G41-H41-I41)*0.027</f>
        <v>160650</v>
      </c>
      <c r="K42" s="1570">
        <f>(A41-G41-H41-I41-J41)*0.027</f>
        <v>151200</v>
      </c>
      <c r="L42" s="1570">
        <f>(A41-G41-H41-I41-J41-K41)*0.027</f>
        <v>141750</v>
      </c>
      <c r="M42" s="1570">
        <f>(A41-G41-H41-I41-J41-K41-L41)*0.027</f>
        <v>132300</v>
      </c>
      <c r="N42" s="1570">
        <f>(A41-G41-H41-I41-J41-K41-L41-M41)*0.027</f>
        <v>122850</v>
      </c>
      <c r="O42" s="1570">
        <f>(A41-G41-H41-I41-J41-K41-L41-M41-N41)*0.027</f>
        <v>113400</v>
      </c>
      <c r="P42" s="1569">
        <f>(A41-G41-H41-I41-J41-K41-L41-M41-N41-O41)*0.027</f>
        <v>103950</v>
      </c>
      <c r="Q42" s="1570">
        <f>SUM(A41-G41-H41-I41-J41-K41-L41-M41-N41-O41-P41)*0.027</f>
        <v>94500</v>
      </c>
      <c r="R42" s="1571">
        <f>519750-94500</f>
        <v>425250</v>
      </c>
    </row>
    <row r="43" spans="1:18" s="1577" customFormat="1" ht="63" x14ac:dyDescent="0.25">
      <c r="A43" s="1527">
        <v>2469793</v>
      </c>
      <c r="B43" s="1528" t="s">
        <v>1972</v>
      </c>
      <c r="C43" s="1529" t="s">
        <v>1984</v>
      </c>
      <c r="D43" s="1541"/>
      <c r="E43" s="1541">
        <v>0</v>
      </c>
      <c r="F43" s="1543">
        <v>0</v>
      </c>
      <c r="G43" s="1542">
        <v>0</v>
      </c>
      <c r="H43" s="1542">
        <v>247000</v>
      </c>
      <c r="I43" s="1542">
        <v>247000</v>
      </c>
      <c r="J43" s="1542">
        <v>247000</v>
      </c>
      <c r="K43" s="1542">
        <v>247000</v>
      </c>
      <c r="L43" s="1542">
        <v>247000</v>
      </c>
      <c r="M43" s="1542">
        <v>247000</v>
      </c>
      <c r="N43" s="1542">
        <v>247000</v>
      </c>
      <c r="O43" s="1543">
        <v>247000</v>
      </c>
      <c r="P43" s="1542">
        <v>247000</v>
      </c>
      <c r="Q43" s="1543">
        <v>246793</v>
      </c>
      <c r="R43" s="1544"/>
    </row>
    <row r="44" spans="1:18" s="1577" customFormat="1" ht="16.5" thickBot="1" x14ac:dyDescent="0.3">
      <c r="A44" s="1533"/>
      <c r="B44" s="1552"/>
      <c r="C44" s="1535" t="s">
        <v>1967</v>
      </c>
      <c r="D44" s="1537"/>
      <c r="E44" s="1569">
        <f>(A43/3/2)*0.027</f>
        <v>11114.068500000001</v>
      </c>
      <c r="F44" s="1569">
        <f>(E44+(A43/3)*2/2)*0.027</f>
        <v>22528.216849500001</v>
      </c>
      <c r="G44" s="1569">
        <f>(F44+(A43/2))*0.027</f>
        <v>33950.467354936503</v>
      </c>
      <c r="H44" s="1537">
        <f>(A43-F43-G43)*0.027</f>
        <v>66684.410999999993</v>
      </c>
      <c r="I44" s="1537">
        <f>(A43-F43-G43-H43)*0.027</f>
        <v>60015.411</v>
      </c>
      <c r="J44" s="1537">
        <f>(A43-F43-G43-H43-I43)*0.027</f>
        <v>53346.411</v>
      </c>
      <c r="K44" s="1538">
        <f>(A43-F43-G43-H43-I43-J43)*0.027</f>
        <v>46677.411</v>
      </c>
      <c r="L44" s="1537">
        <v>94069</v>
      </c>
      <c r="M44" s="1538">
        <f>(A43-F43-G43-H43-I43-J43-K43-L43)*0.027</f>
        <v>33339.411</v>
      </c>
      <c r="N44" s="1537">
        <f>(A43-F43-G43-H43-I43-J43-K43-L43-M43)*0.027</f>
        <v>26670.411</v>
      </c>
      <c r="O44" s="1538">
        <f>(A43-F43-G43-H43-I43-J43-K43-L43-M43-N43)*0.027</f>
        <v>20001.411</v>
      </c>
      <c r="P44" s="1537">
        <f>(A43-E43-F43-G43-H43-I43-J43-K43-L43-M43-N43-O43)*0.027</f>
        <v>13332.411</v>
      </c>
      <c r="Q44" s="1538">
        <f>(A43-H43-I43-J43-K43-L43-M43-N43-O43-P43)*0.027</f>
        <v>6663.4110000000001</v>
      </c>
      <c r="R44" s="1578"/>
    </row>
    <row r="45" spans="1:18" s="1577" customFormat="1" ht="31.5" x14ac:dyDescent="0.25">
      <c r="A45" s="1579">
        <f>261116+31711-74604+1209375+282993+327994+502733+1596300+289676+1157984+486236+1215479+66663+1029745-261116-31711-1289745-510195-816390+309289-46604</f>
        <v>5736929</v>
      </c>
      <c r="B45" s="1580" t="s">
        <v>1985</v>
      </c>
      <c r="C45" s="1493" t="s">
        <v>1986</v>
      </c>
      <c r="D45" s="1581"/>
      <c r="E45" s="1581">
        <v>428700</v>
      </c>
      <c r="F45" s="1581">
        <v>428700</v>
      </c>
      <c r="G45" s="1581">
        <v>417000</v>
      </c>
      <c r="H45" s="1581">
        <v>321700</v>
      </c>
      <c r="I45" s="1581">
        <v>321700</v>
      </c>
      <c r="J45" s="1581">
        <v>415000</v>
      </c>
      <c r="K45" s="1581">
        <v>435700</v>
      </c>
      <c r="L45" s="1582">
        <v>435700</v>
      </c>
      <c r="M45" s="1582">
        <v>435700</v>
      </c>
      <c r="N45" s="1582">
        <v>435700</v>
      </c>
      <c r="O45" s="1582">
        <v>435700</v>
      </c>
      <c r="P45" s="1581">
        <v>435700</v>
      </c>
      <c r="Q45" s="1582">
        <v>435700</v>
      </c>
      <c r="R45" s="1583">
        <v>354229</v>
      </c>
    </row>
    <row r="46" spans="1:18" s="1577" customFormat="1" ht="18" customHeight="1" thickBot="1" x14ac:dyDescent="0.3">
      <c r="A46" s="1584"/>
      <c r="B46" s="1585"/>
      <c r="C46" s="1585"/>
      <c r="D46" s="1586"/>
      <c r="E46" s="1586">
        <f>(A45-D45)*0.027</f>
        <v>154897.08299999998</v>
      </c>
      <c r="F46" s="1587">
        <f>(A45-D45-E45)*0.027</f>
        <v>143322.18299999999</v>
      </c>
      <c r="G46" s="1586">
        <f>(A45-D45-E45-F45)*0.027</f>
        <v>131747.283</v>
      </c>
      <c r="H46" s="1586">
        <f>(A45-D45-E45-F45-G45)*0.027</f>
        <v>120488.283</v>
      </c>
      <c r="I46" s="1586">
        <f>(A45-D45-E45-F45-G45-H45)*0.027</f>
        <v>111802.383</v>
      </c>
      <c r="J46" s="1586">
        <f>(A45-D45-E45-F45-G45-H45-I45)*0.027</f>
        <v>103116.48299999999</v>
      </c>
      <c r="K46" s="1586">
        <f>(A45-D45-E45-F45-G45-H45-I45-J45)*0.027</f>
        <v>91911.482999999993</v>
      </c>
      <c r="L46" s="1587">
        <f>(A45-D45-E45-F45-G45-H45-I45-J45-K45)*0.027</f>
        <v>80147.582999999999</v>
      </c>
      <c r="M46" s="1587">
        <f>(A45-D45-E45-F45-G45-H45-I45-J45-K45-L45)*0.027</f>
        <v>68383.683000000005</v>
      </c>
      <c r="N46" s="1587">
        <f>(A45-D45-E45-F45-G45-H45-I45-J45-K45-L45-M45)*0.027</f>
        <v>56619.782999999996</v>
      </c>
      <c r="O46" s="1587">
        <f>(A45-D45-E45-F45-G45-H45-I45-J45-K45-L45-M45-N45)*0.027</f>
        <v>44855.883000000002</v>
      </c>
      <c r="P46" s="1587">
        <f>(A45-D45-E45-F45-G45-H45-I45-J45-K45-L45-M45-N45-O45)*0.027</f>
        <v>33091.983</v>
      </c>
      <c r="Q46" s="1587">
        <f>(A45-D45-E45-F45-G45-H45-I45-J45-K45-L45-M45-N45-O45-P45)*0.027</f>
        <v>21328.082999999999</v>
      </c>
      <c r="R46" s="1588">
        <f>(A45-D45-E45-F45-G45-H45-I45-J45-K45-L45-M45-N45-O45-P45-Q45)*0.027</f>
        <v>9564.1829999999991</v>
      </c>
    </row>
    <row r="47" spans="1:18" ht="16.5" thickBot="1" x14ac:dyDescent="0.3">
      <c r="A47" s="1589"/>
      <c r="B47" s="1590"/>
      <c r="C47" s="1591" t="s">
        <v>1987</v>
      </c>
      <c r="D47" s="1592"/>
      <c r="E47" s="1592"/>
      <c r="F47" s="1593"/>
      <c r="G47" s="1592"/>
      <c r="H47" s="1593"/>
      <c r="I47" s="1592"/>
      <c r="J47" s="1594"/>
      <c r="K47" s="1595"/>
      <c r="L47" s="1595"/>
      <c r="M47" s="1595"/>
      <c r="N47" s="1595"/>
      <c r="O47" s="1595"/>
      <c r="P47" s="1594"/>
      <c r="Q47" s="1595"/>
      <c r="R47" s="1596"/>
    </row>
    <row r="48" spans="1:18" ht="15.75" x14ac:dyDescent="0.25">
      <c r="A48" s="1597"/>
      <c r="B48" s="1528"/>
      <c r="C48" s="1598"/>
      <c r="D48" s="1599"/>
      <c r="E48" s="1599"/>
      <c r="F48" s="1599"/>
      <c r="G48" s="1599"/>
      <c r="H48" s="1600"/>
      <c r="I48" s="1599"/>
      <c r="J48" s="1530"/>
      <c r="K48" s="1531"/>
      <c r="L48" s="1531"/>
      <c r="M48" s="1531"/>
      <c r="N48" s="1531"/>
      <c r="O48" s="1531"/>
      <c r="P48" s="1530"/>
      <c r="Q48" s="1531"/>
      <c r="R48" s="1532"/>
    </row>
    <row r="49" spans="1:18" ht="16.5" thickBot="1" x14ac:dyDescent="0.3">
      <c r="A49" s="1601"/>
      <c r="B49" s="1567"/>
      <c r="C49" s="1573"/>
      <c r="D49" s="1553"/>
      <c r="E49" s="1553"/>
      <c r="F49" s="1553"/>
      <c r="G49" s="1553"/>
      <c r="H49" s="1539"/>
      <c r="I49" s="1553"/>
      <c r="J49" s="1553"/>
      <c r="K49" s="1539"/>
      <c r="L49" s="1539"/>
      <c r="M49" s="1539"/>
      <c r="N49" s="1539"/>
      <c r="O49" s="1539"/>
      <c r="P49" s="1553"/>
      <c r="Q49" s="1539"/>
      <c r="R49" s="1540"/>
    </row>
    <row r="50" spans="1:18" s="1577" customFormat="1" ht="50.25" customHeight="1" x14ac:dyDescent="0.25">
      <c r="A50" s="1597">
        <v>2148174</v>
      </c>
      <c r="B50" s="1602" t="s">
        <v>1988</v>
      </c>
      <c r="C50" s="1602" t="s">
        <v>1989</v>
      </c>
      <c r="D50" s="1603">
        <v>160586</v>
      </c>
      <c r="E50" s="1530">
        <v>241889</v>
      </c>
      <c r="F50" s="1604">
        <v>241888</v>
      </c>
      <c r="G50" s="1603">
        <v>170377</v>
      </c>
      <c r="H50" s="1604"/>
      <c r="I50" s="1603"/>
      <c r="J50" s="1603"/>
      <c r="K50" s="1531"/>
      <c r="L50" s="1531"/>
      <c r="M50" s="1531"/>
      <c r="N50" s="1531"/>
      <c r="O50" s="1531"/>
      <c r="P50" s="1530"/>
      <c r="Q50" s="1531"/>
      <c r="R50" s="1532"/>
    </row>
    <row r="51" spans="1:18" s="1577" customFormat="1" ht="16.5" thickBot="1" x14ac:dyDescent="0.3">
      <c r="A51" s="1601"/>
      <c r="B51" s="1605"/>
      <c r="C51" s="1606" t="s">
        <v>1990</v>
      </c>
      <c r="D51" s="1607">
        <v>16424</v>
      </c>
      <c r="E51" s="1607">
        <v>11991</v>
      </c>
      <c r="F51" s="1608">
        <v>7557</v>
      </c>
      <c r="G51" s="1608">
        <v>3123</v>
      </c>
      <c r="H51" s="1609"/>
      <c r="I51" s="1608"/>
      <c r="J51" s="1608"/>
      <c r="K51" s="1570"/>
      <c r="L51" s="1570"/>
      <c r="M51" s="1570"/>
      <c r="N51" s="1570"/>
      <c r="O51" s="1570"/>
      <c r="P51" s="1569"/>
      <c r="Q51" s="1570"/>
      <c r="R51" s="1571"/>
    </row>
    <row r="52" spans="1:18" s="1577" customFormat="1" ht="47.25" x14ac:dyDescent="0.25">
      <c r="A52" s="1597">
        <v>1244225</v>
      </c>
      <c r="B52" s="1602" t="s">
        <v>1991</v>
      </c>
      <c r="C52" s="1602" t="s">
        <v>1992</v>
      </c>
      <c r="D52" s="1603">
        <v>217104</v>
      </c>
      <c r="E52" s="1603">
        <v>100668</v>
      </c>
      <c r="F52" s="1603">
        <v>82989</v>
      </c>
      <c r="G52" s="1603">
        <v>16668</v>
      </c>
      <c r="H52" s="1604"/>
      <c r="I52" s="1603"/>
      <c r="J52" s="1603"/>
      <c r="K52" s="1531"/>
      <c r="L52" s="1531"/>
      <c r="M52" s="1531"/>
      <c r="N52" s="1531"/>
      <c r="O52" s="1531"/>
      <c r="P52" s="1530"/>
      <c r="Q52" s="1531"/>
      <c r="R52" s="1532"/>
    </row>
    <row r="53" spans="1:18" s="1577" customFormat="1" ht="16.5" thickBot="1" x14ac:dyDescent="0.3">
      <c r="A53" s="1601"/>
      <c r="B53" s="1605"/>
      <c r="C53" s="1606" t="s">
        <v>1993</v>
      </c>
      <c r="D53" s="1608">
        <v>7497</v>
      </c>
      <c r="E53" s="1608">
        <v>5409</v>
      </c>
      <c r="F53" s="1608">
        <v>2691</v>
      </c>
      <c r="G53" s="1608">
        <v>450</v>
      </c>
      <c r="H53" s="1609"/>
      <c r="I53" s="1608"/>
      <c r="J53" s="1608"/>
      <c r="K53" s="1570"/>
      <c r="L53" s="1570"/>
      <c r="M53" s="1570"/>
      <c r="N53" s="1570"/>
      <c r="O53" s="1570"/>
      <c r="P53" s="1569"/>
      <c r="Q53" s="1570"/>
      <c r="R53" s="1571"/>
    </row>
    <row r="54" spans="1:18" s="1577" customFormat="1" ht="51" customHeight="1" x14ac:dyDescent="0.25">
      <c r="A54" s="1527">
        <v>12083954</v>
      </c>
      <c r="B54" s="1528" t="s">
        <v>1994</v>
      </c>
      <c r="C54" s="1528" t="s">
        <v>1995</v>
      </c>
      <c r="D54" s="1530">
        <f>651688</f>
        <v>651688</v>
      </c>
      <c r="E54" s="1603">
        <v>669388</v>
      </c>
      <c r="F54" s="1603">
        <v>669388</v>
      </c>
      <c r="G54" s="1603">
        <v>669388</v>
      </c>
      <c r="H54" s="1603">
        <v>669388</v>
      </c>
      <c r="I54" s="1603">
        <v>669388</v>
      </c>
      <c r="J54" s="1603">
        <v>669388</v>
      </c>
      <c r="K54" s="1603">
        <v>669388</v>
      </c>
      <c r="L54" s="1603">
        <v>669388</v>
      </c>
      <c r="M54" s="1603">
        <v>669388</v>
      </c>
      <c r="N54" s="1603">
        <v>669388</v>
      </c>
      <c r="O54" s="1604">
        <v>669388</v>
      </c>
      <c r="P54" s="1603">
        <v>669388</v>
      </c>
      <c r="Q54" s="1604">
        <v>669388</v>
      </c>
      <c r="R54" s="1532">
        <f>2056851-669388-669388</f>
        <v>718075</v>
      </c>
    </row>
    <row r="55" spans="1:18" s="1577" customFormat="1" ht="16.5" thickBot="1" x14ac:dyDescent="0.3">
      <c r="A55" s="1566"/>
      <c r="B55" s="1567">
        <v>2016</v>
      </c>
      <c r="C55" s="1573" t="s">
        <v>1996</v>
      </c>
      <c r="D55" s="1569">
        <v>271938</v>
      </c>
      <c r="E55" s="1569">
        <v>254343</v>
      </c>
      <c r="F55" s="1569">
        <v>236269</v>
      </c>
      <c r="G55" s="1569">
        <v>218196</v>
      </c>
      <c r="H55" s="1569">
        <v>200122</v>
      </c>
      <c r="I55" s="1569">
        <v>182049</v>
      </c>
      <c r="J55" s="1569">
        <v>163976</v>
      </c>
      <c r="K55" s="1569">
        <v>145902</v>
      </c>
      <c r="L55" s="1569">
        <v>127829</v>
      </c>
      <c r="M55" s="1569">
        <v>109755</v>
      </c>
      <c r="N55" s="1569">
        <v>91682</v>
      </c>
      <c r="O55" s="1570">
        <v>73608</v>
      </c>
      <c r="P55" s="1569">
        <v>55535</v>
      </c>
      <c r="Q55" s="1570">
        <v>37461</v>
      </c>
      <c r="R55" s="1571">
        <f>137587-55535-37461</f>
        <v>44591</v>
      </c>
    </row>
    <row r="56" spans="1:18" s="1577" customFormat="1" ht="15.75" x14ac:dyDescent="0.25">
      <c r="A56" s="1597">
        <v>2985430</v>
      </c>
      <c r="B56" s="1602" t="s">
        <v>1997</v>
      </c>
      <c r="C56" s="1602" t="s">
        <v>1998</v>
      </c>
      <c r="D56" s="1603">
        <v>284577</v>
      </c>
      <c r="E56" s="1603">
        <v>284577</v>
      </c>
      <c r="F56" s="1603">
        <v>376289</v>
      </c>
      <c r="G56" s="1530">
        <v>562083</v>
      </c>
      <c r="H56" s="1531">
        <v>27516</v>
      </c>
      <c r="I56" s="1530">
        <v>27509</v>
      </c>
      <c r="J56" s="1530"/>
      <c r="K56" s="1531"/>
      <c r="L56" s="1531"/>
      <c r="M56" s="1531"/>
      <c r="N56" s="1531"/>
      <c r="O56" s="1531"/>
      <c r="P56" s="1530"/>
      <c r="Q56" s="1531"/>
      <c r="R56" s="1532"/>
    </row>
    <row r="57" spans="1:18" s="1577" customFormat="1" ht="18" customHeight="1" thickBot="1" x14ac:dyDescent="0.3">
      <c r="A57" s="1601"/>
      <c r="B57" s="1610"/>
      <c r="C57" s="1606" t="s">
        <v>1999</v>
      </c>
      <c r="D57" s="1608">
        <v>42189</v>
      </c>
      <c r="E57" s="1608">
        <v>34505</v>
      </c>
      <c r="F57" s="1608">
        <v>26822</v>
      </c>
      <c r="G57" s="1569">
        <v>16662</v>
      </c>
      <c r="H57" s="1570">
        <v>1486</v>
      </c>
      <c r="I57" s="1569">
        <v>743</v>
      </c>
      <c r="J57" s="1569"/>
      <c r="K57" s="1570"/>
      <c r="L57" s="1570"/>
      <c r="M57" s="1570"/>
      <c r="N57" s="1570"/>
      <c r="O57" s="1570"/>
      <c r="P57" s="1569"/>
      <c r="Q57" s="1570"/>
      <c r="R57" s="1571"/>
    </row>
    <row r="58" spans="1:18" s="1577" customFormat="1" ht="31.5" x14ac:dyDescent="0.25">
      <c r="A58" s="1597">
        <v>546714</v>
      </c>
      <c r="B58" s="1602" t="s">
        <v>1997</v>
      </c>
      <c r="C58" s="1602" t="s">
        <v>2000</v>
      </c>
      <c r="D58" s="1603">
        <v>6096</v>
      </c>
      <c r="E58" s="1603"/>
      <c r="F58" s="1603"/>
      <c r="G58" s="1603"/>
      <c r="H58" s="1604"/>
      <c r="I58" s="1603"/>
      <c r="J58" s="1603"/>
      <c r="K58" s="1531"/>
      <c r="L58" s="1531"/>
      <c r="M58" s="1531"/>
      <c r="N58" s="1531"/>
      <c r="O58" s="1531"/>
      <c r="P58" s="1530"/>
      <c r="Q58" s="1531"/>
      <c r="R58" s="1532"/>
    </row>
    <row r="59" spans="1:18" s="1577" customFormat="1" ht="16.5" thickBot="1" x14ac:dyDescent="0.3">
      <c r="A59" s="1601"/>
      <c r="B59" s="1610"/>
      <c r="C59" s="1606" t="s">
        <v>2001</v>
      </c>
      <c r="D59" s="1608">
        <v>38</v>
      </c>
      <c r="E59" s="1608"/>
      <c r="F59" s="1608"/>
      <c r="G59" s="1608"/>
      <c r="H59" s="1609"/>
      <c r="I59" s="1608"/>
      <c r="J59" s="1608"/>
      <c r="K59" s="1539"/>
      <c r="L59" s="1539"/>
      <c r="M59" s="1539"/>
      <c r="N59" s="1539"/>
      <c r="O59" s="1539"/>
      <c r="P59" s="1553"/>
      <c r="Q59" s="1539"/>
      <c r="R59" s="1540"/>
    </row>
    <row r="60" spans="1:18" s="1577" customFormat="1" ht="63" x14ac:dyDescent="0.25">
      <c r="A60" s="1527">
        <v>2178272</v>
      </c>
      <c r="B60" s="1528" t="s">
        <v>2002</v>
      </c>
      <c r="C60" s="1528" t="s">
        <v>2003</v>
      </c>
      <c r="D60" s="1530">
        <v>202540</v>
      </c>
      <c r="E60" s="1530">
        <v>242540</v>
      </c>
      <c r="F60" s="1530">
        <v>262540</v>
      </c>
      <c r="G60" s="1530">
        <v>207540</v>
      </c>
      <c r="H60" s="1531">
        <v>209457</v>
      </c>
      <c r="I60" s="1530">
        <v>189171</v>
      </c>
      <c r="J60" s="1530">
        <v>33517</v>
      </c>
      <c r="K60" s="1531"/>
      <c r="L60" s="1531"/>
      <c r="M60" s="1531"/>
      <c r="N60" s="1531"/>
      <c r="O60" s="1531"/>
      <c r="P60" s="1530"/>
      <c r="Q60" s="1531"/>
      <c r="R60" s="1532"/>
    </row>
    <row r="61" spans="1:18" s="1577" customFormat="1" ht="16.5" thickBot="1" x14ac:dyDescent="0.3">
      <c r="A61" s="1566"/>
      <c r="B61" s="1567"/>
      <c r="C61" s="1573" t="s">
        <v>1967</v>
      </c>
      <c r="D61" s="1569">
        <v>36377</v>
      </c>
      <c r="E61" s="1569">
        <v>30909</v>
      </c>
      <c r="F61" s="1569">
        <v>24360</v>
      </c>
      <c r="G61" s="1569">
        <v>17271</v>
      </c>
      <c r="H61" s="1570">
        <v>11668</v>
      </c>
      <c r="I61" s="1570">
        <v>6013</v>
      </c>
      <c r="J61" s="1570">
        <v>905</v>
      </c>
      <c r="K61" s="1570"/>
      <c r="L61" s="1570"/>
      <c r="M61" s="1570"/>
      <c r="N61" s="1570"/>
      <c r="O61" s="1570"/>
      <c r="P61" s="1569"/>
      <c r="Q61" s="1570"/>
      <c r="R61" s="1571"/>
    </row>
    <row r="62" spans="1:18" s="1577" customFormat="1" ht="47.25" x14ac:dyDescent="0.25">
      <c r="A62" s="1527">
        <v>4986010</v>
      </c>
      <c r="B62" s="1528" t="s">
        <v>2004</v>
      </c>
      <c r="C62" s="1528" t="s">
        <v>2005</v>
      </c>
      <c r="D62" s="1530">
        <v>500500</v>
      </c>
      <c r="E62" s="1530">
        <v>500500</v>
      </c>
      <c r="F62" s="1530">
        <v>550500</v>
      </c>
      <c r="G62" s="1530">
        <v>600500</v>
      </c>
      <c r="H62" s="1531">
        <v>600500</v>
      </c>
      <c r="I62" s="1530">
        <v>532510</v>
      </c>
      <c r="J62" s="1530"/>
      <c r="K62" s="1531"/>
      <c r="L62" s="1531"/>
      <c r="M62" s="1531"/>
      <c r="N62" s="1531"/>
      <c r="O62" s="1531"/>
      <c r="P62" s="1530"/>
      <c r="Q62" s="1531"/>
      <c r="R62" s="1532"/>
    </row>
    <row r="63" spans="1:18" s="1577" customFormat="1" ht="16.5" thickBot="1" x14ac:dyDescent="0.3">
      <c r="A63" s="1566"/>
      <c r="B63" s="1567">
        <v>2016</v>
      </c>
      <c r="C63" s="1573" t="s">
        <v>1967</v>
      </c>
      <c r="D63" s="1569">
        <v>88695</v>
      </c>
      <c r="E63" s="1569">
        <v>75182</v>
      </c>
      <c r="F63" s="1569">
        <v>61668</v>
      </c>
      <c r="G63" s="1569">
        <v>46805</v>
      </c>
      <c r="H63" s="1569">
        <v>30591</v>
      </c>
      <c r="I63" s="1569">
        <v>14378</v>
      </c>
      <c r="J63" s="1569"/>
      <c r="K63" s="1570"/>
      <c r="L63" s="1570"/>
      <c r="M63" s="1570"/>
      <c r="N63" s="1570"/>
      <c r="O63" s="1570"/>
      <c r="P63" s="1569"/>
      <c r="Q63" s="1570"/>
      <c r="R63" s="1571"/>
    </row>
    <row r="64" spans="1:18" s="1577" customFormat="1" ht="15.75" x14ac:dyDescent="0.25">
      <c r="A64" s="1527">
        <v>1082988</v>
      </c>
      <c r="B64" s="1528">
        <v>2014</v>
      </c>
      <c r="C64" s="1611" t="s">
        <v>2006</v>
      </c>
      <c r="D64" s="1530">
        <v>181883</v>
      </c>
      <c r="E64" s="1530"/>
      <c r="F64" s="1530"/>
      <c r="G64" s="1530"/>
      <c r="H64" s="1531"/>
      <c r="I64" s="1530"/>
      <c r="J64" s="1530"/>
      <c r="K64" s="1531"/>
      <c r="L64" s="1531"/>
      <c r="M64" s="1531"/>
      <c r="N64" s="1531"/>
      <c r="O64" s="1531"/>
      <c r="P64" s="1530"/>
      <c r="Q64" s="1531"/>
      <c r="R64" s="1532"/>
    </row>
    <row r="65" spans="1:18" s="1577" customFormat="1" ht="19.5" customHeight="1" thickBot="1" x14ac:dyDescent="0.3">
      <c r="A65" s="1566"/>
      <c r="B65" s="1572"/>
      <c r="C65" s="1567" t="s">
        <v>1967</v>
      </c>
      <c r="D65" s="1553">
        <v>5186</v>
      </c>
      <c r="E65" s="1553"/>
      <c r="F65" s="1553"/>
      <c r="G65" s="1553"/>
      <c r="H65" s="1539"/>
      <c r="I65" s="1553"/>
      <c r="J65" s="1553"/>
      <c r="K65" s="1539"/>
      <c r="L65" s="1539"/>
      <c r="M65" s="1539"/>
      <c r="N65" s="1539"/>
      <c r="O65" s="1539"/>
      <c r="P65" s="1553"/>
      <c r="Q65" s="1539"/>
      <c r="R65" s="1540"/>
    </row>
    <row r="66" spans="1:18" s="1577" customFormat="1" ht="31.5" x14ac:dyDescent="0.25">
      <c r="A66" s="1527">
        <v>5369974</v>
      </c>
      <c r="B66" s="1602" t="s">
        <v>2004</v>
      </c>
      <c r="C66" s="1602" t="s">
        <v>2007</v>
      </c>
      <c r="D66" s="1530">
        <v>650000</v>
      </c>
      <c r="E66" s="1603">
        <v>650000</v>
      </c>
      <c r="F66" s="1603">
        <v>650000</v>
      </c>
      <c r="G66" s="1603">
        <v>650000</v>
      </c>
      <c r="H66" s="1603">
        <v>700000</v>
      </c>
      <c r="I66" s="1604">
        <v>769974</v>
      </c>
      <c r="J66" s="1603"/>
      <c r="K66" s="1531"/>
      <c r="L66" s="1531"/>
      <c r="M66" s="1531"/>
      <c r="N66" s="1531"/>
      <c r="O66" s="1531"/>
      <c r="P66" s="1530"/>
      <c r="Q66" s="1531"/>
      <c r="R66" s="1532"/>
    </row>
    <row r="67" spans="1:18" s="1577" customFormat="1" ht="16.5" customHeight="1" thickBot="1" x14ac:dyDescent="0.3">
      <c r="A67" s="1566"/>
      <c r="B67" s="1610"/>
      <c r="C67" s="1612" t="s">
        <v>2008</v>
      </c>
      <c r="D67" s="1608">
        <v>109889</v>
      </c>
      <c r="E67" s="1608">
        <v>92339</v>
      </c>
      <c r="F67" s="1608">
        <v>74789</v>
      </c>
      <c r="G67" s="1608">
        <v>57239</v>
      </c>
      <c r="H67" s="1609">
        <v>39689</v>
      </c>
      <c r="I67" s="1608">
        <v>20789</v>
      </c>
      <c r="J67" s="1608"/>
      <c r="K67" s="1570"/>
      <c r="L67" s="1570"/>
      <c r="M67" s="1570"/>
      <c r="N67" s="1570"/>
      <c r="O67" s="1570"/>
      <c r="P67" s="1569"/>
      <c r="Q67" s="1570"/>
      <c r="R67" s="1571"/>
    </row>
    <row r="68" spans="1:18" s="1613" customFormat="1" ht="47.25" x14ac:dyDescent="0.25">
      <c r="A68" s="1527">
        <v>662019</v>
      </c>
      <c r="B68" s="1602" t="s">
        <v>2004</v>
      </c>
      <c r="C68" s="1602" t="s">
        <v>2009</v>
      </c>
      <c r="D68" s="1603">
        <v>87758</v>
      </c>
      <c r="E68" s="1603"/>
      <c r="F68" s="1603"/>
      <c r="G68" s="1603"/>
      <c r="H68" s="1603"/>
      <c r="I68" s="1603"/>
      <c r="J68" s="1603"/>
      <c r="K68" s="1604"/>
      <c r="L68" s="1604"/>
      <c r="M68" s="1604"/>
      <c r="N68" s="1604"/>
      <c r="O68" s="1604"/>
      <c r="P68" s="1603"/>
      <c r="Q68" s="1604"/>
      <c r="R68" s="1532"/>
    </row>
    <row r="69" spans="1:18" s="1613" customFormat="1" ht="16.5" thickBot="1" x14ac:dyDescent="0.3">
      <c r="A69" s="1566"/>
      <c r="B69" s="1610"/>
      <c r="C69" s="1614" t="s">
        <v>1967</v>
      </c>
      <c r="D69" s="1608">
        <v>2369</v>
      </c>
      <c r="E69" s="1608"/>
      <c r="F69" s="1608"/>
      <c r="G69" s="1608"/>
      <c r="H69" s="1608"/>
      <c r="I69" s="1608"/>
      <c r="J69" s="1608"/>
      <c r="K69" s="1609"/>
      <c r="L69" s="1609"/>
      <c r="M69" s="1609"/>
      <c r="N69" s="1609"/>
      <c r="O69" s="1609"/>
      <c r="P69" s="1608"/>
      <c r="Q69" s="1609"/>
      <c r="R69" s="1571"/>
    </row>
    <row r="70" spans="1:18" s="1613" customFormat="1" ht="31.5" x14ac:dyDescent="0.25">
      <c r="A70" s="1527">
        <f>3549134-88557+189120</f>
        <v>3649697</v>
      </c>
      <c r="B70" s="1528" t="s">
        <v>2004</v>
      </c>
      <c r="C70" s="1528" t="s">
        <v>2010</v>
      </c>
      <c r="D70" s="1530">
        <f>300000-300000</f>
        <v>0</v>
      </c>
      <c r="E70" s="1530">
        <f>300000-163982</f>
        <v>136018</v>
      </c>
      <c r="F70" s="1530">
        <f>300000</f>
        <v>300000</v>
      </c>
      <c r="G70" s="1530">
        <f>300000</f>
        <v>300000</v>
      </c>
      <c r="H70" s="1531">
        <v>520000</v>
      </c>
      <c r="I70" s="1530">
        <v>540577</v>
      </c>
      <c r="J70" s="1603"/>
      <c r="K70" s="1604"/>
      <c r="L70" s="1604"/>
      <c r="M70" s="1604"/>
      <c r="N70" s="1604"/>
      <c r="O70" s="1604"/>
      <c r="P70" s="1603"/>
      <c r="Q70" s="1604"/>
      <c r="R70" s="1532"/>
    </row>
    <row r="71" spans="1:18" s="1613" customFormat="1" ht="16.5" thickBot="1" x14ac:dyDescent="0.3">
      <c r="A71" s="1566"/>
      <c r="B71" s="1567"/>
      <c r="C71" s="1573" t="s">
        <v>1967</v>
      </c>
      <c r="D71" s="1569">
        <v>48508</v>
      </c>
      <c r="E71" s="1569">
        <v>40408</v>
      </c>
      <c r="F71" s="1569">
        <v>32308</v>
      </c>
      <c r="G71" s="1569">
        <v>24208</v>
      </c>
      <c r="H71" s="1570">
        <v>16108</v>
      </c>
      <c r="I71" s="1569">
        <v>7468</v>
      </c>
      <c r="J71" s="1569"/>
      <c r="K71" s="1609"/>
      <c r="L71" s="1609"/>
      <c r="M71" s="1609"/>
      <c r="N71" s="1609"/>
      <c r="O71" s="1609"/>
      <c r="P71" s="1608"/>
      <c r="Q71" s="1609"/>
      <c r="R71" s="1571"/>
    </row>
    <row r="72" spans="1:18" s="1613" customFormat="1" ht="31.5" x14ac:dyDescent="0.25">
      <c r="A72" s="1558">
        <v>2404762</v>
      </c>
      <c r="B72" s="1559">
        <v>2015</v>
      </c>
      <c r="C72" s="1528" t="s">
        <v>2011</v>
      </c>
      <c r="D72" s="1561">
        <v>235000</v>
      </c>
      <c r="E72" s="1561">
        <v>243000</v>
      </c>
      <c r="F72" s="1561">
        <v>243000</v>
      </c>
      <c r="G72" s="1561">
        <v>243000</v>
      </c>
      <c r="H72" s="1561">
        <v>243000</v>
      </c>
      <c r="I72" s="1561">
        <v>243000</v>
      </c>
      <c r="J72" s="1561">
        <v>241762</v>
      </c>
      <c r="K72" s="1615"/>
      <c r="L72" s="1615"/>
      <c r="M72" s="1615"/>
      <c r="N72" s="1615"/>
      <c r="O72" s="1615"/>
      <c r="P72" s="1616"/>
      <c r="Q72" s="1615"/>
      <c r="R72" s="1540"/>
    </row>
    <row r="73" spans="1:18" s="1613" customFormat="1" ht="16.5" thickBot="1" x14ac:dyDescent="0.3">
      <c r="A73" s="1546"/>
      <c r="B73" s="1554"/>
      <c r="C73" s="1573" t="s">
        <v>2008</v>
      </c>
      <c r="D73" s="1556">
        <v>45678</v>
      </c>
      <c r="E73" s="1556">
        <v>39333</v>
      </c>
      <c r="F73" s="1556">
        <v>32772</v>
      </c>
      <c r="G73" s="1556">
        <v>26211</v>
      </c>
      <c r="H73" s="1555">
        <v>19650</v>
      </c>
      <c r="I73" s="1556">
        <v>13089</v>
      </c>
      <c r="J73" s="1556">
        <v>6528</v>
      </c>
      <c r="K73" s="1617"/>
      <c r="L73" s="1617"/>
      <c r="M73" s="1617"/>
      <c r="N73" s="1617"/>
      <c r="O73" s="1617"/>
      <c r="P73" s="1618"/>
      <c r="Q73" s="1617"/>
      <c r="R73" s="1557"/>
    </row>
    <row r="74" spans="1:18" s="1613" customFormat="1" ht="47.25" x14ac:dyDescent="0.25">
      <c r="A74" s="1527">
        <v>5274194</v>
      </c>
      <c r="B74" s="1528" t="s">
        <v>2012</v>
      </c>
      <c r="C74" s="1619" t="s">
        <v>2013</v>
      </c>
      <c r="D74" s="1531">
        <f>546041+37949</f>
        <v>583990</v>
      </c>
      <c r="E74" s="1531">
        <v>546041</v>
      </c>
      <c r="F74" s="1531">
        <v>546041</v>
      </c>
      <c r="G74" s="1531">
        <v>546041</v>
      </c>
      <c r="H74" s="1531">
        <v>546041</v>
      </c>
      <c r="I74" s="1531">
        <v>546041</v>
      </c>
      <c r="J74" s="1531">
        <v>546041</v>
      </c>
      <c r="K74" s="1531">
        <v>321875</v>
      </c>
      <c r="L74" s="1530"/>
      <c r="M74" s="1531"/>
      <c r="N74" s="1530"/>
      <c r="O74" s="1531"/>
      <c r="P74" s="1530"/>
      <c r="Q74" s="1531"/>
      <c r="R74" s="1532"/>
    </row>
    <row r="75" spans="1:18" s="1613" customFormat="1" ht="16.5" thickBot="1" x14ac:dyDescent="0.3">
      <c r="A75" s="1566"/>
      <c r="B75" s="1567"/>
      <c r="C75" s="1620" t="s">
        <v>1967</v>
      </c>
      <c r="D75" s="1570">
        <v>117945</v>
      </c>
      <c r="E75" s="1570">
        <v>103202</v>
      </c>
      <c r="F75" s="1570">
        <v>88459</v>
      </c>
      <c r="G75" s="1570">
        <v>73716</v>
      </c>
      <c r="H75" s="1570">
        <v>58972</v>
      </c>
      <c r="I75" s="1570">
        <v>44229</v>
      </c>
      <c r="J75" s="1570">
        <v>29486</v>
      </c>
      <c r="K75" s="1570">
        <v>14743</v>
      </c>
      <c r="L75" s="1569"/>
      <c r="M75" s="1570"/>
      <c r="N75" s="1569"/>
      <c r="O75" s="1570"/>
      <c r="P75" s="1569"/>
      <c r="Q75" s="1570"/>
      <c r="R75" s="1571"/>
    </row>
    <row r="76" spans="1:18" s="1613" customFormat="1" ht="31.5" x14ac:dyDescent="0.25">
      <c r="A76" s="1527">
        <v>1156633</v>
      </c>
      <c r="B76" s="1528">
        <v>2016</v>
      </c>
      <c r="C76" s="1528" t="s">
        <v>2014</v>
      </c>
      <c r="D76" s="1530">
        <v>121216</v>
      </c>
      <c r="E76" s="1530">
        <v>121216</v>
      </c>
      <c r="F76" s="1530">
        <v>121216</v>
      </c>
      <c r="G76" s="1530">
        <v>121216</v>
      </c>
      <c r="H76" s="1530">
        <v>121216</v>
      </c>
      <c r="I76" s="1530">
        <v>121216</v>
      </c>
      <c r="J76" s="1530">
        <v>93452</v>
      </c>
      <c r="K76" s="1530">
        <v>93453</v>
      </c>
      <c r="L76" s="1530"/>
      <c r="M76" s="1531"/>
      <c r="N76" s="1530"/>
      <c r="O76" s="1531"/>
      <c r="P76" s="1530"/>
      <c r="Q76" s="1531"/>
      <c r="R76" s="1532"/>
    </row>
    <row r="77" spans="1:18" s="1613" customFormat="1" ht="16.5" thickBot="1" x14ac:dyDescent="0.3">
      <c r="A77" s="1566"/>
      <c r="B77" s="1567"/>
      <c r="C77" s="1573" t="s">
        <v>1967</v>
      </c>
      <c r="D77" s="1569">
        <v>24683</v>
      </c>
      <c r="E77" s="1569">
        <v>21411</v>
      </c>
      <c r="F77" s="1569">
        <v>18138</v>
      </c>
      <c r="G77" s="1569">
        <v>14865</v>
      </c>
      <c r="H77" s="1569">
        <v>11592</v>
      </c>
      <c r="I77" s="1569">
        <v>8319</v>
      </c>
      <c r="J77" s="1569">
        <v>5046</v>
      </c>
      <c r="K77" s="1569">
        <v>2523</v>
      </c>
      <c r="L77" s="1569"/>
      <c r="M77" s="1570"/>
      <c r="N77" s="1569"/>
      <c r="O77" s="1570"/>
      <c r="P77" s="1569"/>
      <c r="Q77" s="1570"/>
      <c r="R77" s="1571"/>
    </row>
    <row r="78" spans="1:18" s="1577" customFormat="1" ht="39" customHeight="1" x14ac:dyDescent="0.25">
      <c r="A78" s="1527">
        <v>722842.29</v>
      </c>
      <c r="B78" s="1528">
        <v>2017</v>
      </c>
      <c r="C78" s="1528" t="s">
        <v>2015</v>
      </c>
      <c r="D78" s="1530">
        <v>70000</v>
      </c>
      <c r="E78" s="1530">
        <v>70000</v>
      </c>
      <c r="F78" s="1530">
        <v>70000</v>
      </c>
      <c r="G78" s="1530">
        <v>74000</v>
      </c>
      <c r="H78" s="1530">
        <v>75000</v>
      </c>
      <c r="I78" s="1530">
        <v>75000</v>
      </c>
      <c r="J78" s="1530">
        <v>75000</v>
      </c>
      <c r="K78" s="1530">
        <v>75000</v>
      </c>
      <c r="L78" s="1530">
        <v>63842.29</v>
      </c>
      <c r="M78" s="1530"/>
      <c r="N78" s="1530"/>
      <c r="O78" s="1531"/>
      <c r="P78" s="1530"/>
      <c r="Q78" s="1531"/>
      <c r="R78" s="1532"/>
    </row>
    <row r="79" spans="1:18" s="1577" customFormat="1" ht="17.25" customHeight="1" thickBot="1" x14ac:dyDescent="0.3">
      <c r="A79" s="1566"/>
      <c r="B79" s="1567"/>
      <c r="C79" s="1573" t="s">
        <v>1967</v>
      </c>
      <c r="D79" s="1569">
        <v>17492</v>
      </c>
      <c r="E79" s="1569">
        <v>15602</v>
      </c>
      <c r="F79" s="1569">
        <v>13712</v>
      </c>
      <c r="G79" s="1569">
        <v>11822</v>
      </c>
      <c r="H79" s="1569">
        <v>9824</v>
      </c>
      <c r="I79" s="1569">
        <v>7799</v>
      </c>
      <c r="J79" s="1569">
        <v>5774</v>
      </c>
      <c r="K79" s="1569">
        <v>3749</v>
      </c>
      <c r="L79" s="1569">
        <v>1724</v>
      </c>
      <c r="M79" s="1570"/>
      <c r="N79" s="1570"/>
      <c r="O79" s="1570"/>
      <c r="P79" s="1569"/>
      <c r="Q79" s="1570"/>
      <c r="R79" s="1571"/>
    </row>
    <row r="80" spans="1:18" s="1577" customFormat="1" ht="36" customHeight="1" x14ac:dyDescent="0.25">
      <c r="A80" s="1527">
        <v>1950509</v>
      </c>
      <c r="B80" s="1528">
        <v>2018</v>
      </c>
      <c r="C80" s="1529" t="s">
        <v>2016</v>
      </c>
      <c r="D80" s="1531">
        <v>200000</v>
      </c>
      <c r="E80" s="1531">
        <v>200000</v>
      </c>
      <c r="F80" s="1531">
        <v>110000</v>
      </c>
      <c r="G80" s="1531">
        <v>200000</v>
      </c>
      <c r="H80" s="1531">
        <v>200000</v>
      </c>
      <c r="I80" s="1531">
        <v>200000</v>
      </c>
      <c r="J80" s="1531">
        <v>200000</v>
      </c>
      <c r="K80" s="1531">
        <v>200000</v>
      </c>
      <c r="L80" s="1531">
        <v>250000</v>
      </c>
      <c r="M80" s="1531">
        <v>190509</v>
      </c>
      <c r="N80" s="1531"/>
      <c r="O80" s="1531"/>
      <c r="P80" s="1530"/>
      <c r="Q80" s="1531"/>
      <c r="R80" s="1532"/>
    </row>
    <row r="81" spans="1:18" s="1577" customFormat="1" ht="17.25" customHeight="1" thickBot="1" x14ac:dyDescent="0.3">
      <c r="A81" s="1546"/>
      <c r="B81" s="1554"/>
      <c r="C81" s="1568" t="s">
        <v>1967</v>
      </c>
      <c r="D81" s="1555">
        <v>54380</v>
      </c>
      <c r="E81" s="1555">
        <v>48979</v>
      </c>
      <c r="F81" s="1555">
        <v>43579</v>
      </c>
      <c r="G81" s="1555">
        <v>40610</v>
      </c>
      <c r="H81" s="1555">
        <v>35209</v>
      </c>
      <c r="I81" s="1555">
        <v>29809</v>
      </c>
      <c r="J81" s="1555">
        <v>24409</v>
      </c>
      <c r="K81" s="1555">
        <v>19009</v>
      </c>
      <c r="L81" s="1555">
        <v>13610</v>
      </c>
      <c r="M81" s="1555">
        <v>6860</v>
      </c>
      <c r="N81" s="1555"/>
      <c r="O81" s="1555"/>
      <c r="P81" s="1556"/>
      <c r="Q81" s="1555"/>
      <c r="R81" s="1557"/>
    </row>
    <row r="82" spans="1:18" s="1577" customFormat="1" ht="69.75" customHeight="1" x14ac:dyDescent="0.25">
      <c r="A82" s="1527">
        <f>831574+674172</f>
        <v>1505746</v>
      </c>
      <c r="B82" s="1528">
        <v>2018</v>
      </c>
      <c r="C82" s="1529" t="s">
        <v>2017</v>
      </c>
      <c r="D82" s="1530">
        <v>809607</v>
      </c>
      <c r="E82" s="1530">
        <f>301150-301150</f>
        <v>0</v>
      </c>
      <c r="F82" s="1530">
        <f>301150-207307</f>
        <v>93843</v>
      </c>
      <c r="G82" s="1530">
        <v>435981</v>
      </c>
      <c r="H82" s="1530"/>
      <c r="I82" s="1530"/>
      <c r="J82" s="1530"/>
      <c r="K82" s="1530"/>
      <c r="L82" s="1530"/>
      <c r="M82" s="1531"/>
      <c r="N82" s="1530"/>
      <c r="O82" s="1531"/>
      <c r="P82" s="1530"/>
      <c r="Q82" s="1531"/>
      <c r="R82" s="1532"/>
    </row>
    <row r="83" spans="1:18" s="1577" customFormat="1" ht="17.25" customHeight="1" thickBot="1" x14ac:dyDescent="0.3">
      <c r="A83" s="1546"/>
      <c r="B83" s="1554"/>
      <c r="C83" s="1621" t="s">
        <v>1967</v>
      </c>
      <c r="D83" s="1556">
        <v>36165</v>
      </c>
      <c r="E83" s="1556">
        <v>28033</v>
      </c>
      <c r="F83" s="1556">
        <v>19903</v>
      </c>
      <c r="G83" s="1556">
        <v>11771</v>
      </c>
      <c r="H83" s="1556"/>
      <c r="I83" s="1556"/>
      <c r="J83" s="1556"/>
      <c r="K83" s="1556"/>
      <c r="L83" s="1556"/>
      <c r="M83" s="1555"/>
      <c r="N83" s="1556"/>
      <c r="O83" s="1555"/>
      <c r="P83" s="1556"/>
      <c r="Q83" s="1555"/>
      <c r="R83" s="1557"/>
    </row>
    <row r="84" spans="1:18" s="1577" customFormat="1" ht="32.25" customHeight="1" x14ac:dyDescent="0.25">
      <c r="A84" s="1597">
        <v>1014552</v>
      </c>
      <c r="B84" s="1528" t="s">
        <v>2018</v>
      </c>
      <c r="C84" s="1529" t="s">
        <v>2019</v>
      </c>
      <c r="D84" s="1603"/>
      <c r="E84" s="1603">
        <v>101456</v>
      </c>
      <c r="F84" s="1603">
        <v>101456</v>
      </c>
      <c r="G84" s="1603">
        <v>101455</v>
      </c>
      <c r="H84" s="1603">
        <v>101455</v>
      </c>
      <c r="I84" s="1603">
        <v>101455</v>
      </c>
      <c r="J84" s="1603">
        <v>101455</v>
      </c>
      <c r="K84" s="1603">
        <v>135274</v>
      </c>
      <c r="L84" s="1603">
        <v>135273</v>
      </c>
      <c r="M84" s="1604">
        <v>135273</v>
      </c>
      <c r="N84" s="1530"/>
      <c r="O84" s="1531"/>
      <c r="P84" s="1530"/>
      <c r="Q84" s="1531"/>
      <c r="R84" s="1532"/>
    </row>
    <row r="85" spans="1:18" s="1577" customFormat="1" ht="17.25" customHeight="1" thickBot="1" x14ac:dyDescent="0.3">
      <c r="A85" s="1533"/>
      <c r="B85" s="1534"/>
      <c r="C85" s="1535" t="s">
        <v>1967</v>
      </c>
      <c r="D85" s="1616">
        <v>13881</v>
      </c>
      <c r="E85" s="1616">
        <v>27393</v>
      </c>
      <c r="F85" s="1616">
        <v>24654</v>
      </c>
      <c r="G85" s="1616">
        <v>21914</v>
      </c>
      <c r="H85" s="1616">
        <v>19175</v>
      </c>
      <c r="I85" s="1616">
        <v>16436</v>
      </c>
      <c r="J85" s="1616">
        <v>13696</v>
      </c>
      <c r="K85" s="1616">
        <v>10957</v>
      </c>
      <c r="L85" s="1616">
        <v>7305</v>
      </c>
      <c r="M85" s="1615">
        <v>3652</v>
      </c>
      <c r="N85" s="1553"/>
      <c r="O85" s="1539"/>
      <c r="P85" s="1553"/>
      <c r="Q85" s="1539"/>
      <c r="R85" s="1540"/>
    </row>
    <row r="86" spans="1:18" ht="47.25" x14ac:dyDescent="0.25">
      <c r="A86" s="1622">
        <v>450058</v>
      </c>
      <c r="B86" s="1623">
        <v>2019</v>
      </c>
      <c r="C86" s="1560" t="s">
        <v>2020</v>
      </c>
      <c r="D86" s="1624"/>
      <c r="E86" s="1624">
        <v>90012</v>
      </c>
      <c r="F86" s="1624">
        <v>90012</v>
      </c>
      <c r="G86" s="1624">
        <v>90012</v>
      </c>
      <c r="H86" s="1624">
        <v>90011</v>
      </c>
      <c r="I86" s="1624">
        <v>90011</v>
      </c>
      <c r="J86" s="1624"/>
      <c r="K86" s="1624"/>
      <c r="L86" s="1624"/>
      <c r="M86" s="1624"/>
      <c r="N86" s="1624"/>
      <c r="O86" s="1624"/>
      <c r="P86" s="1624"/>
      <c r="Q86" s="1624"/>
      <c r="R86" s="1625"/>
    </row>
    <row r="87" spans="1:18" s="1577" customFormat="1" ht="17.25" customHeight="1" thickBot="1" x14ac:dyDescent="0.3">
      <c r="A87" s="1626"/>
      <c r="B87" s="1554"/>
      <c r="C87" s="1548" t="s">
        <v>1967</v>
      </c>
      <c r="D87" s="1555">
        <v>8101</v>
      </c>
      <c r="E87" s="1555">
        <v>12152</v>
      </c>
      <c r="F87" s="1555">
        <v>9721</v>
      </c>
      <c r="G87" s="1555">
        <v>7291</v>
      </c>
      <c r="H87" s="1555">
        <v>4861</v>
      </c>
      <c r="I87" s="1555">
        <v>2430</v>
      </c>
      <c r="J87" s="1555"/>
      <c r="K87" s="1555"/>
      <c r="L87" s="1555"/>
      <c r="M87" s="1555"/>
      <c r="N87" s="1555"/>
      <c r="O87" s="1555"/>
      <c r="P87" s="1555"/>
      <c r="Q87" s="1555"/>
      <c r="R87" s="1565"/>
    </row>
    <row r="88" spans="1:18" s="1577" customFormat="1" ht="49.5" customHeight="1" x14ac:dyDescent="0.25">
      <c r="A88" s="1527">
        <f>534114+342953-261116+261116</f>
        <v>877067</v>
      </c>
      <c r="B88" s="1528" t="s">
        <v>1968</v>
      </c>
      <c r="C88" s="1552" t="s">
        <v>2021</v>
      </c>
      <c r="D88" s="1530"/>
      <c r="E88" s="1531"/>
      <c r="F88" s="1530"/>
      <c r="G88" s="1531">
        <v>87700</v>
      </c>
      <c r="H88" s="1530">
        <v>87700</v>
      </c>
      <c r="I88" s="1531">
        <v>87700</v>
      </c>
      <c r="J88" s="1530">
        <v>87700</v>
      </c>
      <c r="K88" s="1531">
        <v>87700</v>
      </c>
      <c r="L88" s="1530">
        <v>87700</v>
      </c>
      <c r="M88" s="1531">
        <v>87700</v>
      </c>
      <c r="N88" s="1530">
        <v>87700</v>
      </c>
      <c r="O88" s="1531">
        <v>87700</v>
      </c>
      <c r="P88" s="1530">
        <v>87767</v>
      </c>
      <c r="Q88" s="1531"/>
      <c r="R88" s="1532"/>
    </row>
    <row r="89" spans="1:18" s="1577" customFormat="1" ht="17.25" customHeight="1" thickBot="1" x14ac:dyDescent="0.3">
      <c r="A89" s="1627"/>
      <c r="B89" s="1567"/>
      <c r="C89" s="1548" t="s">
        <v>1967</v>
      </c>
      <c r="D89" s="1569">
        <v>3947</v>
      </c>
      <c r="E89" s="1570">
        <v>8000</v>
      </c>
      <c r="F89" s="1569">
        <v>12056</v>
      </c>
      <c r="G89" s="1570">
        <v>23681</v>
      </c>
      <c r="H89" s="1569">
        <v>21313</v>
      </c>
      <c r="I89" s="1570">
        <v>18945</v>
      </c>
      <c r="J89" s="1569">
        <v>16577</v>
      </c>
      <c r="K89" s="1570">
        <v>14209</v>
      </c>
      <c r="L89" s="1569">
        <v>11841</v>
      </c>
      <c r="M89" s="1570">
        <v>9473</v>
      </c>
      <c r="N89" s="1569">
        <v>7106</v>
      </c>
      <c r="O89" s="1570">
        <v>4738</v>
      </c>
      <c r="P89" s="1569">
        <v>2639</v>
      </c>
      <c r="Q89" s="1570"/>
      <c r="R89" s="1571"/>
    </row>
    <row r="90" spans="1:18" s="1577" customFormat="1" ht="54" customHeight="1" x14ac:dyDescent="0.25">
      <c r="A90" s="1527">
        <v>322175</v>
      </c>
      <c r="B90" s="1528" t="s">
        <v>1968</v>
      </c>
      <c r="C90" s="1560" t="s">
        <v>2022</v>
      </c>
      <c r="D90" s="1530"/>
      <c r="E90" s="1531"/>
      <c r="F90" s="1530"/>
      <c r="G90" s="1531">
        <v>32200</v>
      </c>
      <c r="H90" s="1530">
        <v>32200</v>
      </c>
      <c r="I90" s="1531">
        <v>32200</v>
      </c>
      <c r="J90" s="1530">
        <v>32200</v>
      </c>
      <c r="K90" s="1531">
        <v>32200</v>
      </c>
      <c r="L90" s="1530">
        <v>32200</v>
      </c>
      <c r="M90" s="1531">
        <v>32200</v>
      </c>
      <c r="N90" s="1530">
        <v>32200</v>
      </c>
      <c r="O90" s="1531">
        <v>32300</v>
      </c>
      <c r="P90" s="1530">
        <v>32275</v>
      </c>
      <c r="Q90" s="1531"/>
      <c r="R90" s="1532"/>
    </row>
    <row r="91" spans="1:18" s="1577" customFormat="1" ht="17.25" customHeight="1" thickBot="1" x14ac:dyDescent="0.3">
      <c r="A91" s="1628"/>
      <c r="B91" s="1534"/>
      <c r="C91" s="1548" t="s">
        <v>1975</v>
      </c>
      <c r="D91" s="1553">
        <v>1450</v>
      </c>
      <c r="E91" s="1539">
        <v>2939</v>
      </c>
      <c r="F91" s="1553">
        <v>4429</v>
      </c>
      <c r="G91" s="1539">
        <v>8699</v>
      </c>
      <c r="H91" s="1553">
        <v>7829</v>
      </c>
      <c r="I91" s="1539">
        <v>6960</v>
      </c>
      <c r="J91" s="1553">
        <v>6091</v>
      </c>
      <c r="K91" s="1539">
        <v>5221</v>
      </c>
      <c r="L91" s="1553">
        <v>4352</v>
      </c>
      <c r="M91" s="1539">
        <v>3482</v>
      </c>
      <c r="N91" s="1553">
        <v>2613</v>
      </c>
      <c r="O91" s="1539">
        <v>1744</v>
      </c>
      <c r="P91" s="1553">
        <v>871</v>
      </c>
      <c r="Q91" s="1539"/>
      <c r="R91" s="1540"/>
    </row>
    <row r="92" spans="1:18" s="1613" customFormat="1" ht="31.5" x14ac:dyDescent="0.25">
      <c r="A92" s="1558">
        <v>6300200</v>
      </c>
      <c r="B92" s="1629">
        <v>2015</v>
      </c>
      <c r="C92" s="1629" t="s">
        <v>2023</v>
      </c>
      <c r="D92" s="1630">
        <v>320500</v>
      </c>
      <c r="E92" s="1631">
        <v>320500</v>
      </c>
      <c r="F92" s="1630">
        <v>320500</v>
      </c>
      <c r="G92" s="1631">
        <v>320500</v>
      </c>
      <c r="H92" s="1630">
        <v>320500</v>
      </c>
      <c r="I92" s="1631">
        <v>320500</v>
      </c>
      <c r="J92" s="1630">
        <v>320500</v>
      </c>
      <c r="K92" s="1631">
        <v>320500</v>
      </c>
      <c r="L92" s="1630">
        <v>320500</v>
      </c>
      <c r="M92" s="1631">
        <v>320500</v>
      </c>
      <c r="N92" s="1630">
        <v>320500</v>
      </c>
      <c r="O92" s="1631">
        <v>320500</v>
      </c>
      <c r="P92" s="1630">
        <v>320500</v>
      </c>
      <c r="Q92" s="1631">
        <v>320500</v>
      </c>
      <c r="R92" s="1563">
        <f>1492700-320500-320500</f>
        <v>851700</v>
      </c>
    </row>
    <row r="93" spans="1:18" s="1613" customFormat="1" ht="16.5" thickBot="1" x14ac:dyDescent="0.3">
      <c r="A93" s="1632"/>
      <c r="B93" s="1633"/>
      <c r="C93" s="1612" t="s">
        <v>2008</v>
      </c>
      <c r="D93" s="1618">
        <v>144145</v>
      </c>
      <c r="E93" s="1618">
        <v>135491</v>
      </c>
      <c r="F93" s="1618">
        <v>126838</v>
      </c>
      <c r="G93" s="1618">
        <v>118184</v>
      </c>
      <c r="H93" s="1617">
        <v>109531</v>
      </c>
      <c r="I93" s="1618">
        <v>100877</v>
      </c>
      <c r="J93" s="1618">
        <v>92224</v>
      </c>
      <c r="K93" s="1634">
        <v>83570</v>
      </c>
      <c r="L93" s="1634">
        <v>74917</v>
      </c>
      <c r="M93" s="1634">
        <v>66263</v>
      </c>
      <c r="N93" s="1634">
        <v>57610</v>
      </c>
      <c r="O93" s="1555">
        <v>48956</v>
      </c>
      <c r="P93" s="1556">
        <v>40303</v>
      </c>
      <c r="Q93" s="1555">
        <v>31650</v>
      </c>
      <c r="R93" s="1557">
        <f>114949-40303-31650</f>
        <v>42996</v>
      </c>
    </row>
    <row r="94" spans="1:18" s="1577" customFormat="1" ht="20.25" customHeight="1" thickBot="1" x14ac:dyDescent="0.3">
      <c r="A94" s="1635"/>
      <c r="B94" s="1636"/>
      <c r="C94" s="1637" t="s">
        <v>2024</v>
      </c>
      <c r="D94" s="1594"/>
      <c r="E94" s="1594"/>
      <c r="F94" s="1595"/>
      <c r="G94" s="1594"/>
      <c r="H94" s="1595"/>
      <c r="I94" s="1594"/>
      <c r="J94" s="1594"/>
      <c r="K94" s="1595"/>
      <c r="L94" s="1595"/>
      <c r="M94" s="1595"/>
      <c r="N94" s="1595"/>
      <c r="O94" s="1595"/>
      <c r="P94" s="1594"/>
      <c r="Q94" s="1595"/>
      <c r="R94" s="1596"/>
    </row>
    <row r="95" spans="1:18" s="1577" customFormat="1" ht="16.5" customHeight="1" x14ac:dyDescent="0.25">
      <c r="A95" s="1597">
        <v>2110000</v>
      </c>
      <c r="B95" s="1638">
        <v>2003</v>
      </c>
      <c r="C95" s="1638" t="s">
        <v>2025</v>
      </c>
      <c r="D95" s="1603">
        <v>100476</v>
      </c>
      <c r="E95" s="1603"/>
      <c r="F95" s="1603"/>
      <c r="G95" s="1603"/>
      <c r="H95" s="1604"/>
      <c r="I95" s="1603"/>
      <c r="J95" s="1603"/>
      <c r="K95" s="1531"/>
      <c r="L95" s="1531"/>
      <c r="M95" s="1531"/>
      <c r="N95" s="1531"/>
      <c r="O95" s="1531"/>
      <c r="P95" s="1530"/>
      <c r="Q95" s="1531"/>
      <c r="R95" s="1532"/>
    </row>
    <row r="96" spans="1:18" s="1577" customFormat="1" ht="16.5" thickBot="1" x14ac:dyDescent="0.3">
      <c r="A96" s="1601"/>
      <c r="B96" s="1605"/>
      <c r="C96" s="1639" t="s">
        <v>2026</v>
      </c>
      <c r="D96" s="1608">
        <v>3014</v>
      </c>
      <c r="E96" s="1608"/>
      <c r="F96" s="1608"/>
      <c r="G96" s="1608"/>
      <c r="H96" s="1609"/>
      <c r="I96" s="1608"/>
      <c r="J96" s="1608"/>
      <c r="K96" s="1539"/>
      <c r="L96" s="1539"/>
      <c r="M96" s="1539"/>
      <c r="N96" s="1539"/>
      <c r="O96" s="1539"/>
      <c r="P96" s="1553"/>
      <c r="Q96" s="1539"/>
      <c r="R96" s="1540"/>
    </row>
    <row r="97" spans="1:18" s="1577" customFormat="1" ht="16.5" thickBot="1" x14ac:dyDescent="0.3">
      <c r="A97" s="1640">
        <v>1280192</v>
      </c>
      <c r="B97" s="1641" t="s">
        <v>2027</v>
      </c>
      <c r="C97" s="1641" t="s">
        <v>2028</v>
      </c>
      <c r="D97" s="1642">
        <v>79835.914422797825</v>
      </c>
      <c r="E97" s="1642">
        <v>78672.005281700156</v>
      </c>
      <c r="F97" s="1642">
        <v>77508</v>
      </c>
      <c r="G97" s="1642">
        <v>76343</v>
      </c>
      <c r="H97" s="1643">
        <v>75178</v>
      </c>
      <c r="I97" s="1642">
        <v>74013</v>
      </c>
      <c r="J97" s="1642">
        <v>72848</v>
      </c>
      <c r="K97" s="1644">
        <v>71683</v>
      </c>
      <c r="L97" s="1644">
        <v>70518</v>
      </c>
      <c r="M97" s="1644">
        <v>46534</v>
      </c>
      <c r="N97" s="1644"/>
      <c r="O97" s="1644"/>
      <c r="P97" s="1645"/>
      <c r="Q97" s="1644"/>
      <c r="R97" s="1646"/>
    </row>
    <row r="98" spans="1:18" s="1577" customFormat="1" ht="31.5" x14ac:dyDescent="0.25">
      <c r="A98" s="1597">
        <v>1708</v>
      </c>
      <c r="B98" s="1602">
        <v>2015</v>
      </c>
      <c r="C98" s="1602" t="s">
        <v>2029</v>
      </c>
      <c r="D98" s="1604">
        <v>171</v>
      </c>
      <c r="E98" s="1604">
        <v>171</v>
      </c>
      <c r="F98" s="1604">
        <v>171</v>
      </c>
      <c r="G98" s="1604">
        <v>171</v>
      </c>
      <c r="H98" s="1604">
        <v>171</v>
      </c>
      <c r="I98" s="1604">
        <v>171</v>
      </c>
      <c r="J98" s="1604">
        <v>171</v>
      </c>
      <c r="K98" s="1604">
        <v>171</v>
      </c>
      <c r="L98" s="1531">
        <v>71</v>
      </c>
      <c r="M98" s="1531"/>
      <c r="N98" s="1531"/>
      <c r="O98" s="1531"/>
      <c r="P98" s="1530"/>
      <c r="Q98" s="1531"/>
      <c r="R98" s="1532"/>
    </row>
    <row r="99" spans="1:18" s="1577" customFormat="1" ht="16.5" thickBot="1" x14ac:dyDescent="0.3">
      <c r="A99" s="1632"/>
      <c r="B99" s="1633"/>
      <c r="C99" s="1612" t="s">
        <v>2030</v>
      </c>
      <c r="D99" s="1617">
        <v>35</v>
      </c>
      <c r="E99" s="1617">
        <v>30</v>
      </c>
      <c r="F99" s="1617">
        <v>26</v>
      </c>
      <c r="G99" s="1617">
        <v>22</v>
      </c>
      <c r="H99" s="1617">
        <v>17</v>
      </c>
      <c r="I99" s="1617">
        <v>13</v>
      </c>
      <c r="J99" s="1617">
        <v>9</v>
      </c>
      <c r="K99" s="1555">
        <v>4</v>
      </c>
      <c r="L99" s="1555">
        <v>1</v>
      </c>
      <c r="M99" s="1555"/>
      <c r="N99" s="1555"/>
      <c r="O99" s="1555"/>
      <c r="P99" s="1556"/>
      <c r="Q99" s="1555"/>
      <c r="R99" s="1557"/>
    </row>
    <row r="100" spans="1:18" s="1577" customFormat="1" ht="31.5" x14ac:dyDescent="0.25">
      <c r="A100" s="1579">
        <v>1707</v>
      </c>
      <c r="B100" s="1647">
        <v>2015</v>
      </c>
      <c r="C100" s="1529" t="s">
        <v>2031</v>
      </c>
      <c r="D100" s="1541">
        <v>171</v>
      </c>
      <c r="E100" s="1541">
        <v>171</v>
      </c>
      <c r="F100" s="1541">
        <v>171</v>
      </c>
      <c r="G100" s="1541">
        <v>171</v>
      </c>
      <c r="H100" s="1541">
        <v>171</v>
      </c>
      <c r="I100" s="1541">
        <v>171</v>
      </c>
      <c r="J100" s="1541">
        <v>171</v>
      </c>
      <c r="K100" s="1541">
        <v>171</v>
      </c>
      <c r="L100" s="1541">
        <v>71</v>
      </c>
      <c r="M100" s="1648"/>
      <c r="N100" s="1648"/>
      <c r="O100" s="1648"/>
      <c r="P100" s="1649"/>
      <c r="Q100" s="1648"/>
      <c r="R100" s="1650"/>
    </row>
    <row r="101" spans="1:18" ht="17.25" customHeight="1" thickBot="1" x14ac:dyDescent="0.3">
      <c r="A101" s="1651"/>
      <c r="B101" s="1652"/>
      <c r="C101" s="1612" t="s">
        <v>2032</v>
      </c>
      <c r="D101" s="1617">
        <v>35</v>
      </c>
      <c r="E101" s="1617">
        <v>30</v>
      </c>
      <c r="F101" s="1617">
        <v>26</v>
      </c>
      <c r="G101" s="1617">
        <v>22</v>
      </c>
      <c r="H101" s="1617">
        <v>17</v>
      </c>
      <c r="I101" s="1617">
        <v>13</v>
      </c>
      <c r="J101" s="1617">
        <v>9</v>
      </c>
      <c r="K101" s="1555">
        <v>4</v>
      </c>
      <c r="L101" s="1555">
        <v>1</v>
      </c>
      <c r="M101" s="1555"/>
      <c r="N101" s="1555"/>
      <c r="O101" s="1555"/>
      <c r="P101" s="1556"/>
      <c r="Q101" s="1555"/>
      <c r="R101" s="1557"/>
    </row>
    <row r="102" spans="1:18" ht="47.25" x14ac:dyDescent="0.25">
      <c r="A102" s="1597">
        <v>13860510</v>
      </c>
      <c r="B102" s="1653" t="s">
        <v>2033</v>
      </c>
      <c r="C102" s="1602" t="s">
        <v>2034</v>
      </c>
      <c r="D102" s="1603"/>
      <c r="E102" s="1603"/>
      <c r="F102" s="1603">
        <v>539992</v>
      </c>
      <c r="G102" s="1603">
        <v>720028</v>
      </c>
      <c r="H102" s="1603">
        <v>720028</v>
      </c>
      <c r="I102" s="1603">
        <v>720028</v>
      </c>
      <c r="J102" s="1603">
        <v>720028</v>
      </c>
      <c r="K102" s="1603">
        <v>720028</v>
      </c>
      <c r="L102" s="1603">
        <v>720028</v>
      </c>
      <c r="M102" s="1603">
        <v>720028</v>
      </c>
      <c r="N102" s="1603">
        <v>720028</v>
      </c>
      <c r="O102" s="1603">
        <v>720028</v>
      </c>
      <c r="P102" s="1603">
        <v>720028</v>
      </c>
      <c r="Q102" s="1604">
        <v>720028</v>
      </c>
      <c r="R102" s="1544">
        <f>A102-SUM(E102:Q102)</f>
        <v>5400210</v>
      </c>
    </row>
    <row r="103" spans="1:18" ht="17.25" customHeight="1" thickBot="1" x14ac:dyDescent="0.3">
      <c r="A103" s="1601"/>
      <c r="B103" s="1654"/>
      <c r="C103" s="1573" t="s">
        <v>1967</v>
      </c>
      <c r="D103" s="1608">
        <v>126429</v>
      </c>
      <c r="E103" s="1608">
        <v>190530</v>
      </c>
      <c r="F103" s="1608">
        <v>374234</v>
      </c>
      <c r="G103" s="1608">
        <v>359654</v>
      </c>
      <c r="H103" s="1609">
        <v>340213</v>
      </c>
      <c r="I103" s="1608">
        <v>320772</v>
      </c>
      <c r="J103" s="1608">
        <v>301332</v>
      </c>
      <c r="K103" s="1570">
        <v>281883</v>
      </c>
      <c r="L103" s="1570">
        <v>262450</v>
      </c>
      <c r="M103" s="1570">
        <v>243010</v>
      </c>
      <c r="N103" s="1570">
        <v>223570</v>
      </c>
      <c r="O103" s="1570">
        <v>204129</v>
      </c>
      <c r="P103" s="1569">
        <v>184688</v>
      </c>
      <c r="Q103" s="1570">
        <v>165247</v>
      </c>
      <c r="R103" s="1571">
        <f>145806+126365+106924+87484+68044+48603+29161</f>
        <v>612387</v>
      </c>
    </row>
    <row r="104" spans="1:18" ht="18" customHeight="1" thickBot="1" x14ac:dyDescent="0.3">
      <c r="A104" s="1601">
        <v>292094</v>
      </c>
      <c r="B104" s="1610" t="s">
        <v>2035</v>
      </c>
      <c r="C104" s="1610" t="s">
        <v>2036</v>
      </c>
      <c r="D104" s="1642"/>
      <c r="E104" s="1642"/>
      <c r="F104" s="1608"/>
      <c r="G104" s="1608"/>
      <c r="H104" s="1609"/>
      <c r="I104" s="1608"/>
      <c r="J104" s="1608"/>
      <c r="K104" s="1644"/>
      <c r="L104" s="1644"/>
      <c r="M104" s="1644"/>
      <c r="N104" s="1644"/>
      <c r="O104" s="1644"/>
      <c r="P104" s="1645"/>
      <c r="Q104" s="1644"/>
      <c r="R104" s="1646"/>
    </row>
    <row r="105" spans="1:18" ht="16.5" thickBot="1" x14ac:dyDescent="0.3">
      <c r="A105" s="1655"/>
      <c r="B105" s="1656"/>
      <c r="C105" s="1657" t="s">
        <v>2037</v>
      </c>
      <c r="D105" s="1570">
        <f>SUM(D15:D104)</f>
        <v>6831899.9906727979</v>
      </c>
      <c r="E105" s="1570">
        <f t="shared" ref="E105:R105" si="9">SUM(E15:E104)</f>
        <v>7144501.5758764502</v>
      </c>
      <c r="F105" s="1570">
        <f t="shared" si="9"/>
        <v>8895558.9564195853</v>
      </c>
      <c r="G105" s="1570">
        <f t="shared" si="9"/>
        <v>11812412.925720574</v>
      </c>
      <c r="H105" s="1570">
        <f t="shared" si="9"/>
        <v>11575768.725</v>
      </c>
      <c r="I105" s="1570">
        <f t="shared" si="9"/>
        <v>11328845.425000001</v>
      </c>
      <c r="J105" s="1570">
        <f t="shared" si="9"/>
        <v>8943024.125</v>
      </c>
      <c r="K105" s="1570">
        <f t="shared" si="9"/>
        <v>8123310.9000000004</v>
      </c>
      <c r="L105" s="1570">
        <f t="shared" si="9"/>
        <v>7489732.9890000001</v>
      </c>
      <c r="M105" s="1570">
        <f t="shared" si="9"/>
        <v>7153258.0419999994</v>
      </c>
      <c r="N105" s="1570">
        <f t="shared" si="9"/>
        <v>6624116.7420000006</v>
      </c>
      <c r="O105" s="1570">
        <f t="shared" si="9"/>
        <v>6090409.3939999994</v>
      </c>
      <c r="P105" s="1570">
        <f t="shared" si="9"/>
        <v>5811362.8790000007</v>
      </c>
      <c r="Q105" s="1570">
        <f t="shared" si="9"/>
        <v>4457530.1720000003</v>
      </c>
      <c r="R105" s="1658">
        <f t="shared" si="9"/>
        <v>21738000.182999998</v>
      </c>
    </row>
    <row r="106" spans="1:18" ht="15.75" x14ac:dyDescent="0.25">
      <c r="A106" s="1659"/>
      <c r="B106" s="1659"/>
      <c r="C106" s="1659"/>
      <c r="D106" s="1660"/>
      <c r="E106" s="1660"/>
      <c r="F106" s="1660"/>
      <c r="G106" s="1660"/>
      <c r="H106" s="1661"/>
      <c r="I106" s="1662"/>
      <c r="J106" s="1662"/>
      <c r="K106" s="1662"/>
      <c r="L106" s="1662"/>
      <c r="M106" s="1662"/>
      <c r="N106" s="1662"/>
      <c r="O106" s="1662"/>
      <c r="P106" s="1663"/>
      <c r="Q106" s="1663"/>
      <c r="R106" s="1664"/>
    </row>
    <row r="107" spans="1:18" ht="15.75" hidden="1" x14ac:dyDescent="0.25">
      <c r="A107" s="1665"/>
      <c r="B107" s="1665"/>
      <c r="C107" s="1666" t="s">
        <v>2038</v>
      </c>
      <c r="D107" s="1661" t="e">
        <f>SUM(D39,#REF!,D35,#REF!,#REF!,#REF!,#REF!,D41,D43,#REF!,#REF!,D33,D21,#REF!,D37,#REF!,D25,#REF!,D19,#REF!,#REF!,#REF!,D31,#REF!,D48,D50,D52,D54,D56,D58,D60,D62,D64,D66,D68,D70,D72,D74,D76,D78,D92)</f>
        <v>#REF!</v>
      </c>
      <c r="E107" s="1661" t="e">
        <f>SUM(E39,#REF!,E35,#REF!,#REF!,#REF!,#REF!,E41,E43,#REF!,#REF!,E33,E21,#REF!,E37,#REF!,E25,#REF!,E19,#REF!,#REF!,#REF!,E31,#REF!,E48,E50,E52,E54,E56,E58,E60,E62,E64,E66,E68,E70,E72,E74,E76,E78,E92)</f>
        <v>#REF!</v>
      </c>
      <c r="F107" s="1661" t="e">
        <f>SUM(F39,#REF!,F35,#REF!,#REF!,#REF!,#REF!,F41,F43,#REF!,#REF!,F33,F21,#REF!,F37,#REF!,F25,#REF!,F19,#REF!,#REF!,#REF!,F31,#REF!,F48,F50,F52,F54,F56,F58,F60,F62,F64,F66,F68,F70,F72,F74,F76,F78,F92)</f>
        <v>#REF!</v>
      </c>
      <c r="G107" s="1661" t="e">
        <f>SUM(G39,#REF!,G35,#REF!,#REF!,#REF!,#REF!,G41,G43,#REF!,#REF!,G33,G21,#REF!,G37,#REF!,G25,#REF!,G19,#REF!,#REF!,#REF!,G31,#REF!,G48,G50,G52,G54,G56,G58,G60,G62,G64,G66,G68,G70,G72,G74,G76,G78,G92)</f>
        <v>#REF!</v>
      </c>
      <c r="H107" s="1661" t="e">
        <f>SUM(H39,#REF!,H35,#REF!,#REF!,#REF!,#REF!,H41,H43,#REF!,#REF!,H33,H21,#REF!,H37,#REF!,H25,#REF!,H19,#REF!,#REF!,#REF!,H31,#REF!,H48,H50,H52,H54,H56,H58,H60,H62,H64,H66,H68,H70,H72,H74,H76,H78,H92)</f>
        <v>#REF!</v>
      </c>
      <c r="I107" s="1661" t="e">
        <f>SUM(I39,#REF!,I35,#REF!,#REF!,#REF!,#REF!,I41,I43,#REF!,#REF!,I33,I21,#REF!,I37,#REF!,I25,#REF!,I19,#REF!,#REF!,#REF!,I31,#REF!,I48,I50,I52,I54,I56,I58,I60,I62,I64,I66,I68,I70,I72,I74,I76,I78,I92)</f>
        <v>#REF!</v>
      </c>
      <c r="J107" s="1661" t="e">
        <f>SUM(J39,#REF!,J35,#REF!,#REF!,#REF!,#REF!,J41,J43,#REF!,#REF!,J33,J21,#REF!,J37,#REF!,J25,#REF!,J19,#REF!,#REF!,#REF!,J31,#REF!,J48,J50,J52,J54,J56,J58,J60,J62,J64,J66,J68,J70,J72,J74,J76,J78,J92)</f>
        <v>#REF!</v>
      </c>
      <c r="K107" s="1661" t="e">
        <f>SUM(K39,#REF!,K35,#REF!,#REF!,#REF!,#REF!,K41,K43,#REF!,#REF!,K33,K21,#REF!,K37,#REF!,K25,#REF!,K19,#REF!,#REF!,#REF!,K31,#REF!,K48,K50,K52,K54,K56,K58,K60,K62,K64,K66,K68,K70,K72,K74,K76,K78,K92)</f>
        <v>#REF!</v>
      </c>
      <c r="L107" s="1661" t="e">
        <f>SUM(L39,#REF!,L35,#REF!,#REF!,#REF!,#REF!,L41,L43,#REF!,#REF!,L33,L21,#REF!,L37,#REF!,L25,#REF!,L19,#REF!,#REF!,#REF!,L31,#REF!,L48,L50,L52,L54,L56,L58,L60,L62,L64,L66,L68,L70,L72,L74,L76,L78,L92)</f>
        <v>#REF!</v>
      </c>
      <c r="M107" s="1661" t="e">
        <f>SUM(M39,#REF!,M35,#REF!,#REF!,#REF!,#REF!,M41,M43,#REF!,#REF!,M33,M21,#REF!,M37,#REF!,M25,#REF!,M19,#REF!,#REF!,#REF!,M31,#REF!,M48,M50,M52,M54,M56,M58,M60,M62,M64,M66,M68,M70,M72,M74,M76,M78,M92)</f>
        <v>#REF!</v>
      </c>
      <c r="N107" s="1661" t="e">
        <f>SUM(N39,#REF!,N35,#REF!,#REF!,#REF!,#REF!,N41,N43,#REF!,#REF!,N33,N21,#REF!,N37,#REF!,N25,#REF!,N19,#REF!,#REF!,#REF!,N31,#REF!,N48,N50,N52,N54,N56,N58,N60,N62,N64,N66,N68,N70,N72,N74,N76,N78,N92)</f>
        <v>#REF!</v>
      </c>
      <c r="O107" s="1661" t="e">
        <f>SUM(O39,#REF!,O35,#REF!,#REF!,#REF!,#REF!,O41,O43,#REF!,#REF!,O33,O21,#REF!,O37,#REF!,O25,#REF!,O19,#REF!,#REF!,#REF!,O31,#REF!,O48,O50,O52,O54,O56,O58,O60,O62,O64,O66,O68,O70,O72,O74,O76,O78,O92)</f>
        <v>#REF!</v>
      </c>
      <c r="P107" s="1661" t="e">
        <f>SUM(P39,#REF!,P35,#REF!,#REF!,#REF!,#REF!,P41,P43,#REF!,#REF!,P33,P21,#REF!,P37,#REF!,P25,#REF!,P19,#REF!,#REF!,#REF!,P31,#REF!,P48,P50,P52,P54,P56,P58,P60,P62,P64,P66,P68,P70,P72,P74,P76,P78,P92)</f>
        <v>#REF!</v>
      </c>
      <c r="Q107" s="1661"/>
      <c r="R107" s="1661" t="e">
        <f>SUM(R39,#REF!,R35,#REF!,#REF!,#REF!,#REF!,R41,R43,#REF!,#REF!,R33,R21,#REF!,R37,#REF!,R25,#REF!,R19,#REF!,#REF!,#REF!,R31,#REF!,R48,R50,R52,R54,R56,R58,R60,R62,R64,R66,R68,R70,R72,R74,R76,R78,R92)</f>
        <v>#REF!</v>
      </c>
    </row>
    <row r="108" spans="1:18" ht="15.75" hidden="1" x14ac:dyDescent="0.25">
      <c r="A108" s="1665"/>
      <c r="B108" s="1665"/>
      <c r="C108" s="1666" t="s">
        <v>2039</v>
      </c>
      <c r="D108" s="1666"/>
      <c r="E108" s="1666"/>
      <c r="F108" s="1666"/>
      <c r="G108" s="1666"/>
      <c r="H108" s="1661"/>
      <c r="I108" s="1666"/>
      <c r="J108" s="1666"/>
      <c r="K108" s="1666"/>
      <c r="L108" s="1666"/>
      <c r="M108" s="1666"/>
      <c r="N108" s="1666"/>
      <c r="O108" s="1666"/>
      <c r="P108" s="1666"/>
      <c r="Q108" s="1666"/>
      <c r="R108" s="1659"/>
    </row>
    <row r="109" spans="1:18" ht="15.75" hidden="1" x14ac:dyDescent="0.25">
      <c r="A109" s="1665"/>
      <c r="B109" s="1665"/>
      <c r="C109" s="1666"/>
      <c r="D109" s="1666"/>
      <c r="E109" s="1666"/>
      <c r="F109" s="1666"/>
      <c r="G109" s="1666"/>
      <c r="H109" s="1661"/>
      <c r="I109" s="1666"/>
      <c r="J109" s="1666"/>
      <c r="K109" s="1666"/>
      <c r="L109" s="1666"/>
      <c r="M109" s="1666"/>
      <c r="N109" s="1666"/>
      <c r="O109" s="1666"/>
      <c r="P109" s="1666"/>
      <c r="Q109" s="1666"/>
      <c r="R109" s="1659"/>
    </row>
    <row r="110" spans="1:18" ht="15.75" hidden="1" x14ac:dyDescent="0.25">
      <c r="A110" s="1665"/>
      <c r="B110" s="1665"/>
      <c r="C110" s="1666"/>
      <c r="D110" s="1666"/>
      <c r="E110" s="1666"/>
      <c r="F110" s="1666"/>
      <c r="G110" s="1666"/>
      <c r="H110" s="1661"/>
      <c r="I110" s="1666"/>
      <c r="J110" s="1666"/>
      <c r="K110" s="1666"/>
      <c r="L110" s="1666"/>
      <c r="M110" s="1666"/>
      <c r="N110" s="1666"/>
      <c r="O110" s="1666"/>
      <c r="P110" s="1666"/>
      <c r="Q110" s="1666"/>
      <c r="R110" s="1659"/>
    </row>
    <row r="111" spans="1:18" ht="15.75" hidden="1" x14ac:dyDescent="0.25">
      <c r="A111" s="1665"/>
      <c r="B111" s="1665"/>
      <c r="C111" s="1667" t="s">
        <v>2040</v>
      </c>
      <c r="D111" s="1666"/>
      <c r="E111" s="1666"/>
      <c r="F111" s="1666"/>
      <c r="G111" s="1666"/>
      <c r="H111" s="1661"/>
      <c r="I111" s="1666"/>
      <c r="J111" s="1666"/>
      <c r="K111" s="1666"/>
      <c r="L111" s="1666"/>
      <c r="M111" s="1666"/>
      <c r="N111" s="1666"/>
      <c r="O111" s="1666"/>
      <c r="P111" s="1666"/>
      <c r="Q111" s="1666"/>
      <c r="R111" s="1659"/>
    </row>
    <row r="112" spans="1:18" hidden="1" x14ac:dyDescent="0.2">
      <c r="A112" s="1665"/>
      <c r="B112" s="1665"/>
      <c r="C112" s="1665"/>
      <c r="D112" s="1668"/>
      <c r="E112" s="1668"/>
      <c r="F112" s="1668"/>
      <c r="G112" s="1668"/>
      <c r="H112" s="1669"/>
      <c r="I112" s="1668"/>
      <c r="J112" s="1668"/>
      <c r="K112" s="1668"/>
      <c r="L112" s="1668"/>
      <c r="M112" s="1668"/>
      <c r="N112" s="1668"/>
      <c r="O112" s="1668"/>
      <c r="P112" s="1668"/>
      <c r="Q112" s="1668"/>
      <c r="R112" s="1670"/>
    </row>
    <row r="114" spans="4:18" x14ac:dyDescent="0.2">
      <c r="D114" s="1671"/>
      <c r="E114" s="1671"/>
      <c r="F114" s="1671"/>
      <c r="G114" s="1671"/>
      <c r="H114" s="1671"/>
      <c r="I114" s="1671"/>
      <c r="J114" s="1671"/>
      <c r="K114" s="1671"/>
      <c r="L114" s="1671"/>
      <c r="M114" s="1671"/>
      <c r="N114" s="1671"/>
      <c r="O114" s="1671"/>
      <c r="P114" s="1671"/>
      <c r="Q114" s="1671"/>
      <c r="R114" s="1671"/>
    </row>
    <row r="115" spans="4:18" x14ac:dyDescent="0.2">
      <c r="D115" s="1672"/>
      <c r="E115" s="1672"/>
      <c r="F115" s="1672"/>
      <c r="G115" s="1672"/>
      <c r="H115" s="1672"/>
      <c r="I115" s="1671"/>
      <c r="J115" s="1672"/>
      <c r="K115" s="1672"/>
      <c r="L115" s="1672"/>
      <c r="M115" s="1672"/>
      <c r="N115" s="1672"/>
      <c r="O115" s="1672"/>
      <c r="P115" s="1672"/>
      <c r="Q115" s="1672"/>
      <c r="R115" s="1672"/>
    </row>
    <row r="116" spans="4:18" x14ac:dyDescent="0.2">
      <c r="D116" s="1671"/>
      <c r="E116" s="1671"/>
      <c r="F116" s="1671"/>
      <c r="G116" s="1671"/>
      <c r="H116" s="1671"/>
      <c r="I116" s="1671"/>
      <c r="J116" s="1671"/>
      <c r="K116" s="1671"/>
      <c r="L116" s="1671"/>
      <c r="M116" s="1671"/>
      <c r="N116" s="1671"/>
      <c r="O116" s="1671"/>
      <c r="P116" s="1671"/>
      <c r="Q116" s="1671"/>
      <c r="R116" s="1671"/>
    </row>
    <row r="117" spans="4:18" x14ac:dyDescent="0.2">
      <c r="D117" s="1672"/>
      <c r="E117" s="1672"/>
      <c r="F117" s="1672"/>
      <c r="G117" s="1672"/>
      <c r="H117" s="1672"/>
      <c r="I117" s="1672"/>
      <c r="J117" s="1673"/>
      <c r="K117" s="1672"/>
      <c r="L117" s="1672"/>
      <c r="M117" s="1672"/>
      <c r="N117" s="1672"/>
      <c r="O117" s="1672"/>
      <c r="P117" s="1672"/>
      <c r="Q117" s="1672"/>
      <c r="R117" s="1672"/>
    </row>
    <row r="118" spans="4:18" x14ac:dyDescent="0.2">
      <c r="D118" s="1671"/>
      <c r="E118" s="1671"/>
      <c r="F118" s="1671"/>
      <c r="G118" s="1671"/>
      <c r="H118" s="1671"/>
      <c r="I118" s="1671"/>
      <c r="J118" s="1671"/>
      <c r="K118" s="1671"/>
      <c r="L118" s="1671"/>
      <c r="M118" s="1671"/>
      <c r="N118" s="1671"/>
      <c r="O118" s="1671"/>
      <c r="P118" s="1671"/>
      <c r="Q118" s="1671"/>
      <c r="R118" s="1671"/>
    </row>
    <row r="119" spans="4:18" x14ac:dyDescent="0.2">
      <c r="J119" s="1674"/>
    </row>
    <row r="120" spans="4:18" x14ac:dyDescent="0.2">
      <c r="J120" s="1674"/>
    </row>
    <row r="121" spans="4:18" x14ac:dyDescent="0.2">
      <c r="J121" s="1674"/>
    </row>
    <row r="122" spans="4:18" x14ac:dyDescent="0.2">
      <c r="J122" s="1674"/>
    </row>
    <row r="123" spans="4:18" x14ac:dyDescent="0.2">
      <c r="J123" s="1674"/>
    </row>
    <row r="124" spans="4:18" x14ac:dyDescent="0.2">
      <c r="J124" s="1674"/>
    </row>
    <row r="125" spans="4:18" x14ac:dyDescent="0.2">
      <c r="J125" s="1674"/>
    </row>
  </sheetData>
  <sheetProtection algorithmName="SHA-512" hashValue="4nyn7qtNmvSjbKawP/n39DItQh7/o5BkZisaIl1UunFKtYF13Wouau6LaQwF1IIjcaB2hsMzzK2wxpOLVU0QLg==" saltValue="qZbbJN4ZghTQYhiaxezsow==" spinCount="100000" sheet="1" objects="1" scenarios="1"/>
  <mergeCells count="3">
    <mergeCell ref="A3:R3"/>
    <mergeCell ref="C9:C10"/>
    <mergeCell ref="C11:C12"/>
  </mergeCells>
  <pageMargins left="0.19685039370078741" right="0.19685039370078741" top="0.59055118110236227" bottom="0.39370078740157483" header="0.23622047244094491" footer="0.23622047244094491"/>
  <pageSetup paperSize="9" scale="50" orientation="landscape" cellComments="asDisplayed" r:id="rId1"/>
  <headerFooter differentFirst="1">
    <oddFooter>&amp;L&amp;"Times New Roman,Regular"&amp;9&amp;D; &amp;T&amp;R&amp;"Times New Roman,Regular"&amp;9&amp;P (&amp;N)</oddFooter>
    <firstHeader>&amp;R&amp;"Times New Roman,Regular"&amp;9 87.pielikums Jūrmalas pilsētas domes
2019.gada 29.augusta saistošajiem noteikumiem Nr.31
(protokols Nr.12, 20.punkts)</firstHeader>
    <firstFooter>&amp;L&amp;9&amp;D; &amp;T&amp;R&amp;9&amp;P (&amp;N)</firstFooter>
  </headerFooter>
  <legacy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view="pageLayout" zoomScaleNormal="100" workbookViewId="0">
      <selection activeCell="T4" sqref="T4"/>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2398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x14ac:dyDescent="0.25">
      <c r="A3" s="5" t="s">
        <v>2</v>
      </c>
      <c r="B3" s="6"/>
      <c r="C3" s="1977" t="s">
        <v>2390</v>
      </c>
      <c r="D3" s="1977"/>
      <c r="E3" s="1977"/>
      <c r="F3" s="1977"/>
      <c r="G3" s="1977"/>
      <c r="H3" s="1977"/>
      <c r="I3" s="1977"/>
      <c r="J3" s="1977"/>
      <c r="K3" s="1977"/>
      <c r="L3" s="1977"/>
      <c r="M3" s="1977"/>
      <c r="N3" s="1977"/>
      <c r="O3" s="1977"/>
      <c r="P3" s="1978"/>
      <c r="Q3" s="276"/>
    </row>
    <row r="4" spans="1:17" ht="12.75" customHeight="1" x14ac:dyDescent="0.25">
      <c r="A4" s="5" t="s">
        <v>4</v>
      </c>
      <c r="B4" s="6"/>
      <c r="C4" s="1977" t="s">
        <v>2391</v>
      </c>
      <c r="D4" s="1977"/>
      <c r="E4" s="1977"/>
      <c r="F4" s="1977"/>
      <c r="G4" s="1977"/>
      <c r="H4" s="1977"/>
      <c r="I4" s="1977"/>
      <c r="J4" s="1977"/>
      <c r="K4" s="1977"/>
      <c r="L4" s="1977"/>
      <c r="M4" s="1977"/>
      <c r="N4" s="1977"/>
      <c r="O4" s="1977"/>
      <c r="P4" s="1978"/>
      <c r="Q4" s="276"/>
    </row>
    <row r="5" spans="1:17" ht="12.75" customHeight="1" x14ac:dyDescent="0.25">
      <c r="A5" s="7" t="s">
        <v>6</v>
      </c>
      <c r="B5" s="8"/>
      <c r="C5" s="1972" t="s">
        <v>2392</v>
      </c>
      <c r="D5" s="1972"/>
      <c r="E5" s="1972"/>
      <c r="F5" s="1972"/>
      <c r="G5" s="1972"/>
      <c r="H5" s="1972"/>
      <c r="I5" s="1972"/>
      <c r="J5" s="1972"/>
      <c r="K5" s="1972"/>
      <c r="L5" s="1972"/>
      <c r="M5" s="1972"/>
      <c r="N5" s="1972"/>
      <c r="O5" s="1972"/>
      <c r="P5" s="1973"/>
      <c r="Q5" s="276"/>
    </row>
    <row r="6" spans="1:17" ht="12.75" customHeight="1" x14ac:dyDescent="0.25">
      <c r="A6" s="7" t="s">
        <v>8</v>
      </c>
      <c r="B6" s="8"/>
      <c r="C6" s="1972" t="s">
        <v>2393</v>
      </c>
      <c r="D6" s="1972"/>
      <c r="E6" s="1972"/>
      <c r="F6" s="1972"/>
      <c r="G6" s="1972"/>
      <c r="H6" s="1972"/>
      <c r="I6" s="1972"/>
      <c r="J6" s="1972"/>
      <c r="K6" s="1972"/>
      <c r="L6" s="1972"/>
      <c r="M6" s="1972"/>
      <c r="N6" s="1972"/>
      <c r="O6" s="1972"/>
      <c r="P6" s="1973"/>
      <c r="Q6" s="276"/>
    </row>
    <row r="7" spans="1:17" ht="27" customHeight="1" x14ac:dyDescent="0.25">
      <c r="A7" s="7" t="s">
        <v>10</v>
      </c>
      <c r="B7" s="8"/>
      <c r="C7" s="1977" t="s">
        <v>2394</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2397</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5.75" customHeight="1" thickBot="1" x14ac:dyDescent="0.3">
      <c r="A20" s="29"/>
      <c r="B20" s="30" t="s">
        <v>39</v>
      </c>
      <c r="C20" s="31">
        <f t="shared" ref="C20:C83" si="0">F20+I20+L20+O20</f>
        <v>273242</v>
      </c>
      <c r="D20" s="32">
        <f>SUM(D21,D24,D25,D41,D43)</f>
        <v>762530</v>
      </c>
      <c r="E20" s="33">
        <f t="shared" ref="E20:F20" si="1">SUM(E21,E24,E25,E41,E43)</f>
        <v>-489288</v>
      </c>
      <c r="F20" s="34">
        <f t="shared" si="1"/>
        <v>273242</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0" customHeight="1" thickTop="1" thickBot="1" x14ac:dyDescent="0.3">
      <c r="A24" s="58">
        <v>19300</v>
      </c>
      <c r="B24" s="58" t="s">
        <v>43</v>
      </c>
      <c r="C24" s="59">
        <f>F24+I24</f>
        <v>273242</v>
      </c>
      <c r="D24" s="60">
        <v>762530</v>
      </c>
      <c r="E24" s="61">
        <v>-489288</v>
      </c>
      <c r="F24" s="62">
        <f t="shared" si="9"/>
        <v>273242</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7.75" hidden="1" customHeight="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7.75"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273242</v>
      </c>
      <c r="D50" s="158">
        <f>SUM(D51,D286)</f>
        <v>762530</v>
      </c>
      <c r="E50" s="159">
        <f t="shared" ref="E50:F50" si="26">SUM(E51,E286)</f>
        <v>-489288</v>
      </c>
      <c r="F50" s="160">
        <f t="shared" si="26"/>
        <v>273242</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273242</v>
      </c>
      <c r="D51" s="164">
        <f>SUM(D52,D194)</f>
        <v>762530</v>
      </c>
      <c r="E51" s="165">
        <f t="shared" ref="E51:F51" si="30">SUM(E52,E194)</f>
        <v>-489288</v>
      </c>
      <c r="F51" s="166">
        <f t="shared" si="30"/>
        <v>273242</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273242</v>
      </c>
      <c r="D52" s="172">
        <f>SUM(D53,D75,D173,D187)</f>
        <v>762530</v>
      </c>
      <c r="E52" s="173">
        <f t="shared" ref="E52:F52" si="34">SUM(E53,E75,E173,E187)</f>
        <v>-489288</v>
      </c>
      <c r="F52" s="174">
        <f t="shared" si="34"/>
        <v>273242</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idden="1" x14ac:dyDescent="0.25">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idden="1" x14ac:dyDescent="0.25">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4" hidden="1" x14ac:dyDescent="0.25">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943">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51"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15"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8.25"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52.5"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idden="1" x14ac:dyDescent="0.25">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94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idden="1" x14ac:dyDescent="0.25">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6.5"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6" hidden="1" x14ac:dyDescent="0.25">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6.25"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5.5"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idden="1" x14ac:dyDescent="0.25">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idden="1" x14ac:dyDescent="0.25">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8" hidden="1" x14ac:dyDescent="0.25">
      <c r="A128" s="194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hidden="1" x14ac:dyDescent="0.25">
      <c r="A131" s="1943">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8"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51" hidden="1" customHeight="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24"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24" hidden="1" x14ac:dyDescent="0.25">
      <c r="A166" s="194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x14ac:dyDescent="0.25">
      <c r="A173" s="176">
        <v>3000</v>
      </c>
      <c r="B173" s="176" t="s">
        <v>190</v>
      </c>
      <c r="C173" s="177">
        <f t="shared" si="193"/>
        <v>273242</v>
      </c>
      <c r="D173" s="178">
        <f>SUM(D174,D184)</f>
        <v>762530</v>
      </c>
      <c r="E173" s="179">
        <f t="shared" ref="E173:F173" si="216">SUM(E174,E184)</f>
        <v>-489288</v>
      </c>
      <c r="F173" s="180">
        <f t="shared" si="216"/>
        <v>273242</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x14ac:dyDescent="0.25">
      <c r="A174" s="68">
        <v>3200</v>
      </c>
      <c r="B174" s="207" t="s">
        <v>191</v>
      </c>
      <c r="C174" s="69">
        <f t="shared" si="193"/>
        <v>273242</v>
      </c>
      <c r="D174" s="183">
        <f>SUM(D175,D179)</f>
        <v>762530</v>
      </c>
      <c r="E174" s="184">
        <f t="shared" ref="E174:O174" si="220">SUM(E175,E179)</f>
        <v>-489288</v>
      </c>
      <c r="F174" s="72">
        <f t="shared" si="220"/>
        <v>273242</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x14ac:dyDescent="0.25">
      <c r="A175" s="1943">
        <v>3260</v>
      </c>
      <c r="B175" s="81" t="s">
        <v>192</v>
      </c>
      <c r="C175" s="82">
        <f t="shared" si="193"/>
        <v>273242</v>
      </c>
      <c r="D175" s="192">
        <f>SUM(D176:D178)</f>
        <v>762530</v>
      </c>
      <c r="E175" s="193">
        <f t="shared" ref="E175:F175" si="221">SUM(E176:E178)</f>
        <v>-489288</v>
      </c>
      <c r="F175" s="133">
        <f t="shared" si="221"/>
        <v>273242</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customHeight="1" x14ac:dyDescent="0.25">
      <c r="A176" s="51">
        <v>3261</v>
      </c>
      <c r="B176" s="88" t="s">
        <v>193</v>
      </c>
      <c r="C176" s="89">
        <f t="shared" si="193"/>
        <v>273242</v>
      </c>
      <c r="D176" s="194">
        <v>762530</v>
      </c>
      <c r="E176" s="195">
        <v>-489288</v>
      </c>
      <c r="F176" s="55">
        <f t="shared" ref="F176:F178" si="225">D176+E176</f>
        <v>273242</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4" hidden="1" x14ac:dyDescent="0.25">
      <c r="A179" s="194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94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94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4" hidden="1" x14ac:dyDescent="0.25">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idden="1" x14ac:dyDescent="0.25">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idden="1" x14ac:dyDescent="0.25">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94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idden="1" x14ac:dyDescent="0.25">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idden="1" x14ac:dyDescent="0.25">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96.75"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4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94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94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94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94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33"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4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273242</v>
      </c>
      <c r="D289" s="251">
        <f t="shared" ref="D289:O289" si="389">SUM(D286,D269,D230,D195,D187,D173,D75,D53,D283)</f>
        <v>762530</v>
      </c>
      <c r="E289" s="252">
        <f t="shared" si="389"/>
        <v>-489288</v>
      </c>
      <c r="F289" s="253">
        <f t="shared" si="389"/>
        <v>273242</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sheetData>
  <sheetProtection algorithmName="SHA-512" hashValue="oJ3cx9aj2Rwk1m+HO3cDs+1KeZi/a78TOap645mOOzRYNRNwox2w+1iw7WVzoI9alvzk3qXUWOXjbLKkWtecpA==" saltValue="xXjQY0472yzKRHwuWr5/4w==" spinCount="100000" sheet="1" objects="1" scenarios="1" formatCells="0" formatColumns="0" formatRows="0" deleteColumns="0"/>
  <autoFilter ref="A18:P301">
    <filterColumn colId="2">
      <filters>
        <filter val="273 242"/>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Roman,Regular"&amp;9 101.pielikums Jūrmalas pilsētas domes
2019.gada 29.augusta saistošajiem noteikumiem Nr.31
(protokols Nr.12, 20.punkts)
 </firstHeader>
    <firstFooter>&amp;L&amp;9&amp;D; &amp;T&amp;R&amp;9&amp;P (&amp;N)</first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02"/>
  <sheetViews>
    <sheetView showGridLines="0" tabSelected="1" view="pageLayout" zoomScaleNormal="100" workbookViewId="0">
      <selection activeCell="R10" sqref="R10"/>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2400</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2390</v>
      </c>
      <c r="D3" s="1977"/>
      <c r="E3" s="1977"/>
      <c r="F3" s="1977"/>
      <c r="G3" s="1977"/>
      <c r="H3" s="1977"/>
      <c r="I3" s="1977"/>
      <c r="J3" s="1977"/>
      <c r="K3" s="1977"/>
      <c r="L3" s="1977"/>
      <c r="M3" s="1977"/>
      <c r="N3" s="1977"/>
      <c r="O3" s="1977"/>
      <c r="P3" s="1978"/>
      <c r="Q3" s="276"/>
    </row>
    <row r="4" spans="1:17" ht="12.75" customHeight="1" x14ac:dyDescent="0.25">
      <c r="A4" s="5" t="s">
        <v>4</v>
      </c>
      <c r="B4" s="6"/>
      <c r="C4" s="1977" t="s">
        <v>2391</v>
      </c>
      <c r="D4" s="1977"/>
      <c r="E4" s="1977"/>
      <c r="F4" s="1977"/>
      <c r="G4" s="1977"/>
      <c r="H4" s="1977"/>
      <c r="I4" s="1977"/>
      <c r="J4" s="1977"/>
      <c r="K4" s="1977"/>
      <c r="L4" s="1977"/>
      <c r="M4" s="1977"/>
      <c r="N4" s="1977"/>
      <c r="O4" s="1977"/>
      <c r="P4" s="1978"/>
      <c r="Q4" s="276"/>
    </row>
    <row r="5" spans="1:17" ht="12.75" customHeight="1" x14ac:dyDescent="0.25">
      <c r="A5" s="7" t="s">
        <v>6</v>
      </c>
      <c r="B5" s="8"/>
      <c r="C5" s="1972" t="s">
        <v>2392</v>
      </c>
      <c r="D5" s="1972"/>
      <c r="E5" s="1972"/>
      <c r="F5" s="1972"/>
      <c r="G5" s="1972"/>
      <c r="H5" s="1972"/>
      <c r="I5" s="1972"/>
      <c r="J5" s="1972"/>
      <c r="K5" s="1972"/>
      <c r="L5" s="1972"/>
      <c r="M5" s="1972"/>
      <c r="N5" s="1972"/>
      <c r="O5" s="1972"/>
      <c r="P5" s="1973"/>
      <c r="Q5" s="276"/>
    </row>
    <row r="6" spans="1:17" ht="12.75" customHeight="1" x14ac:dyDescent="0.25">
      <c r="A6" s="7" t="s">
        <v>8</v>
      </c>
      <c r="B6" s="8"/>
      <c r="C6" s="1972" t="s">
        <v>2393</v>
      </c>
      <c r="D6" s="1972"/>
      <c r="E6" s="1972"/>
      <c r="F6" s="1972"/>
      <c r="G6" s="1972"/>
      <c r="H6" s="1972"/>
      <c r="I6" s="1972"/>
      <c r="J6" s="1972"/>
      <c r="K6" s="1972"/>
      <c r="L6" s="1972"/>
      <c r="M6" s="1972"/>
      <c r="N6" s="1972"/>
      <c r="O6" s="1972"/>
      <c r="P6" s="1973"/>
      <c r="Q6" s="276"/>
    </row>
    <row r="7" spans="1:17" x14ac:dyDescent="0.25">
      <c r="A7" s="7" t="s">
        <v>10</v>
      </c>
      <c r="B7" s="8"/>
      <c r="C7" s="1977" t="s">
        <v>2395</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2396</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5.75" customHeight="1" thickBot="1" x14ac:dyDescent="0.3">
      <c r="A20" s="29"/>
      <c r="B20" s="30" t="s">
        <v>39</v>
      </c>
      <c r="C20" s="31">
        <f t="shared" ref="C20:C83" si="0">F20+I20+L20+O20</f>
        <v>489288</v>
      </c>
      <c r="D20" s="32">
        <f>SUM(D21,D24,D25,D41,D43)</f>
        <v>0</v>
      </c>
      <c r="E20" s="33">
        <f t="shared" ref="E20:F20" si="1">SUM(E21,E24,E25,E41,E43)</f>
        <v>489288</v>
      </c>
      <c r="F20" s="34">
        <f t="shared" si="1"/>
        <v>489288</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30" customHeight="1" thickTop="1" thickBot="1" x14ac:dyDescent="0.3">
      <c r="A24" s="58">
        <v>19300</v>
      </c>
      <c r="B24" s="58" t="s">
        <v>43</v>
      </c>
      <c r="C24" s="59">
        <f>F24+I24</f>
        <v>489288</v>
      </c>
      <c r="D24" s="60">
        <v>0</v>
      </c>
      <c r="E24" s="61">
        <v>489288</v>
      </c>
      <c r="F24" s="62">
        <f t="shared" si="9"/>
        <v>489288</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8"/>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7.75" hidden="1" customHeight="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7.75"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hidden="1" thickTop="1" thickBot="1" x14ac:dyDescent="0.3">
      <c r="A50" s="156"/>
      <c r="B50" s="29" t="s">
        <v>69</v>
      </c>
      <c r="C50" s="157">
        <f t="shared" si="0"/>
        <v>0</v>
      </c>
      <c r="D50" s="158">
        <f>SUM(D51,D286)</f>
        <v>0</v>
      </c>
      <c r="E50" s="159">
        <f t="shared" ref="E50:F50" si="26">SUM(E51,E286)</f>
        <v>0</v>
      </c>
      <c r="F50" s="160">
        <f t="shared" si="26"/>
        <v>0</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7.5" hidden="1" thickTop="1" thickBot="1" x14ac:dyDescent="0.3">
      <c r="A51" s="161"/>
      <c r="B51" s="162" t="s">
        <v>70</v>
      </c>
      <c r="C51" s="163">
        <f t="shared" si="0"/>
        <v>0</v>
      </c>
      <c r="D51" s="164">
        <f>SUM(D52,D194)</f>
        <v>0</v>
      </c>
      <c r="E51" s="165">
        <f t="shared" ref="E51:F51" si="30">SUM(E52,E194)</f>
        <v>0</v>
      </c>
      <c r="F51" s="166">
        <f t="shared" si="30"/>
        <v>0</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5.5" hidden="1" thickTop="1" thickBot="1" x14ac:dyDescent="0.3">
      <c r="A52" s="24"/>
      <c r="B52" s="22" t="s">
        <v>71</v>
      </c>
      <c r="C52" s="171">
        <f t="shared" si="0"/>
        <v>0</v>
      </c>
      <c r="D52" s="172">
        <f>SUM(D53,D75,D173,D187)</f>
        <v>0</v>
      </c>
      <c r="E52" s="173">
        <f t="shared" ref="E52:F52" si="34">SUM(E53,E75,E173,E187)</f>
        <v>0</v>
      </c>
      <c r="F52" s="174">
        <f t="shared" si="34"/>
        <v>0</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ht="13.5" hidden="1" thickTop="1" thickBot="1" x14ac:dyDescent="0.3">
      <c r="A53" s="176">
        <v>1000</v>
      </c>
      <c r="B53" s="176" t="s">
        <v>72</v>
      </c>
      <c r="C53" s="177">
        <f t="shared" si="0"/>
        <v>0</v>
      </c>
      <c r="D53" s="178">
        <f>SUM(D54,D67)</f>
        <v>0</v>
      </c>
      <c r="E53" s="179">
        <f t="shared" ref="E53:F53" si="38">SUM(E54,E67)</f>
        <v>0</v>
      </c>
      <c r="F53" s="180">
        <f t="shared" si="38"/>
        <v>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ht="13.5" hidden="1" thickTop="1" thickBot="1" x14ac:dyDescent="0.3">
      <c r="A54" s="68">
        <v>1100</v>
      </c>
      <c r="B54" s="182" t="s">
        <v>73</v>
      </c>
      <c r="C54" s="69">
        <f t="shared" si="0"/>
        <v>0</v>
      </c>
      <c r="D54" s="183">
        <f>SUM(D55,D58,D66)</f>
        <v>0</v>
      </c>
      <c r="E54" s="184">
        <f t="shared" ref="E54:F54" si="42">SUM(E55,E58,E66)</f>
        <v>0</v>
      </c>
      <c r="F54" s="72">
        <f t="shared" si="42"/>
        <v>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t="13.5" hidden="1" thickTop="1" thickBot="1" x14ac:dyDescent="0.3">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c r="E57" s="54"/>
      <c r="F57" s="55">
        <f t="shared" si="50"/>
        <v>0</v>
      </c>
      <c r="G57" s="53"/>
      <c r="H57" s="54"/>
      <c r="I57" s="55">
        <f t="shared" si="51"/>
        <v>0</v>
      </c>
      <c r="J57" s="53"/>
      <c r="K57" s="54"/>
      <c r="L57" s="55">
        <f t="shared" si="52"/>
        <v>0</v>
      </c>
      <c r="M57" s="53"/>
      <c r="N57" s="54"/>
      <c r="O57" s="55">
        <f t="shared" si="53"/>
        <v>0</v>
      </c>
      <c r="P57" s="57"/>
    </row>
    <row r="58" spans="1:16" ht="13.5" hidden="1" thickTop="1" thickBot="1" x14ac:dyDescent="0.3">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c r="E65" s="54"/>
      <c r="F65" s="55">
        <f t="shared" si="58"/>
        <v>0</v>
      </c>
      <c r="G65" s="53"/>
      <c r="H65" s="54"/>
      <c r="I65" s="55">
        <f t="shared" si="59"/>
        <v>0</v>
      </c>
      <c r="J65" s="53"/>
      <c r="K65" s="54"/>
      <c r="L65" s="55">
        <f t="shared" si="60"/>
        <v>0</v>
      </c>
      <c r="M65" s="53"/>
      <c r="N65" s="54"/>
      <c r="O65" s="55">
        <f t="shared" si="61"/>
        <v>0</v>
      </c>
      <c r="P65" s="57"/>
    </row>
    <row r="66" spans="1:16" ht="36" hidden="1" customHeight="1" x14ac:dyDescent="0.25">
      <c r="A66" s="185">
        <v>1150</v>
      </c>
      <c r="B66" s="137" t="s">
        <v>85</v>
      </c>
      <c r="C66" s="142">
        <f t="shared" si="0"/>
        <v>0</v>
      </c>
      <c r="D66" s="143"/>
      <c r="E66" s="144"/>
      <c r="F66" s="140">
        <f t="shared" si="58"/>
        <v>0</v>
      </c>
      <c r="G66" s="143"/>
      <c r="H66" s="144"/>
      <c r="I66" s="140">
        <f t="shared" si="59"/>
        <v>0</v>
      </c>
      <c r="J66" s="143"/>
      <c r="K66" s="144"/>
      <c r="L66" s="140">
        <f t="shared" si="60"/>
        <v>0</v>
      </c>
      <c r="M66" s="143"/>
      <c r="N66" s="144"/>
      <c r="O66" s="140">
        <f t="shared" si="61"/>
        <v>0</v>
      </c>
      <c r="P66" s="128"/>
    </row>
    <row r="67" spans="1:16" ht="25.5" hidden="1" thickTop="1" thickBot="1" x14ac:dyDescent="0.3">
      <c r="A67" s="68">
        <v>1200</v>
      </c>
      <c r="B67" s="182" t="s">
        <v>86</v>
      </c>
      <c r="C67" s="69">
        <f t="shared" si="0"/>
        <v>0</v>
      </c>
      <c r="D67" s="183">
        <f>SUM(D68:D69)</f>
        <v>0</v>
      </c>
      <c r="E67" s="184">
        <f t="shared" ref="E67:F67" si="62">SUM(E68:E69)</f>
        <v>0</v>
      </c>
      <c r="F67" s="72">
        <f t="shared" si="62"/>
        <v>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hidden="1" customHeight="1" x14ac:dyDescent="0.25">
      <c r="A68" s="1943">
        <v>1210</v>
      </c>
      <c r="B68" s="81" t="s">
        <v>87</v>
      </c>
      <c r="C68" s="82">
        <f t="shared" si="0"/>
        <v>0</v>
      </c>
      <c r="D68" s="46"/>
      <c r="E68" s="47"/>
      <c r="F68" s="133">
        <f>D68+E68</f>
        <v>0</v>
      </c>
      <c r="G68" s="46"/>
      <c r="H68" s="47"/>
      <c r="I68" s="133">
        <f>G68+H68</f>
        <v>0</v>
      </c>
      <c r="J68" s="46"/>
      <c r="K68" s="47"/>
      <c r="L68" s="133">
        <f>K68+J68</f>
        <v>0</v>
      </c>
      <c r="M68" s="46"/>
      <c r="N68" s="47"/>
      <c r="O68" s="133">
        <f>N68+M68</f>
        <v>0</v>
      </c>
      <c r="P68" s="49"/>
    </row>
    <row r="69" spans="1:16" ht="25.5" hidden="1" thickTop="1" thickBot="1" x14ac:dyDescent="0.3">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51" hidden="1" customHeight="1" x14ac:dyDescent="0.25">
      <c r="A70" s="51">
        <v>1221</v>
      </c>
      <c r="B70" s="88" t="s">
        <v>89</v>
      </c>
      <c r="C70" s="89">
        <f t="shared" si="0"/>
        <v>0</v>
      </c>
      <c r="D70" s="53"/>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c r="E71" s="54"/>
      <c r="F71" s="55">
        <f t="shared" si="70"/>
        <v>0</v>
      </c>
      <c r="G71" s="53"/>
      <c r="H71" s="54"/>
      <c r="I71" s="55">
        <f t="shared" si="71"/>
        <v>0</v>
      </c>
      <c r="J71" s="53"/>
      <c r="K71" s="54"/>
      <c r="L71" s="55">
        <f t="shared" si="72"/>
        <v>0</v>
      </c>
      <c r="M71" s="53"/>
      <c r="N71" s="54"/>
      <c r="O71" s="55">
        <f t="shared" si="73"/>
        <v>0</v>
      </c>
      <c r="P71" s="57"/>
    </row>
    <row r="72" spans="1:16" ht="15" hidden="1" customHeight="1" x14ac:dyDescent="0.25">
      <c r="A72" s="51">
        <v>1225</v>
      </c>
      <c r="B72" s="88" t="s">
        <v>91</v>
      </c>
      <c r="C72" s="89">
        <f t="shared" si="0"/>
        <v>0</v>
      </c>
      <c r="D72" s="53"/>
      <c r="E72" s="54"/>
      <c r="F72" s="55">
        <f t="shared" si="70"/>
        <v>0</v>
      </c>
      <c r="G72" s="53"/>
      <c r="H72" s="54"/>
      <c r="I72" s="55">
        <f t="shared" si="71"/>
        <v>0</v>
      </c>
      <c r="J72" s="53"/>
      <c r="K72" s="54"/>
      <c r="L72" s="55">
        <f t="shared" si="72"/>
        <v>0</v>
      </c>
      <c r="M72" s="53"/>
      <c r="N72" s="54"/>
      <c r="O72" s="55">
        <f t="shared" si="73"/>
        <v>0</v>
      </c>
      <c r="P72" s="57"/>
    </row>
    <row r="73" spans="1:16" ht="38.25" hidden="1" customHeight="1" x14ac:dyDescent="0.25">
      <c r="A73" s="51">
        <v>1227</v>
      </c>
      <c r="B73" s="88" t="s">
        <v>92</v>
      </c>
      <c r="C73" s="89">
        <f t="shared" si="0"/>
        <v>0</v>
      </c>
      <c r="D73" s="53"/>
      <c r="E73" s="54"/>
      <c r="F73" s="55">
        <f t="shared" si="70"/>
        <v>0</v>
      </c>
      <c r="G73" s="53"/>
      <c r="H73" s="54"/>
      <c r="I73" s="55">
        <f t="shared" si="71"/>
        <v>0</v>
      </c>
      <c r="J73" s="53"/>
      <c r="K73" s="54"/>
      <c r="L73" s="55">
        <f t="shared" si="72"/>
        <v>0</v>
      </c>
      <c r="M73" s="53"/>
      <c r="N73" s="54"/>
      <c r="O73" s="55">
        <f t="shared" si="73"/>
        <v>0</v>
      </c>
      <c r="P73" s="57"/>
    </row>
    <row r="74" spans="1:16" ht="52.5" hidden="1" customHeight="1" x14ac:dyDescent="0.25">
      <c r="A74" s="51">
        <v>1228</v>
      </c>
      <c r="B74" s="88" t="s">
        <v>93</v>
      </c>
      <c r="C74" s="89">
        <f t="shared" si="0"/>
        <v>0</v>
      </c>
      <c r="D74" s="53"/>
      <c r="E74" s="54"/>
      <c r="F74" s="55">
        <f t="shared" si="70"/>
        <v>0</v>
      </c>
      <c r="G74" s="53"/>
      <c r="H74" s="54"/>
      <c r="I74" s="55">
        <f t="shared" si="71"/>
        <v>0</v>
      </c>
      <c r="J74" s="53"/>
      <c r="K74" s="54"/>
      <c r="L74" s="55">
        <f t="shared" si="72"/>
        <v>0</v>
      </c>
      <c r="M74" s="53"/>
      <c r="N74" s="54"/>
      <c r="O74" s="55">
        <f t="shared" si="73"/>
        <v>0</v>
      </c>
      <c r="P74" s="57"/>
    </row>
    <row r="75" spans="1:16" ht="13.5" hidden="1" thickTop="1" thickBot="1" x14ac:dyDescent="0.3">
      <c r="A75" s="176">
        <v>2000</v>
      </c>
      <c r="B75" s="176" t="s">
        <v>94</v>
      </c>
      <c r="C75" s="177">
        <f t="shared" si="0"/>
        <v>0</v>
      </c>
      <c r="D75" s="178">
        <f>SUM(D76,D83,D130,D164,D165,D172)</f>
        <v>0</v>
      </c>
      <c r="E75" s="179">
        <f t="shared" ref="E75:F75" si="74">SUM(E76,E83,E130,E164,E165,E172)</f>
        <v>0</v>
      </c>
      <c r="F75" s="180">
        <f t="shared" si="74"/>
        <v>0</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5.5" hidden="1" thickTop="1" thickBot="1" x14ac:dyDescent="0.3">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5.5" hidden="1" thickTop="1" thickBot="1" x14ac:dyDescent="0.3">
      <c r="A77" s="1943">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c r="E79" s="195"/>
      <c r="F79" s="55">
        <f t="shared" si="86"/>
        <v>0</v>
      </c>
      <c r="G79" s="53"/>
      <c r="H79" s="54"/>
      <c r="I79" s="55">
        <f t="shared" si="87"/>
        <v>0</v>
      </c>
      <c r="J79" s="53"/>
      <c r="K79" s="54"/>
      <c r="L79" s="55">
        <f t="shared" si="88"/>
        <v>0</v>
      </c>
      <c r="M79" s="53"/>
      <c r="N79" s="54"/>
      <c r="O79" s="55">
        <f t="shared" si="89"/>
        <v>0</v>
      </c>
      <c r="P79" s="57"/>
    </row>
    <row r="80" spans="1:16" ht="25.5" hidden="1" thickTop="1" thickBot="1" x14ac:dyDescent="0.3">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c r="E82" s="195"/>
      <c r="F82" s="55">
        <f t="shared" si="94"/>
        <v>0</v>
      </c>
      <c r="G82" s="53"/>
      <c r="H82" s="54"/>
      <c r="I82" s="55">
        <f t="shared" si="95"/>
        <v>0</v>
      </c>
      <c r="J82" s="53"/>
      <c r="K82" s="54"/>
      <c r="L82" s="55">
        <f t="shared" si="96"/>
        <v>0</v>
      </c>
      <c r="M82" s="53"/>
      <c r="N82" s="54"/>
      <c r="O82" s="55">
        <f t="shared" si="97"/>
        <v>0</v>
      </c>
      <c r="P82" s="57"/>
    </row>
    <row r="83" spans="1:16" ht="13.5" hidden="1" thickTop="1" thickBot="1" x14ac:dyDescent="0.3">
      <c r="A83" s="68">
        <v>2200</v>
      </c>
      <c r="B83" s="182" t="s">
        <v>100</v>
      </c>
      <c r="C83" s="69">
        <f t="shared" si="0"/>
        <v>0</v>
      </c>
      <c r="D83" s="183">
        <f>SUM(D84,D89,D95,D103,D112,D116,D122,D128)</f>
        <v>0</v>
      </c>
      <c r="E83" s="184">
        <f t="shared" ref="E83:F83" si="98">SUM(E84,E89,E95,E103,E112,E116,E122,E128)</f>
        <v>0</v>
      </c>
      <c r="F83" s="72">
        <f t="shared" si="98"/>
        <v>0</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t="13.5" hidden="1" thickTop="1" thickBot="1" x14ac:dyDescent="0.3">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c r="E88" s="195"/>
      <c r="F88" s="55">
        <f t="shared" si="107"/>
        <v>0</v>
      </c>
      <c r="G88" s="53"/>
      <c r="H88" s="54"/>
      <c r="I88" s="55">
        <f t="shared" si="108"/>
        <v>0</v>
      </c>
      <c r="J88" s="53"/>
      <c r="K88" s="54"/>
      <c r="L88" s="55">
        <f t="shared" si="109"/>
        <v>0</v>
      </c>
      <c r="M88" s="53"/>
      <c r="N88" s="54"/>
      <c r="O88" s="55">
        <f t="shared" si="110"/>
        <v>0</v>
      </c>
      <c r="P88" s="57"/>
    </row>
    <row r="89" spans="1:16" ht="25.5" hidden="1" thickTop="1" thickBot="1" x14ac:dyDescent="0.3">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6.5" hidden="1" customHeight="1" x14ac:dyDescent="0.25">
      <c r="A91" s="51">
        <v>2222</v>
      </c>
      <c r="B91" s="88" t="s">
        <v>108</v>
      </c>
      <c r="C91" s="89">
        <f t="shared" si="102"/>
        <v>0</v>
      </c>
      <c r="D91" s="194"/>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c r="E94" s="195"/>
      <c r="F94" s="55">
        <f t="shared" si="115"/>
        <v>0</v>
      </c>
      <c r="G94" s="53"/>
      <c r="H94" s="54"/>
      <c r="I94" s="55">
        <f t="shared" si="116"/>
        <v>0</v>
      </c>
      <c r="J94" s="53"/>
      <c r="K94" s="54"/>
      <c r="L94" s="55">
        <f t="shared" si="117"/>
        <v>0</v>
      </c>
      <c r="M94" s="53"/>
      <c r="N94" s="54"/>
      <c r="O94" s="55">
        <f t="shared" si="118"/>
        <v>0</v>
      </c>
      <c r="P94" s="57"/>
    </row>
    <row r="95" spans="1:16" ht="37.5" hidden="1" thickTop="1" thickBot="1" x14ac:dyDescent="0.3">
      <c r="A95" s="188">
        <v>2230</v>
      </c>
      <c r="B95" s="88" t="s">
        <v>112</v>
      </c>
      <c r="C95" s="89">
        <f t="shared" si="102"/>
        <v>0</v>
      </c>
      <c r="D95" s="189">
        <f>SUM(D96:D102)</f>
        <v>0</v>
      </c>
      <c r="E95" s="190">
        <f t="shared" ref="E95:F95" si="119">SUM(E96:E102)</f>
        <v>0</v>
      </c>
      <c r="F95" s="55">
        <f t="shared" si="119"/>
        <v>0</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hidden="1" customHeight="1" x14ac:dyDescent="0.25">
      <c r="A96" s="51">
        <v>2231</v>
      </c>
      <c r="B96" s="88" t="s">
        <v>113</v>
      </c>
      <c r="C96" s="89">
        <f t="shared" si="102"/>
        <v>0</v>
      </c>
      <c r="D96" s="194"/>
      <c r="E96" s="195"/>
      <c r="F96" s="55">
        <f t="shared" ref="F96:F102" si="123">D96+E96</f>
        <v>0</v>
      </c>
      <c r="G96" s="53"/>
      <c r="H96" s="54"/>
      <c r="I96" s="55">
        <f t="shared" ref="I96:I102" si="124">G96+H96</f>
        <v>0</v>
      </c>
      <c r="J96" s="53"/>
      <c r="K96" s="54"/>
      <c r="L96" s="55">
        <f t="shared" ref="L96:L102" si="125">K96+J96</f>
        <v>0</v>
      </c>
      <c r="M96" s="53"/>
      <c r="N96" s="54"/>
      <c r="O96" s="55">
        <f t="shared" ref="O96:O102" si="126">N96+M96</f>
        <v>0</v>
      </c>
      <c r="P96" s="57"/>
    </row>
    <row r="97" spans="1:16" ht="24.75" hidden="1" customHeight="1" x14ac:dyDescent="0.25">
      <c r="A97" s="51">
        <v>2232</v>
      </c>
      <c r="B97" s="88" t="s">
        <v>114</v>
      </c>
      <c r="C97" s="89">
        <f t="shared" si="102"/>
        <v>0</v>
      </c>
      <c r="D97" s="194"/>
      <c r="E97" s="195"/>
      <c r="F97" s="55">
        <f t="shared" si="123"/>
        <v>0</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c r="E99" s="195"/>
      <c r="F99" s="55">
        <f t="shared" si="123"/>
        <v>0</v>
      </c>
      <c r="G99" s="53"/>
      <c r="H99" s="54"/>
      <c r="I99" s="55">
        <f t="shared" si="124"/>
        <v>0</v>
      </c>
      <c r="J99" s="53"/>
      <c r="K99" s="54"/>
      <c r="L99" s="55">
        <f t="shared" si="125"/>
        <v>0</v>
      </c>
      <c r="M99" s="53"/>
      <c r="N99" s="54"/>
      <c r="O99" s="55">
        <f t="shared" si="126"/>
        <v>0</v>
      </c>
      <c r="P99" s="57"/>
    </row>
    <row r="100" spans="1:16" ht="26.25" hidden="1" customHeight="1" x14ac:dyDescent="0.25">
      <c r="A100" s="51">
        <v>2235</v>
      </c>
      <c r="B100" s="88" t="s">
        <v>117</v>
      </c>
      <c r="C100" s="89">
        <f t="shared" si="102"/>
        <v>0</v>
      </c>
      <c r="D100" s="194"/>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c r="E101" s="195"/>
      <c r="F101" s="55">
        <f t="shared" si="123"/>
        <v>0</v>
      </c>
      <c r="G101" s="53"/>
      <c r="H101" s="54"/>
      <c r="I101" s="55">
        <f t="shared" si="124"/>
        <v>0</v>
      </c>
      <c r="J101" s="53"/>
      <c r="K101" s="54"/>
      <c r="L101" s="55">
        <f t="shared" si="125"/>
        <v>0</v>
      </c>
      <c r="M101" s="53"/>
      <c r="N101" s="54"/>
      <c r="O101" s="55">
        <f t="shared" si="126"/>
        <v>0</v>
      </c>
      <c r="P101" s="57"/>
    </row>
    <row r="102" spans="1:16" ht="24" hidden="1" customHeight="1" x14ac:dyDescent="0.25">
      <c r="A102" s="51">
        <v>2239</v>
      </c>
      <c r="B102" s="88" t="s">
        <v>119</v>
      </c>
      <c r="C102" s="89">
        <f t="shared" si="102"/>
        <v>0</v>
      </c>
      <c r="D102" s="194"/>
      <c r="E102" s="195"/>
      <c r="F102" s="55">
        <f t="shared" si="123"/>
        <v>0</v>
      </c>
      <c r="G102" s="53"/>
      <c r="H102" s="54"/>
      <c r="I102" s="55">
        <f t="shared" si="124"/>
        <v>0</v>
      </c>
      <c r="J102" s="53"/>
      <c r="K102" s="54"/>
      <c r="L102" s="55">
        <f t="shared" si="125"/>
        <v>0</v>
      </c>
      <c r="M102" s="53"/>
      <c r="N102" s="54"/>
      <c r="O102" s="55">
        <f t="shared" si="126"/>
        <v>0</v>
      </c>
      <c r="P102" s="57"/>
    </row>
    <row r="103" spans="1:16" ht="37.5" hidden="1" thickTop="1" thickBot="1" x14ac:dyDescent="0.3">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5.5" hidden="1" customHeight="1" x14ac:dyDescent="0.25">
      <c r="A105" s="51">
        <v>2242</v>
      </c>
      <c r="B105" s="88" t="s">
        <v>122</v>
      </c>
      <c r="C105" s="89">
        <f t="shared" si="102"/>
        <v>0</v>
      </c>
      <c r="D105" s="194"/>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c r="E111" s="195"/>
      <c r="F111" s="55">
        <f t="shared" si="131"/>
        <v>0</v>
      </c>
      <c r="G111" s="53"/>
      <c r="H111" s="54"/>
      <c r="I111" s="55">
        <f t="shared" si="132"/>
        <v>0</v>
      </c>
      <c r="J111" s="53"/>
      <c r="K111" s="54"/>
      <c r="L111" s="55">
        <f t="shared" si="133"/>
        <v>0</v>
      </c>
      <c r="M111" s="53"/>
      <c r="N111" s="54"/>
      <c r="O111" s="55">
        <f t="shared" si="134"/>
        <v>0</v>
      </c>
      <c r="P111" s="57"/>
    </row>
    <row r="112" spans="1:16" ht="13.5" hidden="1" thickTop="1" thickBot="1" x14ac:dyDescent="0.3">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c r="E115" s="195"/>
      <c r="F115" s="55">
        <f t="shared" si="139"/>
        <v>0</v>
      </c>
      <c r="G115" s="53"/>
      <c r="H115" s="54"/>
      <c r="I115" s="55">
        <f t="shared" si="140"/>
        <v>0</v>
      </c>
      <c r="J115" s="53"/>
      <c r="K115" s="54"/>
      <c r="L115" s="55">
        <f t="shared" si="141"/>
        <v>0</v>
      </c>
      <c r="M115" s="53"/>
      <c r="N115" s="54"/>
      <c r="O115" s="55">
        <f t="shared" si="142"/>
        <v>0</v>
      </c>
      <c r="P115" s="57"/>
    </row>
    <row r="116" spans="1:16" ht="13.5" hidden="1" thickTop="1" thickBot="1" x14ac:dyDescent="0.3">
      <c r="A116" s="188">
        <v>2260</v>
      </c>
      <c r="B116" s="88" t="s">
        <v>133</v>
      </c>
      <c r="C116" s="89">
        <f t="shared" si="102"/>
        <v>0</v>
      </c>
      <c r="D116" s="189">
        <f>SUM(D117:D121)</f>
        <v>0</v>
      </c>
      <c r="E116" s="190">
        <f t="shared" ref="E116:F116" si="143">SUM(E117:E121)</f>
        <v>0</v>
      </c>
      <c r="F116" s="55">
        <f t="shared" si="143"/>
        <v>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hidden="1" customHeight="1" x14ac:dyDescent="0.25">
      <c r="A117" s="51">
        <v>2261</v>
      </c>
      <c r="B117" s="88" t="s">
        <v>134</v>
      </c>
      <c r="C117" s="89">
        <f t="shared" si="102"/>
        <v>0</v>
      </c>
      <c r="D117" s="194"/>
      <c r="E117" s="195"/>
      <c r="F117" s="55">
        <f t="shared" ref="F117:F121" si="147">D117+E117</f>
        <v>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hidden="1" customHeight="1" x14ac:dyDescent="0.25">
      <c r="A118" s="51">
        <v>2262</v>
      </c>
      <c r="B118" s="88" t="s">
        <v>135</v>
      </c>
      <c r="C118" s="89">
        <f t="shared" si="102"/>
        <v>0</v>
      </c>
      <c r="D118" s="194"/>
      <c r="E118" s="195"/>
      <c r="F118" s="55">
        <f t="shared" si="147"/>
        <v>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c r="E121" s="195"/>
      <c r="F121" s="55">
        <f t="shared" si="147"/>
        <v>0</v>
      </c>
      <c r="G121" s="53"/>
      <c r="H121" s="54"/>
      <c r="I121" s="55">
        <f t="shared" si="148"/>
        <v>0</v>
      </c>
      <c r="J121" s="53"/>
      <c r="K121" s="54"/>
      <c r="L121" s="55">
        <f t="shared" si="149"/>
        <v>0</v>
      </c>
      <c r="M121" s="53"/>
      <c r="N121" s="54"/>
      <c r="O121" s="55">
        <f t="shared" si="150"/>
        <v>0</v>
      </c>
      <c r="P121" s="57"/>
    </row>
    <row r="122" spans="1:16" ht="13.5" hidden="1" thickTop="1" thickBot="1" x14ac:dyDescent="0.3">
      <c r="A122" s="188">
        <v>2270</v>
      </c>
      <c r="B122" s="88" t="s">
        <v>139</v>
      </c>
      <c r="C122" s="89">
        <f t="shared" si="102"/>
        <v>0</v>
      </c>
      <c r="D122" s="189">
        <f>SUM(D123:D127)</f>
        <v>0</v>
      </c>
      <c r="E122" s="190">
        <f t="shared" ref="E122:F122" si="151">SUM(E123:E127)</f>
        <v>0</v>
      </c>
      <c r="F122" s="55">
        <f t="shared" si="151"/>
        <v>0</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c r="E126" s="195"/>
      <c r="F126" s="55">
        <f t="shared" si="155"/>
        <v>0</v>
      </c>
      <c r="G126" s="53"/>
      <c r="H126" s="54"/>
      <c r="I126" s="55">
        <f t="shared" si="156"/>
        <v>0</v>
      </c>
      <c r="J126" s="53"/>
      <c r="K126" s="54"/>
      <c r="L126" s="55">
        <f t="shared" si="157"/>
        <v>0</v>
      </c>
      <c r="M126" s="53"/>
      <c r="N126" s="54"/>
      <c r="O126" s="55">
        <f t="shared" si="158"/>
        <v>0</v>
      </c>
      <c r="P126" s="57"/>
    </row>
    <row r="127" spans="1:16" ht="24" hidden="1" customHeight="1" x14ac:dyDescent="0.25">
      <c r="A127" s="51">
        <v>2279</v>
      </c>
      <c r="B127" s="88" t="s">
        <v>144</v>
      </c>
      <c r="C127" s="89">
        <f t="shared" si="102"/>
        <v>0</v>
      </c>
      <c r="D127" s="194"/>
      <c r="E127" s="195"/>
      <c r="F127" s="55">
        <f t="shared" si="155"/>
        <v>0</v>
      </c>
      <c r="G127" s="53"/>
      <c r="H127" s="54"/>
      <c r="I127" s="55">
        <f t="shared" si="156"/>
        <v>0</v>
      </c>
      <c r="J127" s="53"/>
      <c r="K127" s="54"/>
      <c r="L127" s="55">
        <f t="shared" si="157"/>
        <v>0</v>
      </c>
      <c r="M127" s="53"/>
      <c r="N127" s="54"/>
      <c r="O127" s="55">
        <f t="shared" si="158"/>
        <v>0</v>
      </c>
      <c r="P127" s="57"/>
    </row>
    <row r="128" spans="1:16" ht="49.5" hidden="1" thickTop="1" thickBot="1" x14ac:dyDescent="0.3">
      <c r="A128" s="1943">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c r="E129" s="195"/>
      <c r="F129" s="55">
        <f>D129+E129</f>
        <v>0</v>
      </c>
      <c r="G129" s="53"/>
      <c r="H129" s="54"/>
      <c r="I129" s="55">
        <f>G129+H129</f>
        <v>0</v>
      </c>
      <c r="J129" s="53"/>
      <c r="K129" s="54"/>
      <c r="L129" s="55">
        <f>K129+J129</f>
        <v>0</v>
      </c>
      <c r="M129" s="53"/>
      <c r="N129" s="54"/>
      <c r="O129" s="55">
        <f>N129+M129</f>
        <v>0</v>
      </c>
      <c r="P129" s="57"/>
    </row>
    <row r="130" spans="1:16" ht="38.25" hidden="1" customHeight="1" x14ac:dyDescent="0.25">
      <c r="A130" s="68">
        <v>2300</v>
      </c>
      <c r="B130" s="182" t="s">
        <v>147</v>
      </c>
      <c r="C130" s="69">
        <f t="shared" si="102"/>
        <v>0</v>
      </c>
      <c r="D130" s="183">
        <f>SUM(D131,D136,D140,D141,D144,D151,D159,D160,D163)</f>
        <v>0</v>
      </c>
      <c r="E130" s="184">
        <f t="shared" ref="E130:F130" si="160">SUM(E131,E136,E140,E141,E144,E151,E159,E160,E163)</f>
        <v>0</v>
      </c>
      <c r="F130" s="72">
        <f t="shared" si="160"/>
        <v>0</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5.5" hidden="1" thickTop="1" thickBot="1" x14ac:dyDescent="0.3">
      <c r="A131" s="1943">
        <v>2310</v>
      </c>
      <c r="B131" s="81" t="s">
        <v>148</v>
      </c>
      <c r="C131" s="82">
        <f t="shared" si="102"/>
        <v>0</v>
      </c>
      <c r="D131" s="192">
        <f t="shared" ref="D131:O131" si="164">SUM(D132:D135)</f>
        <v>0</v>
      </c>
      <c r="E131" s="193">
        <f t="shared" si="164"/>
        <v>0</v>
      </c>
      <c r="F131" s="133">
        <f t="shared" si="164"/>
        <v>0</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8" hidden="1" customHeight="1" x14ac:dyDescent="0.25">
      <c r="A133" s="51">
        <v>2312</v>
      </c>
      <c r="B133" s="88" t="s">
        <v>150</v>
      </c>
      <c r="C133" s="89">
        <f t="shared" si="102"/>
        <v>0</v>
      </c>
      <c r="D133" s="194"/>
      <c r="E133" s="195"/>
      <c r="F133" s="55">
        <f t="shared" si="165"/>
        <v>0</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c r="E134" s="195"/>
      <c r="F134" s="55">
        <f t="shared" si="165"/>
        <v>0</v>
      </c>
      <c r="G134" s="53"/>
      <c r="H134" s="54"/>
      <c r="I134" s="55">
        <f t="shared" si="166"/>
        <v>0</v>
      </c>
      <c r="J134" s="53"/>
      <c r="K134" s="54"/>
      <c r="L134" s="55">
        <f t="shared" si="167"/>
        <v>0</v>
      </c>
      <c r="M134" s="53"/>
      <c r="N134" s="54"/>
      <c r="O134" s="55">
        <f t="shared" si="168"/>
        <v>0</v>
      </c>
      <c r="P134" s="57"/>
    </row>
    <row r="135" spans="1:16" ht="36" hidden="1" customHeight="1" x14ac:dyDescent="0.25">
      <c r="A135" s="51">
        <v>2314</v>
      </c>
      <c r="B135" s="88" t="s">
        <v>152</v>
      </c>
      <c r="C135" s="89">
        <f t="shared" si="102"/>
        <v>0</v>
      </c>
      <c r="D135" s="194"/>
      <c r="E135" s="195"/>
      <c r="F135" s="55">
        <f t="shared" si="165"/>
        <v>0</v>
      </c>
      <c r="G135" s="53"/>
      <c r="H135" s="54"/>
      <c r="I135" s="55">
        <f t="shared" si="166"/>
        <v>0</v>
      </c>
      <c r="J135" s="53"/>
      <c r="K135" s="54"/>
      <c r="L135" s="55">
        <f t="shared" si="167"/>
        <v>0</v>
      </c>
      <c r="M135" s="53"/>
      <c r="N135" s="54"/>
      <c r="O135" s="55">
        <f t="shared" si="168"/>
        <v>0</v>
      </c>
      <c r="P135" s="57"/>
    </row>
    <row r="136" spans="1:16" ht="13.5" hidden="1" thickTop="1" thickBot="1" x14ac:dyDescent="0.3">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c r="E140" s="195"/>
      <c r="F140" s="55">
        <f t="shared" si="173"/>
        <v>0</v>
      </c>
      <c r="G140" s="53"/>
      <c r="H140" s="54"/>
      <c r="I140" s="55">
        <f t="shared" si="174"/>
        <v>0</v>
      </c>
      <c r="J140" s="53"/>
      <c r="K140" s="54"/>
      <c r="L140" s="55">
        <f t="shared" si="175"/>
        <v>0</v>
      </c>
      <c r="M140" s="53"/>
      <c r="N140" s="54"/>
      <c r="O140" s="55">
        <f t="shared" si="176"/>
        <v>0</v>
      </c>
      <c r="P140" s="57"/>
    </row>
    <row r="141" spans="1:16" ht="51" hidden="1" customHeight="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24" hidden="1" customHeight="1" x14ac:dyDescent="0.25">
      <c r="A142" s="51">
        <v>2341</v>
      </c>
      <c r="B142" s="88" t="s">
        <v>159</v>
      </c>
      <c r="C142" s="89">
        <f t="shared" si="102"/>
        <v>0</v>
      </c>
      <c r="D142" s="194"/>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c r="E143" s="195"/>
      <c r="F143" s="55">
        <f t="shared" si="181"/>
        <v>0</v>
      </c>
      <c r="G143" s="53"/>
      <c r="H143" s="54"/>
      <c r="I143" s="55">
        <f t="shared" si="182"/>
        <v>0</v>
      </c>
      <c r="J143" s="53"/>
      <c r="K143" s="54"/>
      <c r="L143" s="55">
        <f t="shared" si="183"/>
        <v>0</v>
      </c>
      <c r="M143" s="53"/>
      <c r="N143" s="54"/>
      <c r="O143" s="55">
        <f t="shared" si="184"/>
        <v>0</v>
      </c>
      <c r="P143" s="57"/>
    </row>
    <row r="144" spans="1:16" ht="25.5" hidden="1" thickTop="1" thickBot="1" x14ac:dyDescent="0.3">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c r="E159" s="203"/>
      <c r="F159" s="140">
        <f t="shared" si="198"/>
        <v>0</v>
      </c>
      <c r="G159" s="143"/>
      <c r="H159" s="144"/>
      <c r="I159" s="140">
        <f t="shared" si="199"/>
        <v>0</v>
      </c>
      <c r="J159" s="143"/>
      <c r="K159" s="144"/>
      <c r="L159" s="140">
        <f t="shared" si="200"/>
        <v>0</v>
      </c>
      <c r="M159" s="143"/>
      <c r="N159" s="144"/>
      <c r="O159" s="140">
        <f t="shared" si="201"/>
        <v>0</v>
      </c>
      <c r="P159" s="128"/>
    </row>
    <row r="160" spans="1:16" ht="13.5" hidden="1" thickTop="1" thickBot="1" x14ac:dyDescent="0.3">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c r="E164" s="205"/>
      <c r="F164" s="72">
        <f t="shared" si="206"/>
        <v>0</v>
      </c>
      <c r="G164" s="70"/>
      <c r="H164" s="71"/>
      <c r="I164" s="72">
        <f t="shared" si="207"/>
        <v>0</v>
      </c>
      <c r="J164" s="70"/>
      <c r="K164" s="71"/>
      <c r="L164" s="72">
        <f t="shared" si="208"/>
        <v>0</v>
      </c>
      <c r="M164" s="70"/>
      <c r="N164" s="71"/>
      <c r="O164" s="72">
        <f t="shared" si="209"/>
        <v>0</v>
      </c>
      <c r="P164" s="76"/>
    </row>
    <row r="165" spans="1:16" ht="25.5" hidden="1" thickTop="1" thickBot="1" x14ac:dyDescent="0.3">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25.5" hidden="1" thickTop="1" thickBot="1" x14ac:dyDescent="0.3">
      <c r="A166" s="1943">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c r="E172" s="47"/>
      <c r="F172" s="133">
        <f t="shared" si="212"/>
        <v>0</v>
      </c>
      <c r="G172" s="46"/>
      <c r="H172" s="47"/>
      <c r="I172" s="133">
        <f t="shared" si="213"/>
        <v>0</v>
      </c>
      <c r="J172" s="46"/>
      <c r="K172" s="47"/>
      <c r="L172" s="133">
        <f t="shared" si="214"/>
        <v>0</v>
      </c>
      <c r="M172" s="46"/>
      <c r="N172" s="47"/>
      <c r="O172" s="133">
        <f t="shared" si="215"/>
        <v>0</v>
      </c>
      <c r="P172" s="49"/>
    </row>
    <row r="173" spans="1:16" ht="13.5" hidden="1" thickTop="1" thickBot="1" x14ac:dyDescent="0.3">
      <c r="A173" s="176">
        <v>3000</v>
      </c>
      <c r="B173" s="176" t="s">
        <v>190</v>
      </c>
      <c r="C173" s="177">
        <f t="shared" si="193"/>
        <v>0</v>
      </c>
      <c r="D173" s="178">
        <f>SUM(D174,D184)</f>
        <v>0</v>
      </c>
      <c r="E173" s="179">
        <f t="shared" ref="E173:F173" si="216">SUM(E174,E184)</f>
        <v>0</v>
      </c>
      <c r="F173" s="180">
        <f t="shared" si="216"/>
        <v>0</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5.5" hidden="1" thickTop="1" thickBot="1" x14ac:dyDescent="0.3">
      <c r="A174" s="68">
        <v>3200</v>
      </c>
      <c r="B174" s="207" t="s">
        <v>191</v>
      </c>
      <c r="C174" s="69">
        <f t="shared" si="193"/>
        <v>0</v>
      </c>
      <c r="D174" s="183">
        <f>SUM(D175,D179)</f>
        <v>0</v>
      </c>
      <c r="E174" s="184">
        <f t="shared" ref="E174:O174" si="220">SUM(E175,E179)</f>
        <v>0</v>
      </c>
      <c r="F174" s="72">
        <f t="shared" si="220"/>
        <v>0</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7.5" hidden="1" thickTop="1" thickBot="1" x14ac:dyDescent="0.3">
      <c r="A175" s="1943">
        <v>3260</v>
      </c>
      <c r="B175" s="81" t="s">
        <v>192</v>
      </c>
      <c r="C175" s="82">
        <f t="shared" si="193"/>
        <v>0</v>
      </c>
      <c r="D175" s="192">
        <f>SUM(D176:D178)</f>
        <v>0</v>
      </c>
      <c r="E175" s="193">
        <f t="shared" ref="E175:F175" si="221">SUM(E176:E178)</f>
        <v>0</v>
      </c>
      <c r="F175" s="133">
        <f t="shared" si="221"/>
        <v>0</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hidden="1" customHeight="1" x14ac:dyDescent="0.25">
      <c r="A177" s="51">
        <v>3262</v>
      </c>
      <c r="B177" s="88" t="s">
        <v>194</v>
      </c>
      <c r="C177" s="89">
        <f t="shared" si="193"/>
        <v>0</v>
      </c>
      <c r="D177" s="194"/>
      <c r="E177" s="195"/>
      <c r="F177" s="55">
        <f t="shared" si="225"/>
        <v>0</v>
      </c>
      <c r="G177" s="53"/>
      <c r="H177" s="54"/>
      <c r="I177" s="55">
        <f t="shared" si="226"/>
        <v>0</v>
      </c>
      <c r="J177" s="53"/>
      <c r="K177" s="54"/>
      <c r="L177" s="55">
        <f t="shared" si="227"/>
        <v>0</v>
      </c>
      <c r="M177" s="53"/>
      <c r="N177" s="54"/>
      <c r="O177" s="55">
        <f t="shared" si="228"/>
        <v>0</v>
      </c>
      <c r="P177" s="57"/>
    </row>
    <row r="178" spans="1:16" ht="24" hidden="1" customHeight="1" x14ac:dyDescent="0.25">
      <c r="A178" s="51">
        <v>3263</v>
      </c>
      <c r="B178" s="88" t="s">
        <v>195</v>
      </c>
      <c r="C178" s="89">
        <f t="shared" si="193"/>
        <v>0</v>
      </c>
      <c r="D178" s="194"/>
      <c r="E178" s="195"/>
      <c r="F178" s="55">
        <f t="shared" si="225"/>
        <v>0</v>
      </c>
      <c r="G178" s="53"/>
      <c r="H178" s="54"/>
      <c r="I178" s="55">
        <f t="shared" si="226"/>
        <v>0</v>
      </c>
      <c r="J178" s="53"/>
      <c r="K178" s="54"/>
      <c r="L178" s="55">
        <f t="shared" si="227"/>
        <v>0</v>
      </c>
      <c r="M178" s="53"/>
      <c r="N178" s="54"/>
      <c r="O178" s="55">
        <f t="shared" si="228"/>
        <v>0</v>
      </c>
      <c r="P178" s="57"/>
    </row>
    <row r="179" spans="1:16" ht="85.5" hidden="1" thickTop="1" thickBot="1" x14ac:dyDescent="0.3">
      <c r="A179" s="1943">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c r="E183" s="211"/>
      <c r="F183" s="212">
        <f t="shared" si="230"/>
        <v>0</v>
      </c>
      <c r="G183" s="213"/>
      <c r="H183" s="214"/>
      <c r="I183" s="212">
        <f t="shared" si="231"/>
        <v>0</v>
      </c>
      <c r="J183" s="213"/>
      <c r="K183" s="214"/>
      <c r="L183" s="212">
        <f t="shared" si="232"/>
        <v>0</v>
      </c>
      <c r="M183" s="213"/>
      <c r="N183" s="214"/>
      <c r="O183" s="212">
        <f t="shared" si="233"/>
        <v>0</v>
      </c>
      <c r="P183" s="215"/>
    </row>
    <row r="184" spans="1:16" ht="49.5" hidden="1" thickTop="1" thickBot="1" x14ac:dyDescent="0.3">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c r="E186" s="197"/>
      <c r="F186" s="133">
        <f t="shared" si="235"/>
        <v>0</v>
      </c>
      <c r="G186" s="46"/>
      <c r="H186" s="47"/>
      <c r="I186" s="133">
        <f t="shared" si="236"/>
        <v>0</v>
      </c>
      <c r="J186" s="46"/>
      <c r="K186" s="47"/>
      <c r="L186" s="133">
        <f t="shared" si="237"/>
        <v>0</v>
      </c>
      <c r="M186" s="46"/>
      <c r="N186" s="47"/>
      <c r="O186" s="133">
        <f t="shared" si="238"/>
        <v>0</v>
      </c>
      <c r="P186" s="49"/>
    </row>
    <row r="187" spans="1:16" ht="13.5" hidden="1" thickTop="1" thickBot="1" x14ac:dyDescent="0.3">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5.5" hidden="1" thickTop="1" thickBot="1" x14ac:dyDescent="0.3">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943">
        <v>4240</v>
      </c>
      <c r="B189" s="81" t="s">
        <v>206</v>
      </c>
      <c r="C189" s="82">
        <f t="shared" si="193"/>
        <v>0</v>
      </c>
      <c r="D189" s="196"/>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c r="E190" s="195"/>
      <c r="F190" s="55">
        <f t="shared" si="247"/>
        <v>0</v>
      </c>
      <c r="G190" s="53"/>
      <c r="H190" s="54"/>
      <c r="I190" s="55">
        <f t="shared" si="248"/>
        <v>0</v>
      </c>
      <c r="J190" s="53"/>
      <c r="K190" s="54"/>
      <c r="L190" s="55">
        <f t="shared" si="249"/>
        <v>0</v>
      </c>
      <c r="M190" s="53"/>
      <c r="N190" s="54"/>
      <c r="O190" s="55">
        <f t="shared" si="250"/>
        <v>0</v>
      </c>
      <c r="P190" s="57"/>
    </row>
    <row r="191" spans="1:16" ht="13.5" hidden="1" thickTop="1" thickBot="1" x14ac:dyDescent="0.3">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5.5" hidden="1" thickTop="1" thickBot="1" x14ac:dyDescent="0.3">
      <c r="A192" s="1943">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c r="E193" s="195"/>
      <c r="F193" s="55">
        <f>D193+E193</f>
        <v>0</v>
      </c>
      <c r="G193" s="53"/>
      <c r="H193" s="54"/>
      <c r="I193" s="55">
        <f>G193+H193</f>
        <v>0</v>
      </c>
      <c r="J193" s="53"/>
      <c r="K193" s="54"/>
      <c r="L193" s="55">
        <f>K193+J193</f>
        <v>0</v>
      </c>
      <c r="M193" s="53"/>
      <c r="N193" s="54"/>
      <c r="O193" s="55">
        <f>N193+M193</f>
        <v>0</v>
      </c>
      <c r="P193" s="57"/>
    </row>
    <row r="194" spans="1:16" s="28" customFormat="1" ht="25.5" hidden="1" thickTop="1" thickBot="1" x14ac:dyDescent="0.3">
      <c r="A194" s="224"/>
      <c r="B194" s="23" t="s">
        <v>211</v>
      </c>
      <c r="C194" s="171">
        <f t="shared" si="193"/>
        <v>0</v>
      </c>
      <c r="D194" s="172">
        <f t="shared" ref="D194:O194" si="259">SUM(D195,D230,D269,D283)</f>
        <v>0</v>
      </c>
      <c r="E194" s="173">
        <f t="shared" si="259"/>
        <v>0</v>
      </c>
      <c r="F194" s="174">
        <f t="shared" si="259"/>
        <v>0</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ht="13.5" hidden="1" thickTop="1" thickBot="1" x14ac:dyDescent="0.3">
      <c r="A195" s="176">
        <v>5000</v>
      </c>
      <c r="B195" s="176" t="s">
        <v>212</v>
      </c>
      <c r="C195" s="177">
        <f t="shared" si="193"/>
        <v>0</v>
      </c>
      <c r="D195" s="178">
        <f>D196+D204</f>
        <v>0</v>
      </c>
      <c r="E195" s="179">
        <f t="shared" ref="E195:F195" si="260">E196+E204</f>
        <v>0</v>
      </c>
      <c r="F195" s="180">
        <f t="shared" si="260"/>
        <v>0</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ht="13.5" hidden="1" thickTop="1" thickBot="1" x14ac:dyDescent="0.3">
      <c r="A196" s="68">
        <v>5100</v>
      </c>
      <c r="B196" s="182" t="s">
        <v>213</v>
      </c>
      <c r="C196" s="69">
        <f t="shared" si="193"/>
        <v>0</v>
      </c>
      <c r="D196" s="183">
        <f>D197+D198+D201+D202+D203</f>
        <v>0</v>
      </c>
      <c r="E196" s="184">
        <f t="shared" ref="E196:F196" si="264">E197+E198+E201+E202+E203</f>
        <v>0</v>
      </c>
      <c r="F196" s="72">
        <f t="shared" si="264"/>
        <v>0</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hidden="1" customHeight="1" x14ac:dyDescent="0.25">
      <c r="A197" s="1943">
        <v>5110</v>
      </c>
      <c r="B197" s="81" t="s">
        <v>214</v>
      </c>
      <c r="C197" s="82">
        <f t="shared" si="193"/>
        <v>0</v>
      </c>
      <c r="D197" s="196"/>
      <c r="E197" s="197"/>
      <c r="F197" s="133">
        <f>D197+E197</f>
        <v>0</v>
      </c>
      <c r="G197" s="46"/>
      <c r="H197" s="47"/>
      <c r="I197" s="133">
        <f>G197+H197</f>
        <v>0</v>
      </c>
      <c r="J197" s="46"/>
      <c r="K197" s="47"/>
      <c r="L197" s="133">
        <f>K197+J197</f>
        <v>0</v>
      </c>
      <c r="M197" s="46"/>
      <c r="N197" s="47"/>
      <c r="O197" s="133">
        <f>N197+M197</f>
        <v>0</v>
      </c>
      <c r="P197" s="49"/>
    </row>
    <row r="198" spans="1:16" ht="25.5" hidden="1" thickTop="1" thickBot="1" x14ac:dyDescent="0.3">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c r="E203" s="195"/>
      <c r="F203" s="55">
        <f t="shared" si="272"/>
        <v>0</v>
      </c>
      <c r="G203" s="53"/>
      <c r="H203" s="54"/>
      <c r="I203" s="55">
        <f t="shared" si="273"/>
        <v>0</v>
      </c>
      <c r="J203" s="53"/>
      <c r="K203" s="54"/>
      <c r="L203" s="55">
        <f t="shared" si="274"/>
        <v>0</v>
      </c>
      <c r="M203" s="53"/>
      <c r="N203" s="54"/>
      <c r="O203" s="55">
        <f t="shared" si="275"/>
        <v>0</v>
      </c>
      <c r="P203" s="57"/>
    </row>
    <row r="204" spans="1:16" ht="13.5" hidden="1" thickTop="1" thickBot="1" x14ac:dyDescent="0.3">
      <c r="A204" s="68">
        <v>5200</v>
      </c>
      <c r="B204" s="182" t="s">
        <v>221</v>
      </c>
      <c r="C204" s="69">
        <f t="shared" si="193"/>
        <v>0</v>
      </c>
      <c r="D204" s="183">
        <f>D205+D215+D216+D225+D226+D227+D229</f>
        <v>0</v>
      </c>
      <c r="E204" s="184">
        <f t="shared" ref="E204:F204" si="276">E205+E215+E216+E225+E226+E227+E229</f>
        <v>0</v>
      </c>
      <c r="F204" s="72">
        <f t="shared" si="276"/>
        <v>0</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t="13.5" hidden="1" thickTop="1" thickBot="1" x14ac:dyDescent="0.3">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c r="E215" s="195"/>
      <c r="F215" s="55">
        <f t="shared" si="284"/>
        <v>0</v>
      </c>
      <c r="G215" s="53"/>
      <c r="H215" s="54"/>
      <c r="I215" s="55">
        <f t="shared" si="285"/>
        <v>0</v>
      </c>
      <c r="J215" s="53"/>
      <c r="K215" s="54"/>
      <c r="L215" s="55">
        <f t="shared" si="286"/>
        <v>0</v>
      </c>
      <c r="M215" s="53"/>
      <c r="N215" s="54"/>
      <c r="O215" s="55">
        <f t="shared" si="287"/>
        <v>0</v>
      </c>
      <c r="P215" s="57"/>
    </row>
    <row r="216" spans="1:16" ht="13.5" hidden="1" thickTop="1" thickBot="1" x14ac:dyDescent="0.3">
      <c r="A216" s="188">
        <v>5230</v>
      </c>
      <c r="B216" s="88" t="s">
        <v>233</v>
      </c>
      <c r="C216" s="89">
        <f t="shared" si="288"/>
        <v>0</v>
      </c>
      <c r="D216" s="189">
        <f>SUM(D217:D224)</f>
        <v>0</v>
      </c>
      <c r="E216" s="190">
        <f t="shared" ref="E216:F216" si="289">SUM(E217:E224)</f>
        <v>0</v>
      </c>
      <c r="F216" s="55">
        <f t="shared" si="289"/>
        <v>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c r="E223" s="195"/>
      <c r="F223" s="55">
        <f t="shared" si="293"/>
        <v>0</v>
      </c>
      <c r="G223" s="53"/>
      <c r="H223" s="54"/>
      <c r="I223" s="55">
        <f t="shared" si="294"/>
        <v>0</v>
      </c>
      <c r="J223" s="53"/>
      <c r="K223" s="54"/>
      <c r="L223" s="55">
        <f t="shared" si="295"/>
        <v>0</v>
      </c>
      <c r="M223" s="53"/>
      <c r="N223" s="54"/>
      <c r="O223" s="55">
        <f t="shared" si="296"/>
        <v>0</v>
      </c>
      <c r="P223" s="57"/>
    </row>
    <row r="224" spans="1:16" ht="96.75" hidden="1" customHeight="1" x14ac:dyDescent="0.25">
      <c r="A224" s="51">
        <v>5239</v>
      </c>
      <c r="B224" s="88" t="s">
        <v>241</v>
      </c>
      <c r="C224" s="89">
        <f t="shared" si="288"/>
        <v>0</v>
      </c>
      <c r="D224" s="194"/>
      <c r="E224" s="195"/>
      <c r="F224" s="55">
        <f t="shared" si="293"/>
        <v>0</v>
      </c>
      <c r="G224" s="53"/>
      <c r="H224" s="54"/>
      <c r="I224" s="55">
        <f t="shared" si="294"/>
        <v>0</v>
      </c>
      <c r="J224" s="53"/>
      <c r="K224" s="54"/>
      <c r="L224" s="55">
        <f t="shared" si="295"/>
        <v>0</v>
      </c>
      <c r="M224" s="53"/>
      <c r="N224" s="54"/>
      <c r="O224" s="55">
        <f t="shared" si="296"/>
        <v>0</v>
      </c>
      <c r="P224" s="57"/>
    </row>
    <row r="225" spans="1:16" ht="24" hidden="1" customHeight="1" x14ac:dyDescent="0.25">
      <c r="A225" s="188">
        <v>5240</v>
      </c>
      <c r="B225" s="88" t="s">
        <v>242</v>
      </c>
      <c r="C225" s="89">
        <f t="shared" si="288"/>
        <v>0</v>
      </c>
      <c r="D225" s="194"/>
      <c r="E225" s="195"/>
      <c r="F225" s="55">
        <f t="shared" si="293"/>
        <v>0</v>
      </c>
      <c r="G225" s="53"/>
      <c r="H225" s="54"/>
      <c r="I225" s="55">
        <f t="shared" si="294"/>
        <v>0</v>
      </c>
      <c r="J225" s="53"/>
      <c r="K225" s="54"/>
      <c r="L225" s="55">
        <f t="shared" si="295"/>
        <v>0</v>
      </c>
      <c r="M225" s="53"/>
      <c r="N225" s="54"/>
      <c r="O225" s="55">
        <f t="shared" si="296"/>
        <v>0</v>
      </c>
      <c r="P225" s="57"/>
    </row>
    <row r="226" spans="1:16" ht="12" hidden="1" customHeight="1" x14ac:dyDescent="0.25">
      <c r="A226" s="188">
        <v>5250</v>
      </c>
      <c r="B226" s="88" t="s">
        <v>243</v>
      </c>
      <c r="C226" s="89">
        <f t="shared" si="288"/>
        <v>0</v>
      </c>
      <c r="D226" s="194"/>
      <c r="E226" s="195"/>
      <c r="F226" s="55">
        <f t="shared" si="293"/>
        <v>0</v>
      </c>
      <c r="G226" s="53"/>
      <c r="H226" s="54"/>
      <c r="I226" s="55">
        <f t="shared" si="294"/>
        <v>0</v>
      </c>
      <c r="J226" s="53"/>
      <c r="K226" s="54"/>
      <c r="L226" s="55">
        <f t="shared" si="295"/>
        <v>0</v>
      </c>
      <c r="M226" s="53"/>
      <c r="N226" s="54"/>
      <c r="O226" s="55">
        <f t="shared" si="296"/>
        <v>0</v>
      </c>
      <c r="P226" s="57"/>
    </row>
    <row r="227" spans="1:16" ht="13.5" hidden="1" thickTop="1" thickBot="1" x14ac:dyDescent="0.3">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c r="E229" s="203"/>
      <c r="F229" s="140">
        <f t="shared" si="301"/>
        <v>0</v>
      </c>
      <c r="G229" s="143"/>
      <c r="H229" s="144"/>
      <c r="I229" s="140">
        <f t="shared" si="302"/>
        <v>0</v>
      </c>
      <c r="J229" s="143"/>
      <c r="K229" s="144"/>
      <c r="L229" s="140">
        <f t="shared" si="303"/>
        <v>0</v>
      </c>
      <c r="M229" s="143"/>
      <c r="N229" s="144"/>
      <c r="O229" s="140">
        <f t="shared" si="304"/>
        <v>0</v>
      </c>
      <c r="P229" s="128"/>
    </row>
    <row r="230" spans="1:16" ht="13.5" hidden="1" thickTop="1" thickBot="1" x14ac:dyDescent="0.3">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943">
        <v>6220</v>
      </c>
      <c r="B232" s="81" t="s">
        <v>249</v>
      </c>
      <c r="C232" s="82">
        <f t="shared" si="288"/>
        <v>0</v>
      </c>
      <c r="D232" s="196"/>
      <c r="E232" s="197"/>
      <c r="F232" s="133">
        <f>D232+E232</f>
        <v>0</v>
      </c>
      <c r="G232" s="46"/>
      <c r="H232" s="47"/>
      <c r="I232" s="133">
        <f>G232+H232</f>
        <v>0</v>
      </c>
      <c r="J232" s="46"/>
      <c r="K232" s="47"/>
      <c r="L232" s="133">
        <f>K232+J232</f>
        <v>0</v>
      </c>
      <c r="M232" s="46"/>
      <c r="N232" s="47"/>
      <c r="O232" s="133">
        <f>N232+M232</f>
        <v>0</v>
      </c>
      <c r="P232" s="49"/>
    </row>
    <row r="233" spans="1:16" ht="13.5" hidden="1" thickTop="1" thickBot="1" x14ac:dyDescent="0.3">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c r="E234" s="197"/>
      <c r="F234" s="133">
        <f>D234+E234</f>
        <v>0</v>
      </c>
      <c r="G234" s="46"/>
      <c r="H234" s="47"/>
      <c r="I234" s="133">
        <f>G234+H234</f>
        <v>0</v>
      </c>
      <c r="J234" s="46"/>
      <c r="K234" s="47"/>
      <c r="L234" s="133">
        <f>K234+J234</f>
        <v>0</v>
      </c>
      <c r="M234" s="46"/>
      <c r="N234" s="47"/>
      <c r="O234" s="133">
        <f>N234+M234</f>
        <v>0</v>
      </c>
      <c r="P234" s="49"/>
    </row>
    <row r="235" spans="1:16" ht="25.5" hidden="1" thickTop="1" thickBot="1" x14ac:dyDescent="0.3">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c r="E245" s="195"/>
      <c r="F245" s="55">
        <f t="shared" si="326"/>
        <v>0</v>
      </c>
      <c r="G245" s="53"/>
      <c r="H245" s="54"/>
      <c r="I245" s="55">
        <f t="shared" si="327"/>
        <v>0</v>
      </c>
      <c r="J245" s="53"/>
      <c r="K245" s="54"/>
      <c r="L245" s="55">
        <f t="shared" si="328"/>
        <v>0</v>
      </c>
      <c r="M245" s="53"/>
      <c r="N245" s="54"/>
      <c r="O245" s="55">
        <f t="shared" si="329"/>
        <v>0</v>
      </c>
      <c r="P245" s="57"/>
    </row>
    <row r="246" spans="1:16" ht="25.5" hidden="1" thickTop="1" thickBot="1" x14ac:dyDescent="0.3">
      <c r="A246" s="1943">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c r="E250" s="195"/>
      <c r="F250" s="55">
        <f t="shared" si="331"/>
        <v>0</v>
      </c>
      <c r="G250" s="53"/>
      <c r="H250" s="54"/>
      <c r="I250" s="55">
        <f t="shared" si="332"/>
        <v>0</v>
      </c>
      <c r="J250" s="53"/>
      <c r="K250" s="54"/>
      <c r="L250" s="55">
        <f t="shared" si="333"/>
        <v>0</v>
      </c>
      <c r="M250" s="53"/>
      <c r="N250" s="54"/>
      <c r="O250" s="55">
        <f t="shared" si="334"/>
        <v>0</v>
      </c>
      <c r="P250" s="57"/>
    </row>
    <row r="251" spans="1:16" ht="13.5" hidden="1" thickTop="1" thickBot="1" x14ac:dyDescent="0.3">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5.5" hidden="1" thickTop="1" thickBot="1" x14ac:dyDescent="0.3">
      <c r="A252" s="1943">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c r="E258" s="195"/>
      <c r="F258" s="55">
        <f t="shared" si="337"/>
        <v>0</v>
      </c>
      <c r="G258" s="53"/>
      <c r="H258" s="54"/>
      <c r="I258" s="55">
        <f t="shared" si="338"/>
        <v>0</v>
      </c>
      <c r="J258" s="53"/>
      <c r="K258" s="54"/>
      <c r="L258" s="55">
        <f t="shared" si="339"/>
        <v>0</v>
      </c>
      <c r="M258" s="53"/>
      <c r="N258" s="54"/>
      <c r="O258" s="55">
        <f t="shared" si="340"/>
        <v>0</v>
      </c>
      <c r="P258" s="57"/>
    </row>
    <row r="259" spans="1:16" ht="37.5" hidden="1" thickTop="1" thickBot="1" x14ac:dyDescent="0.3">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5.5" hidden="1" thickTop="1" thickBot="1" x14ac:dyDescent="0.3">
      <c r="A260" s="1943">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c r="E263" s="195"/>
      <c r="F263" s="55">
        <f t="shared" si="343"/>
        <v>0</v>
      </c>
      <c r="G263" s="53"/>
      <c r="H263" s="54"/>
      <c r="I263" s="55">
        <f t="shared" si="344"/>
        <v>0</v>
      </c>
      <c r="J263" s="53"/>
      <c r="K263" s="54"/>
      <c r="L263" s="55">
        <f t="shared" si="345"/>
        <v>0</v>
      </c>
      <c r="M263" s="53"/>
      <c r="N263" s="54"/>
      <c r="O263" s="55">
        <f t="shared" si="346"/>
        <v>0</v>
      </c>
      <c r="P263" s="57"/>
    </row>
    <row r="264" spans="1:16" ht="49.5" hidden="1" thickTop="1" thickBot="1" x14ac:dyDescent="0.3">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c r="E268" s="195"/>
      <c r="F268" s="55">
        <f t="shared" si="351"/>
        <v>0</v>
      </c>
      <c r="G268" s="53"/>
      <c r="H268" s="54"/>
      <c r="I268" s="55">
        <f t="shared" si="352"/>
        <v>0</v>
      </c>
      <c r="J268" s="53"/>
      <c r="K268" s="54"/>
      <c r="L268" s="55">
        <f t="shared" si="353"/>
        <v>0</v>
      </c>
      <c r="M268" s="53"/>
      <c r="N268" s="54"/>
      <c r="O268" s="55">
        <f t="shared" si="354"/>
        <v>0</v>
      </c>
      <c r="P268" s="57"/>
    </row>
    <row r="269" spans="1:16" ht="49.5" hidden="1" thickTop="1" thickBot="1" x14ac:dyDescent="0.3">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5.5" hidden="1" thickTop="1" thickBot="1" x14ac:dyDescent="0.3">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943">
        <v>7210</v>
      </c>
      <c r="B271" s="81" t="s">
        <v>288</v>
      </c>
      <c r="C271" s="82">
        <f t="shared" si="288"/>
        <v>0</v>
      </c>
      <c r="D271" s="196"/>
      <c r="E271" s="197"/>
      <c r="F271" s="133">
        <f>D271+E271</f>
        <v>0</v>
      </c>
      <c r="G271" s="46"/>
      <c r="H271" s="47"/>
      <c r="I271" s="133">
        <f>G271+H271</f>
        <v>0</v>
      </c>
      <c r="J271" s="46"/>
      <c r="K271" s="47"/>
      <c r="L271" s="133">
        <f>K271+J271</f>
        <v>0</v>
      </c>
      <c r="M271" s="46"/>
      <c r="N271" s="47"/>
      <c r="O271" s="133">
        <f>N271+M271</f>
        <v>0</v>
      </c>
      <c r="P271" s="49"/>
    </row>
    <row r="272" spans="1:16" s="233" customFormat="1" ht="25.5" hidden="1" thickTop="1" thickBot="1" x14ac:dyDescent="0.3">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c r="E274" s="195"/>
      <c r="F274" s="55">
        <f t="shared" si="367"/>
        <v>0</v>
      </c>
      <c r="G274" s="53"/>
      <c r="H274" s="54"/>
      <c r="I274" s="55">
        <f t="shared" si="368"/>
        <v>0</v>
      </c>
      <c r="J274" s="53"/>
      <c r="K274" s="54"/>
      <c r="L274" s="55">
        <f t="shared" si="369"/>
        <v>0</v>
      </c>
      <c r="M274" s="53"/>
      <c r="N274" s="54"/>
      <c r="O274" s="55">
        <f t="shared" si="370"/>
        <v>0</v>
      </c>
      <c r="P274" s="57"/>
    </row>
    <row r="275" spans="1:16" ht="33" hidden="1" customHeight="1" x14ac:dyDescent="0.25">
      <c r="A275" s="188">
        <v>7230</v>
      </c>
      <c r="B275" s="88" t="s">
        <v>292</v>
      </c>
      <c r="C275" s="89">
        <f t="shared" si="288"/>
        <v>0</v>
      </c>
      <c r="D275" s="194"/>
      <c r="E275" s="195"/>
      <c r="F275" s="55">
        <f t="shared" si="367"/>
        <v>0</v>
      </c>
      <c r="G275" s="53"/>
      <c r="H275" s="54"/>
      <c r="I275" s="55">
        <f t="shared" si="368"/>
        <v>0</v>
      </c>
      <c r="J275" s="53"/>
      <c r="K275" s="54"/>
      <c r="L275" s="55">
        <f t="shared" si="369"/>
        <v>0</v>
      </c>
      <c r="M275" s="53"/>
      <c r="N275" s="54"/>
      <c r="O275" s="55">
        <f t="shared" si="370"/>
        <v>0</v>
      </c>
      <c r="P275" s="57"/>
    </row>
    <row r="276" spans="1:16" ht="25.5" hidden="1" thickTop="1" thickBot="1" x14ac:dyDescent="0.3">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943">
        <v>7260</v>
      </c>
      <c r="B280" s="81" t="s">
        <v>297</v>
      </c>
      <c r="C280" s="82">
        <f t="shared" si="371"/>
        <v>0</v>
      </c>
      <c r="D280" s="196"/>
      <c r="E280" s="197"/>
      <c r="F280" s="133">
        <f t="shared" si="374"/>
        <v>0</v>
      </c>
      <c r="G280" s="46"/>
      <c r="H280" s="47"/>
      <c r="I280" s="133">
        <f t="shared" si="375"/>
        <v>0</v>
      </c>
      <c r="J280" s="46"/>
      <c r="K280" s="47"/>
      <c r="L280" s="133">
        <f t="shared" si="376"/>
        <v>0</v>
      </c>
      <c r="M280" s="46"/>
      <c r="N280" s="47"/>
      <c r="O280" s="133">
        <f t="shared" si="377"/>
        <v>0</v>
      </c>
      <c r="P280" s="49"/>
    </row>
    <row r="281" spans="1:16" ht="13.5" hidden="1" thickTop="1" thickBot="1" x14ac:dyDescent="0.3">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c r="E282" s="237"/>
      <c r="F282" s="238">
        <f>D282+E282</f>
        <v>0</v>
      </c>
      <c r="G282" s="101"/>
      <c r="H282" s="102"/>
      <c r="I282" s="238">
        <f>G282+H282</f>
        <v>0</v>
      </c>
      <c r="J282" s="101"/>
      <c r="K282" s="102"/>
      <c r="L282" s="238">
        <f>K282+J282</f>
        <v>0</v>
      </c>
      <c r="M282" s="101"/>
      <c r="N282" s="102"/>
      <c r="O282" s="238">
        <f>N282+M282</f>
        <v>0</v>
      </c>
      <c r="P282" s="106"/>
    </row>
    <row r="283" spans="1:16" ht="13.5" hidden="1" thickTop="1" thickBot="1" x14ac:dyDescent="0.3">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5.5" hidden="1" thickTop="1" thickBot="1" x14ac:dyDescent="0.3">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c r="E285" s="203"/>
      <c r="F285" s="140">
        <f>D285+E285</f>
        <v>0</v>
      </c>
      <c r="G285" s="143"/>
      <c r="H285" s="144"/>
      <c r="I285" s="140">
        <f>G285+H285</f>
        <v>0</v>
      </c>
      <c r="J285" s="143"/>
      <c r="K285" s="144"/>
      <c r="L285" s="140">
        <f>K285+J285</f>
        <v>0</v>
      </c>
      <c r="M285" s="143"/>
      <c r="N285" s="144"/>
      <c r="O285" s="140">
        <f>N285+M285</f>
        <v>0</v>
      </c>
      <c r="P285" s="128"/>
    </row>
    <row r="286" spans="1:16" ht="13.5" hidden="1" thickTop="1" thickBot="1" x14ac:dyDescent="0.3">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c r="E288" s="197"/>
      <c r="F288" s="133">
        <f t="shared" si="385"/>
        <v>0</v>
      </c>
      <c r="G288" s="46"/>
      <c r="H288" s="47"/>
      <c r="I288" s="133">
        <f t="shared" si="386"/>
        <v>0</v>
      </c>
      <c r="J288" s="46"/>
      <c r="K288" s="47"/>
      <c r="L288" s="133">
        <f t="shared" si="387"/>
        <v>0</v>
      </c>
      <c r="M288" s="46"/>
      <c r="N288" s="47"/>
      <c r="O288" s="133">
        <f t="shared" si="388"/>
        <v>0</v>
      </c>
      <c r="P288" s="49"/>
    </row>
    <row r="289" spans="1:16" ht="13.5" hidden="1" thickTop="1" thickBot="1" x14ac:dyDescent="0.3">
      <c r="A289" s="249"/>
      <c r="B289" s="249" t="s">
        <v>308</v>
      </c>
      <c r="C289" s="250">
        <f t="shared" si="371"/>
        <v>0</v>
      </c>
      <c r="D289" s="251">
        <f t="shared" ref="D289:O289" si="389">SUM(D286,D269,D230,D195,D187,D173,D75,D53,D283)</f>
        <v>0</v>
      </c>
      <c r="E289" s="252">
        <f t="shared" si="389"/>
        <v>0</v>
      </c>
      <c r="F289" s="253">
        <f t="shared" si="389"/>
        <v>0</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thickTop="1" thickBot="1" x14ac:dyDescent="0.3">
      <c r="A290" s="1945" t="s">
        <v>309</v>
      </c>
      <c r="B290" s="1946"/>
      <c r="C290" s="255">
        <f t="shared" si="371"/>
        <v>489288</v>
      </c>
      <c r="D290" s="256">
        <f>SUM(D24,D25,D41)-D51</f>
        <v>0</v>
      </c>
      <c r="E290" s="257">
        <f t="shared" ref="E290:F290" si="390">SUM(E24,E25,E41)-E51</f>
        <v>489288</v>
      </c>
      <c r="F290" s="258">
        <f t="shared" si="390"/>
        <v>489288</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thickTop="1" x14ac:dyDescent="0.25">
      <c r="A291" s="1947" t="s">
        <v>310</v>
      </c>
      <c r="B291" s="1948"/>
      <c r="C291" s="260">
        <f t="shared" si="371"/>
        <v>-489288</v>
      </c>
      <c r="D291" s="261">
        <f t="shared" ref="D291:O291" si="394">SUM(D292,D293)-D300+D301</f>
        <v>0</v>
      </c>
      <c r="E291" s="262">
        <f t="shared" si="394"/>
        <v>-489288</v>
      </c>
      <c r="F291" s="263">
        <f t="shared" si="394"/>
        <v>-489288</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2.75" hidden="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idden="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3">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customHeight="1" x14ac:dyDescent="0.25">
      <c r="A301" s="265" t="s">
        <v>329</v>
      </c>
      <c r="B301" s="274" t="s">
        <v>330</v>
      </c>
      <c r="C301" s="260">
        <f t="shared" si="371"/>
        <v>-489288</v>
      </c>
      <c r="D301" s="204"/>
      <c r="E301" s="205">
        <v>-489288</v>
      </c>
      <c r="F301" s="72">
        <f t="shared" si="397"/>
        <v>-489288</v>
      </c>
      <c r="G301" s="204"/>
      <c r="H301" s="205"/>
      <c r="I301" s="72">
        <f t="shared" si="398"/>
        <v>0</v>
      </c>
      <c r="J301" s="204"/>
      <c r="K301" s="205"/>
      <c r="L301" s="72">
        <f t="shared" si="399"/>
        <v>0</v>
      </c>
      <c r="M301" s="204"/>
      <c r="N301" s="205"/>
      <c r="O301" s="72">
        <f t="shared" si="400"/>
        <v>0</v>
      </c>
      <c r="P301" s="76" t="s">
        <v>2399</v>
      </c>
    </row>
    <row r="302" spans="1:16" x14ac:dyDescent="0.25">
      <c r="A302" s="4"/>
      <c r="B302" s="4"/>
      <c r="C302" s="4"/>
      <c r="D302" s="4"/>
      <c r="E302" s="4"/>
      <c r="F302" s="4"/>
      <c r="G302" s="4"/>
      <c r="H302" s="4"/>
      <c r="I302" s="4"/>
      <c r="J302" s="4"/>
      <c r="K302" s="4"/>
      <c r="L302" s="4"/>
      <c r="M302" s="4"/>
    </row>
  </sheetData>
  <sheetProtection algorithmName="SHA-512" hashValue="YwMDY2izcMcTUo8hbj7AUhNNWF01rfPjWMIokDwpBS35Q10f7w41Xm7AFPL3qMOhMkcoGFNKcMrlKAnZMfb1Xw==" saltValue="5Z5kg5aapYhstQS2ZuWJVQ==" spinCount="100000" sheet="1" objects="1" scenarios="1" formatCells="0" formatColumns="0" formatRows="0" deleteColumns="0"/>
  <autoFilter ref="A18:P301">
    <filterColumn colId="2">
      <filters>
        <filter val="-489 288"/>
        <filter val="489 288"/>
      </filters>
    </filterColumn>
  </autoFilter>
  <mergeCells count="32">
    <mergeCell ref="C13:P13"/>
    <mergeCell ref="A2:P2"/>
    <mergeCell ref="C3:P3"/>
    <mergeCell ref="C4:P4"/>
    <mergeCell ref="C5:P5"/>
    <mergeCell ref="C6:P6"/>
    <mergeCell ref="C7:P7"/>
    <mergeCell ref="C8:P8"/>
    <mergeCell ref="C9:P9"/>
    <mergeCell ref="C10:P10"/>
    <mergeCell ref="C11:P11"/>
    <mergeCell ref="C12:P12"/>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A290:B290"/>
    <mergeCell ref="A291:B291"/>
    <mergeCell ref="I16:I17"/>
    <mergeCell ref="J16:J17"/>
    <mergeCell ref="K16:K17"/>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Roman,Regular"&amp;9 102.pielikums Jūrmalas pilsētas domes
2019.gada 29.augusta saistošajiem noteikumiem Nr.31
(protokols Nr.12, 20.punkts) </firstHeader>
    <firstFooter>&amp;L&amp;9&amp;D; &amp;T&amp;R&amp;9&amp;P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00B0F0"/>
  </sheetPr>
  <dimension ref="A1:Q314"/>
  <sheetViews>
    <sheetView showGridLines="0" view="pageLayout" zoomScaleNormal="100" workbookViewId="0">
      <selection activeCell="U3" sqref="T3:U3"/>
    </sheetView>
  </sheetViews>
  <sheetFormatPr defaultRowHeight="12" outlineLevelCol="1" x14ac:dyDescent="0.25"/>
  <cols>
    <col min="1" max="1" width="10.85546875" style="275" customWidth="1"/>
    <col min="2" max="2" width="28" style="275" customWidth="1"/>
    <col min="3" max="3" width="8" style="275" customWidth="1"/>
    <col min="4" max="5" width="8.7109375" style="275" hidden="1" customWidth="1" outlineLevel="1"/>
    <col min="6" max="6" width="8.7109375" style="275" customWidth="1" collapsed="1"/>
    <col min="7" max="8" width="8.7109375" style="275" hidden="1" customWidth="1" outlineLevel="1"/>
    <col min="9" max="9" width="8.7109375" style="275" customWidth="1" collapsed="1"/>
    <col min="10" max="11" width="8.28515625" style="275" hidden="1" customWidth="1" outlineLevel="1"/>
    <col min="12" max="12" width="8.28515625" style="275" customWidth="1" collapsed="1"/>
    <col min="13" max="13" width="7.42578125" style="275" hidden="1" customWidth="1" outlineLevel="1"/>
    <col min="14" max="14" width="7.42578125" style="4" hidden="1" customWidth="1" outlineLevel="1"/>
    <col min="15" max="15" width="6.85546875" style="4" customWidth="1" collapsed="1"/>
    <col min="16" max="16" width="26.7109375" style="4" hidden="1" customWidth="1" outlineLevel="1"/>
    <col min="17" max="17" width="9.140625" style="4" collapsed="1"/>
    <col min="18" max="16384" width="9.140625" style="4"/>
  </cols>
  <sheetData>
    <row r="1" spans="1:17" x14ac:dyDescent="0.25">
      <c r="A1" s="1"/>
      <c r="B1" s="1"/>
      <c r="C1" s="1"/>
      <c r="D1" s="1"/>
      <c r="E1" s="1"/>
      <c r="F1" s="1"/>
      <c r="G1" s="1"/>
      <c r="H1" s="1"/>
      <c r="I1" s="1"/>
      <c r="J1" s="1"/>
      <c r="K1" s="1"/>
      <c r="L1" s="1"/>
      <c r="M1" s="1"/>
      <c r="N1" s="2"/>
      <c r="O1" s="3" t="s">
        <v>1578</v>
      </c>
      <c r="P1" s="1"/>
    </row>
    <row r="2" spans="1:17" ht="35.25" customHeight="1" x14ac:dyDescent="0.25">
      <c r="A2" s="1974" t="s">
        <v>1</v>
      </c>
      <c r="B2" s="1975"/>
      <c r="C2" s="1975"/>
      <c r="D2" s="1975"/>
      <c r="E2" s="1975"/>
      <c r="F2" s="1975"/>
      <c r="G2" s="1975"/>
      <c r="H2" s="1975"/>
      <c r="I2" s="1975"/>
      <c r="J2" s="1975"/>
      <c r="K2" s="1975"/>
      <c r="L2" s="1975"/>
      <c r="M2" s="1975"/>
      <c r="N2" s="1975"/>
      <c r="O2" s="1975"/>
      <c r="P2" s="1976"/>
      <c r="Q2" s="276"/>
    </row>
    <row r="3" spans="1:17" ht="12.75" customHeight="1" x14ac:dyDescent="0.25">
      <c r="A3" s="5" t="s">
        <v>2</v>
      </c>
      <c r="B3" s="6"/>
      <c r="C3" s="1977" t="s">
        <v>3</v>
      </c>
      <c r="D3" s="1977"/>
      <c r="E3" s="1977"/>
      <c r="F3" s="1977"/>
      <c r="G3" s="1977"/>
      <c r="H3" s="1977"/>
      <c r="I3" s="1977"/>
      <c r="J3" s="1977"/>
      <c r="K3" s="1977"/>
      <c r="L3" s="1977"/>
      <c r="M3" s="1977"/>
      <c r="N3" s="1977"/>
      <c r="O3" s="1977"/>
      <c r="P3" s="1978"/>
      <c r="Q3" s="276"/>
    </row>
    <row r="4" spans="1:17" ht="12.75" customHeight="1" x14ac:dyDescent="0.25">
      <c r="A4" s="5" t="s">
        <v>4</v>
      </c>
      <c r="B4" s="6"/>
      <c r="C4" s="1977" t="s">
        <v>5</v>
      </c>
      <c r="D4" s="1977"/>
      <c r="E4" s="1977"/>
      <c r="F4" s="1977"/>
      <c r="G4" s="1977"/>
      <c r="H4" s="1977"/>
      <c r="I4" s="1977"/>
      <c r="J4" s="1977"/>
      <c r="K4" s="1977"/>
      <c r="L4" s="1977"/>
      <c r="M4" s="1977"/>
      <c r="N4" s="1977"/>
      <c r="O4" s="1977"/>
      <c r="P4" s="1978"/>
      <c r="Q4" s="276"/>
    </row>
    <row r="5" spans="1:17" ht="12.75" customHeight="1" x14ac:dyDescent="0.25">
      <c r="A5" s="7" t="s">
        <v>6</v>
      </c>
      <c r="B5" s="8"/>
      <c r="C5" s="1972" t="s">
        <v>7</v>
      </c>
      <c r="D5" s="1972"/>
      <c r="E5" s="1972"/>
      <c r="F5" s="1972"/>
      <c r="G5" s="1972"/>
      <c r="H5" s="1972"/>
      <c r="I5" s="1972"/>
      <c r="J5" s="1972"/>
      <c r="K5" s="1972"/>
      <c r="L5" s="1972"/>
      <c r="M5" s="1972"/>
      <c r="N5" s="1972"/>
      <c r="O5" s="1972"/>
      <c r="P5" s="1973"/>
      <c r="Q5" s="276"/>
    </row>
    <row r="6" spans="1:17" ht="12.75" customHeight="1" x14ac:dyDescent="0.25">
      <c r="A6" s="7" t="s">
        <v>8</v>
      </c>
      <c r="B6" s="8"/>
      <c r="C6" s="1972" t="s">
        <v>1579</v>
      </c>
      <c r="D6" s="1972"/>
      <c r="E6" s="1972"/>
      <c r="F6" s="1972"/>
      <c r="G6" s="1972"/>
      <c r="H6" s="1972"/>
      <c r="I6" s="1972"/>
      <c r="J6" s="1972"/>
      <c r="K6" s="1972"/>
      <c r="L6" s="1972"/>
      <c r="M6" s="1972"/>
      <c r="N6" s="1972"/>
      <c r="O6" s="1972"/>
      <c r="P6" s="1973"/>
      <c r="Q6" s="276"/>
    </row>
    <row r="7" spans="1:17" x14ac:dyDescent="0.25">
      <c r="A7" s="7" t="s">
        <v>10</v>
      </c>
      <c r="B7" s="8"/>
      <c r="C7" s="1977" t="s">
        <v>1580</v>
      </c>
      <c r="D7" s="1977"/>
      <c r="E7" s="1977"/>
      <c r="F7" s="1977"/>
      <c r="G7" s="1977"/>
      <c r="H7" s="1977"/>
      <c r="I7" s="1977"/>
      <c r="J7" s="1977"/>
      <c r="K7" s="1977"/>
      <c r="L7" s="1977"/>
      <c r="M7" s="1977"/>
      <c r="N7" s="1977"/>
      <c r="O7" s="1977"/>
      <c r="P7" s="1978"/>
      <c r="Q7" s="276"/>
    </row>
    <row r="8" spans="1:17" ht="12.75" customHeight="1" x14ac:dyDescent="0.25">
      <c r="A8" s="9" t="s">
        <v>12</v>
      </c>
      <c r="B8" s="8"/>
      <c r="C8" s="1979"/>
      <c r="D8" s="1979"/>
      <c r="E8" s="1979"/>
      <c r="F8" s="1979"/>
      <c r="G8" s="1979"/>
      <c r="H8" s="1979"/>
      <c r="I8" s="1979"/>
      <c r="J8" s="1979"/>
      <c r="K8" s="1979"/>
      <c r="L8" s="1979"/>
      <c r="M8" s="1979"/>
      <c r="N8" s="1979"/>
      <c r="O8" s="1979"/>
      <c r="P8" s="1980"/>
      <c r="Q8" s="276"/>
    </row>
    <row r="9" spans="1:17" ht="12.75" customHeight="1" x14ac:dyDescent="0.25">
      <c r="A9" s="7"/>
      <c r="B9" s="8" t="s">
        <v>13</v>
      </c>
      <c r="C9" s="1972" t="s">
        <v>880</v>
      </c>
      <c r="D9" s="1972"/>
      <c r="E9" s="1972"/>
      <c r="F9" s="1972"/>
      <c r="G9" s="1972"/>
      <c r="H9" s="1972"/>
      <c r="I9" s="1972"/>
      <c r="J9" s="1972"/>
      <c r="K9" s="1972"/>
      <c r="L9" s="1972"/>
      <c r="M9" s="1972"/>
      <c r="N9" s="1972"/>
      <c r="O9" s="1972"/>
      <c r="P9" s="1973"/>
      <c r="Q9" s="276"/>
    </row>
    <row r="10" spans="1:17" ht="12.75" customHeight="1" x14ac:dyDescent="0.25">
      <c r="A10" s="7"/>
      <c r="B10" s="8" t="s">
        <v>15</v>
      </c>
      <c r="C10" s="1972"/>
      <c r="D10" s="1972"/>
      <c r="E10" s="1972"/>
      <c r="F10" s="1972"/>
      <c r="G10" s="1972"/>
      <c r="H10" s="1972"/>
      <c r="I10" s="1972"/>
      <c r="J10" s="1972"/>
      <c r="K10" s="1972"/>
      <c r="L10" s="1972"/>
      <c r="M10" s="1972"/>
      <c r="N10" s="1972"/>
      <c r="O10" s="1972"/>
      <c r="P10" s="1973"/>
      <c r="Q10" s="276"/>
    </row>
    <row r="11" spans="1:17" ht="12.75" customHeight="1" x14ac:dyDescent="0.25">
      <c r="A11" s="7"/>
      <c r="B11" s="8" t="s">
        <v>16</v>
      </c>
      <c r="C11" s="1979"/>
      <c r="D11" s="1979"/>
      <c r="E11" s="1979"/>
      <c r="F11" s="1979"/>
      <c r="G11" s="1979"/>
      <c r="H11" s="1979"/>
      <c r="I11" s="1979"/>
      <c r="J11" s="1979"/>
      <c r="K11" s="1979"/>
      <c r="L11" s="1979"/>
      <c r="M11" s="1979"/>
      <c r="N11" s="1979"/>
      <c r="O11" s="1979"/>
      <c r="P11" s="1980"/>
      <c r="Q11" s="276"/>
    </row>
    <row r="12" spans="1:17" ht="12.75" customHeight="1" x14ac:dyDescent="0.25">
      <c r="A12" s="7"/>
      <c r="B12" s="8" t="s">
        <v>17</v>
      </c>
      <c r="C12" s="1972"/>
      <c r="D12" s="1972"/>
      <c r="E12" s="1972"/>
      <c r="F12" s="1972"/>
      <c r="G12" s="1972"/>
      <c r="H12" s="1972"/>
      <c r="I12" s="1972"/>
      <c r="J12" s="1972"/>
      <c r="K12" s="1972"/>
      <c r="L12" s="1972"/>
      <c r="M12" s="1972"/>
      <c r="N12" s="1972"/>
      <c r="O12" s="1972"/>
      <c r="P12" s="1973"/>
      <c r="Q12" s="276"/>
    </row>
    <row r="13" spans="1:17" ht="12.75" customHeight="1" x14ac:dyDescent="0.25">
      <c r="A13" s="7"/>
      <c r="B13" s="8" t="s">
        <v>19</v>
      </c>
      <c r="C13" s="1972"/>
      <c r="D13" s="1972"/>
      <c r="E13" s="1972"/>
      <c r="F13" s="1972"/>
      <c r="G13" s="1972"/>
      <c r="H13" s="1972"/>
      <c r="I13" s="1972"/>
      <c r="J13" s="1972"/>
      <c r="K13" s="1972"/>
      <c r="L13" s="1972"/>
      <c r="M13" s="1972"/>
      <c r="N13" s="1972"/>
      <c r="O13" s="1972"/>
      <c r="P13" s="1973"/>
      <c r="Q13" s="276"/>
    </row>
    <row r="14" spans="1:17" ht="12.75" customHeight="1" x14ac:dyDescent="0.25">
      <c r="A14" s="10"/>
      <c r="B14" s="11"/>
      <c r="C14" s="1952"/>
      <c r="D14" s="1952"/>
      <c r="E14" s="1952"/>
      <c r="F14" s="1952"/>
      <c r="G14" s="1952"/>
      <c r="H14" s="1952"/>
      <c r="I14" s="1952"/>
      <c r="J14" s="1952"/>
      <c r="K14" s="1952"/>
      <c r="L14" s="1952"/>
      <c r="M14" s="1952"/>
      <c r="N14" s="1952"/>
      <c r="O14" s="1952"/>
      <c r="P14" s="1953"/>
      <c r="Q14" s="276"/>
    </row>
    <row r="15" spans="1:17" s="12" customFormat="1" ht="12.75" customHeight="1" x14ac:dyDescent="0.25">
      <c r="A15" s="1954" t="s">
        <v>20</v>
      </c>
      <c r="B15" s="1957" t="s">
        <v>21</v>
      </c>
      <c r="C15" s="1959" t="s">
        <v>22</v>
      </c>
      <c r="D15" s="1960"/>
      <c r="E15" s="1960"/>
      <c r="F15" s="1960"/>
      <c r="G15" s="1960"/>
      <c r="H15" s="1960"/>
      <c r="I15" s="1960"/>
      <c r="J15" s="1960"/>
      <c r="K15" s="1960"/>
      <c r="L15" s="1960"/>
      <c r="M15" s="1960"/>
      <c r="N15" s="1960"/>
      <c r="O15" s="1960"/>
      <c r="P15" s="1961"/>
      <c r="Q15" s="277"/>
    </row>
    <row r="16" spans="1:17" s="12" customFormat="1" ht="12.75" customHeight="1" x14ac:dyDescent="0.25">
      <c r="A16" s="1955"/>
      <c r="B16" s="1958"/>
      <c r="C16" s="1962" t="s">
        <v>23</v>
      </c>
      <c r="D16" s="1964" t="s">
        <v>24</v>
      </c>
      <c r="E16" s="1966" t="s">
        <v>25</v>
      </c>
      <c r="F16" s="1968" t="s">
        <v>26</v>
      </c>
      <c r="G16" s="1950" t="s">
        <v>27</v>
      </c>
      <c r="H16" s="1951" t="s">
        <v>28</v>
      </c>
      <c r="I16" s="1949" t="s">
        <v>29</v>
      </c>
      <c r="J16" s="1950" t="s">
        <v>30</v>
      </c>
      <c r="K16" s="1951" t="s">
        <v>31</v>
      </c>
      <c r="L16" s="1949" t="s">
        <v>32</v>
      </c>
      <c r="M16" s="1950" t="s">
        <v>33</v>
      </c>
      <c r="N16" s="1951" t="s">
        <v>34</v>
      </c>
      <c r="O16" s="1949" t="s">
        <v>35</v>
      </c>
      <c r="P16" s="1970" t="s">
        <v>36</v>
      </c>
    </row>
    <row r="17" spans="1:16" s="13" customFormat="1" ht="70.5" customHeight="1" thickBot="1" x14ac:dyDescent="0.3">
      <c r="A17" s="1956"/>
      <c r="B17" s="1958"/>
      <c r="C17" s="1963"/>
      <c r="D17" s="1965"/>
      <c r="E17" s="1967"/>
      <c r="F17" s="1969"/>
      <c r="G17" s="1950"/>
      <c r="H17" s="1951"/>
      <c r="I17" s="1949"/>
      <c r="J17" s="1950"/>
      <c r="K17" s="1951"/>
      <c r="L17" s="1949"/>
      <c r="M17" s="1950"/>
      <c r="N17" s="1951"/>
      <c r="O17" s="1949"/>
      <c r="P17" s="1971"/>
    </row>
    <row r="18" spans="1:16" s="13" customFormat="1" ht="9.75" customHeight="1" thickTop="1" x14ac:dyDescent="0.25">
      <c r="A18" s="14" t="s">
        <v>37</v>
      </c>
      <c r="B18" s="14">
        <v>2</v>
      </c>
      <c r="C18" s="15">
        <v>3</v>
      </c>
      <c r="D18" s="16">
        <v>4</v>
      </c>
      <c r="E18" s="17">
        <v>5</v>
      </c>
      <c r="F18" s="18">
        <v>6</v>
      </c>
      <c r="G18" s="16">
        <v>7</v>
      </c>
      <c r="H18" s="19">
        <v>8</v>
      </c>
      <c r="I18" s="20">
        <v>9</v>
      </c>
      <c r="J18" s="19">
        <v>10</v>
      </c>
      <c r="K18" s="17">
        <v>11</v>
      </c>
      <c r="L18" s="21">
        <v>12</v>
      </c>
      <c r="M18" s="15">
        <v>13</v>
      </c>
      <c r="N18" s="17">
        <v>14</v>
      </c>
      <c r="O18" s="20">
        <v>15</v>
      </c>
      <c r="P18" s="20">
        <v>16</v>
      </c>
    </row>
    <row r="19" spans="1:16" s="28" customFormat="1" ht="12" hidden="1" customHeight="1" x14ac:dyDescent="0.25">
      <c r="A19" s="22"/>
      <c r="B19" s="23" t="s">
        <v>38</v>
      </c>
      <c r="C19" s="24"/>
      <c r="D19" s="25"/>
      <c r="E19" s="26"/>
      <c r="F19" s="27"/>
      <c r="G19" s="25"/>
      <c r="H19" s="26"/>
      <c r="I19" s="27"/>
      <c r="J19" s="25"/>
      <c r="K19" s="26"/>
      <c r="L19" s="27"/>
      <c r="M19" s="25"/>
      <c r="N19" s="26"/>
      <c r="O19" s="27"/>
      <c r="P19" s="27"/>
    </row>
    <row r="20" spans="1:16" s="28" customFormat="1" ht="12.75" thickBot="1" x14ac:dyDescent="0.3">
      <c r="A20" s="29"/>
      <c r="B20" s="30" t="s">
        <v>39</v>
      </c>
      <c r="C20" s="31">
        <f t="shared" ref="C20:C83" si="0">F20+I20+L20+O20</f>
        <v>763995</v>
      </c>
      <c r="D20" s="32">
        <f>SUM(D21,D24,D25,D41,D43)</f>
        <v>809116</v>
      </c>
      <c r="E20" s="33">
        <f t="shared" ref="E20:F20" si="1">SUM(E21,E24,E25,E41,E43)</f>
        <v>-45121</v>
      </c>
      <c r="F20" s="34">
        <f t="shared" si="1"/>
        <v>763995</v>
      </c>
      <c r="G20" s="32">
        <f>SUM(G21,G24,G43)</f>
        <v>0</v>
      </c>
      <c r="H20" s="33">
        <f t="shared" ref="H20:I20" si="2">SUM(H21,H24,H43)</f>
        <v>0</v>
      </c>
      <c r="I20" s="34">
        <f t="shared" si="2"/>
        <v>0</v>
      </c>
      <c r="J20" s="32">
        <f>SUM(J21,J26,J43)</f>
        <v>0</v>
      </c>
      <c r="K20" s="33">
        <f t="shared" ref="K20:L20" si="3">SUM(K21,K26,K43)</f>
        <v>0</v>
      </c>
      <c r="L20" s="34">
        <f t="shared" si="3"/>
        <v>0</v>
      </c>
      <c r="M20" s="32">
        <f>SUM(M21,M45)</f>
        <v>0</v>
      </c>
      <c r="N20" s="33">
        <f t="shared" ref="N20:O20" si="4">SUM(N21,N45)</f>
        <v>0</v>
      </c>
      <c r="O20" s="34">
        <f t="shared" si="4"/>
        <v>0</v>
      </c>
      <c r="P20" s="35"/>
    </row>
    <row r="21" spans="1:16" ht="12.75" hidden="1" thickTop="1" x14ac:dyDescent="0.25">
      <c r="A21" s="36"/>
      <c r="B21" s="37" t="s">
        <v>40</v>
      </c>
      <c r="C21" s="38">
        <f t="shared" si="0"/>
        <v>0</v>
      </c>
      <c r="D21" s="39">
        <f>SUM(D22:D23)</f>
        <v>0</v>
      </c>
      <c r="E21" s="40">
        <f t="shared" ref="E21:F21" si="5">SUM(E22:E23)</f>
        <v>0</v>
      </c>
      <c r="F21" s="41">
        <f t="shared" si="5"/>
        <v>0</v>
      </c>
      <c r="G21" s="39">
        <f>SUM(G22:G23)</f>
        <v>0</v>
      </c>
      <c r="H21" s="40">
        <f t="shared" ref="H21:I21" si="6">SUM(H22:H23)</f>
        <v>0</v>
      </c>
      <c r="I21" s="41">
        <f t="shared" si="6"/>
        <v>0</v>
      </c>
      <c r="J21" s="39">
        <f>SUM(J22:J23)</f>
        <v>0</v>
      </c>
      <c r="K21" s="40">
        <f t="shared" ref="K21:L21" si="7">SUM(K22:K23)</f>
        <v>0</v>
      </c>
      <c r="L21" s="41">
        <f t="shared" si="7"/>
        <v>0</v>
      </c>
      <c r="M21" s="39">
        <f>SUM(M22:M23)</f>
        <v>0</v>
      </c>
      <c r="N21" s="40">
        <f t="shared" ref="N21:O21" si="8">SUM(N22:N23)</f>
        <v>0</v>
      </c>
      <c r="O21" s="41">
        <f t="shared" si="8"/>
        <v>0</v>
      </c>
      <c r="P21" s="42"/>
    </row>
    <row r="22" spans="1:16" ht="12" hidden="1" customHeight="1" x14ac:dyDescent="0.25">
      <c r="A22" s="43"/>
      <c r="B22" s="44" t="s">
        <v>41</v>
      </c>
      <c r="C22" s="45">
        <f t="shared" si="0"/>
        <v>0</v>
      </c>
      <c r="D22" s="46"/>
      <c r="E22" s="47"/>
      <c r="F22" s="48">
        <f>D22+E22</f>
        <v>0</v>
      </c>
      <c r="G22" s="46"/>
      <c r="H22" s="47"/>
      <c r="I22" s="48">
        <f>G22+H22</f>
        <v>0</v>
      </c>
      <c r="J22" s="46"/>
      <c r="K22" s="47"/>
      <c r="L22" s="48">
        <f>K22+J22</f>
        <v>0</v>
      </c>
      <c r="M22" s="46"/>
      <c r="N22" s="47"/>
      <c r="O22" s="48">
        <f>N22+M22</f>
        <v>0</v>
      </c>
      <c r="P22" s="49"/>
    </row>
    <row r="23" spans="1:16" ht="12.75" hidden="1" thickTop="1" x14ac:dyDescent="0.25">
      <c r="A23" s="50"/>
      <c r="B23" s="51" t="s">
        <v>42</v>
      </c>
      <c r="C23" s="52">
        <f t="shared" si="0"/>
        <v>0</v>
      </c>
      <c r="D23" s="53"/>
      <c r="E23" s="54"/>
      <c r="F23" s="55">
        <f t="shared" ref="F23:F25" si="9">D23+E23</f>
        <v>0</v>
      </c>
      <c r="G23" s="53"/>
      <c r="H23" s="54"/>
      <c r="I23" s="55">
        <f t="shared" ref="I23:I24" si="10">G23+H23</f>
        <v>0</v>
      </c>
      <c r="J23" s="53"/>
      <c r="K23" s="54"/>
      <c r="L23" s="56">
        <f>K23+J23</f>
        <v>0</v>
      </c>
      <c r="M23" s="53"/>
      <c r="N23" s="54"/>
      <c r="O23" s="55">
        <f>N23+M23</f>
        <v>0</v>
      </c>
      <c r="P23" s="57"/>
    </row>
    <row r="24" spans="1:16" s="28" customFormat="1" ht="24.75" customHeight="1" thickTop="1" thickBot="1" x14ac:dyDescent="0.3">
      <c r="A24" s="58">
        <v>19300</v>
      </c>
      <c r="B24" s="58" t="s">
        <v>43</v>
      </c>
      <c r="C24" s="59">
        <f>F24+I24</f>
        <v>763995</v>
      </c>
      <c r="D24" s="60">
        <f>D51</f>
        <v>809116</v>
      </c>
      <c r="E24" s="741">
        <f>-8000+5000+5843-2843-15121-30000</f>
        <v>-45121</v>
      </c>
      <c r="F24" s="62">
        <f t="shared" si="9"/>
        <v>763995</v>
      </c>
      <c r="G24" s="60"/>
      <c r="H24" s="61"/>
      <c r="I24" s="62">
        <f t="shared" si="10"/>
        <v>0</v>
      </c>
      <c r="J24" s="63" t="s">
        <v>44</v>
      </c>
      <c r="K24" s="64" t="s">
        <v>44</v>
      </c>
      <c r="L24" s="65" t="s">
        <v>44</v>
      </c>
      <c r="M24" s="63" t="s">
        <v>44</v>
      </c>
      <c r="N24" s="64" t="s">
        <v>44</v>
      </c>
      <c r="O24" s="65" t="s">
        <v>44</v>
      </c>
      <c r="P24" s="66"/>
    </row>
    <row r="25" spans="1:16" s="28" customFormat="1" ht="24.75" hidden="1" customHeight="1" thickTop="1" x14ac:dyDescent="0.25">
      <c r="A25" s="67"/>
      <c r="B25" s="68" t="s">
        <v>45</v>
      </c>
      <c r="C25" s="69">
        <f>F25</f>
        <v>0</v>
      </c>
      <c r="D25" s="70"/>
      <c r="E25" s="71"/>
      <c r="F25" s="72">
        <f t="shared" si="9"/>
        <v>0</v>
      </c>
      <c r="G25" s="73" t="s">
        <v>44</v>
      </c>
      <c r="H25" s="74" t="s">
        <v>44</v>
      </c>
      <c r="I25" s="75" t="s">
        <v>44</v>
      </c>
      <c r="J25" s="73" t="s">
        <v>44</v>
      </c>
      <c r="K25" s="74" t="s">
        <v>44</v>
      </c>
      <c r="L25" s="75" t="s">
        <v>44</v>
      </c>
      <c r="M25" s="73" t="s">
        <v>44</v>
      </c>
      <c r="N25" s="74" t="s">
        <v>44</v>
      </c>
      <c r="O25" s="75" t="s">
        <v>44</v>
      </c>
      <c r="P25" s="76"/>
    </row>
    <row r="26" spans="1:16" s="28" customFormat="1" ht="36" hidden="1" customHeight="1" x14ac:dyDescent="0.25">
      <c r="A26" s="68">
        <v>21300</v>
      </c>
      <c r="B26" s="68" t="s">
        <v>46</v>
      </c>
      <c r="C26" s="69">
        <f>L26</f>
        <v>0</v>
      </c>
      <c r="D26" s="73" t="s">
        <v>44</v>
      </c>
      <c r="E26" s="74" t="s">
        <v>44</v>
      </c>
      <c r="F26" s="75" t="s">
        <v>44</v>
      </c>
      <c r="G26" s="73" t="s">
        <v>44</v>
      </c>
      <c r="H26" s="74" t="s">
        <v>44</v>
      </c>
      <c r="I26" s="75" t="s">
        <v>44</v>
      </c>
      <c r="J26" s="77">
        <f>SUM(J27,J31,J33,J36)</f>
        <v>0</v>
      </c>
      <c r="K26" s="78">
        <f t="shared" ref="K26:L26" si="11">SUM(K27,K31,K33,K36)</f>
        <v>0</v>
      </c>
      <c r="L26" s="79">
        <f t="shared" si="11"/>
        <v>0</v>
      </c>
      <c r="M26" s="77" t="s">
        <v>44</v>
      </c>
      <c r="N26" s="78" t="s">
        <v>44</v>
      </c>
      <c r="O26" s="79" t="s">
        <v>44</v>
      </c>
      <c r="P26" s="76"/>
    </row>
    <row r="27" spans="1:16" s="28" customFormat="1" ht="24" hidden="1" customHeight="1" x14ac:dyDescent="0.25">
      <c r="A27" s="80">
        <v>21350</v>
      </c>
      <c r="B27" s="68" t="s">
        <v>47</v>
      </c>
      <c r="C27" s="69">
        <f t="shared" ref="C27:C30" si="12">L27</f>
        <v>0</v>
      </c>
      <c r="D27" s="73" t="s">
        <v>44</v>
      </c>
      <c r="E27" s="74" t="s">
        <v>44</v>
      </c>
      <c r="F27" s="75" t="s">
        <v>44</v>
      </c>
      <c r="G27" s="73" t="s">
        <v>44</v>
      </c>
      <c r="H27" s="74" t="s">
        <v>44</v>
      </c>
      <c r="I27" s="75" t="s">
        <v>44</v>
      </c>
      <c r="J27" s="77">
        <f>SUM(J28:J30)</f>
        <v>0</v>
      </c>
      <c r="K27" s="78">
        <f t="shared" ref="K27:L27" si="13">SUM(K28:K30)</f>
        <v>0</v>
      </c>
      <c r="L27" s="79">
        <f t="shared" si="13"/>
        <v>0</v>
      </c>
      <c r="M27" s="77" t="s">
        <v>44</v>
      </c>
      <c r="N27" s="78" t="s">
        <v>44</v>
      </c>
      <c r="O27" s="79" t="s">
        <v>44</v>
      </c>
      <c r="P27" s="76"/>
    </row>
    <row r="28" spans="1:16" ht="12" hidden="1" customHeight="1" x14ac:dyDescent="0.25">
      <c r="A28" s="43">
        <v>21351</v>
      </c>
      <c r="B28" s="81" t="s">
        <v>48</v>
      </c>
      <c r="C28" s="82">
        <f t="shared" si="12"/>
        <v>0</v>
      </c>
      <c r="D28" s="83" t="s">
        <v>44</v>
      </c>
      <c r="E28" s="84" t="s">
        <v>44</v>
      </c>
      <c r="F28" s="85" t="s">
        <v>44</v>
      </c>
      <c r="G28" s="83" t="s">
        <v>44</v>
      </c>
      <c r="H28" s="84" t="s">
        <v>44</v>
      </c>
      <c r="I28" s="85" t="s">
        <v>44</v>
      </c>
      <c r="J28" s="46"/>
      <c r="K28" s="47"/>
      <c r="L28" s="48">
        <f t="shared" ref="L28:L30" si="14">K28+J28</f>
        <v>0</v>
      </c>
      <c r="M28" s="86" t="s">
        <v>44</v>
      </c>
      <c r="N28" s="87" t="s">
        <v>44</v>
      </c>
      <c r="O28" s="48" t="s">
        <v>44</v>
      </c>
      <c r="P28" s="49"/>
    </row>
    <row r="29" spans="1:16" ht="12" hidden="1" customHeight="1" x14ac:dyDescent="0.25">
      <c r="A29" s="50">
        <v>21352</v>
      </c>
      <c r="B29" s="88" t="s">
        <v>49</v>
      </c>
      <c r="C29" s="89">
        <f t="shared" si="12"/>
        <v>0</v>
      </c>
      <c r="D29" s="90" t="s">
        <v>44</v>
      </c>
      <c r="E29" s="91" t="s">
        <v>44</v>
      </c>
      <c r="F29" s="92" t="s">
        <v>44</v>
      </c>
      <c r="G29" s="90" t="s">
        <v>44</v>
      </c>
      <c r="H29" s="91" t="s">
        <v>44</v>
      </c>
      <c r="I29" s="92" t="s">
        <v>44</v>
      </c>
      <c r="J29" s="53"/>
      <c r="K29" s="54"/>
      <c r="L29" s="56">
        <f t="shared" si="14"/>
        <v>0</v>
      </c>
      <c r="M29" s="93" t="s">
        <v>44</v>
      </c>
      <c r="N29" s="94" t="s">
        <v>44</v>
      </c>
      <c r="O29" s="56" t="s">
        <v>44</v>
      </c>
      <c r="P29" s="57"/>
    </row>
    <row r="30" spans="1:16" ht="24" hidden="1" customHeight="1" x14ac:dyDescent="0.25">
      <c r="A30" s="50">
        <v>21359</v>
      </c>
      <c r="B30" s="88" t="s">
        <v>50</v>
      </c>
      <c r="C30" s="89">
        <f t="shared" si="12"/>
        <v>0</v>
      </c>
      <c r="D30" s="90" t="s">
        <v>44</v>
      </c>
      <c r="E30" s="91" t="s">
        <v>44</v>
      </c>
      <c r="F30" s="92" t="s">
        <v>44</v>
      </c>
      <c r="G30" s="90" t="s">
        <v>44</v>
      </c>
      <c r="H30" s="91" t="s">
        <v>44</v>
      </c>
      <c r="I30" s="92" t="s">
        <v>44</v>
      </c>
      <c r="J30" s="53"/>
      <c r="K30" s="54"/>
      <c r="L30" s="56">
        <f t="shared" si="14"/>
        <v>0</v>
      </c>
      <c r="M30" s="93" t="s">
        <v>44</v>
      </c>
      <c r="N30" s="94" t="s">
        <v>44</v>
      </c>
      <c r="O30" s="56" t="s">
        <v>44</v>
      </c>
      <c r="P30" s="57"/>
    </row>
    <row r="31" spans="1:16" s="28" customFormat="1" ht="36" hidden="1" customHeight="1" x14ac:dyDescent="0.25">
      <c r="A31" s="80">
        <v>21370</v>
      </c>
      <c r="B31" s="68" t="s">
        <v>51</v>
      </c>
      <c r="C31" s="69">
        <f>L31</f>
        <v>0</v>
      </c>
      <c r="D31" s="73" t="s">
        <v>44</v>
      </c>
      <c r="E31" s="74" t="s">
        <v>44</v>
      </c>
      <c r="F31" s="75" t="s">
        <v>44</v>
      </c>
      <c r="G31" s="73" t="s">
        <v>44</v>
      </c>
      <c r="H31" s="74" t="s">
        <v>44</v>
      </c>
      <c r="I31" s="75" t="s">
        <v>44</v>
      </c>
      <c r="J31" s="77">
        <f>SUM(J32)</f>
        <v>0</v>
      </c>
      <c r="K31" s="78">
        <f t="shared" ref="K31:L31" si="15">SUM(K32)</f>
        <v>0</v>
      </c>
      <c r="L31" s="79">
        <f t="shared" si="15"/>
        <v>0</v>
      </c>
      <c r="M31" s="77" t="s">
        <v>44</v>
      </c>
      <c r="N31" s="78" t="s">
        <v>44</v>
      </c>
      <c r="O31" s="79" t="s">
        <v>44</v>
      </c>
      <c r="P31" s="76"/>
    </row>
    <row r="32" spans="1:16" ht="36" hidden="1" customHeight="1" x14ac:dyDescent="0.25">
      <c r="A32" s="95">
        <v>21379</v>
      </c>
      <c r="B32" s="96" t="s">
        <v>52</v>
      </c>
      <c r="C32" s="97">
        <f t="shared" ref="C32:C40" si="16">L32</f>
        <v>0</v>
      </c>
      <c r="D32" s="98" t="s">
        <v>44</v>
      </c>
      <c r="E32" s="99" t="s">
        <v>44</v>
      </c>
      <c r="F32" s="100" t="s">
        <v>44</v>
      </c>
      <c r="G32" s="98" t="s">
        <v>44</v>
      </c>
      <c r="H32" s="99" t="s">
        <v>44</v>
      </c>
      <c r="I32" s="100" t="s">
        <v>44</v>
      </c>
      <c r="J32" s="101"/>
      <c r="K32" s="102"/>
      <c r="L32" s="103">
        <f>K32+J32</f>
        <v>0</v>
      </c>
      <c r="M32" s="104" t="s">
        <v>44</v>
      </c>
      <c r="N32" s="105" t="s">
        <v>44</v>
      </c>
      <c r="O32" s="103" t="s">
        <v>44</v>
      </c>
      <c r="P32" s="106"/>
    </row>
    <row r="33" spans="1:16" s="28" customFormat="1" ht="12" hidden="1" customHeight="1" x14ac:dyDescent="0.25">
      <c r="A33" s="80">
        <v>21380</v>
      </c>
      <c r="B33" s="68" t="s">
        <v>53</v>
      </c>
      <c r="C33" s="69">
        <f t="shared" si="16"/>
        <v>0</v>
      </c>
      <c r="D33" s="73" t="s">
        <v>44</v>
      </c>
      <c r="E33" s="74" t="s">
        <v>44</v>
      </c>
      <c r="F33" s="75" t="s">
        <v>44</v>
      </c>
      <c r="G33" s="73" t="s">
        <v>44</v>
      </c>
      <c r="H33" s="74" t="s">
        <v>44</v>
      </c>
      <c r="I33" s="75" t="s">
        <v>44</v>
      </c>
      <c r="J33" s="77">
        <f>SUM(J34:J35)</f>
        <v>0</v>
      </c>
      <c r="K33" s="78">
        <f t="shared" ref="K33:L33" si="17">SUM(K34:K35)</f>
        <v>0</v>
      </c>
      <c r="L33" s="79">
        <f t="shared" si="17"/>
        <v>0</v>
      </c>
      <c r="M33" s="77" t="s">
        <v>44</v>
      </c>
      <c r="N33" s="78" t="s">
        <v>44</v>
      </c>
      <c r="O33" s="79" t="s">
        <v>44</v>
      </c>
      <c r="P33" s="76"/>
    </row>
    <row r="34" spans="1:16" ht="12" hidden="1" customHeight="1" x14ac:dyDescent="0.25">
      <c r="A34" s="44">
        <v>21381</v>
      </c>
      <c r="B34" s="81" t="s">
        <v>54</v>
      </c>
      <c r="C34" s="82">
        <f t="shared" si="16"/>
        <v>0</v>
      </c>
      <c r="D34" s="83" t="s">
        <v>44</v>
      </c>
      <c r="E34" s="84" t="s">
        <v>44</v>
      </c>
      <c r="F34" s="85" t="s">
        <v>44</v>
      </c>
      <c r="G34" s="83" t="s">
        <v>44</v>
      </c>
      <c r="H34" s="84" t="s">
        <v>44</v>
      </c>
      <c r="I34" s="85" t="s">
        <v>44</v>
      </c>
      <c r="J34" s="46"/>
      <c r="K34" s="47"/>
      <c r="L34" s="48">
        <f t="shared" ref="L34:L35" si="18">K34+J34</f>
        <v>0</v>
      </c>
      <c r="M34" s="86" t="s">
        <v>44</v>
      </c>
      <c r="N34" s="87" t="s">
        <v>44</v>
      </c>
      <c r="O34" s="48" t="s">
        <v>44</v>
      </c>
      <c r="P34" s="49"/>
    </row>
    <row r="35" spans="1:16" ht="24" hidden="1" customHeight="1" x14ac:dyDescent="0.25">
      <c r="A35" s="51">
        <v>21383</v>
      </c>
      <c r="B35" s="88" t="s">
        <v>55</v>
      </c>
      <c r="C35" s="89">
        <f t="shared" si="16"/>
        <v>0</v>
      </c>
      <c r="D35" s="90" t="s">
        <v>44</v>
      </c>
      <c r="E35" s="91" t="s">
        <v>44</v>
      </c>
      <c r="F35" s="92" t="s">
        <v>44</v>
      </c>
      <c r="G35" s="90" t="s">
        <v>44</v>
      </c>
      <c r="H35" s="91" t="s">
        <v>44</v>
      </c>
      <c r="I35" s="92" t="s">
        <v>44</v>
      </c>
      <c r="J35" s="53"/>
      <c r="K35" s="54"/>
      <c r="L35" s="56">
        <f t="shared" si="18"/>
        <v>0</v>
      </c>
      <c r="M35" s="93" t="s">
        <v>44</v>
      </c>
      <c r="N35" s="94" t="s">
        <v>44</v>
      </c>
      <c r="O35" s="56" t="s">
        <v>44</v>
      </c>
      <c r="P35" s="57"/>
    </row>
    <row r="36" spans="1:16" s="28" customFormat="1" ht="25.5" hidden="1" customHeight="1" x14ac:dyDescent="0.25">
      <c r="A36" s="80">
        <v>21390</v>
      </c>
      <c r="B36" s="68" t="s">
        <v>56</v>
      </c>
      <c r="C36" s="69">
        <f t="shared" si="16"/>
        <v>0</v>
      </c>
      <c r="D36" s="73" t="s">
        <v>44</v>
      </c>
      <c r="E36" s="74" t="s">
        <v>44</v>
      </c>
      <c r="F36" s="75" t="s">
        <v>44</v>
      </c>
      <c r="G36" s="73" t="s">
        <v>44</v>
      </c>
      <c r="H36" s="74" t="s">
        <v>44</v>
      </c>
      <c r="I36" s="75" t="s">
        <v>44</v>
      </c>
      <c r="J36" s="77">
        <f>SUM(J37:J40)</f>
        <v>0</v>
      </c>
      <c r="K36" s="78">
        <f t="shared" ref="K36:L36" si="19">SUM(K37:K40)</f>
        <v>0</v>
      </c>
      <c r="L36" s="79">
        <f t="shared" si="19"/>
        <v>0</v>
      </c>
      <c r="M36" s="77" t="s">
        <v>44</v>
      </c>
      <c r="N36" s="78" t="s">
        <v>44</v>
      </c>
      <c r="O36" s="79" t="s">
        <v>44</v>
      </c>
      <c r="P36" s="76"/>
    </row>
    <row r="37" spans="1:16" ht="24" hidden="1" customHeight="1" x14ac:dyDescent="0.25">
      <c r="A37" s="44">
        <v>21391</v>
      </c>
      <c r="B37" s="81" t="s">
        <v>57</v>
      </c>
      <c r="C37" s="82">
        <f t="shared" si="16"/>
        <v>0</v>
      </c>
      <c r="D37" s="83" t="s">
        <v>44</v>
      </c>
      <c r="E37" s="84" t="s">
        <v>44</v>
      </c>
      <c r="F37" s="85" t="s">
        <v>44</v>
      </c>
      <c r="G37" s="83" t="s">
        <v>44</v>
      </c>
      <c r="H37" s="84" t="s">
        <v>44</v>
      </c>
      <c r="I37" s="85" t="s">
        <v>44</v>
      </c>
      <c r="J37" s="46"/>
      <c r="K37" s="47"/>
      <c r="L37" s="48">
        <f t="shared" ref="L37:L40" si="20">K37+J37</f>
        <v>0</v>
      </c>
      <c r="M37" s="86" t="s">
        <v>44</v>
      </c>
      <c r="N37" s="87" t="s">
        <v>44</v>
      </c>
      <c r="O37" s="48" t="s">
        <v>44</v>
      </c>
      <c r="P37" s="49"/>
    </row>
    <row r="38" spans="1:16" ht="12" hidden="1" customHeight="1" x14ac:dyDescent="0.25">
      <c r="A38" s="51">
        <v>21393</v>
      </c>
      <c r="B38" s="88" t="s">
        <v>58</v>
      </c>
      <c r="C38" s="89">
        <f t="shared" si="16"/>
        <v>0</v>
      </c>
      <c r="D38" s="90" t="s">
        <v>44</v>
      </c>
      <c r="E38" s="91" t="s">
        <v>44</v>
      </c>
      <c r="F38" s="92" t="s">
        <v>44</v>
      </c>
      <c r="G38" s="90" t="s">
        <v>44</v>
      </c>
      <c r="H38" s="91" t="s">
        <v>44</v>
      </c>
      <c r="I38" s="92" t="s">
        <v>44</v>
      </c>
      <c r="J38" s="53"/>
      <c r="K38" s="54"/>
      <c r="L38" s="56">
        <f t="shared" si="20"/>
        <v>0</v>
      </c>
      <c r="M38" s="93" t="s">
        <v>44</v>
      </c>
      <c r="N38" s="94" t="s">
        <v>44</v>
      </c>
      <c r="O38" s="56" t="s">
        <v>44</v>
      </c>
      <c r="P38" s="57"/>
    </row>
    <row r="39" spans="1:16" ht="12" hidden="1" customHeight="1" x14ac:dyDescent="0.25">
      <c r="A39" s="51">
        <v>21395</v>
      </c>
      <c r="B39" s="88" t="s">
        <v>59</v>
      </c>
      <c r="C39" s="89">
        <f t="shared" si="16"/>
        <v>0</v>
      </c>
      <c r="D39" s="90" t="s">
        <v>44</v>
      </c>
      <c r="E39" s="91" t="s">
        <v>44</v>
      </c>
      <c r="F39" s="92" t="s">
        <v>44</v>
      </c>
      <c r="G39" s="90" t="s">
        <v>44</v>
      </c>
      <c r="H39" s="91" t="s">
        <v>44</v>
      </c>
      <c r="I39" s="92" t="s">
        <v>44</v>
      </c>
      <c r="J39" s="53"/>
      <c r="K39" s="54"/>
      <c r="L39" s="56">
        <f t="shared" si="20"/>
        <v>0</v>
      </c>
      <c r="M39" s="93" t="s">
        <v>44</v>
      </c>
      <c r="N39" s="94" t="s">
        <v>44</v>
      </c>
      <c r="O39" s="56" t="s">
        <v>44</v>
      </c>
      <c r="P39" s="57"/>
    </row>
    <row r="40" spans="1:16" ht="24" hidden="1" customHeight="1" x14ac:dyDescent="0.25">
      <c r="A40" s="107">
        <v>21399</v>
      </c>
      <c r="B40" s="108" t="s">
        <v>60</v>
      </c>
      <c r="C40" s="109">
        <f t="shared" si="16"/>
        <v>0</v>
      </c>
      <c r="D40" s="110" t="s">
        <v>44</v>
      </c>
      <c r="E40" s="111" t="s">
        <v>44</v>
      </c>
      <c r="F40" s="112" t="s">
        <v>44</v>
      </c>
      <c r="G40" s="110" t="s">
        <v>44</v>
      </c>
      <c r="H40" s="111" t="s">
        <v>44</v>
      </c>
      <c r="I40" s="112" t="s">
        <v>44</v>
      </c>
      <c r="J40" s="113"/>
      <c r="K40" s="114"/>
      <c r="L40" s="115">
        <f t="shared" si="20"/>
        <v>0</v>
      </c>
      <c r="M40" s="116" t="s">
        <v>44</v>
      </c>
      <c r="N40" s="117" t="s">
        <v>44</v>
      </c>
      <c r="O40" s="115" t="s">
        <v>44</v>
      </c>
      <c r="P40" s="118"/>
    </row>
    <row r="41" spans="1:16" s="28" customFormat="1" ht="26.25" hidden="1" customHeight="1" x14ac:dyDescent="0.25">
      <c r="A41" s="119">
        <v>21420</v>
      </c>
      <c r="B41" s="120" t="s">
        <v>61</v>
      </c>
      <c r="C41" s="121">
        <f>F41</f>
        <v>0</v>
      </c>
      <c r="D41" s="122">
        <f>SUM(D42)</f>
        <v>0</v>
      </c>
      <c r="E41" s="123">
        <f t="shared" ref="E41:F41" si="21">SUM(E42)</f>
        <v>0</v>
      </c>
      <c r="F41" s="124">
        <f t="shared" si="21"/>
        <v>0</v>
      </c>
      <c r="G41" s="125" t="s">
        <v>44</v>
      </c>
      <c r="H41" s="126" t="s">
        <v>44</v>
      </c>
      <c r="I41" s="127" t="s">
        <v>44</v>
      </c>
      <c r="J41" s="125" t="s">
        <v>44</v>
      </c>
      <c r="K41" s="126" t="s">
        <v>44</v>
      </c>
      <c r="L41" s="127" t="s">
        <v>44</v>
      </c>
      <c r="M41" s="125" t="s">
        <v>44</v>
      </c>
      <c r="N41" s="126" t="s">
        <v>44</v>
      </c>
      <c r="O41" s="127" t="s">
        <v>44</v>
      </c>
      <c r="P41" s="128"/>
    </row>
    <row r="42" spans="1:16" s="28" customFormat="1" ht="26.25" hidden="1" customHeight="1" x14ac:dyDescent="0.25">
      <c r="A42" s="107">
        <v>21429</v>
      </c>
      <c r="B42" s="108" t="s">
        <v>62</v>
      </c>
      <c r="C42" s="129">
        <f>F42</f>
        <v>0</v>
      </c>
      <c r="D42" s="113"/>
      <c r="E42" s="114"/>
      <c r="F42" s="130">
        <f>D42+E42</f>
        <v>0</v>
      </c>
      <c r="G42" s="110" t="s">
        <v>44</v>
      </c>
      <c r="H42" s="111" t="s">
        <v>44</v>
      </c>
      <c r="I42" s="112" t="s">
        <v>44</v>
      </c>
      <c r="J42" s="110" t="s">
        <v>44</v>
      </c>
      <c r="K42" s="111" t="s">
        <v>44</v>
      </c>
      <c r="L42" s="112" t="s">
        <v>44</v>
      </c>
      <c r="M42" s="110" t="s">
        <v>44</v>
      </c>
      <c r="N42" s="111" t="s">
        <v>44</v>
      </c>
      <c r="O42" s="112" t="s">
        <v>44</v>
      </c>
      <c r="P42" s="118"/>
    </row>
    <row r="43" spans="1:16" s="28" customFormat="1" ht="24.75" hidden="1" thickTop="1" x14ac:dyDescent="0.25">
      <c r="A43" s="80">
        <v>21490</v>
      </c>
      <c r="B43" s="68" t="s">
        <v>63</v>
      </c>
      <c r="C43" s="131">
        <f>F43+I43+L43</f>
        <v>0</v>
      </c>
      <c r="D43" s="77">
        <f>D44</f>
        <v>0</v>
      </c>
      <c r="E43" s="78">
        <f t="shared" ref="E43:L43" si="22">E44</f>
        <v>0</v>
      </c>
      <c r="F43" s="79">
        <f t="shared" si="22"/>
        <v>0</v>
      </c>
      <c r="G43" s="77">
        <f t="shared" si="22"/>
        <v>0</v>
      </c>
      <c r="H43" s="78">
        <f t="shared" si="22"/>
        <v>0</v>
      </c>
      <c r="I43" s="79">
        <f t="shared" si="22"/>
        <v>0</v>
      </c>
      <c r="J43" s="77">
        <f t="shared" si="22"/>
        <v>0</v>
      </c>
      <c r="K43" s="78">
        <f t="shared" si="22"/>
        <v>0</v>
      </c>
      <c r="L43" s="79">
        <f t="shared" si="22"/>
        <v>0</v>
      </c>
      <c r="M43" s="77" t="s">
        <v>44</v>
      </c>
      <c r="N43" s="78" t="s">
        <v>44</v>
      </c>
      <c r="O43" s="79" t="s">
        <v>44</v>
      </c>
      <c r="P43" s="76"/>
    </row>
    <row r="44" spans="1:16" s="28" customFormat="1" ht="24" hidden="1" customHeight="1" x14ac:dyDescent="0.25">
      <c r="A44" s="51">
        <v>21499</v>
      </c>
      <c r="B44" s="88" t="s">
        <v>64</v>
      </c>
      <c r="C44" s="132">
        <f>F44+I44+L44</f>
        <v>0</v>
      </c>
      <c r="D44" s="46"/>
      <c r="E44" s="47"/>
      <c r="F44" s="133">
        <f>D44+E44</f>
        <v>0</v>
      </c>
      <c r="G44" s="46"/>
      <c r="H44" s="47"/>
      <c r="I44" s="133">
        <f>G44+H44</f>
        <v>0</v>
      </c>
      <c r="J44" s="46"/>
      <c r="K44" s="47"/>
      <c r="L44" s="48">
        <f>K44+J44</f>
        <v>0</v>
      </c>
      <c r="M44" s="86" t="s">
        <v>44</v>
      </c>
      <c r="N44" s="87" t="s">
        <v>44</v>
      </c>
      <c r="O44" s="48" t="s">
        <v>44</v>
      </c>
      <c r="P44" s="49"/>
    </row>
    <row r="45" spans="1:16" ht="12.75" hidden="1" customHeight="1" x14ac:dyDescent="0.25">
      <c r="A45" s="134">
        <v>23000</v>
      </c>
      <c r="B45" s="135" t="s">
        <v>65</v>
      </c>
      <c r="C45" s="131">
        <f>O45</f>
        <v>0</v>
      </c>
      <c r="D45" s="110" t="s">
        <v>44</v>
      </c>
      <c r="E45" s="111" t="s">
        <v>44</v>
      </c>
      <c r="F45" s="112" t="s">
        <v>44</v>
      </c>
      <c r="G45" s="110" t="s">
        <v>44</v>
      </c>
      <c r="H45" s="111" t="s">
        <v>44</v>
      </c>
      <c r="I45" s="112" t="s">
        <v>44</v>
      </c>
      <c r="J45" s="116" t="s">
        <v>44</v>
      </c>
      <c r="K45" s="117" t="s">
        <v>44</v>
      </c>
      <c r="L45" s="115" t="s">
        <v>44</v>
      </c>
      <c r="M45" s="116">
        <f>SUM(M46:M47)</f>
        <v>0</v>
      </c>
      <c r="N45" s="117">
        <f t="shared" ref="N45:O45" si="23">SUM(N46:N47)</f>
        <v>0</v>
      </c>
      <c r="O45" s="115">
        <f t="shared" si="23"/>
        <v>0</v>
      </c>
      <c r="P45" s="118"/>
    </row>
    <row r="46" spans="1:16" ht="24" hidden="1" customHeight="1" x14ac:dyDescent="0.25">
      <c r="A46" s="136">
        <v>23410</v>
      </c>
      <c r="B46" s="137" t="s">
        <v>66</v>
      </c>
      <c r="C46" s="121">
        <f t="shared" ref="C46:C47" si="24">O46</f>
        <v>0</v>
      </c>
      <c r="D46" s="125" t="s">
        <v>44</v>
      </c>
      <c r="E46" s="126" t="s">
        <v>44</v>
      </c>
      <c r="F46" s="127" t="s">
        <v>44</v>
      </c>
      <c r="G46" s="125" t="s">
        <v>44</v>
      </c>
      <c r="H46" s="126" t="s">
        <v>44</v>
      </c>
      <c r="I46" s="127" t="s">
        <v>44</v>
      </c>
      <c r="J46" s="125" t="s">
        <v>44</v>
      </c>
      <c r="K46" s="126" t="s">
        <v>44</v>
      </c>
      <c r="L46" s="127" t="s">
        <v>44</v>
      </c>
      <c r="M46" s="138"/>
      <c r="N46" s="139"/>
      <c r="O46" s="140">
        <f t="shared" ref="O46:O47" si="25">N46+M46</f>
        <v>0</v>
      </c>
      <c r="P46" s="128"/>
    </row>
    <row r="47" spans="1:16" ht="24" hidden="1" customHeight="1" x14ac:dyDescent="0.25">
      <c r="A47" s="136">
        <v>23510</v>
      </c>
      <c r="B47" s="137" t="s">
        <v>67</v>
      </c>
      <c r="C47" s="121">
        <f t="shared" si="24"/>
        <v>0</v>
      </c>
      <c r="D47" s="125" t="s">
        <v>44</v>
      </c>
      <c r="E47" s="126" t="s">
        <v>44</v>
      </c>
      <c r="F47" s="127" t="s">
        <v>44</v>
      </c>
      <c r="G47" s="125" t="s">
        <v>44</v>
      </c>
      <c r="H47" s="126" t="s">
        <v>44</v>
      </c>
      <c r="I47" s="127" t="s">
        <v>44</v>
      </c>
      <c r="J47" s="125" t="s">
        <v>44</v>
      </c>
      <c r="K47" s="126" t="s">
        <v>44</v>
      </c>
      <c r="L47" s="127" t="s">
        <v>44</v>
      </c>
      <c r="M47" s="138"/>
      <c r="N47" s="139"/>
      <c r="O47" s="140">
        <f t="shared" si="25"/>
        <v>0</v>
      </c>
      <c r="P47" s="128"/>
    </row>
    <row r="48" spans="1:16" ht="12" hidden="1" customHeight="1" x14ac:dyDescent="0.25">
      <c r="A48" s="141"/>
      <c r="B48" s="137"/>
      <c r="C48" s="142"/>
      <c r="D48" s="143"/>
      <c r="E48" s="144"/>
      <c r="F48" s="140"/>
      <c r="G48" s="143"/>
      <c r="H48" s="144"/>
      <c r="I48" s="140"/>
      <c r="J48" s="143"/>
      <c r="K48" s="144"/>
      <c r="L48" s="124"/>
      <c r="M48" s="143"/>
      <c r="N48" s="144"/>
      <c r="O48" s="140"/>
      <c r="P48" s="128"/>
    </row>
    <row r="49" spans="1:16" s="28" customFormat="1" ht="12" hidden="1" customHeight="1" x14ac:dyDescent="0.25">
      <c r="A49" s="145"/>
      <c r="B49" s="146" t="s">
        <v>68</v>
      </c>
      <c r="C49" s="147"/>
      <c r="D49" s="148"/>
      <c r="E49" s="149"/>
      <c r="F49" s="150"/>
      <c r="G49" s="151"/>
      <c r="H49" s="152"/>
      <c r="I49" s="153"/>
      <c r="J49" s="151"/>
      <c r="K49" s="152"/>
      <c r="L49" s="154"/>
      <c r="M49" s="151"/>
      <c r="N49" s="152"/>
      <c r="O49" s="153"/>
      <c r="P49" s="155"/>
    </row>
    <row r="50" spans="1:16" s="28" customFormat="1" ht="13.5" thickTop="1" thickBot="1" x14ac:dyDescent="0.3">
      <c r="A50" s="156"/>
      <c r="B50" s="29" t="s">
        <v>69</v>
      </c>
      <c r="C50" s="157">
        <f t="shared" si="0"/>
        <v>763995</v>
      </c>
      <c r="D50" s="158">
        <f>SUM(D51,D286)</f>
        <v>809116</v>
      </c>
      <c r="E50" s="159">
        <f t="shared" ref="E50:F50" si="26">SUM(E51,E286)</f>
        <v>-45121</v>
      </c>
      <c r="F50" s="160">
        <f t="shared" si="26"/>
        <v>763995</v>
      </c>
      <c r="G50" s="158">
        <f>SUM(G51,G286)</f>
        <v>0</v>
      </c>
      <c r="H50" s="159">
        <f>SUM(H51,H286)</f>
        <v>0</v>
      </c>
      <c r="I50" s="160">
        <f t="shared" ref="I50" si="27">SUM(I51,I286)</f>
        <v>0</v>
      </c>
      <c r="J50" s="32">
        <f>SUM(J51,J286)</f>
        <v>0</v>
      </c>
      <c r="K50" s="33">
        <f t="shared" ref="K50:L50" si="28">SUM(K51,K286)</f>
        <v>0</v>
      </c>
      <c r="L50" s="34">
        <f t="shared" si="28"/>
        <v>0</v>
      </c>
      <c r="M50" s="32">
        <f>SUM(M51,M286)</f>
        <v>0</v>
      </c>
      <c r="N50" s="33">
        <f t="shared" ref="N50:O50" si="29">SUM(N51,N286)</f>
        <v>0</v>
      </c>
      <c r="O50" s="34">
        <f t="shared" si="29"/>
        <v>0</v>
      </c>
      <c r="P50" s="35"/>
    </row>
    <row r="51" spans="1:16" s="28" customFormat="1" ht="36.75" thickTop="1" x14ac:dyDescent="0.25">
      <c r="A51" s="161"/>
      <c r="B51" s="162" t="s">
        <v>70</v>
      </c>
      <c r="C51" s="163">
        <f t="shared" si="0"/>
        <v>763995</v>
      </c>
      <c r="D51" s="164">
        <f>SUM(D52,D194)</f>
        <v>809116</v>
      </c>
      <c r="E51" s="165">
        <f t="shared" ref="E51:F51" si="30">SUM(E52,E194)</f>
        <v>-45121</v>
      </c>
      <c r="F51" s="166">
        <f t="shared" si="30"/>
        <v>763995</v>
      </c>
      <c r="G51" s="164">
        <f>SUM(G52,G194)</f>
        <v>0</v>
      </c>
      <c r="H51" s="165">
        <f t="shared" ref="H51:I51" si="31">SUM(H52,H194)</f>
        <v>0</v>
      </c>
      <c r="I51" s="166">
        <f t="shared" si="31"/>
        <v>0</v>
      </c>
      <c r="J51" s="167">
        <f>SUM(J52,J194)</f>
        <v>0</v>
      </c>
      <c r="K51" s="168">
        <f t="shared" ref="K51:L51" si="32">SUM(K52,K194)</f>
        <v>0</v>
      </c>
      <c r="L51" s="169">
        <f t="shared" si="32"/>
        <v>0</v>
      </c>
      <c r="M51" s="167">
        <f>SUM(M52,M194)</f>
        <v>0</v>
      </c>
      <c r="N51" s="168">
        <f t="shared" ref="N51:O51" si="33">SUM(N52,N194)</f>
        <v>0</v>
      </c>
      <c r="O51" s="169">
        <f t="shared" si="33"/>
        <v>0</v>
      </c>
      <c r="P51" s="170"/>
    </row>
    <row r="52" spans="1:16" s="28" customFormat="1" ht="24" x14ac:dyDescent="0.25">
      <c r="A52" s="24"/>
      <c r="B52" s="22" t="s">
        <v>71</v>
      </c>
      <c r="C52" s="171">
        <f t="shared" si="0"/>
        <v>554948</v>
      </c>
      <c r="D52" s="172">
        <f>SUM(D53,D75,D173,D187)</f>
        <v>580069</v>
      </c>
      <c r="E52" s="173">
        <f t="shared" ref="E52:F52" si="34">SUM(E53,E75,E173,E187)</f>
        <v>-25121</v>
      </c>
      <c r="F52" s="174">
        <f t="shared" si="34"/>
        <v>554948</v>
      </c>
      <c r="G52" s="172">
        <f>SUM(G53,G75,G173,G187)</f>
        <v>0</v>
      </c>
      <c r="H52" s="173">
        <f t="shared" ref="H52:I52" si="35">SUM(H53,H75,H173,H187)</f>
        <v>0</v>
      </c>
      <c r="I52" s="174">
        <f t="shared" si="35"/>
        <v>0</v>
      </c>
      <c r="J52" s="172">
        <f>SUM(J53,J75,J173,J187)</f>
        <v>0</v>
      </c>
      <c r="K52" s="173">
        <f t="shared" ref="K52:L52" si="36">SUM(K53,K75,K173,K187)</f>
        <v>0</v>
      </c>
      <c r="L52" s="174">
        <f t="shared" si="36"/>
        <v>0</v>
      </c>
      <c r="M52" s="172">
        <f>SUM(M53,M75,M173,M187)</f>
        <v>0</v>
      </c>
      <c r="N52" s="173">
        <f t="shared" ref="N52:O52" si="37">SUM(N53,N75,N173,N187)</f>
        <v>0</v>
      </c>
      <c r="O52" s="174">
        <f t="shared" si="37"/>
        <v>0</v>
      </c>
      <c r="P52" s="175"/>
    </row>
    <row r="53" spans="1:16" s="28" customFormat="1" x14ac:dyDescent="0.25">
      <c r="A53" s="176">
        <v>1000</v>
      </c>
      <c r="B53" s="176" t="s">
        <v>72</v>
      </c>
      <c r="C53" s="177">
        <f t="shared" si="0"/>
        <v>5350</v>
      </c>
      <c r="D53" s="178">
        <f>SUM(D54,D67)</f>
        <v>5350</v>
      </c>
      <c r="E53" s="179">
        <f t="shared" ref="E53:F53" si="38">SUM(E54,E67)</f>
        <v>0</v>
      </c>
      <c r="F53" s="180">
        <f t="shared" si="38"/>
        <v>5350</v>
      </c>
      <c r="G53" s="178">
        <f>SUM(G54,G67)</f>
        <v>0</v>
      </c>
      <c r="H53" s="179">
        <f t="shared" ref="H53:I53" si="39">SUM(H54,H67)</f>
        <v>0</v>
      </c>
      <c r="I53" s="180">
        <f t="shared" si="39"/>
        <v>0</v>
      </c>
      <c r="J53" s="178">
        <f>SUM(J54,J67)</f>
        <v>0</v>
      </c>
      <c r="K53" s="179">
        <f t="shared" ref="K53:L53" si="40">SUM(K54,K67)</f>
        <v>0</v>
      </c>
      <c r="L53" s="180">
        <f t="shared" si="40"/>
        <v>0</v>
      </c>
      <c r="M53" s="178">
        <f>SUM(M54,M67)</f>
        <v>0</v>
      </c>
      <c r="N53" s="179">
        <f t="shared" ref="N53:O53" si="41">SUM(N54,N67)</f>
        <v>0</v>
      </c>
      <c r="O53" s="180">
        <f t="shared" si="41"/>
        <v>0</v>
      </c>
      <c r="P53" s="181"/>
    </row>
    <row r="54" spans="1:16" x14ac:dyDescent="0.25">
      <c r="A54" s="68">
        <v>1100</v>
      </c>
      <c r="B54" s="182" t="s">
        <v>73</v>
      </c>
      <c r="C54" s="69">
        <f t="shared" si="0"/>
        <v>5000</v>
      </c>
      <c r="D54" s="183">
        <f>SUM(D55,D58,D66)</f>
        <v>5000</v>
      </c>
      <c r="E54" s="184">
        <f t="shared" ref="E54:F54" si="42">SUM(E55,E58,E66)</f>
        <v>0</v>
      </c>
      <c r="F54" s="72">
        <f t="shared" si="42"/>
        <v>5000</v>
      </c>
      <c r="G54" s="183">
        <f>SUM(G55,G58,G66)</f>
        <v>0</v>
      </c>
      <c r="H54" s="184">
        <f t="shared" ref="H54:I54" si="43">SUM(H55,H58,H66)</f>
        <v>0</v>
      </c>
      <c r="I54" s="72">
        <f t="shared" si="43"/>
        <v>0</v>
      </c>
      <c r="J54" s="183">
        <f>SUM(J55,J58,J66)</f>
        <v>0</v>
      </c>
      <c r="K54" s="184">
        <f t="shared" ref="K54:L54" si="44">SUM(K55,K58,K66)</f>
        <v>0</v>
      </c>
      <c r="L54" s="72">
        <f t="shared" si="44"/>
        <v>0</v>
      </c>
      <c r="M54" s="183">
        <f>SUM(M55,M58,M66)</f>
        <v>0</v>
      </c>
      <c r="N54" s="184">
        <f t="shared" ref="N54:O54" si="45">SUM(N55,N58,N66)</f>
        <v>0</v>
      </c>
      <c r="O54" s="72">
        <f t="shared" si="45"/>
        <v>0</v>
      </c>
      <c r="P54" s="76"/>
    </row>
    <row r="55" spans="1:16" hidden="1" x14ac:dyDescent="0.25">
      <c r="A55" s="185">
        <v>1110</v>
      </c>
      <c r="B55" s="137" t="s">
        <v>74</v>
      </c>
      <c r="C55" s="142">
        <f t="shared" si="0"/>
        <v>0</v>
      </c>
      <c r="D55" s="186">
        <f>SUM(D56:D57)</f>
        <v>0</v>
      </c>
      <c r="E55" s="187">
        <f t="shared" ref="E55:F55" si="46">SUM(E56:E57)</f>
        <v>0</v>
      </c>
      <c r="F55" s="140">
        <f t="shared" si="46"/>
        <v>0</v>
      </c>
      <c r="G55" s="186">
        <f>SUM(G56:G57)</f>
        <v>0</v>
      </c>
      <c r="H55" s="187">
        <f t="shared" ref="H55:I55" si="47">SUM(H56:H57)</f>
        <v>0</v>
      </c>
      <c r="I55" s="140">
        <f t="shared" si="47"/>
        <v>0</v>
      </c>
      <c r="J55" s="186">
        <f>SUM(J56:J57)</f>
        <v>0</v>
      </c>
      <c r="K55" s="187">
        <f t="shared" ref="K55:L55" si="48">SUM(K56:K57)</f>
        <v>0</v>
      </c>
      <c r="L55" s="140">
        <f t="shared" si="48"/>
        <v>0</v>
      </c>
      <c r="M55" s="186">
        <f>SUM(M56:M57)</f>
        <v>0</v>
      </c>
      <c r="N55" s="187">
        <f t="shared" ref="N55:O55" si="49">SUM(N56:N57)</f>
        <v>0</v>
      </c>
      <c r="O55" s="140">
        <f t="shared" si="49"/>
        <v>0</v>
      </c>
      <c r="P55" s="128"/>
    </row>
    <row r="56" spans="1:16" ht="12" hidden="1" customHeight="1" x14ac:dyDescent="0.25">
      <c r="A56" s="44">
        <v>1111</v>
      </c>
      <c r="B56" s="81" t="s">
        <v>75</v>
      </c>
      <c r="C56" s="82">
        <f t="shared" si="0"/>
        <v>0</v>
      </c>
      <c r="D56" s="46">
        <v>0</v>
      </c>
      <c r="E56" s="47"/>
      <c r="F56" s="133">
        <f t="shared" ref="F56:F57" si="50">D56+E56</f>
        <v>0</v>
      </c>
      <c r="G56" s="46"/>
      <c r="H56" s="47"/>
      <c r="I56" s="133">
        <f t="shared" ref="I56:I57" si="51">G56+H56</f>
        <v>0</v>
      </c>
      <c r="J56" s="46"/>
      <c r="K56" s="47"/>
      <c r="L56" s="133">
        <f t="shared" ref="L56:L57" si="52">K56+J56</f>
        <v>0</v>
      </c>
      <c r="M56" s="46"/>
      <c r="N56" s="47"/>
      <c r="O56" s="133">
        <f t="shared" ref="O56:O57" si="53">N56+M56</f>
        <v>0</v>
      </c>
      <c r="P56" s="49"/>
    </row>
    <row r="57" spans="1:16" ht="24" hidden="1" customHeight="1" x14ac:dyDescent="0.25">
      <c r="A57" s="51">
        <v>1119</v>
      </c>
      <c r="B57" s="88" t="s">
        <v>76</v>
      </c>
      <c r="C57" s="89">
        <f t="shared" si="0"/>
        <v>0</v>
      </c>
      <c r="D57" s="53">
        <v>0</v>
      </c>
      <c r="E57" s="54"/>
      <c r="F57" s="55">
        <f t="shared" si="50"/>
        <v>0</v>
      </c>
      <c r="G57" s="53"/>
      <c r="H57" s="54"/>
      <c r="I57" s="55">
        <f t="shared" si="51"/>
        <v>0</v>
      </c>
      <c r="J57" s="53"/>
      <c r="K57" s="54"/>
      <c r="L57" s="55">
        <f t="shared" si="52"/>
        <v>0</v>
      </c>
      <c r="M57" s="53"/>
      <c r="N57" s="54"/>
      <c r="O57" s="55">
        <f t="shared" si="53"/>
        <v>0</v>
      </c>
      <c r="P57" s="57"/>
    </row>
    <row r="58" spans="1:16" hidden="1" x14ac:dyDescent="0.25">
      <c r="A58" s="188">
        <v>1140</v>
      </c>
      <c r="B58" s="88" t="s">
        <v>77</v>
      </c>
      <c r="C58" s="89">
        <f t="shared" si="0"/>
        <v>0</v>
      </c>
      <c r="D58" s="189">
        <f>SUM(D59:D65)</f>
        <v>0</v>
      </c>
      <c r="E58" s="190">
        <f>SUM(E59:E65)</f>
        <v>0</v>
      </c>
      <c r="F58" s="55">
        <f t="shared" ref="F58" si="54">SUM(F59:F65)</f>
        <v>0</v>
      </c>
      <c r="G58" s="189">
        <f>SUM(G59:G65)</f>
        <v>0</v>
      </c>
      <c r="H58" s="190">
        <f t="shared" ref="H58:I58" si="55">SUM(H59:H65)</f>
        <v>0</v>
      </c>
      <c r="I58" s="55">
        <f t="shared" si="55"/>
        <v>0</v>
      </c>
      <c r="J58" s="189">
        <f>SUM(J59:J65)</f>
        <v>0</v>
      </c>
      <c r="K58" s="190">
        <f t="shared" ref="K58:L58" si="56">SUM(K59:K65)</f>
        <v>0</v>
      </c>
      <c r="L58" s="55">
        <f t="shared" si="56"/>
        <v>0</v>
      </c>
      <c r="M58" s="189">
        <f>SUM(M59:M65)</f>
        <v>0</v>
      </c>
      <c r="N58" s="190">
        <f t="shared" ref="N58:O58" si="57">SUM(N59:N65)</f>
        <v>0</v>
      </c>
      <c r="O58" s="55">
        <f t="shared" si="57"/>
        <v>0</v>
      </c>
      <c r="P58" s="57"/>
    </row>
    <row r="59" spans="1:16" ht="12" hidden="1" customHeight="1" x14ac:dyDescent="0.25">
      <c r="A59" s="51">
        <v>1141</v>
      </c>
      <c r="B59" s="88" t="s">
        <v>78</v>
      </c>
      <c r="C59" s="89">
        <f t="shared" si="0"/>
        <v>0</v>
      </c>
      <c r="D59" s="53">
        <v>0</v>
      </c>
      <c r="E59" s="54"/>
      <c r="F59" s="55">
        <f t="shared" ref="F59:F66" si="58">D59+E59</f>
        <v>0</v>
      </c>
      <c r="G59" s="53"/>
      <c r="H59" s="54"/>
      <c r="I59" s="55">
        <f t="shared" ref="I59:I66" si="59">G59+H59</f>
        <v>0</v>
      </c>
      <c r="J59" s="53"/>
      <c r="K59" s="54"/>
      <c r="L59" s="55">
        <f t="shared" ref="L59:L66" si="60">K59+J59</f>
        <v>0</v>
      </c>
      <c r="M59" s="53"/>
      <c r="N59" s="54"/>
      <c r="O59" s="55">
        <f t="shared" ref="O59:O66" si="61">N59+M59</f>
        <v>0</v>
      </c>
      <c r="P59" s="57"/>
    </row>
    <row r="60" spans="1:16" ht="24.75" hidden="1" customHeight="1" x14ac:dyDescent="0.25">
      <c r="A60" s="51">
        <v>1142</v>
      </c>
      <c r="B60" s="88" t="s">
        <v>79</v>
      </c>
      <c r="C60" s="89">
        <f t="shared" si="0"/>
        <v>0</v>
      </c>
      <c r="D60" s="53">
        <v>0</v>
      </c>
      <c r="E60" s="54"/>
      <c r="F60" s="55">
        <f t="shared" si="58"/>
        <v>0</v>
      </c>
      <c r="G60" s="53"/>
      <c r="H60" s="54"/>
      <c r="I60" s="55">
        <f t="shared" si="59"/>
        <v>0</v>
      </c>
      <c r="J60" s="53"/>
      <c r="K60" s="54"/>
      <c r="L60" s="55">
        <f t="shared" si="60"/>
        <v>0</v>
      </c>
      <c r="M60" s="53"/>
      <c r="N60" s="54"/>
      <c r="O60" s="55">
        <f t="shared" si="61"/>
        <v>0</v>
      </c>
      <c r="P60" s="57"/>
    </row>
    <row r="61" spans="1:16" ht="24" hidden="1" customHeight="1" x14ac:dyDescent="0.25">
      <c r="A61" s="51">
        <v>1145</v>
      </c>
      <c r="B61" s="88" t="s">
        <v>80</v>
      </c>
      <c r="C61" s="89">
        <f t="shared" si="0"/>
        <v>0</v>
      </c>
      <c r="D61" s="53">
        <v>0</v>
      </c>
      <c r="E61" s="54"/>
      <c r="F61" s="55">
        <f t="shared" si="58"/>
        <v>0</v>
      </c>
      <c r="G61" s="53"/>
      <c r="H61" s="54"/>
      <c r="I61" s="55">
        <f t="shared" si="59"/>
        <v>0</v>
      </c>
      <c r="J61" s="53"/>
      <c r="K61" s="54"/>
      <c r="L61" s="55">
        <f t="shared" si="60"/>
        <v>0</v>
      </c>
      <c r="M61" s="53"/>
      <c r="N61" s="54"/>
      <c r="O61" s="55">
        <f t="shared" si="61"/>
        <v>0</v>
      </c>
      <c r="P61" s="57"/>
    </row>
    <row r="62" spans="1:16" ht="27.75" hidden="1" customHeight="1" x14ac:dyDescent="0.25">
      <c r="A62" s="51">
        <v>1146</v>
      </c>
      <c r="B62" s="88" t="s">
        <v>81</v>
      </c>
      <c r="C62" s="89">
        <f t="shared" si="0"/>
        <v>0</v>
      </c>
      <c r="D62" s="53">
        <v>0</v>
      </c>
      <c r="E62" s="54"/>
      <c r="F62" s="55">
        <f t="shared" si="58"/>
        <v>0</v>
      </c>
      <c r="G62" s="53"/>
      <c r="H62" s="54"/>
      <c r="I62" s="55">
        <f t="shared" si="59"/>
        <v>0</v>
      </c>
      <c r="J62" s="53"/>
      <c r="K62" s="54"/>
      <c r="L62" s="55">
        <f t="shared" si="60"/>
        <v>0</v>
      </c>
      <c r="M62" s="53"/>
      <c r="N62" s="54"/>
      <c r="O62" s="55">
        <f t="shared" si="61"/>
        <v>0</v>
      </c>
      <c r="P62" s="57"/>
    </row>
    <row r="63" spans="1:16" ht="12" hidden="1" customHeight="1" x14ac:dyDescent="0.25">
      <c r="A63" s="51">
        <v>1147</v>
      </c>
      <c r="B63" s="88" t="s">
        <v>82</v>
      </c>
      <c r="C63" s="89">
        <f t="shared" si="0"/>
        <v>0</v>
      </c>
      <c r="D63" s="53">
        <v>0</v>
      </c>
      <c r="E63" s="54"/>
      <c r="F63" s="55">
        <f t="shared" si="58"/>
        <v>0</v>
      </c>
      <c r="G63" s="53"/>
      <c r="H63" s="54"/>
      <c r="I63" s="55">
        <f t="shared" si="59"/>
        <v>0</v>
      </c>
      <c r="J63" s="53"/>
      <c r="K63" s="54"/>
      <c r="L63" s="55">
        <f t="shared" si="60"/>
        <v>0</v>
      </c>
      <c r="M63" s="53"/>
      <c r="N63" s="54"/>
      <c r="O63" s="55">
        <f t="shared" si="61"/>
        <v>0</v>
      </c>
      <c r="P63" s="57"/>
    </row>
    <row r="64" spans="1:16" ht="12" hidden="1" customHeight="1" x14ac:dyDescent="0.25">
      <c r="A64" s="51">
        <v>1148</v>
      </c>
      <c r="B64" s="88" t="s">
        <v>83</v>
      </c>
      <c r="C64" s="89">
        <f t="shared" si="0"/>
        <v>0</v>
      </c>
      <c r="D64" s="53">
        <v>0</v>
      </c>
      <c r="E64" s="54"/>
      <c r="F64" s="55">
        <f t="shared" si="58"/>
        <v>0</v>
      </c>
      <c r="G64" s="53"/>
      <c r="H64" s="54"/>
      <c r="I64" s="55">
        <f t="shared" si="59"/>
        <v>0</v>
      </c>
      <c r="J64" s="53"/>
      <c r="K64" s="54"/>
      <c r="L64" s="55">
        <f t="shared" si="60"/>
        <v>0</v>
      </c>
      <c r="M64" s="53"/>
      <c r="N64" s="54"/>
      <c r="O64" s="55">
        <f t="shared" si="61"/>
        <v>0</v>
      </c>
      <c r="P64" s="57"/>
    </row>
    <row r="65" spans="1:16" ht="24" hidden="1" customHeight="1" x14ac:dyDescent="0.25">
      <c r="A65" s="51">
        <v>1149</v>
      </c>
      <c r="B65" s="88" t="s">
        <v>84</v>
      </c>
      <c r="C65" s="89">
        <f t="shared" si="0"/>
        <v>0</v>
      </c>
      <c r="D65" s="53">
        <v>0</v>
      </c>
      <c r="E65" s="54"/>
      <c r="F65" s="55">
        <f t="shared" si="58"/>
        <v>0</v>
      </c>
      <c r="G65" s="53"/>
      <c r="H65" s="54"/>
      <c r="I65" s="55">
        <f t="shared" si="59"/>
        <v>0</v>
      </c>
      <c r="J65" s="53"/>
      <c r="K65" s="54"/>
      <c r="L65" s="55">
        <f t="shared" si="60"/>
        <v>0</v>
      </c>
      <c r="M65" s="53"/>
      <c r="N65" s="54"/>
      <c r="O65" s="55">
        <f t="shared" si="61"/>
        <v>0</v>
      </c>
      <c r="P65" s="57"/>
    </row>
    <row r="66" spans="1:16" ht="36" customHeight="1" x14ac:dyDescent="0.25">
      <c r="A66" s="185">
        <v>1150</v>
      </c>
      <c r="B66" s="137" t="s">
        <v>85</v>
      </c>
      <c r="C66" s="142">
        <f t="shared" si="0"/>
        <v>5000</v>
      </c>
      <c r="D66" s="143">
        <v>5000</v>
      </c>
      <c r="E66" s="144"/>
      <c r="F66" s="140">
        <f t="shared" si="58"/>
        <v>5000</v>
      </c>
      <c r="G66" s="143"/>
      <c r="H66" s="144"/>
      <c r="I66" s="140">
        <f t="shared" si="59"/>
        <v>0</v>
      </c>
      <c r="J66" s="143"/>
      <c r="K66" s="144"/>
      <c r="L66" s="140">
        <f t="shared" si="60"/>
        <v>0</v>
      </c>
      <c r="M66" s="143"/>
      <c r="N66" s="144"/>
      <c r="O66" s="140">
        <f t="shared" si="61"/>
        <v>0</v>
      </c>
      <c r="P66" s="128"/>
    </row>
    <row r="67" spans="1:16" ht="24" x14ac:dyDescent="0.25">
      <c r="A67" s="68">
        <v>1200</v>
      </c>
      <c r="B67" s="182" t="s">
        <v>86</v>
      </c>
      <c r="C67" s="69">
        <f t="shared" si="0"/>
        <v>350</v>
      </c>
      <c r="D67" s="183">
        <f>SUM(D68:D69)</f>
        <v>350</v>
      </c>
      <c r="E67" s="184">
        <f t="shared" ref="E67:F67" si="62">SUM(E68:E69)</f>
        <v>0</v>
      </c>
      <c r="F67" s="72">
        <f t="shared" si="62"/>
        <v>350</v>
      </c>
      <c r="G67" s="183">
        <f>SUM(G68:G69)</f>
        <v>0</v>
      </c>
      <c r="H67" s="184">
        <f t="shared" ref="H67:I67" si="63">SUM(H68:H69)</f>
        <v>0</v>
      </c>
      <c r="I67" s="72">
        <f t="shared" si="63"/>
        <v>0</v>
      </c>
      <c r="J67" s="183">
        <f>SUM(J68:J69)</f>
        <v>0</v>
      </c>
      <c r="K67" s="184">
        <f t="shared" ref="K67:L67" si="64">SUM(K68:K69)</f>
        <v>0</v>
      </c>
      <c r="L67" s="72">
        <f t="shared" si="64"/>
        <v>0</v>
      </c>
      <c r="M67" s="183">
        <f>SUM(M68:M69)</f>
        <v>0</v>
      </c>
      <c r="N67" s="184">
        <f t="shared" ref="N67:O67" si="65">SUM(N68:N69)</f>
        <v>0</v>
      </c>
      <c r="O67" s="72">
        <f t="shared" si="65"/>
        <v>0</v>
      </c>
      <c r="P67" s="76"/>
    </row>
    <row r="68" spans="1:16" ht="24" customHeight="1" x14ac:dyDescent="0.25">
      <c r="A68" s="1042">
        <v>1210</v>
      </c>
      <c r="B68" s="81" t="s">
        <v>87</v>
      </c>
      <c r="C68" s="82">
        <f t="shared" si="0"/>
        <v>350</v>
      </c>
      <c r="D68" s="46">
        <v>350</v>
      </c>
      <c r="E68" s="47"/>
      <c r="F68" s="133">
        <f>D68+E68</f>
        <v>350</v>
      </c>
      <c r="G68" s="46"/>
      <c r="H68" s="47"/>
      <c r="I68" s="133">
        <f>G68+H68</f>
        <v>0</v>
      </c>
      <c r="J68" s="46"/>
      <c r="K68" s="47"/>
      <c r="L68" s="133">
        <f>K68+J68</f>
        <v>0</v>
      </c>
      <c r="M68" s="46"/>
      <c r="N68" s="47"/>
      <c r="O68" s="133">
        <f>N68+M68</f>
        <v>0</v>
      </c>
      <c r="P68" s="49"/>
    </row>
    <row r="69" spans="1:16" ht="24" hidden="1" x14ac:dyDescent="0.25">
      <c r="A69" s="188">
        <v>1220</v>
      </c>
      <c r="B69" s="88" t="s">
        <v>88</v>
      </c>
      <c r="C69" s="89">
        <f t="shared" si="0"/>
        <v>0</v>
      </c>
      <c r="D69" s="189">
        <f>SUM(D70:D74)</f>
        <v>0</v>
      </c>
      <c r="E69" s="190">
        <f t="shared" ref="E69:F69" si="66">SUM(E70:E74)</f>
        <v>0</v>
      </c>
      <c r="F69" s="55">
        <f t="shared" si="66"/>
        <v>0</v>
      </c>
      <c r="G69" s="189">
        <f>SUM(G70:G74)</f>
        <v>0</v>
      </c>
      <c r="H69" s="190">
        <f t="shared" ref="H69:I69" si="67">SUM(H70:H74)</f>
        <v>0</v>
      </c>
      <c r="I69" s="55">
        <f t="shared" si="67"/>
        <v>0</v>
      </c>
      <c r="J69" s="189">
        <f>SUM(J70:J74)</f>
        <v>0</v>
      </c>
      <c r="K69" s="190">
        <f t="shared" ref="K69:L69" si="68">SUM(K70:K74)</f>
        <v>0</v>
      </c>
      <c r="L69" s="55">
        <f t="shared" si="68"/>
        <v>0</v>
      </c>
      <c r="M69" s="189">
        <f>SUM(M70:M74)</f>
        <v>0</v>
      </c>
      <c r="N69" s="190">
        <f t="shared" ref="N69:O69" si="69">SUM(N70:N74)</f>
        <v>0</v>
      </c>
      <c r="O69" s="55">
        <f t="shared" si="69"/>
        <v>0</v>
      </c>
      <c r="P69" s="57"/>
    </row>
    <row r="70" spans="1:16" ht="48" hidden="1" customHeight="1" x14ac:dyDescent="0.25">
      <c r="A70" s="51">
        <v>1221</v>
      </c>
      <c r="B70" s="88" t="s">
        <v>89</v>
      </c>
      <c r="C70" s="89">
        <f t="shared" si="0"/>
        <v>0</v>
      </c>
      <c r="D70" s="53">
        <v>0</v>
      </c>
      <c r="E70" s="54"/>
      <c r="F70" s="55">
        <f t="shared" ref="F70:F74" si="70">D70+E70</f>
        <v>0</v>
      </c>
      <c r="G70" s="53"/>
      <c r="H70" s="54"/>
      <c r="I70" s="55">
        <f t="shared" ref="I70:I74" si="71">G70+H70</f>
        <v>0</v>
      </c>
      <c r="J70" s="53"/>
      <c r="K70" s="54"/>
      <c r="L70" s="55">
        <f t="shared" ref="L70:L74" si="72">K70+J70</f>
        <v>0</v>
      </c>
      <c r="M70" s="53"/>
      <c r="N70" s="54"/>
      <c r="O70" s="55">
        <f t="shared" ref="O70:O74" si="73">N70+M70</f>
        <v>0</v>
      </c>
      <c r="P70" s="57"/>
    </row>
    <row r="71" spans="1:16" ht="12" hidden="1" customHeight="1" x14ac:dyDescent="0.25">
      <c r="A71" s="51">
        <v>1223</v>
      </c>
      <c r="B71" s="88" t="s">
        <v>90</v>
      </c>
      <c r="C71" s="89">
        <f t="shared" si="0"/>
        <v>0</v>
      </c>
      <c r="D71" s="53">
        <v>0</v>
      </c>
      <c r="E71" s="54"/>
      <c r="F71" s="55">
        <f t="shared" si="70"/>
        <v>0</v>
      </c>
      <c r="G71" s="53"/>
      <c r="H71" s="54"/>
      <c r="I71" s="55">
        <f t="shared" si="71"/>
        <v>0</v>
      </c>
      <c r="J71" s="53"/>
      <c r="K71" s="54"/>
      <c r="L71" s="55">
        <f t="shared" si="72"/>
        <v>0</v>
      </c>
      <c r="M71" s="53"/>
      <c r="N71" s="54"/>
      <c r="O71" s="55">
        <f t="shared" si="73"/>
        <v>0</v>
      </c>
      <c r="P71" s="57"/>
    </row>
    <row r="72" spans="1:16" ht="24" hidden="1" customHeight="1" x14ac:dyDescent="0.25">
      <c r="A72" s="51">
        <v>1225</v>
      </c>
      <c r="B72" s="88" t="s">
        <v>91</v>
      </c>
      <c r="C72" s="89">
        <f t="shared" si="0"/>
        <v>0</v>
      </c>
      <c r="D72" s="53">
        <v>0</v>
      </c>
      <c r="E72" s="54"/>
      <c r="F72" s="55">
        <f t="shared" si="70"/>
        <v>0</v>
      </c>
      <c r="G72" s="53"/>
      <c r="H72" s="54"/>
      <c r="I72" s="55">
        <f t="shared" si="71"/>
        <v>0</v>
      </c>
      <c r="J72" s="53"/>
      <c r="K72" s="54"/>
      <c r="L72" s="55">
        <f t="shared" si="72"/>
        <v>0</v>
      </c>
      <c r="M72" s="53"/>
      <c r="N72" s="54"/>
      <c r="O72" s="55">
        <f t="shared" si="73"/>
        <v>0</v>
      </c>
      <c r="P72" s="57"/>
    </row>
    <row r="73" spans="1:16" ht="36" hidden="1" customHeight="1" x14ac:dyDescent="0.25">
      <c r="A73" s="51">
        <v>1227</v>
      </c>
      <c r="B73" s="88" t="s">
        <v>92</v>
      </c>
      <c r="C73" s="89">
        <f t="shared" si="0"/>
        <v>0</v>
      </c>
      <c r="D73" s="53">
        <v>0</v>
      </c>
      <c r="E73" s="54"/>
      <c r="F73" s="55">
        <f t="shared" si="70"/>
        <v>0</v>
      </c>
      <c r="G73" s="53"/>
      <c r="H73" s="54"/>
      <c r="I73" s="55">
        <f t="shared" si="71"/>
        <v>0</v>
      </c>
      <c r="J73" s="53"/>
      <c r="K73" s="54"/>
      <c r="L73" s="55">
        <f t="shared" si="72"/>
        <v>0</v>
      </c>
      <c r="M73" s="53"/>
      <c r="N73" s="54"/>
      <c r="O73" s="55">
        <f t="shared" si="73"/>
        <v>0</v>
      </c>
      <c r="P73" s="57"/>
    </row>
    <row r="74" spans="1:16" ht="48" hidden="1" customHeight="1" x14ac:dyDescent="0.25">
      <c r="A74" s="51">
        <v>1228</v>
      </c>
      <c r="B74" s="88" t="s">
        <v>93</v>
      </c>
      <c r="C74" s="89">
        <f t="shared" si="0"/>
        <v>0</v>
      </c>
      <c r="D74" s="53">
        <v>0</v>
      </c>
      <c r="E74" s="54"/>
      <c r="F74" s="55">
        <f t="shared" si="70"/>
        <v>0</v>
      </c>
      <c r="G74" s="53"/>
      <c r="H74" s="54"/>
      <c r="I74" s="55">
        <f t="shared" si="71"/>
        <v>0</v>
      </c>
      <c r="J74" s="53"/>
      <c r="K74" s="54"/>
      <c r="L74" s="55">
        <f t="shared" si="72"/>
        <v>0</v>
      </c>
      <c r="M74" s="53"/>
      <c r="N74" s="54"/>
      <c r="O74" s="55">
        <f t="shared" si="73"/>
        <v>0</v>
      </c>
      <c r="P74" s="57"/>
    </row>
    <row r="75" spans="1:16" x14ac:dyDescent="0.25">
      <c r="A75" s="176">
        <v>2000</v>
      </c>
      <c r="B75" s="176" t="s">
        <v>94</v>
      </c>
      <c r="C75" s="177">
        <f t="shared" si="0"/>
        <v>510584</v>
      </c>
      <c r="D75" s="178">
        <f>SUM(D76,D83,D130,D164,D165,D172)</f>
        <v>517234</v>
      </c>
      <c r="E75" s="179">
        <f t="shared" ref="E75:F75" si="74">SUM(E76,E83,E130,E164,E165,E172)</f>
        <v>-6650</v>
      </c>
      <c r="F75" s="180">
        <f t="shared" si="74"/>
        <v>510584</v>
      </c>
      <c r="G75" s="178">
        <f>SUM(G76,G83,G130,G164,G165,G172)</f>
        <v>0</v>
      </c>
      <c r="H75" s="179">
        <f t="shared" ref="H75:I75" si="75">SUM(H76,H83,H130,H164,H165,H172)</f>
        <v>0</v>
      </c>
      <c r="I75" s="180">
        <f t="shared" si="75"/>
        <v>0</v>
      </c>
      <c r="J75" s="178">
        <f>SUM(J76,J83,J130,J164,J165,J172)</f>
        <v>0</v>
      </c>
      <c r="K75" s="179">
        <f t="shared" ref="K75:L75" si="76">SUM(K76,K83,K130,K164,K165,K172)</f>
        <v>0</v>
      </c>
      <c r="L75" s="180">
        <f t="shared" si="76"/>
        <v>0</v>
      </c>
      <c r="M75" s="178">
        <f>SUM(M76,M83,M130,M164,M165,M172)</f>
        <v>0</v>
      </c>
      <c r="N75" s="179">
        <f t="shared" ref="N75:O75" si="77">SUM(N76,N83,N130,N164,N165,N172)</f>
        <v>0</v>
      </c>
      <c r="O75" s="180">
        <f t="shared" si="77"/>
        <v>0</v>
      </c>
      <c r="P75" s="181"/>
    </row>
    <row r="76" spans="1:16" ht="24" hidden="1" x14ac:dyDescent="0.25">
      <c r="A76" s="68">
        <v>2100</v>
      </c>
      <c r="B76" s="182" t="s">
        <v>95</v>
      </c>
      <c r="C76" s="69">
        <f t="shared" si="0"/>
        <v>0</v>
      </c>
      <c r="D76" s="183">
        <f>SUM(D77,D80)</f>
        <v>0</v>
      </c>
      <c r="E76" s="184">
        <f t="shared" ref="E76:F76" si="78">SUM(E77,E80)</f>
        <v>0</v>
      </c>
      <c r="F76" s="72">
        <f t="shared" si="78"/>
        <v>0</v>
      </c>
      <c r="G76" s="183">
        <f>SUM(G77,G80)</f>
        <v>0</v>
      </c>
      <c r="H76" s="184">
        <f t="shared" ref="H76:I76" si="79">SUM(H77,H80)</f>
        <v>0</v>
      </c>
      <c r="I76" s="72">
        <f t="shared" si="79"/>
        <v>0</v>
      </c>
      <c r="J76" s="183">
        <f>SUM(J77,J80)</f>
        <v>0</v>
      </c>
      <c r="K76" s="184">
        <f t="shared" ref="K76:L76" si="80">SUM(K77,K80)</f>
        <v>0</v>
      </c>
      <c r="L76" s="72">
        <f t="shared" si="80"/>
        <v>0</v>
      </c>
      <c r="M76" s="183">
        <f>SUM(M77,M80)</f>
        <v>0</v>
      </c>
      <c r="N76" s="184">
        <f t="shared" ref="N76:O76" si="81">SUM(N77,N80)</f>
        <v>0</v>
      </c>
      <c r="O76" s="72">
        <f t="shared" si="81"/>
        <v>0</v>
      </c>
      <c r="P76" s="76"/>
    </row>
    <row r="77" spans="1:16" ht="24" hidden="1" x14ac:dyDescent="0.25">
      <c r="A77" s="1042">
        <v>2110</v>
      </c>
      <c r="B77" s="81" t="s">
        <v>96</v>
      </c>
      <c r="C77" s="82">
        <f t="shared" si="0"/>
        <v>0</v>
      </c>
      <c r="D77" s="192">
        <f>SUM(D78:D79)</f>
        <v>0</v>
      </c>
      <c r="E77" s="193">
        <f t="shared" ref="E77:F77" si="82">SUM(E78:E79)</f>
        <v>0</v>
      </c>
      <c r="F77" s="133">
        <f t="shared" si="82"/>
        <v>0</v>
      </c>
      <c r="G77" s="192">
        <f>SUM(G78:G79)</f>
        <v>0</v>
      </c>
      <c r="H77" s="193">
        <f t="shared" ref="H77:I77" si="83">SUM(H78:H79)</f>
        <v>0</v>
      </c>
      <c r="I77" s="133">
        <f t="shared" si="83"/>
        <v>0</v>
      </c>
      <c r="J77" s="192">
        <f>SUM(J78:J79)</f>
        <v>0</v>
      </c>
      <c r="K77" s="193">
        <f t="shared" ref="K77:L77" si="84">SUM(K78:K79)</f>
        <v>0</v>
      </c>
      <c r="L77" s="133">
        <f t="shared" si="84"/>
        <v>0</v>
      </c>
      <c r="M77" s="192">
        <f>SUM(M78:M79)</f>
        <v>0</v>
      </c>
      <c r="N77" s="193">
        <f t="shared" ref="N77:O77" si="85">SUM(N78:N79)</f>
        <v>0</v>
      </c>
      <c r="O77" s="133">
        <f t="shared" si="85"/>
        <v>0</v>
      </c>
      <c r="P77" s="49"/>
    </row>
    <row r="78" spans="1:16" ht="12" hidden="1" customHeight="1" x14ac:dyDescent="0.25">
      <c r="A78" s="51">
        <v>2111</v>
      </c>
      <c r="B78" s="88" t="s">
        <v>97</v>
      </c>
      <c r="C78" s="89">
        <f t="shared" si="0"/>
        <v>0</v>
      </c>
      <c r="D78" s="194">
        <v>0</v>
      </c>
      <c r="E78" s="195"/>
      <c r="F78" s="55">
        <f t="shared" ref="F78:F79" si="86">D78+E78</f>
        <v>0</v>
      </c>
      <c r="G78" s="53"/>
      <c r="H78" s="54"/>
      <c r="I78" s="55">
        <f t="shared" ref="I78:I79" si="87">G78+H78</f>
        <v>0</v>
      </c>
      <c r="J78" s="53"/>
      <c r="K78" s="54"/>
      <c r="L78" s="55">
        <f t="shared" ref="L78:L79" si="88">K78+J78</f>
        <v>0</v>
      </c>
      <c r="M78" s="53"/>
      <c r="N78" s="54"/>
      <c r="O78" s="55">
        <f t="shared" ref="O78:O79" si="89">N78+M78</f>
        <v>0</v>
      </c>
      <c r="P78" s="57"/>
    </row>
    <row r="79" spans="1:16" ht="24" hidden="1" customHeight="1" x14ac:dyDescent="0.25">
      <c r="A79" s="51">
        <v>2112</v>
      </c>
      <c r="B79" s="88" t="s">
        <v>98</v>
      </c>
      <c r="C79" s="89">
        <f t="shared" si="0"/>
        <v>0</v>
      </c>
      <c r="D79" s="194">
        <v>0</v>
      </c>
      <c r="E79" s="195"/>
      <c r="F79" s="55">
        <f t="shared" si="86"/>
        <v>0</v>
      </c>
      <c r="G79" s="53"/>
      <c r="H79" s="54"/>
      <c r="I79" s="55">
        <f t="shared" si="87"/>
        <v>0</v>
      </c>
      <c r="J79" s="53"/>
      <c r="K79" s="54"/>
      <c r="L79" s="55">
        <f t="shared" si="88"/>
        <v>0</v>
      </c>
      <c r="M79" s="53"/>
      <c r="N79" s="54"/>
      <c r="O79" s="55">
        <f t="shared" si="89"/>
        <v>0</v>
      </c>
      <c r="P79" s="57"/>
    </row>
    <row r="80" spans="1:16" ht="24" hidden="1" x14ac:dyDescent="0.25">
      <c r="A80" s="188">
        <v>2120</v>
      </c>
      <c r="B80" s="88" t="s">
        <v>99</v>
      </c>
      <c r="C80" s="89">
        <f t="shared" si="0"/>
        <v>0</v>
      </c>
      <c r="D80" s="189">
        <f>SUM(D81:D82)</f>
        <v>0</v>
      </c>
      <c r="E80" s="190">
        <f t="shared" ref="E80:F80" si="90">SUM(E81:E82)</f>
        <v>0</v>
      </c>
      <c r="F80" s="55">
        <f t="shared" si="90"/>
        <v>0</v>
      </c>
      <c r="G80" s="189">
        <f>SUM(G81:G82)</f>
        <v>0</v>
      </c>
      <c r="H80" s="190">
        <f t="shared" ref="H80:I80" si="91">SUM(H81:H82)</f>
        <v>0</v>
      </c>
      <c r="I80" s="55">
        <f t="shared" si="91"/>
        <v>0</v>
      </c>
      <c r="J80" s="189">
        <f>SUM(J81:J82)</f>
        <v>0</v>
      </c>
      <c r="K80" s="190">
        <f t="shared" ref="K80:L80" si="92">SUM(K81:K82)</f>
        <v>0</v>
      </c>
      <c r="L80" s="55">
        <f t="shared" si="92"/>
        <v>0</v>
      </c>
      <c r="M80" s="189">
        <f>SUM(M81:M82)</f>
        <v>0</v>
      </c>
      <c r="N80" s="190">
        <f t="shared" ref="N80:O80" si="93">SUM(N81:N82)</f>
        <v>0</v>
      </c>
      <c r="O80" s="55">
        <f t="shared" si="93"/>
        <v>0</v>
      </c>
      <c r="P80" s="57"/>
    </row>
    <row r="81" spans="1:16" ht="12" hidden="1" customHeight="1" x14ac:dyDescent="0.25">
      <c r="A81" s="51">
        <v>2121</v>
      </c>
      <c r="B81" s="88" t="s">
        <v>97</v>
      </c>
      <c r="C81" s="89">
        <f t="shared" si="0"/>
        <v>0</v>
      </c>
      <c r="D81" s="194">
        <v>0</v>
      </c>
      <c r="E81" s="195"/>
      <c r="F81" s="55">
        <f t="shared" ref="F81:F82" si="94">D81+E81</f>
        <v>0</v>
      </c>
      <c r="G81" s="53"/>
      <c r="H81" s="54"/>
      <c r="I81" s="55">
        <f t="shared" ref="I81:I82" si="95">G81+H81</f>
        <v>0</v>
      </c>
      <c r="J81" s="53"/>
      <c r="K81" s="54"/>
      <c r="L81" s="55">
        <f t="shared" ref="L81:L82" si="96">K81+J81</f>
        <v>0</v>
      </c>
      <c r="M81" s="53"/>
      <c r="N81" s="54"/>
      <c r="O81" s="55">
        <f t="shared" ref="O81:O82" si="97">N81+M81</f>
        <v>0</v>
      </c>
      <c r="P81" s="57"/>
    </row>
    <row r="82" spans="1:16" ht="24" hidden="1" customHeight="1" x14ac:dyDescent="0.25">
      <c r="A82" s="51">
        <v>2122</v>
      </c>
      <c r="B82" s="88" t="s">
        <v>98</v>
      </c>
      <c r="C82" s="89">
        <f t="shared" si="0"/>
        <v>0</v>
      </c>
      <c r="D82" s="194">
        <v>0</v>
      </c>
      <c r="E82" s="195"/>
      <c r="F82" s="55">
        <f t="shared" si="94"/>
        <v>0</v>
      </c>
      <c r="G82" s="53"/>
      <c r="H82" s="54"/>
      <c r="I82" s="55">
        <f t="shared" si="95"/>
        <v>0</v>
      </c>
      <c r="J82" s="53"/>
      <c r="K82" s="54"/>
      <c r="L82" s="55">
        <f t="shared" si="96"/>
        <v>0</v>
      </c>
      <c r="M82" s="53"/>
      <c r="N82" s="54"/>
      <c r="O82" s="55">
        <f t="shared" si="97"/>
        <v>0</v>
      </c>
      <c r="P82" s="57"/>
    </row>
    <row r="83" spans="1:16" x14ac:dyDescent="0.25">
      <c r="A83" s="68">
        <v>2200</v>
      </c>
      <c r="B83" s="182" t="s">
        <v>100</v>
      </c>
      <c r="C83" s="69">
        <f t="shared" si="0"/>
        <v>478102</v>
      </c>
      <c r="D83" s="183">
        <f>SUM(D84,D89,D95,D103,D112,D116,D122,D128)</f>
        <v>489752</v>
      </c>
      <c r="E83" s="184">
        <f t="shared" ref="E83:F83" si="98">SUM(E84,E89,E95,E103,E112,E116,E122,E128)</f>
        <v>-11650</v>
      </c>
      <c r="F83" s="72">
        <f t="shared" si="98"/>
        <v>478102</v>
      </c>
      <c r="G83" s="183">
        <f>SUM(G84,G89,G95,G103,G112,G116,G122,G128)</f>
        <v>0</v>
      </c>
      <c r="H83" s="184">
        <f t="shared" ref="H83:I83" si="99">SUM(H84,H89,H95,H103,H112,H116,H122,H128)</f>
        <v>0</v>
      </c>
      <c r="I83" s="72">
        <f t="shared" si="99"/>
        <v>0</v>
      </c>
      <c r="J83" s="183">
        <f>SUM(J84,J89,J95,J103,J112,J116,J122,J128)</f>
        <v>0</v>
      </c>
      <c r="K83" s="184">
        <f t="shared" ref="K83:L83" si="100">SUM(K84,K89,K95,K103,K112,K116,K122,K128)</f>
        <v>0</v>
      </c>
      <c r="L83" s="72">
        <f t="shared" si="100"/>
        <v>0</v>
      </c>
      <c r="M83" s="183">
        <f>SUM(M84,M89,M95,M103,M112,M116,M122,M128)</f>
        <v>0</v>
      </c>
      <c r="N83" s="184">
        <f t="shared" ref="N83:O83" si="101">SUM(N84,N89,N95,N103,N112,N116,N122,N128)</f>
        <v>0</v>
      </c>
      <c r="O83" s="72">
        <f t="shared" si="101"/>
        <v>0</v>
      </c>
      <c r="P83" s="76"/>
    </row>
    <row r="84" spans="1:16" hidden="1" x14ac:dyDescent="0.25">
      <c r="A84" s="185">
        <v>2210</v>
      </c>
      <c r="B84" s="137" t="s">
        <v>101</v>
      </c>
      <c r="C84" s="142">
        <f t="shared" ref="C84:C147" si="102">F84+I84+L84+O84</f>
        <v>0</v>
      </c>
      <c r="D84" s="186">
        <f>SUM(D85:D88)</f>
        <v>0</v>
      </c>
      <c r="E84" s="187">
        <f t="shared" ref="E84:F84" si="103">SUM(E85:E88)</f>
        <v>0</v>
      </c>
      <c r="F84" s="140">
        <f t="shared" si="103"/>
        <v>0</v>
      </c>
      <c r="G84" s="186">
        <f>SUM(G85:G88)</f>
        <v>0</v>
      </c>
      <c r="H84" s="187">
        <f t="shared" ref="H84:I84" si="104">SUM(H85:H88)</f>
        <v>0</v>
      </c>
      <c r="I84" s="140">
        <f t="shared" si="104"/>
        <v>0</v>
      </c>
      <c r="J84" s="186">
        <f>SUM(J85:J88)</f>
        <v>0</v>
      </c>
      <c r="K84" s="187">
        <f t="shared" ref="K84:L84" si="105">SUM(K85:K88)</f>
        <v>0</v>
      </c>
      <c r="L84" s="140">
        <f t="shared" si="105"/>
        <v>0</v>
      </c>
      <c r="M84" s="186">
        <f>SUM(M85:M88)</f>
        <v>0</v>
      </c>
      <c r="N84" s="187">
        <f t="shared" ref="N84:O84" si="106">SUM(N85:N88)</f>
        <v>0</v>
      </c>
      <c r="O84" s="140">
        <f t="shared" si="106"/>
        <v>0</v>
      </c>
      <c r="P84" s="128"/>
    </row>
    <row r="85" spans="1:16" ht="24" hidden="1" customHeight="1" x14ac:dyDescent="0.25">
      <c r="A85" s="44">
        <v>2211</v>
      </c>
      <c r="B85" s="81" t="s">
        <v>102</v>
      </c>
      <c r="C85" s="82">
        <f t="shared" si="102"/>
        <v>0</v>
      </c>
      <c r="D85" s="196">
        <v>0</v>
      </c>
      <c r="E85" s="197"/>
      <c r="F85" s="133">
        <f t="shared" ref="F85:F88" si="107">D85+E85</f>
        <v>0</v>
      </c>
      <c r="G85" s="46"/>
      <c r="H85" s="47"/>
      <c r="I85" s="133">
        <f t="shared" ref="I85:I88" si="108">G85+H85</f>
        <v>0</v>
      </c>
      <c r="J85" s="46"/>
      <c r="K85" s="47"/>
      <c r="L85" s="133">
        <f t="shared" ref="L85:L88" si="109">K85+J85</f>
        <v>0</v>
      </c>
      <c r="M85" s="46"/>
      <c r="N85" s="47"/>
      <c r="O85" s="133">
        <f t="shared" ref="O85:O88" si="110">N85+M85</f>
        <v>0</v>
      </c>
      <c r="P85" s="49"/>
    </row>
    <row r="86" spans="1:16" ht="36" hidden="1" customHeight="1" x14ac:dyDescent="0.25">
      <c r="A86" s="51">
        <v>2212</v>
      </c>
      <c r="B86" s="88" t="s">
        <v>103</v>
      </c>
      <c r="C86" s="89">
        <f t="shared" si="102"/>
        <v>0</v>
      </c>
      <c r="D86" s="194">
        <v>0</v>
      </c>
      <c r="E86" s="195"/>
      <c r="F86" s="55">
        <f t="shared" si="107"/>
        <v>0</v>
      </c>
      <c r="G86" s="53"/>
      <c r="H86" s="54"/>
      <c r="I86" s="55">
        <f t="shared" si="108"/>
        <v>0</v>
      </c>
      <c r="J86" s="53"/>
      <c r="K86" s="54"/>
      <c r="L86" s="55">
        <f t="shared" si="109"/>
        <v>0</v>
      </c>
      <c r="M86" s="53"/>
      <c r="N86" s="54"/>
      <c r="O86" s="55">
        <f t="shared" si="110"/>
        <v>0</v>
      </c>
      <c r="P86" s="57"/>
    </row>
    <row r="87" spans="1:16" ht="24" hidden="1" customHeight="1" x14ac:dyDescent="0.25">
      <c r="A87" s="51">
        <v>2214</v>
      </c>
      <c r="B87" s="88" t="s">
        <v>104</v>
      </c>
      <c r="C87" s="89">
        <f t="shared" si="102"/>
        <v>0</v>
      </c>
      <c r="D87" s="194">
        <v>0</v>
      </c>
      <c r="E87" s="195"/>
      <c r="F87" s="55">
        <f t="shared" si="107"/>
        <v>0</v>
      </c>
      <c r="G87" s="53"/>
      <c r="H87" s="54"/>
      <c r="I87" s="55">
        <f t="shared" si="108"/>
        <v>0</v>
      </c>
      <c r="J87" s="53"/>
      <c r="K87" s="54"/>
      <c r="L87" s="55">
        <f t="shared" si="109"/>
        <v>0</v>
      </c>
      <c r="M87" s="53"/>
      <c r="N87" s="54"/>
      <c r="O87" s="55">
        <f t="shared" si="110"/>
        <v>0</v>
      </c>
      <c r="P87" s="57"/>
    </row>
    <row r="88" spans="1:16" ht="12" hidden="1" customHeight="1" x14ac:dyDescent="0.25">
      <c r="A88" s="51">
        <v>2219</v>
      </c>
      <c r="B88" s="88" t="s">
        <v>105</v>
      </c>
      <c r="C88" s="89">
        <f t="shared" si="102"/>
        <v>0</v>
      </c>
      <c r="D88" s="194">
        <v>0</v>
      </c>
      <c r="E88" s="195"/>
      <c r="F88" s="55">
        <f t="shared" si="107"/>
        <v>0</v>
      </c>
      <c r="G88" s="53"/>
      <c r="H88" s="54"/>
      <c r="I88" s="55">
        <f t="shared" si="108"/>
        <v>0</v>
      </c>
      <c r="J88" s="53"/>
      <c r="K88" s="54"/>
      <c r="L88" s="55">
        <f t="shared" si="109"/>
        <v>0</v>
      </c>
      <c r="M88" s="53"/>
      <c r="N88" s="54"/>
      <c r="O88" s="55">
        <f t="shared" si="110"/>
        <v>0</v>
      </c>
      <c r="P88" s="57"/>
    </row>
    <row r="89" spans="1:16" ht="24" hidden="1" x14ac:dyDescent="0.25">
      <c r="A89" s="188">
        <v>2220</v>
      </c>
      <c r="B89" s="88" t="s">
        <v>106</v>
      </c>
      <c r="C89" s="89">
        <f t="shared" si="102"/>
        <v>0</v>
      </c>
      <c r="D89" s="189">
        <f>SUM(D90:D94)</f>
        <v>0</v>
      </c>
      <c r="E89" s="190">
        <f t="shared" ref="E89:F89" si="111">SUM(E90:E94)</f>
        <v>0</v>
      </c>
      <c r="F89" s="55">
        <f t="shared" si="111"/>
        <v>0</v>
      </c>
      <c r="G89" s="189">
        <f>SUM(G90:G94)</f>
        <v>0</v>
      </c>
      <c r="H89" s="190">
        <f t="shared" ref="H89:I89" si="112">SUM(H90:H94)</f>
        <v>0</v>
      </c>
      <c r="I89" s="55">
        <f t="shared" si="112"/>
        <v>0</v>
      </c>
      <c r="J89" s="189">
        <f>SUM(J90:J94)</f>
        <v>0</v>
      </c>
      <c r="K89" s="190">
        <f t="shared" ref="K89:L89" si="113">SUM(K90:K94)</f>
        <v>0</v>
      </c>
      <c r="L89" s="55">
        <f t="shared" si="113"/>
        <v>0</v>
      </c>
      <c r="M89" s="189">
        <f>SUM(M90:M94)</f>
        <v>0</v>
      </c>
      <c r="N89" s="190">
        <f t="shared" ref="N89:O89" si="114">SUM(N90:N94)</f>
        <v>0</v>
      </c>
      <c r="O89" s="55">
        <f t="shared" si="114"/>
        <v>0</v>
      </c>
      <c r="P89" s="57"/>
    </row>
    <row r="90" spans="1:16" ht="24" hidden="1" customHeight="1" x14ac:dyDescent="0.25">
      <c r="A90" s="51">
        <v>2221</v>
      </c>
      <c r="B90" s="88" t="s">
        <v>107</v>
      </c>
      <c r="C90" s="89">
        <f t="shared" si="102"/>
        <v>0</v>
      </c>
      <c r="D90" s="194">
        <v>0</v>
      </c>
      <c r="E90" s="195"/>
      <c r="F90" s="55">
        <f t="shared" ref="F90:F94" si="115">D90+E90</f>
        <v>0</v>
      </c>
      <c r="G90" s="53"/>
      <c r="H90" s="54"/>
      <c r="I90" s="55">
        <f t="shared" ref="I90:I94" si="116">G90+H90</f>
        <v>0</v>
      </c>
      <c r="J90" s="53"/>
      <c r="K90" s="54"/>
      <c r="L90" s="55">
        <f t="shared" ref="L90:L94" si="117">K90+J90</f>
        <v>0</v>
      </c>
      <c r="M90" s="53"/>
      <c r="N90" s="54"/>
      <c r="O90" s="55">
        <f t="shared" ref="O90:O94" si="118">N90+M90</f>
        <v>0</v>
      </c>
      <c r="P90" s="57"/>
    </row>
    <row r="91" spans="1:16" ht="12" hidden="1" customHeight="1" x14ac:dyDescent="0.25">
      <c r="A91" s="51">
        <v>2222</v>
      </c>
      <c r="B91" s="88" t="s">
        <v>108</v>
      </c>
      <c r="C91" s="89">
        <f t="shared" si="102"/>
        <v>0</v>
      </c>
      <c r="D91" s="194">
        <v>0</v>
      </c>
      <c r="E91" s="195"/>
      <c r="F91" s="55">
        <f t="shared" si="115"/>
        <v>0</v>
      </c>
      <c r="G91" s="53"/>
      <c r="H91" s="54"/>
      <c r="I91" s="55">
        <f t="shared" si="116"/>
        <v>0</v>
      </c>
      <c r="J91" s="53"/>
      <c r="K91" s="54"/>
      <c r="L91" s="55">
        <f t="shared" si="117"/>
        <v>0</v>
      </c>
      <c r="M91" s="53"/>
      <c r="N91" s="54"/>
      <c r="O91" s="55">
        <f t="shared" si="118"/>
        <v>0</v>
      </c>
      <c r="P91" s="57"/>
    </row>
    <row r="92" spans="1:16" ht="12" hidden="1" customHeight="1" x14ac:dyDescent="0.25">
      <c r="A92" s="51">
        <v>2223</v>
      </c>
      <c r="B92" s="88" t="s">
        <v>109</v>
      </c>
      <c r="C92" s="89">
        <f t="shared" si="102"/>
        <v>0</v>
      </c>
      <c r="D92" s="194">
        <v>0</v>
      </c>
      <c r="E92" s="195"/>
      <c r="F92" s="55">
        <f t="shared" si="115"/>
        <v>0</v>
      </c>
      <c r="G92" s="53"/>
      <c r="H92" s="54"/>
      <c r="I92" s="55">
        <f t="shared" si="116"/>
        <v>0</v>
      </c>
      <c r="J92" s="53"/>
      <c r="K92" s="54"/>
      <c r="L92" s="55">
        <f t="shared" si="117"/>
        <v>0</v>
      </c>
      <c r="M92" s="53"/>
      <c r="N92" s="54"/>
      <c r="O92" s="55">
        <f t="shared" si="118"/>
        <v>0</v>
      </c>
      <c r="P92" s="57"/>
    </row>
    <row r="93" spans="1:16" ht="48" hidden="1" customHeight="1" x14ac:dyDescent="0.25">
      <c r="A93" s="51">
        <v>2224</v>
      </c>
      <c r="B93" s="88" t="s">
        <v>110</v>
      </c>
      <c r="C93" s="89">
        <f t="shared" si="102"/>
        <v>0</v>
      </c>
      <c r="D93" s="194">
        <v>0</v>
      </c>
      <c r="E93" s="195"/>
      <c r="F93" s="55">
        <f t="shared" si="115"/>
        <v>0</v>
      </c>
      <c r="G93" s="53"/>
      <c r="H93" s="54"/>
      <c r="I93" s="55">
        <f t="shared" si="116"/>
        <v>0</v>
      </c>
      <c r="J93" s="53"/>
      <c r="K93" s="54"/>
      <c r="L93" s="55">
        <f t="shared" si="117"/>
        <v>0</v>
      </c>
      <c r="M93" s="53"/>
      <c r="N93" s="54"/>
      <c r="O93" s="55">
        <f t="shared" si="118"/>
        <v>0</v>
      </c>
      <c r="P93" s="57"/>
    </row>
    <row r="94" spans="1:16" ht="24" hidden="1" customHeight="1" x14ac:dyDescent="0.25">
      <c r="A94" s="51">
        <v>2229</v>
      </c>
      <c r="B94" s="88" t="s">
        <v>111</v>
      </c>
      <c r="C94" s="89">
        <f t="shared" si="102"/>
        <v>0</v>
      </c>
      <c r="D94" s="194">
        <v>0</v>
      </c>
      <c r="E94" s="195"/>
      <c r="F94" s="55">
        <f t="shared" si="115"/>
        <v>0</v>
      </c>
      <c r="G94" s="53"/>
      <c r="H94" s="54"/>
      <c r="I94" s="55">
        <f t="shared" si="116"/>
        <v>0</v>
      </c>
      <c r="J94" s="53"/>
      <c r="K94" s="54"/>
      <c r="L94" s="55">
        <f t="shared" si="117"/>
        <v>0</v>
      </c>
      <c r="M94" s="53"/>
      <c r="N94" s="54"/>
      <c r="O94" s="55">
        <f t="shared" si="118"/>
        <v>0</v>
      </c>
      <c r="P94" s="57"/>
    </row>
    <row r="95" spans="1:16" ht="36" x14ac:dyDescent="0.25">
      <c r="A95" s="188">
        <v>2230</v>
      </c>
      <c r="B95" s="88" t="s">
        <v>112</v>
      </c>
      <c r="C95" s="89">
        <f t="shared" si="102"/>
        <v>327757</v>
      </c>
      <c r="D95" s="189">
        <f>SUM(D96:D102)</f>
        <v>338600</v>
      </c>
      <c r="E95" s="190">
        <f t="shared" ref="E95:F95" si="119">SUM(E96:E102)</f>
        <v>-10843</v>
      </c>
      <c r="F95" s="55">
        <f t="shared" si="119"/>
        <v>327757</v>
      </c>
      <c r="G95" s="189">
        <f>SUM(G96:G102)</f>
        <v>0</v>
      </c>
      <c r="H95" s="190">
        <f t="shared" ref="H95:I95" si="120">SUM(H96:H102)</f>
        <v>0</v>
      </c>
      <c r="I95" s="55">
        <f t="shared" si="120"/>
        <v>0</v>
      </c>
      <c r="J95" s="189">
        <f>SUM(J96:J102)</f>
        <v>0</v>
      </c>
      <c r="K95" s="190">
        <f t="shared" ref="K95:L95" si="121">SUM(K96:K102)</f>
        <v>0</v>
      </c>
      <c r="L95" s="55">
        <f t="shared" si="121"/>
        <v>0</v>
      </c>
      <c r="M95" s="189">
        <f>SUM(M96:M102)</f>
        <v>0</v>
      </c>
      <c r="N95" s="190">
        <f t="shared" ref="N95:O95" si="122">SUM(N96:N102)</f>
        <v>0</v>
      </c>
      <c r="O95" s="55">
        <f t="shared" si="122"/>
        <v>0</v>
      </c>
      <c r="P95" s="57"/>
    </row>
    <row r="96" spans="1:16" ht="24" customHeight="1" x14ac:dyDescent="0.25">
      <c r="A96" s="51">
        <v>2231</v>
      </c>
      <c r="B96" s="88" t="s">
        <v>113</v>
      </c>
      <c r="C96" s="89">
        <f t="shared" si="102"/>
        <v>16500</v>
      </c>
      <c r="D96" s="194">
        <v>16500</v>
      </c>
      <c r="E96" s="195"/>
      <c r="F96" s="55">
        <f t="shared" ref="F96:F102" si="123">D96+E96</f>
        <v>16500</v>
      </c>
      <c r="G96" s="53"/>
      <c r="H96" s="54"/>
      <c r="I96" s="55">
        <f t="shared" ref="I96:I102" si="124">G96+H96</f>
        <v>0</v>
      </c>
      <c r="J96" s="53"/>
      <c r="K96" s="54"/>
      <c r="L96" s="55">
        <f t="shared" ref="L96:L102" si="125">K96+J96</f>
        <v>0</v>
      </c>
      <c r="M96" s="53"/>
      <c r="N96" s="54"/>
      <c r="O96" s="55">
        <f t="shared" ref="O96:O102" si="126">N96+M96</f>
        <v>0</v>
      </c>
      <c r="P96" s="57"/>
    </row>
    <row r="97" spans="1:16" ht="24.75" customHeight="1" x14ac:dyDescent="0.25">
      <c r="A97" s="51">
        <v>2232</v>
      </c>
      <c r="B97" s="88" t="s">
        <v>114</v>
      </c>
      <c r="C97" s="89">
        <f t="shared" si="102"/>
        <v>9257</v>
      </c>
      <c r="D97" s="194">
        <v>12100</v>
      </c>
      <c r="E97" s="198">
        <f>-2843</f>
        <v>-2843</v>
      </c>
      <c r="F97" s="55">
        <f t="shared" si="123"/>
        <v>9257</v>
      </c>
      <c r="G97" s="53"/>
      <c r="H97" s="54"/>
      <c r="I97" s="55">
        <f t="shared" si="124"/>
        <v>0</v>
      </c>
      <c r="J97" s="53"/>
      <c r="K97" s="54"/>
      <c r="L97" s="55">
        <f t="shared" si="125"/>
        <v>0</v>
      </c>
      <c r="M97" s="53"/>
      <c r="N97" s="54"/>
      <c r="O97" s="55">
        <f t="shared" si="126"/>
        <v>0</v>
      </c>
      <c r="P97" s="57"/>
    </row>
    <row r="98" spans="1:16" ht="24" hidden="1" customHeight="1" x14ac:dyDescent="0.25">
      <c r="A98" s="44">
        <v>2233</v>
      </c>
      <c r="B98" s="81" t="s">
        <v>115</v>
      </c>
      <c r="C98" s="82">
        <f t="shared" si="102"/>
        <v>0</v>
      </c>
      <c r="D98" s="196">
        <v>0</v>
      </c>
      <c r="E98" s="197"/>
      <c r="F98" s="133">
        <f t="shared" si="123"/>
        <v>0</v>
      </c>
      <c r="G98" s="46"/>
      <c r="H98" s="47"/>
      <c r="I98" s="133">
        <f t="shared" si="124"/>
        <v>0</v>
      </c>
      <c r="J98" s="46"/>
      <c r="K98" s="47"/>
      <c r="L98" s="133">
        <f t="shared" si="125"/>
        <v>0</v>
      </c>
      <c r="M98" s="46"/>
      <c r="N98" s="47"/>
      <c r="O98" s="133">
        <f t="shared" si="126"/>
        <v>0</v>
      </c>
      <c r="P98" s="49"/>
    </row>
    <row r="99" spans="1:16" ht="36" hidden="1" customHeight="1" x14ac:dyDescent="0.25">
      <c r="A99" s="51">
        <v>2234</v>
      </c>
      <c r="B99" s="88" t="s">
        <v>116</v>
      </c>
      <c r="C99" s="89">
        <f t="shared" si="102"/>
        <v>0</v>
      </c>
      <c r="D99" s="194">
        <v>0</v>
      </c>
      <c r="E99" s="195"/>
      <c r="F99" s="55">
        <f t="shared" si="123"/>
        <v>0</v>
      </c>
      <c r="G99" s="53"/>
      <c r="H99" s="54"/>
      <c r="I99" s="55">
        <f t="shared" si="124"/>
        <v>0</v>
      </c>
      <c r="J99" s="53"/>
      <c r="K99" s="54"/>
      <c r="L99" s="55">
        <f t="shared" si="125"/>
        <v>0</v>
      </c>
      <c r="M99" s="53"/>
      <c r="N99" s="54"/>
      <c r="O99" s="55">
        <f t="shared" si="126"/>
        <v>0</v>
      </c>
      <c r="P99" s="57"/>
    </row>
    <row r="100" spans="1:16" ht="24" hidden="1" customHeight="1" x14ac:dyDescent="0.25">
      <c r="A100" s="51">
        <v>2235</v>
      </c>
      <c r="B100" s="88" t="s">
        <v>117</v>
      </c>
      <c r="C100" s="89">
        <f t="shared" si="102"/>
        <v>0</v>
      </c>
      <c r="D100" s="194">
        <v>0</v>
      </c>
      <c r="E100" s="195"/>
      <c r="F100" s="55">
        <f t="shared" si="123"/>
        <v>0</v>
      </c>
      <c r="G100" s="53"/>
      <c r="H100" s="54"/>
      <c r="I100" s="55">
        <f t="shared" si="124"/>
        <v>0</v>
      </c>
      <c r="J100" s="53"/>
      <c r="K100" s="54"/>
      <c r="L100" s="55">
        <f t="shared" si="125"/>
        <v>0</v>
      </c>
      <c r="M100" s="53"/>
      <c r="N100" s="54"/>
      <c r="O100" s="55">
        <f t="shared" si="126"/>
        <v>0</v>
      </c>
      <c r="P100" s="57"/>
    </row>
    <row r="101" spans="1:16" ht="12" hidden="1" customHeight="1" x14ac:dyDescent="0.25">
      <c r="A101" s="51">
        <v>2236</v>
      </c>
      <c r="B101" s="88" t="s">
        <v>118</v>
      </c>
      <c r="C101" s="89">
        <f t="shared" si="102"/>
        <v>0</v>
      </c>
      <c r="D101" s="194">
        <v>0</v>
      </c>
      <c r="E101" s="195"/>
      <c r="F101" s="55">
        <f t="shared" si="123"/>
        <v>0</v>
      </c>
      <c r="G101" s="53"/>
      <c r="H101" s="54"/>
      <c r="I101" s="55">
        <f t="shared" si="124"/>
        <v>0</v>
      </c>
      <c r="J101" s="53"/>
      <c r="K101" s="54"/>
      <c r="L101" s="55">
        <f t="shared" si="125"/>
        <v>0</v>
      </c>
      <c r="M101" s="53"/>
      <c r="N101" s="54"/>
      <c r="O101" s="55">
        <f t="shared" si="126"/>
        <v>0</v>
      </c>
      <c r="P101" s="57"/>
    </row>
    <row r="102" spans="1:16" ht="24" customHeight="1" x14ac:dyDescent="0.25">
      <c r="A102" s="51">
        <v>2239</v>
      </c>
      <c r="B102" s="88" t="s">
        <v>119</v>
      </c>
      <c r="C102" s="89">
        <f t="shared" si="102"/>
        <v>302000</v>
      </c>
      <c r="D102" s="194">
        <v>310000</v>
      </c>
      <c r="E102" s="198">
        <f>-8000</f>
        <v>-8000</v>
      </c>
      <c r="F102" s="55">
        <f t="shared" si="123"/>
        <v>302000</v>
      </c>
      <c r="G102" s="53"/>
      <c r="H102" s="54"/>
      <c r="I102" s="55">
        <f t="shared" si="124"/>
        <v>0</v>
      </c>
      <c r="J102" s="53"/>
      <c r="K102" s="54"/>
      <c r="L102" s="55">
        <f t="shared" si="125"/>
        <v>0</v>
      </c>
      <c r="M102" s="53"/>
      <c r="N102" s="54"/>
      <c r="O102" s="55">
        <f t="shared" si="126"/>
        <v>0</v>
      </c>
      <c r="P102" s="57"/>
    </row>
    <row r="103" spans="1:16" ht="36" hidden="1" x14ac:dyDescent="0.25">
      <c r="A103" s="188">
        <v>2240</v>
      </c>
      <c r="B103" s="88" t="s">
        <v>120</v>
      </c>
      <c r="C103" s="89">
        <f t="shared" si="102"/>
        <v>0</v>
      </c>
      <c r="D103" s="189">
        <f>SUM(D104:D111)</f>
        <v>0</v>
      </c>
      <c r="E103" s="190">
        <f t="shared" ref="E103:F103" si="127">SUM(E104:E111)</f>
        <v>0</v>
      </c>
      <c r="F103" s="55">
        <f t="shared" si="127"/>
        <v>0</v>
      </c>
      <c r="G103" s="189">
        <f>SUM(G104:G111)</f>
        <v>0</v>
      </c>
      <c r="H103" s="190">
        <f t="shared" ref="H103:I103" si="128">SUM(H104:H111)</f>
        <v>0</v>
      </c>
      <c r="I103" s="55">
        <f t="shared" si="128"/>
        <v>0</v>
      </c>
      <c r="J103" s="189">
        <f>SUM(J104:J111)</f>
        <v>0</v>
      </c>
      <c r="K103" s="190">
        <f t="shared" ref="K103:L103" si="129">SUM(K104:K111)</f>
        <v>0</v>
      </c>
      <c r="L103" s="55">
        <f t="shared" si="129"/>
        <v>0</v>
      </c>
      <c r="M103" s="189">
        <f>SUM(M104:M111)</f>
        <v>0</v>
      </c>
      <c r="N103" s="190">
        <f t="shared" ref="N103:O103" si="130">SUM(N104:N111)</f>
        <v>0</v>
      </c>
      <c r="O103" s="55">
        <f t="shared" si="130"/>
        <v>0</v>
      </c>
      <c r="P103" s="57"/>
    </row>
    <row r="104" spans="1:16" ht="12" hidden="1" customHeight="1" x14ac:dyDescent="0.25">
      <c r="A104" s="51">
        <v>2241</v>
      </c>
      <c r="B104" s="88" t="s">
        <v>121</v>
      </c>
      <c r="C104" s="89">
        <f t="shared" si="102"/>
        <v>0</v>
      </c>
      <c r="D104" s="194">
        <v>0</v>
      </c>
      <c r="E104" s="195"/>
      <c r="F104" s="55">
        <f t="shared" ref="F104:F111" si="131">D104+E104</f>
        <v>0</v>
      </c>
      <c r="G104" s="53"/>
      <c r="H104" s="54"/>
      <c r="I104" s="55">
        <f t="shared" ref="I104:I111" si="132">G104+H104</f>
        <v>0</v>
      </c>
      <c r="J104" s="53"/>
      <c r="K104" s="54"/>
      <c r="L104" s="55">
        <f t="shared" ref="L104:L111" si="133">K104+J104</f>
        <v>0</v>
      </c>
      <c r="M104" s="53"/>
      <c r="N104" s="54"/>
      <c r="O104" s="55">
        <f t="shared" ref="O104:O111" si="134">N104+M104</f>
        <v>0</v>
      </c>
      <c r="P104" s="57"/>
    </row>
    <row r="105" spans="1:16" ht="24" hidden="1" customHeight="1" x14ac:dyDescent="0.25">
      <c r="A105" s="51">
        <v>2242</v>
      </c>
      <c r="B105" s="88" t="s">
        <v>122</v>
      </c>
      <c r="C105" s="89">
        <f t="shared" si="102"/>
        <v>0</v>
      </c>
      <c r="D105" s="194">
        <v>0</v>
      </c>
      <c r="E105" s="195"/>
      <c r="F105" s="55">
        <f t="shared" si="131"/>
        <v>0</v>
      </c>
      <c r="G105" s="53"/>
      <c r="H105" s="54"/>
      <c r="I105" s="55">
        <f t="shared" si="132"/>
        <v>0</v>
      </c>
      <c r="J105" s="53"/>
      <c r="K105" s="54"/>
      <c r="L105" s="55">
        <f t="shared" si="133"/>
        <v>0</v>
      </c>
      <c r="M105" s="53"/>
      <c r="N105" s="54"/>
      <c r="O105" s="55">
        <f t="shared" si="134"/>
        <v>0</v>
      </c>
      <c r="P105" s="57"/>
    </row>
    <row r="106" spans="1:16" ht="24" hidden="1" customHeight="1" x14ac:dyDescent="0.25">
      <c r="A106" s="51">
        <v>2243</v>
      </c>
      <c r="B106" s="88" t="s">
        <v>123</v>
      </c>
      <c r="C106" s="89">
        <f t="shared" si="102"/>
        <v>0</v>
      </c>
      <c r="D106" s="194">
        <v>0</v>
      </c>
      <c r="E106" s="195"/>
      <c r="F106" s="55">
        <f t="shared" si="131"/>
        <v>0</v>
      </c>
      <c r="G106" s="53"/>
      <c r="H106" s="54"/>
      <c r="I106" s="55">
        <f t="shared" si="132"/>
        <v>0</v>
      </c>
      <c r="J106" s="53"/>
      <c r="K106" s="54"/>
      <c r="L106" s="55">
        <f t="shared" si="133"/>
        <v>0</v>
      </c>
      <c r="M106" s="53"/>
      <c r="N106" s="54"/>
      <c r="O106" s="55">
        <f t="shared" si="134"/>
        <v>0</v>
      </c>
      <c r="P106" s="57"/>
    </row>
    <row r="107" spans="1:16" ht="12" hidden="1" customHeight="1" x14ac:dyDescent="0.25">
      <c r="A107" s="51">
        <v>2244</v>
      </c>
      <c r="B107" s="88" t="s">
        <v>124</v>
      </c>
      <c r="C107" s="89">
        <f t="shared" si="102"/>
        <v>0</v>
      </c>
      <c r="D107" s="194">
        <v>0</v>
      </c>
      <c r="E107" s="195"/>
      <c r="F107" s="55">
        <f t="shared" si="131"/>
        <v>0</v>
      </c>
      <c r="G107" s="53"/>
      <c r="H107" s="54"/>
      <c r="I107" s="55">
        <f t="shared" si="132"/>
        <v>0</v>
      </c>
      <c r="J107" s="53"/>
      <c r="K107" s="54"/>
      <c r="L107" s="55">
        <f t="shared" si="133"/>
        <v>0</v>
      </c>
      <c r="M107" s="53"/>
      <c r="N107" s="54"/>
      <c r="O107" s="55">
        <f t="shared" si="134"/>
        <v>0</v>
      </c>
      <c r="P107" s="57"/>
    </row>
    <row r="108" spans="1:16" ht="24" hidden="1" customHeight="1" x14ac:dyDescent="0.25">
      <c r="A108" s="51">
        <v>2246</v>
      </c>
      <c r="B108" s="88" t="s">
        <v>125</v>
      </c>
      <c r="C108" s="89">
        <f t="shared" si="102"/>
        <v>0</v>
      </c>
      <c r="D108" s="194">
        <v>0</v>
      </c>
      <c r="E108" s="195"/>
      <c r="F108" s="55">
        <f t="shared" si="131"/>
        <v>0</v>
      </c>
      <c r="G108" s="53"/>
      <c r="H108" s="54"/>
      <c r="I108" s="55">
        <f t="shared" si="132"/>
        <v>0</v>
      </c>
      <c r="J108" s="53"/>
      <c r="K108" s="54"/>
      <c r="L108" s="55">
        <f t="shared" si="133"/>
        <v>0</v>
      </c>
      <c r="M108" s="53"/>
      <c r="N108" s="54"/>
      <c r="O108" s="55">
        <f t="shared" si="134"/>
        <v>0</v>
      </c>
      <c r="P108" s="57"/>
    </row>
    <row r="109" spans="1:16" ht="12" hidden="1" customHeight="1" x14ac:dyDescent="0.25">
      <c r="A109" s="51">
        <v>2247</v>
      </c>
      <c r="B109" s="88" t="s">
        <v>126</v>
      </c>
      <c r="C109" s="89">
        <f t="shared" si="102"/>
        <v>0</v>
      </c>
      <c r="D109" s="194">
        <v>0</v>
      </c>
      <c r="E109" s="195"/>
      <c r="F109" s="55">
        <f t="shared" si="131"/>
        <v>0</v>
      </c>
      <c r="G109" s="53"/>
      <c r="H109" s="54"/>
      <c r="I109" s="55">
        <f t="shared" si="132"/>
        <v>0</v>
      </c>
      <c r="J109" s="53"/>
      <c r="K109" s="54"/>
      <c r="L109" s="55">
        <f t="shared" si="133"/>
        <v>0</v>
      </c>
      <c r="M109" s="53"/>
      <c r="N109" s="54"/>
      <c r="O109" s="55">
        <f t="shared" si="134"/>
        <v>0</v>
      </c>
      <c r="P109" s="57"/>
    </row>
    <row r="110" spans="1:16" ht="24" hidden="1" customHeight="1" x14ac:dyDescent="0.25">
      <c r="A110" s="51">
        <v>2248</v>
      </c>
      <c r="B110" s="88" t="s">
        <v>127</v>
      </c>
      <c r="C110" s="89">
        <f t="shared" si="102"/>
        <v>0</v>
      </c>
      <c r="D110" s="194">
        <v>0</v>
      </c>
      <c r="E110" s="195"/>
      <c r="F110" s="55">
        <f t="shared" si="131"/>
        <v>0</v>
      </c>
      <c r="G110" s="53"/>
      <c r="H110" s="54"/>
      <c r="I110" s="55">
        <f t="shared" si="132"/>
        <v>0</v>
      </c>
      <c r="J110" s="53"/>
      <c r="K110" s="54"/>
      <c r="L110" s="55">
        <f t="shared" si="133"/>
        <v>0</v>
      </c>
      <c r="M110" s="53"/>
      <c r="N110" s="54"/>
      <c r="O110" s="55">
        <f t="shared" si="134"/>
        <v>0</v>
      </c>
      <c r="P110" s="57"/>
    </row>
    <row r="111" spans="1:16" ht="24" hidden="1" customHeight="1" x14ac:dyDescent="0.25">
      <c r="A111" s="51">
        <v>2249</v>
      </c>
      <c r="B111" s="88" t="s">
        <v>128</v>
      </c>
      <c r="C111" s="89">
        <f t="shared" si="102"/>
        <v>0</v>
      </c>
      <c r="D111" s="194">
        <v>0</v>
      </c>
      <c r="E111" s="195"/>
      <c r="F111" s="55">
        <f t="shared" si="131"/>
        <v>0</v>
      </c>
      <c r="G111" s="53"/>
      <c r="H111" s="54"/>
      <c r="I111" s="55">
        <f t="shared" si="132"/>
        <v>0</v>
      </c>
      <c r="J111" s="53"/>
      <c r="K111" s="54"/>
      <c r="L111" s="55">
        <f t="shared" si="133"/>
        <v>0</v>
      </c>
      <c r="M111" s="53"/>
      <c r="N111" s="54"/>
      <c r="O111" s="55">
        <f t="shared" si="134"/>
        <v>0</v>
      </c>
      <c r="P111" s="57"/>
    </row>
    <row r="112" spans="1:16" hidden="1" x14ac:dyDescent="0.25">
      <c r="A112" s="188">
        <v>2250</v>
      </c>
      <c r="B112" s="88" t="s">
        <v>129</v>
      </c>
      <c r="C112" s="89">
        <f t="shared" si="102"/>
        <v>0</v>
      </c>
      <c r="D112" s="189">
        <f>SUM(D113:D115)</f>
        <v>0</v>
      </c>
      <c r="E112" s="190">
        <f t="shared" ref="E112:F112" si="135">SUM(E113:E115)</f>
        <v>0</v>
      </c>
      <c r="F112" s="55">
        <f t="shared" si="135"/>
        <v>0</v>
      </c>
      <c r="G112" s="189">
        <f>SUM(G113:G115)</f>
        <v>0</v>
      </c>
      <c r="H112" s="190">
        <f t="shared" ref="H112:I112" si="136">SUM(H113:H115)</f>
        <v>0</v>
      </c>
      <c r="I112" s="55">
        <f t="shared" si="136"/>
        <v>0</v>
      </c>
      <c r="J112" s="189">
        <f>SUM(J113:J115)</f>
        <v>0</v>
      </c>
      <c r="K112" s="190">
        <f t="shared" ref="K112:L112" si="137">SUM(K113:K115)</f>
        <v>0</v>
      </c>
      <c r="L112" s="55">
        <f t="shared" si="137"/>
        <v>0</v>
      </c>
      <c r="M112" s="189">
        <f>SUM(M113:M115)</f>
        <v>0</v>
      </c>
      <c r="N112" s="190">
        <f t="shared" ref="N112:O112" si="138">SUM(N113:N115)</f>
        <v>0</v>
      </c>
      <c r="O112" s="55">
        <f t="shared" si="138"/>
        <v>0</v>
      </c>
      <c r="P112" s="57"/>
    </row>
    <row r="113" spans="1:16" ht="12" hidden="1" customHeight="1" x14ac:dyDescent="0.25">
      <c r="A113" s="51">
        <v>2251</v>
      </c>
      <c r="B113" s="88" t="s">
        <v>130</v>
      </c>
      <c r="C113" s="89">
        <f t="shared" si="102"/>
        <v>0</v>
      </c>
      <c r="D113" s="194">
        <v>0</v>
      </c>
      <c r="E113" s="195"/>
      <c r="F113" s="55">
        <f t="shared" ref="F113:F115" si="139">D113+E113</f>
        <v>0</v>
      </c>
      <c r="G113" s="53"/>
      <c r="H113" s="54"/>
      <c r="I113" s="55">
        <f t="shared" ref="I113:I115" si="140">G113+H113</f>
        <v>0</v>
      </c>
      <c r="J113" s="53"/>
      <c r="K113" s="54"/>
      <c r="L113" s="55">
        <f t="shared" ref="L113:L115" si="141">K113+J113</f>
        <v>0</v>
      </c>
      <c r="M113" s="53"/>
      <c r="N113" s="54"/>
      <c r="O113" s="55">
        <f t="shared" ref="O113:O115" si="142">N113+M113</f>
        <v>0</v>
      </c>
      <c r="P113" s="57"/>
    </row>
    <row r="114" spans="1:16" ht="24" hidden="1" customHeight="1" x14ac:dyDescent="0.25">
      <c r="A114" s="51">
        <v>2252</v>
      </c>
      <c r="B114" s="88" t="s">
        <v>131</v>
      </c>
      <c r="C114" s="89">
        <f t="shared" si="102"/>
        <v>0</v>
      </c>
      <c r="D114" s="194">
        <v>0</v>
      </c>
      <c r="E114" s="195"/>
      <c r="F114" s="55">
        <f t="shared" si="139"/>
        <v>0</v>
      </c>
      <c r="G114" s="53"/>
      <c r="H114" s="54"/>
      <c r="I114" s="55">
        <f t="shared" si="140"/>
        <v>0</v>
      </c>
      <c r="J114" s="53"/>
      <c r="K114" s="54"/>
      <c r="L114" s="55">
        <f t="shared" si="141"/>
        <v>0</v>
      </c>
      <c r="M114" s="53"/>
      <c r="N114" s="54"/>
      <c r="O114" s="55">
        <f t="shared" si="142"/>
        <v>0</v>
      </c>
      <c r="P114" s="57"/>
    </row>
    <row r="115" spans="1:16" ht="24" hidden="1" customHeight="1" x14ac:dyDescent="0.25">
      <c r="A115" s="51">
        <v>2259</v>
      </c>
      <c r="B115" s="88" t="s">
        <v>132</v>
      </c>
      <c r="C115" s="89">
        <f t="shared" si="102"/>
        <v>0</v>
      </c>
      <c r="D115" s="194">
        <v>0</v>
      </c>
      <c r="E115" s="195"/>
      <c r="F115" s="55">
        <f t="shared" si="139"/>
        <v>0</v>
      </c>
      <c r="G115" s="53"/>
      <c r="H115" s="54"/>
      <c r="I115" s="55">
        <f t="shared" si="140"/>
        <v>0</v>
      </c>
      <c r="J115" s="53"/>
      <c r="K115" s="54"/>
      <c r="L115" s="55">
        <f t="shared" si="141"/>
        <v>0</v>
      </c>
      <c r="M115" s="53"/>
      <c r="N115" s="54"/>
      <c r="O115" s="55">
        <f t="shared" si="142"/>
        <v>0</v>
      </c>
      <c r="P115" s="57"/>
    </row>
    <row r="116" spans="1:16" x14ac:dyDescent="0.25">
      <c r="A116" s="188">
        <v>2260</v>
      </c>
      <c r="B116" s="88" t="s">
        <v>133</v>
      </c>
      <c r="C116" s="89">
        <f t="shared" si="102"/>
        <v>5300</v>
      </c>
      <c r="D116" s="189">
        <f>SUM(D117:D121)</f>
        <v>5300</v>
      </c>
      <c r="E116" s="190">
        <f t="shared" ref="E116:F116" si="143">SUM(E117:E121)</f>
        <v>0</v>
      </c>
      <c r="F116" s="55">
        <f t="shared" si="143"/>
        <v>5300</v>
      </c>
      <c r="G116" s="189">
        <f>SUM(G117:G121)</f>
        <v>0</v>
      </c>
      <c r="H116" s="190">
        <f t="shared" ref="H116:I116" si="144">SUM(H117:H121)</f>
        <v>0</v>
      </c>
      <c r="I116" s="55">
        <f t="shared" si="144"/>
        <v>0</v>
      </c>
      <c r="J116" s="189">
        <f>SUM(J117:J121)</f>
        <v>0</v>
      </c>
      <c r="K116" s="190">
        <f t="shared" ref="K116:L116" si="145">SUM(K117:K121)</f>
        <v>0</v>
      </c>
      <c r="L116" s="55">
        <f t="shared" si="145"/>
        <v>0</v>
      </c>
      <c r="M116" s="189">
        <f>SUM(M117:M121)</f>
        <v>0</v>
      </c>
      <c r="N116" s="190">
        <f t="shared" ref="N116:O116" si="146">SUM(N117:N121)</f>
        <v>0</v>
      </c>
      <c r="O116" s="55">
        <f t="shared" si="146"/>
        <v>0</v>
      </c>
      <c r="P116" s="57"/>
    </row>
    <row r="117" spans="1:16" ht="12" customHeight="1" x14ac:dyDescent="0.25">
      <c r="A117" s="51">
        <v>2261</v>
      </c>
      <c r="B117" s="88" t="s">
        <v>134</v>
      </c>
      <c r="C117" s="89">
        <f t="shared" si="102"/>
        <v>3300</v>
      </c>
      <c r="D117" s="194">
        <v>3300</v>
      </c>
      <c r="E117" s="195"/>
      <c r="F117" s="55">
        <f t="shared" ref="F117:F121" si="147">D117+E117</f>
        <v>3300</v>
      </c>
      <c r="G117" s="53"/>
      <c r="H117" s="54"/>
      <c r="I117" s="55">
        <f t="shared" ref="I117:I121" si="148">G117+H117</f>
        <v>0</v>
      </c>
      <c r="J117" s="53"/>
      <c r="K117" s="54"/>
      <c r="L117" s="55">
        <f t="shared" ref="L117:L121" si="149">K117+J117</f>
        <v>0</v>
      </c>
      <c r="M117" s="53"/>
      <c r="N117" s="54"/>
      <c r="O117" s="55">
        <f t="shared" ref="O117:O121" si="150">N117+M117</f>
        <v>0</v>
      </c>
      <c r="P117" s="57"/>
    </row>
    <row r="118" spans="1:16" ht="12" customHeight="1" x14ac:dyDescent="0.25">
      <c r="A118" s="51">
        <v>2262</v>
      </c>
      <c r="B118" s="88" t="s">
        <v>135</v>
      </c>
      <c r="C118" s="89">
        <f t="shared" si="102"/>
        <v>2000</v>
      </c>
      <c r="D118" s="194">
        <v>2000</v>
      </c>
      <c r="E118" s="195"/>
      <c r="F118" s="55">
        <f t="shared" si="147"/>
        <v>2000</v>
      </c>
      <c r="G118" s="53"/>
      <c r="H118" s="54"/>
      <c r="I118" s="55">
        <f t="shared" si="148"/>
        <v>0</v>
      </c>
      <c r="J118" s="53"/>
      <c r="K118" s="54"/>
      <c r="L118" s="55">
        <f t="shared" si="149"/>
        <v>0</v>
      </c>
      <c r="M118" s="53"/>
      <c r="N118" s="54"/>
      <c r="O118" s="55">
        <f t="shared" si="150"/>
        <v>0</v>
      </c>
      <c r="P118" s="57"/>
    </row>
    <row r="119" spans="1:16" ht="12" hidden="1" customHeight="1" x14ac:dyDescent="0.25">
      <c r="A119" s="51">
        <v>2263</v>
      </c>
      <c r="B119" s="88" t="s">
        <v>136</v>
      </c>
      <c r="C119" s="89">
        <f t="shared" si="102"/>
        <v>0</v>
      </c>
      <c r="D119" s="194">
        <v>0</v>
      </c>
      <c r="E119" s="195"/>
      <c r="F119" s="55">
        <f t="shared" si="147"/>
        <v>0</v>
      </c>
      <c r="G119" s="53"/>
      <c r="H119" s="54"/>
      <c r="I119" s="55">
        <f t="shared" si="148"/>
        <v>0</v>
      </c>
      <c r="J119" s="53"/>
      <c r="K119" s="54"/>
      <c r="L119" s="55">
        <f t="shared" si="149"/>
        <v>0</v>
      </c>
      <c r="M119" s="53"/>
      <c r="N119" s="54"/>
      <c r="O119" s="55">
        <f t="shared" si="150"/>
        <v>0</v>
      </c>
      <c r="P119" s="57"/>
    </row>
    <row r="120" spans="1:16" ht="24" hidden="1" customHeight="1" x14ac:dyDescent="0.25">
      <c r="A120" s="51">
        <v>2264</v>
      </c>
      <c r="B120" s="88" t="s">
        <v>137</v>
      </c>
      <c r="C120" s="89">
        <f t="shared" si="102"/>
        <v>0</v>
      </c>
      <c r="D120" s="194">
        <v>0</v>
      </c>
      <c r="E120" s="195"/>
      <c r="F120" s="55">
        <f t="shared" si="147"/>
        <v>0</v>
      </c>
      <c r="G120" s="53"/>
      <c r="H120" s="54"/>
      <c r="I120" s="55">
        <f t="shared" si="148"/>
        <v>0</v>
      </c>
      <c r="J120" s="53"/>
      <c r="K120" s="54"/>
      <c r="L120" s="55">
        <f t="shared" si="149"/>
        <v>0</v>
      </c>
      <c r="M120" s="53"/>
      <c r="N120" s="54"/>
      <c r="O120" s="55">
        <f t="shared" si="150"/>
        <v>0</v>
      </c>
      <c r="P120" s="57"/>
    </row>
    <row r="121" spans="1:16" ht="12" hidden="1" customHeight="1" x14ac:dyDescent="0.25">
      <c r="A121" s="51">
        <v>2269</v>
      </c>
      <c r="B121" s="88" t="s">
        <v>138</v>
      </c>
      <c r="C121" s="89">
        <f t="shared" si="102"/>
        <v>0</v>
      </c>
      <c r="D121" s="194">
        <v>0</v>
      </c>
      <c r="E121" s="195"/>
      <c r="F121" s="55">
        <f t="shared" si="147"/>
        <v>0</v>
      </c>
      <c r="G121" s="53"/>
      <c r="H121" s="54"/>
      <c r="I121" s="55">
        <f t="shared" si="148"/>
        <v>0</v>
      </c>
      <c r="J121" s="53"/>
      <c r="K121" s="54"/>
      <c r="L121" s="55">
        <f t="shared" si="149"/>
        <v>0</v>
      </c>
      <c r="M121" s="53"/>
      <c r="N121" s="54"/>
      <c r="O121" s="55">
        <f t="shared" si="150"/>
        <v>0</v>
      </c>
      <c r="P121" s="57"/>
    </row>
    <row r="122" spans="1:16" x14ac:dyDescent="0.25">
      <c r="A122" s="188">
        <v>2270</v>
      </c>
      <c r="B122" s="88" t="s">
        <v>139</v>
      </c>
      <c r="C122" s="89">
        <f t="shared" si="102"/>
        <v>145045</v>
      </c>
      <c r="D122" s="189">
        <f>SUM(D123:D127)</f>
        <v>145852</v>
      </c>
      <c r="E122" s="190">
        <f t="shared" ref="E122:F122" si="151">SUM(E123:E127)</f>
        <v>-807</v>
      </c>
      <c r="F122" s="55">
        <f t="shared" si="151"/>
        <v>145045</v>
      </c>
      <c r="G122" s="189">
        <f>SUM(G123:G127)</f>
        <v>0</v>
      </c>
      <c r="H122" s="190">
        <f t="shared" ref="H122:I122" si="152">SUM(H123:H127)</f>
        <v>0</v>
      </c>
      <c r="I122" s="55">
        <f t="shared" si="152"/>
        <v>0</v>
      </c>
      <c r="J122" s="189">
        <f>SUM(J123:J127)</f>
        <v>0</v>
      </c>
      <c r="K122" s="190">
        <f t="shared" ref="K122:L122" si="153">SUM(K123:K127)</f>
        <v>0</v>
      </c>
      <c r="L122" s="55">
        <f t="shared" si="153"/>
        <v>0</v>
      </c>
      <c r="M122" s="189">
        <f>SUM(M123:M127)</f>
        <v>0</v>
      </c>
      <c r="N122" s="190">
        <f t="shared" ref="N122:O122" si="154">SUM(N123:N127)</f>
        <v>0</v>
      </c>
      <c r="O122" s="55">
        <f t="shared" si="154"/>
        <v>0</v>
      </c>
      <c r="P122" s="57"/>
    </row>
    <row r="123" spans="1:16" ht="12" hidden="1" customHeight="1" x14ac:dyDescent="0.25">
      <c r="A123" s="51">
        <v>2272</v>
      </c>
      <c r="B123" s="199" t="s">
        <v>140</v>
      </c>
      <c r="C123" s="89">
        <f t="shared" si="102"/>
        <v>0</v>
      </c>
      <c r="D123" s="194">
        <v>0</v>
      </c>
      <c r="E123" s="195"/>
      <c r="F123" s="55">
        <f t="shared" ref="F123:F127" si="155">D123+E123</f>
        <v>0</v>
      </c>
      <c r="G123" s="53"/>
      <c r="H123" s="54"/>
      <c r="I123" s="55">
        <f t="shared" ref="I123:I127" si="156">G123+H123</f>
        <v>0</v>
      </c>
      <c r="J123" s="53"/>
      <c r="K123" s="54"/>
      <c r="L123" s="55">
        <f t="shared" ref="L123:L127" si="157">K123+J123</f>
        <v>0</v>
      </c>
      <c r="M123" s="53"/>
      <c r="N123" s="54"/>
      <c r="O123" s="55">
        <f t="shared" ref="O123:O127" si="158">N123+M123</f>
        <v>0</v>
      </c>
      <c r="P123" s="57"/>
    </row>
    <row r="124" spans="1:16" ht="24" hidden="1" customHeight="1" x14ac:dyDescent="0.25">
      <c r="A124" s="51">
        <v>2274</v>
      </c>
      <c r="B124" s="200" t="s">
        <v>141</v>
      </c>
      <c r="C124" s="89">
        <f t="shared" si="102"/>
        <v>0</v>
      </c>
      <c r="D124" s="194">
        <v>0</v>
      </c>
      <c r="E124" s="195"/>
      <c r="F124" s="55">
        <f t="shared" si="155"/>
        <v>0</v>
      </c>
      <c r="G124" s="53"/>
      <c r="H124" s="54"/>
      <c r="I124" s="55">
        <f t="shared" si="156"/>
        <v>0</v>
      </c>
      <c r="J124" s="53"/>
      <c r="K124" s="54"/>
      <c r="L124" s="55">
        <f t="shared" si="157"/>
        <v>0</v>
      </c>
      <c r="M124" s="53"/>
      <c r="N124" s="54"/>
      <c r="O124" s="55">
        <f t="shared" si="158"/>
        <v>0</v>
      </c>
      <c r="P124" s="57"/>
    </row>
    <row r="125" spans="1:16" ht="24" hidden="1" customHeight="1" x14ac:dyDescent="0.25">
      <c r="A125" s="51">
        <v>2275</v>
      </c>
      <c r="B125" s="88" t="s">
        <v>142</v>
      </c>
      <c r="C125" s="89">
        <f t="shared" si="102"/>
        <v>0</v>
      </c>
      <c r="D125" s="194">
        <v>0</v>
      </c>
      <c r="E125" s="195"/>
      <c r="F125" s="55">
        <f t="shared" si="155"/>
        <v>0</v>
      </c>
      <c r="G125" s="53"/>
      <c r="H125" s="54"/>
      <c r="I125" s="55">
        <f t="shared" si="156"/>
        <v>0</v>
      </c>
      <c r="J125" s="53"/>
      <c r="K125" s="54"/>
      <c r="L125" s="55">
        <f t="shared" si="157"/>
        <v>0</v>
      </c>
      <c r="M125" s="53"/>
      <c r="N125" s="54"/>
      <c r="O125" s="55">
        <f t="shared" si="158"/>
        <v>0</v>
      </c>
      <c r="P125" s="57"/>
    </row>
    <row r="126" spans="1:16" ht="36" hidden="1" customHeight="1" x14ac:dyDescent="0.25">
      <c r="A126" s="51">
        <v>2276</v>
      </c>
      <c r="B126" s="88" t="s">
        <v>143</v>
      </c>
      <c r="C126" s="89">
        <f t="shared" si="102"/>
        <v>0</v>
      </c>
      <c r="D126" s="194">
        <v>0</v>
      </c>
      <c r="E126" s="195"/>
      <c r="F126" s="55">
        <f t="shared" si="155"/>
        <v>0</v>
      </c>
      <c r="G126" s="53"/>
      <c r="H126" s="54"/>
      <c r="I126" s="55">
        <f t="shared" si="156"/>
        <v>0</v>
      </c>
      <c r="J126" s="53"/>
      <c r="K126" s="54"/>
      <c r="L126" s="55">
        <f t="shared" si="157"/>
        <v>0</v>
      </c>
      <c r="M126" s="53"/>
      <c r="N126" s="54"/>
      <c r="O126" s="55">
        <f t="shared" si="158"/>
        <v>0</v>
      </c>
      <c r="P126" s="57"/>
    </row>
    <row r="127" spans="1:16" ht="24" customHeight="1" x14ac:dyDescent="0.25">
      <c r="A127" s="51">
        <v>2279</v>
      </c>
      <c r="B127" s="88" t="s">
        <v>144</v>
      </c>
      <c r="C127" s="89">
        <f t="shared" si="102"/>
        <v>145045</v>
      </c>
      <c r="D127" s="194">
        <v>145852</v>
      </c>
      <c r="E127" s="198">
        <f>5843-6650</f>
        <v>-807</v>
      </c>
      <c r="F127" s="55">
        <f t="shared" si="155"/>
        <v>145045</v>
      </c>
      <c r="G127" s="53"/>
      <c r="H127" s="54"/>
      <c r="I127" s="55">
        <f t="shared" si="156"/>
        <v>0</v>
      </c>
      <c r="J127" s="53"/>
      <c r="K127" s="54"/>
      <c r="L127" s="55">
        <f t="shared" si="157"/>
        <v>0</v>
      </c>
      <c r="M127" s="53"/>
      <c r="N127" s="54"/>
      <c r="O127" s="55">
        <f t="shared" si="158"/>
        <v>0</v>
      </c>
      <c r="P127" s="57"/>
    </row>
    <row r="128" spans="1:16" ht="48" hidden="1" x14ac:dyDescent="0.25">
      <c r="A128" s="1042">
        <v>2280</v>
      </c>
      <c r="B128" s="81" t="s">
        <v>145</v>
      </c>
      <c r="C128" s="82">
        <f t="shared" si="102"/>
        <v>0</v>
      </c>
      <c r="D128" s="192">
        <f t="shared" ref="D128:O128" si="159">SUM(D129)</f>
        <v>0</v>
      </c>
      <c r="E128" s="193">
        <f t="shared" si="159"/>
        <v>0</v>
      </c>
      <c r="F128" s="133">
        <f t="shared" si="159"/>
        <v>0</v>
      </c>
      <c r="G128" s="192">
        <f t="shared" si="159"/>
        <v>0</v>
      </c>
      <c r="H128" s="193">
        <f t="shared" si="159"/>
        <v>0</v>
      </c>
      <c r="I128" s="133">
        <f t="shared" si="159"/>
        <v>0</v>
      </c>
      <c r="J128" s="192">
        <f t="shared" si="159"/>
        <v>0</v>
      </c>
      <c r="K128" s="193">
        <f t="shared" si="159"/>
        <v>0</v>
      </c>
      <c r="L128" s="133">
        <f t="shared" si="159"/>
        <v>0</v>
      </c>
      <c r="M128" s="192">
        <f t="shared" si="159"/>
        <v>0</v>
      </c>
      <c r="N128" s="193">
        <f t="shared" si="159"/>
        <v>0</v>
      </c>
      <c r="O128" s="133">
        <f t="shared" si="159"/>
        <v>0</v>
      </c>
      <c r="P128" s="49"/>
    </row>
    <row r="129" spans="1:16" ht="24" hidden="1" customHeight="1" x14ac:dyDescent="0.25">
      <c r="A129" s="51">
        <v>2283</v>
      </c>
      <c r="B129" s="88" t="s">
        <v>146</v>
      </c>
      <c r="C129" s="89">
        <f t="shared" si="102"/>
        <v>0</v>
      </c>
      <c r="D129" s="194">
        <v>0</v>
      </c>
      <c r="E129" s="195"/>
      <c r="F129" s="55">
        <f>D129+E129</f>
        <v>0</v>
      </c>
      <c r="G129" s="53"/>
      <c r="H129" s="54"/>
      <c r="I129" s="55">
        <f>G129+H129</f>
        <v>0</v>
      </c>
      <c r="J129" s="53"/>
      <c r="K129" s="54"/>
      <c r="L129" s="55">
        <f>K129+J129</f>
        <v>0</v>
      </c>
      <c r="M129" s="53"/>
      <c r="N129" s="54"/>
      <c r="O129" s="55">
        <f>N129+M129</f>
        <v>0</v>
      </c>
      <c r="P129" s="57"/>
    </row>
    <row r="130" spans="1:16" ht="38.25" customHeight="1" x14ac:dyDescent="0.25">
      <c r="A130" s="68">
        <v>2300</v>
      </c>
      <c r="B130" s="182" t="s">
        <v>147</v>
      </c>
      <c r="C130" s="69">
        <f t="shared" si="102"/>
        <v>32482</v>
      </c>
      <c r="D130" s="183">
        <f>SUM(D131,D136,D140,D141,D144,D151,D159,D160,D163)</f>
        <v>27482</v>
      </c>
      <c r="E130" s="184">
        <f t="shared" ref="E130:F130" si="160">SUM(E131,E136,E140,E141,E144,E151,E159,E160,E163)</f>
        <v>5000</v>
      </c>
      <c r="F130" s="72">
        <f t="shared" si="160"/>
        <v>32482</v>
      </c>
      <c r="G130" s="183">
        <f>SUM(G131,G136,G140,G141,G144,G151,G159,G160,G163)</f>
        <v>0</v>
      </c>
      <c r="H130" s="184">
        <f t="shared" ref="H130:I130" si="161">SUM(H131,H136,H140,H141,H144,H151,H159,H160,H163)</f>
        <v>0</v>
      </c>
      <c r="I130" s="72">
        <f t="shared" si="161"/>
        <v>0</v>
      </c>
      <c r="J130" s="183">
        <f>SUM(J131,J136,J140,J141,J144,J151,J159,J160,J163)</f>
        <v>0</v>
      </c>
      <c r="K130" s="184">
        <f t="shared" ref="K130:L130" si="162">SUM(K131,K136,K140,K141,K144,K151,K159,K160,K163)</f>
        <v>0</v>
      </c>
      <c r="L130" s="72">
        <f t="shared" si="162"/>
        <v>0</v>
      </c>
      <c r="M130" s="183">
        <f>SUM(M131,M136,M140,M141,M144,M151,M159,M160,M163)</f>
        <v>0</v>
      </c>
      <c r="N130" s="184">
        <f t="shared" ref="N130:O130" si="163">SUM(N131,N136,N140,N141,N144,N151,N159,N160,N163)</f>
        <v>0</v>
      </c>
      <c r="O130" s="72">
        <f t="shared" si="163"/>
        <v>0</v>
      </c>
      <c r="P130" s="76"/>
    </row>
    <row r="131" spans="1:16" ht="24" x14ac:dyDescent="0.25">
      <c r="A131" s="1042">
        <v>2310</v>
      </c>
      <c r="B131" s="81" t="s">
        <v>148</v>
      </c>
      <c r="C131" s="82">
        <f t="shared" si="102"/>
        <v>32482</v>
      </c>
      <c r="D131" s="192">
        <f t="shared" ref="D131:O131" si="164">SUM(D132:D135)</f>
        <v>27482</v>
      </c>
      <c r="E131" s="193">
        <f t="shared" si="164"/>
        <v>5000</v>
      </c>
      <c r="F131" s="133">
        <f t="shared" si="164"/>
        <v>32482</v>
      </c>
      <c r="G131" s="192">
        <f t="shared" si="164"/>
        <v>0</v>
      </c>
      <c r="H131" s="193">
        <f t="shared" si="164"/>
        <v>0</v>
      </c>
      <c r="I131" s="133">
        <f t="shared" si="164"/>
        <v>0</v>
      </c>
      <c r="J131" s="192">
        <f t="shared" si="164"/>
        <v>0</v>
      </c>
      <c r="K131" s="193">
        <f t="shared" si="164"/>
        <v>0</v>
      </c>
      <c r="L131" s="133">
        <f t="shared" si="164"/>
        <v>0</v>
      </c>
      <c r="M131" s="192">
        <f t="shared" si="164"/>
        <v>0</v>
      </c>
      <c r="N131" s="193">
        <f t="shared" si="164"/>
        <v>0</v>
      </c>
      <c r="O131" s="133">
        <f t="shared" si="164"/>
        <v>0</v>
      </c>
      <c r="P131" s="49"/>
    </row>
    <row r="132" spans="1:16" ht="12" hidden="1" customHeight="1" x14ac:dyDescent="0.25">
      <c r="A132" s="51">
        <v>2311</v>
      </c>
      <c r="B132" s="88" t="s">
        <v>149</v>
      </c>
      <c r="C132" s="89">
        <f t="shared" si="102"/>
        <v>0</v>
      </c>
      <c r="D132" s="194">
        <v>0</v>
      </c>
      <c r="E132" s="195"/>
      <c r="F132" s="55">
        <f t="shared" ref="F132:F135" si="165">D132+E132</f>
        <v>0</v>
      </c>
      <c r="G132" s="53"/>
      <c r="H132" s="54"/>
      <c r="I132" s="55">
        <f t="shared" ref="I132:I135" si="166">G132+H132</f>
        <v>0</v>
      </c>
      <c r="J132" s="53"/>
      <c r="K132" s="54"/>
      <c r="L132" s="55">
        <f t="shared" ref="L132:L135" si="167">K132+J132</f>
        <v>0</v>
      </c>
      <c r="M132" s="53"/>
      <c r="N132" s="54"/>
      <c r="O132" s="55">
        <f t="shared" ref="O132:O135" si="168">N132+M132</f>
        <v>0</v>
      </c>
      <c r="P132" s="57"/>
    </row>
    <row r="133" spans="1:16" ht="12" customHeight="1" x14ac:dyDescent="0.25">
      <c r="A133" s="51">
        <v>2312</v>
      </c>
      <c r="B133" s="88" t="s">
        <v>150</v>
      </c>
      <c r="C133" s="89">
        <f t="shared" si="102"/>
        <v>3272</v>
      </c>
      <c r="D133" s="194">
        <v>3272</v>
      </c>
      <c r="E133" s="195"/>
      <c r="F133" s="55">
        <f t="shared" si="165"/>
        <v>3272</v>
      </c>
      <c r="G133" s="53"/>
      <c r="H133" s="54"/>
      <c r="I133" s="55">
        <f t="shared" si="166"/>
        <v>0</v>
      </c>
      <c r="J133" s="53"/>
      <c r="K133" s="54"/>
      <c r="L133" s="55">
        <f t="shared" si="167"/>
        <v>0</v>
      </c>
      <c r="M133" s="53"/>
      <c r="N133" s="54"/>
      <c r="O133" s="55">
        <f t="shared" si="168"/>
        <v>0</v>
      </c>
      <c r="P133" s="57"/>
    </row>
    <row r="134" spans="1:16" ht="12" hidden="1" customHeight="1" x14ac:dyDescent="0.25">
      <c r="A134" s="51">
        <v>2313</v>
      </c>
      <c r="B134" s="88" t="s">
        <v>151</v>
      </c>
      <c r="C134" s="89">
        <f t="shared" si="102"/>
        <v>0</v>
      </c>
      <c r="D134" s="194">
        <v>0</v>
      </c>
      <c r="E134" s="195"/>
      <c r="F134" s="55">
        <f t="shared" si="165"/>
        <v>0</v>
      </c>
      <c r="G134" s="53"/>
      <c r="H134" s="54"/>
      <c r="I134" s="55">
        <f t="shared" si="166"/>
        <v>0</v>
      </c>
      <c r="J134" s="53"/>
      <c r="K134" s="54"/>
      <c r="L134" s="55">
        <f t="shared" si="167"/>
        <v>0</v>
      </c>
      <c r="M134" s="53"/>
      <c r="N134" s="54"/>
      <c r="O134" s="55">
        <f t="shared" si="168"/>
        <v>0</v>
      </c>
      <c r="P134" s="57"/>
    </row>
    <row r="135" spans="1:16" ht="36" customHeight="1" x14ac:dyDescent="0.25">
      <c r="A135" s="51">
        <v>2314</v>
      </c>
      <c r="B135" s="88" t="s">
        <v>152</v>
      </c>
      <c r="C135" s="89">
        <f t="shared" si="102"/>
        <v>29210</v>
      </c>
      <c r="D135" s="194">
        <v>24210</v>
      </c>
      <c r="E135" s="198">
        <f>5000</f>
        <v>5000</v>
      </c>
      <c r="F135" s="55">
        <f t="shared" si="165"/>
        <v>29210</v>
      </c>
      <c r="G135" s="53"/>
      <c r="H135" s="54"/>
      <c r="I135" s="55">
        <f t="shared" si="166"/>
        <v>0</v>
      </c>
      <c r="J135" s="53"/>
      <c r="K135" s="54"/>
      <c r="L135" s="55">
        <f t="shared" si="167"/>
        <v>0</v>
      </c>
      <c r="M135" s="53"/>
      <c r="N135" s="54"/>
      <c r="O135" s="55">
        <f t="shared" si="168"/>
        <v>0</v>
      </c>
      <c r="P135" s="57"/>
    </row>
    <row r="136" spans="1:16" hidden="1" x14ac:dyDescent="0.25">
      <c r="A136" s="188">
        <v>2320</v>
      </c>
      <c r="B136" s="88" t="s">
        <v>153</v>
      </c>
      <c r="C136" s="89">
        <f t="shared" si="102"/>
        <v>0</v>
      </c>
      <c r="D136" s="189">
        <f>SUM(D137:D139)</f>
        <v>0</v>
      </c>
      <c r="E136" s="190">
        <f t="shared" ref="E136:F136" si="169">SUM(E137:E139)</f>
        <v>0</v>
      </c>
      <c r="F136" s="55">
        <f t="shared" si="169"/>
        <v>0</v>
      </c>
      <c r="G136" s="189">
        <f>SUM(G137:G139)</f>
        <v>0</v>
      </c>
      <c r="H136" s="190">
        <f t="shared" ref="H136:I136" si="170">SUM(H137:H139)</f>
        <v>0</v>
      </c>
      <c r="I136" s="55">
        <f t="shared" si="170"/>
        <v>0</v>
      </c>
      <c r="J136" s="189">
        <f>SUM(J137:J139)</f>
        <v>0</v>
      </c>
      <c r="K136" s="190">
        <f t="shared" ref="K136:L136" si="171">SUM(K137:K139)</f>
        <v>0</v>
      </c>
      <c r="L136" s="55">
        <f t="shared" si="171"/>
        <v>0</v>
      </c>
      <c r="M136" s="189">
        <f>SUM(M137:M139)</f>
        <v>0</v>
      </c>
      <c r="N136" s="190">
        <f t="shared" ref="N136:O136" si="172">SUM(N137:N139)</f>
        <v>0</v>
      </c>
      <c r="O136" s="55">
        <f t="shared" si="172"/>
        <v>0</v>
      </c>
      <c r="P136" s="57"/>
    </row>
    <row r="137" spans="1:16" ht="12" hidden="1" customHeight="1" x14ac:dyDescent="0.25">
      <c r="A137" s="51">
        <v>2321</v>
      </c>
      <c r="B137" s="88" t="s">
        <v>154</v>
      </c>
      <c r="C137" s="89">
        <f t="shared" si="102"/>
        <v>0</v>
      </c>
      <c r="D137" s="194">
        <v>0</v>
      </c>
      <c r="E137" s="195"/>
      <c r="F137" s="55">
        <f t="shared" ref="F137:F140" si="173">D137+E137</f>
        <v>0</v>
      </c>
      <c r="G137" s="53"/>
      <c r="H137" s="54"/>
      <c r="I137" s="55">
        <f t="shared" ref="I137:I140" si="174">G137+H137</f>
        <v>0</v>
      </c>
      <c r="J137" s="53"/>
      <c r="K137" s="54"/>
      <c r="L137" s="55">
        <f t="shared" ref="L137:L140" si="175">K137+J137</f>
        <v>0</v>
      </c>
      <c r="M137" s="53"/>
      <c r="N137" s="54"/>
      <c r="O137" s="55">
        <f t="shared" ref="O137:O140" si="176">N137+M137</f>
        <v>0</v>
      </c>
      <c r="P137" s="57"/>
    </row>
    <row r="138" spans="1:16" ht="12" hidden="1" customHeight="1" x14ac:dyDescent="0.25">
      <c r="A138" s="51">
        <v>2322</v>
      </c>
      <c r="B138" s="88" t="s">
        <v>155</v>
      </c>
      <c r="C138" s="89">
        <f t="shared" si="102"/>
        <v>0</v>
      </c>
      <c r="D138" s="194">
        <v>0</v>
      </c>
      <c r="E138" s="195"/>
      <c r="F138" s="55">
        <f t="shared" si="173"/>
        <v>0</v>
      </c>
      <c r="G138" s="53"/>
      <c r="H138" s="54"/>
      <c r="I138" s="55">
        <f t="shared" si="174"/>
        <v>0</v>
      </c>
      <c r="J138" s="53"/>
      <c r="K138" s="54"/>
      <c r="L138" s="55">
        <f t="shared" si="175"/>
        <v>0</v>
      </c>
      <c r="M138" s="53"/>
      <c r="N138" s="54"/>
      <c r="O138" s="55">
        <f t="shared" si="176"/>
        <v>0</v>
      </c>
      <c r="P138" s="57"/>
    </row>
    <row r="139" spans="1:16" ht="10.5" hidden="1" customHeight="1" x14ac:dyDescent="0.25">
      <c r="A139" s="51">
        <v>2329</v>
      </c>
      <c r="B139" s="88" t="s">
        <v>156</v>
      </c>
      <c r="C139" s="89">
        <f t="shared" si="102"/>
        <v>0</v>
      </c>
      <c r="D139" s="194">
        <v>0</v>
      </c>
      <c r="E139" s="195"/>
      <c r="F139" s="55">
        <f t="shared" si="173"/>
        <v>0</v>
      </c>
      <c r="G139" s="53"/>
      <c r="H139" s="54"/>
      <c r="I139" s="55">
        <f t="shared" si="174"/>
        <v>0</v>
      </c>
      <c r="J139" s="53"/>
      <c r="K139" s="54"/>
      <c r="L139" s="55">
        <f t="shared" si="175"/>
        <v>0</v>
      </c>
      <c r="M139" s="53"/>
      <c r="N139" s="54"/>
      <c r="O139" s="55">
        <f t="shared" si="176"/>
        <v>0</v>
      </c>
      <c r="P139" s="57"/>
    </row>
    <row r="140" spans="1:16" ht="12" hidden="1" customHeight="1" x14ac:dyDescent="0.25">
      <c r="A140" s="188">
        <v>2330</v>
      </c>
      <c r="B140" s="88" t="s">
        <v>157</v>
      </c>
      <c r="C140" s="89">
        <f t="shared" si="102"/>
        <v>0</v>
      </c>
      <c r="D140" s="194">
        <v>0</v>
      </c>
      <c r="E140" s="195"/>
      <c r="F140" s="55">
        <f t="shared" si="173"/>
        <v>0</v>
      </c>
      <c r="G140" s="53"/>
      <c r="H140" s="54"/>
      <c r="I140" s="55">
        <f t="shared" si="174"/>
        <v>0</v>
      </c>
      <c r="J140" s="53"/>
      <c r="K140" s="54"/>
      <c r="L140" s="55">
        <f t="shared" si="175"/>
        <v>0</v>
      </c>
      <c r="M140" s="53"/>
      <c r="N140" s="54"/>
      <c r="O140" s="55">
        <f t="shared" si="176"/>
        <v>0</v>
      </c>
      <c r="P140" s="57"/>
    </row>
    <row r="141" spans="1:16" ht="48" hidden="1" x14ac:dyDescent="0.25">
      <c r="A141" s="188">
        <v>2340</v>
      </c>
      <c r="B141" s="88" t="s">
        <v>158</v>
      </c>
      <c r="C141" s="89">
        <f t="shared" si="102"/>
        <v>0</v>
      </c>
      <c r="D141" s="189">
        <f>SUM(D142:D143)</f>
        <v>0</v>
      </c>
      <c r="E141" s="190">
        <f t="shared" ref="E141:F141" si="177">SUM(E142:E143)</f>
        <v>0</v>
      </c>
      <c r="F141" s="55">
        <f t="shared" si="177"/>
        <v>0</v>
      </c>
      <c r="G141" s="189">
        <f>SUM(G142:G143)</f>
        <v>0</v>
      </c>
      <c r="H141" s="190">
        <f t="shared" ref="H141:I141" si="178">SUM(H142:H143)</f>
        <v>0</v>
      </c>
      <c r="I141" s="55">
        <f t="shared" si="178"/>
        <v>0</v>
      </c>
      <c r="J141" s="189">
        <f>SUM(J142:J143)</f>
        <v>0</v>
      </c>
      <c r="K141" s="190">
        <f t="shared" ref="K141:L141" si="179">SUM(K142:K143)</f>
        <v>0</v>
      </c>
      <c r="L141" s="55">
        <f t="shared" si="179"/>
        <v>0</v>
      </c>
      <c r="M141" s="189">
        <f>SUM(M142:M143)</f>
        <v>0</v>
      </c>
      <c r="N141" s="190">
        <f t="shared" ref="N141:O141" si="180">SUM(N142:N143)</f>
        <v>0</v>
      </c>
      <c r="O141" s="55">
        <f t="shared" si="180"/>
        <v>0</v>
      </c>
      <c r="P141" s="57"/>
    </row>
    <row r="142" spans="1:16" ht="12" hidden="1" customHeight="1" x14ac:dyDescent="0.25">
      <c r="A142" s="51">
        <v>2341</v>
      </c>
      <c r="B142" s="88" t="s">
        <v>159</v>
      </c>
      <c r="C142" s="89">
        <f t="shared" si="102"/>
        <v>0</v>
      </c>
      <c r="D142" s="194">
        <v>0</v>
      </c>
      <c r="E142" s="195"/>
      <c r="F142" s="55">
        <f t="shared" ref="F142:F143" si="181">D142+E142</f>
        <v>0</v>
      </c>
      <c r="G142" s="53"/>
      <c r="H142" s="54"/>
      <c r="I142" s="55">
        <f t="shared" ref="I142:I143" si="182">G142+H142</f>
        <v>0</v>
      </c>
      <c r="J142" s="53"/>
      <c r="K142" s="54"/>
      <c r="L142" s="55">
        <f t="shared" ref="L142:L143" si="183">K142+J142</f>
        <v>0</v>
      </c>
      <c r="M142" s="53"/>
      <c r="N142" s="54"/>
      <c r="O142" s="55">
        <f t="shared" ref="O142:O143" si="184">N142+M142</f>
        <v>0</v>
      </c>
      <c r="P142" s="57"/>
    </row>
    <row r="143" spans="1:16" ht="24" hidden="1" customHeight="1" x14ac:dyDescent="0.25">
      <c r="A143" s="51">
        <v>2344</v>
      </c>
      <c r="B143" s="88" t="s">
        <v>160</v>
      </c>
      <c r="C143" s="89">
        <f t="shared" si="102"/>
        <v>0</v>
      </c>
      <c r="D143" s="194">
        <v>0</v>
      </c>
      <c r="E143" s="195"/>
      <c r="F143" s="55">
        <f t="shared" si="181"/>
        <v>0</v>
      </c>
      <c r="G143" s="53"/>
      <c r="H143" s="54"/>
      <c r="I143" s="55">
        <f t="shared" si="182"/>
        <v>0</v>
      </c>
      <c r="J143" s="53"/>
      <c r="K143" s="54"/>
      <c r="L143" s="55">
        <f t="shared" si="183"/>
        <v>0</v>
      </c>
      <c r="M143" s="53"/>
      <c r="N143" s="54"/>
      <c r="O143" s="55">
        <f t="shared" si="184"/>
        <v>0</v>
      </c>
      <c r="P143" s="57"/>
    </row>
    <row r="144" spans="1:16" ht="24" hidden="1" x14ac:dyDescent="0.25">
      <c r="A144" s="185">
        <v>2350</v>
      </c>
      <c r="B144" s="137" t="s">
        <v>161</v>
      </c>
      <c r="C144" s="142">
        <f t="shared" si="102"/>
        <v>0</v>
      </c>
      <c r="D144" s="186">
        <f>SUM(D145:D150)</f>
        <v>0</v>
      </c>
      <c r="E144" s="187">
        <f t="shared" ref="E144:F144" si="185">SUM(E145:E150)</f>
        <v>0</v>
      </c>
      <c r="F144" s="140">
        <f t="shared" si="185"/>
        <v>0</v>
      </c>
      <c r="G144" s="186">
        <f>SUM(G145:G150)</f>
        <v>0</v>
      </c>
      <c r="H144" s="187">
        <f t="shared" ref="H144:I144" si="186">SUM(H145:H150)</f>
        <v>0</v>
      </c>
      <c r="I144" s="140">
        <f t="shared" si="186"/>
        <v>0</v>
      </c>
      <c r="J144" s="186">
        <f>SUM(J145:J150)</f>
        <v>0</v>
      </c>
      <c r="K144" s="187">
        <f t="shared" ref="K144:L144" si="187">SUM(K145:K150)</f>
        <v>0</v>
      </c>
      <c r="L144" s="140">
        <f t="shared" si="187"/>
        <v>0</v>
      </c>
      <c r="M144" s="186">
        <f>SUM(M145:M150)</f>
        <v>0</v>
      </c>
      <c r="N144" s="187">
        <f t="shared" ref="N144:O144" si="188">SUM(N145:N150)</f>
        <v>0</v>
      </c>
      <c r="O144" s="140">
        <f t="shared" si="188"/>
        <v>0</v>
      </c>
      <c r="P144" s="128"/>
    </row>
    <row r="145" spans="1:16" ht="12" hidden="1" customHeight="1" x14ac:dyDescent="0.25">
      <c r="A145" s="44">
        <v>2351</v>
      </c>
      <c r="B145" s="81" t="s">
        <v>162</v>
      </c>
      <c r="C145" s="82">
        <f t="shared" si="102"/>
        <v>0</v>
      </c>
      <c r="D145" s="196">
        <v>0</v>
      </c>
      <c r="E145" s="197"/>
      <c r="F145" s="133">
        <f t="shared" ref="F145:F150" si="189">D145+E145</f>
        <v>0</v>
      </c>
      <c r="G145" s="46"/>
      <c r="H145" s="47"/>
      <c r="I145" s="133">
        <f t="shared" ref="I145:I150" si="190">G145+H145</f>
        <v>0</v>
      </c>
      <c r="J145" s="46"/>
      <c r="K145" s="47"/>
      <c r="L145" s="133">
        <f t="shared" ref="L145:L150" si="191">K145+J145</f>
        <v>0</v>
      </c>
      <c r="M145" s="46"/>
      <c r="N145" s="47"/>
      <c r="O145" s="133">
        <f t="shared" ref="O145:O150" si="192">N145+M145</f>
        <v>0</v>
      </c>
      <c r="P145" s="49"/>
    </row>
    <row r="146" spans="1:16" ht="12" hidden="1" customHeight="1" x14ac:dyDescent="0.25">
      <c r="A146" s="51">
        <v>2352</v>
      </c>
      <c r="B146" s="88" t="s">
        <v>163</v>
      </c>
      <c r="C146" s="89">
        <f t="shared" si="102"/>
        <v>0</v>
      </c>
      <c r="D146" s="194">
        <v>0</v>
      </c>
      <c r="E146" s="195"/>
      <c r="F146" s="55">
        <f t="shared" si="189"/>
        <v>0</v>
      </c>
      <c r="G146" s="53"/>
      <c r="H146" s="54"/>
      <c r="I146" s="55">
        <f t="shared" si="190"/>
        <v>0</v>
      </c>
      <c r="J146" s="53"/>
      <c r="K146" s="54"/>
      <c r="L146" s="55">
        <f t="shared" si="191"/>
        <v>0</v>
      </c>
      <c r="M146" s="53"/>
      <c r="N146" s="54"/>
      <c r="O146" s="55">
        <f t="shared" si="192"/>
        <v>0</v>
      </c>
      <c r="P146" s="57"/>
    </row>
    <row r="147" spans="1:16" ht="24" hidden="1" customHeight="1" x14ac:dyDescent="0.25">
      <c r="A147" s="51">
        <v>2353</v>
      </c>
      <c r="B147" s="88" t="s">
        <v>164</v>
      </c>
      <c r="C147" s="89">
        <f t="shared" si="102"/>
        <v>0</v>
      </c>
      <c r="D147" s="194">
        <v>0</v>
      </c>
      <c r="E147" s="195"/>
      <c r="F147" s="55">
        <f t="shared" si="189"/>
        <v>0</v>
      </c>
      <c r="G147" s="53"/>
      <c r="H147" s="54"/>
      <c r="I147" s="55">
        <f t="shared" si="190"/>
        <v>0</v>
      </c>
      <c r="J147" s="53"/>
      <c r="K147" s="54"/>
      <c r="L147" s="55">
        <f t="shared" si="191"/>
        <v>0</v>
      </c>
      <c r="M147" s="53"/>
      <c r="N147" s="54"/>
      <c r="O147" s="55">
        <f t="shared" si="192"/>
        <v>0</v>
      </c>
      <c r="P147" s="57"/>
    </row>
    <row r="148" spans="1:16" ht="24" hidden="1" customHeight="1" x14ac:dyDescent="0.25">
      <c r="A148" s="51">
        <v>2354</v>
      </c>
      <c r="B148" s="88" t="s">
        <v>165</v>
      </c>
      <c r="C148" s="89">
        <f t="shared" ref="C148:C211" si="193">F148+I148+L148+O148</f>
        <v>0</v>
      </c>
      <c r="D148" s="194">
        <v>0</v>
      </c>
      <c r="E148" s="195"/>
      <c r="F148" s="55">
        <f t="shared" si="189"/>
        <v>0</v>
      </c>
      <c r="G148" s="53"/>
      <c r="H148" s="54"/>
      <c r="I148" s="55">
        <f t="shared" si="190"/>
        <v>0</v>
      </c>
      <c r="J148" s="53"/>
      <c r="K148" s="54"/>
      <c r="L148" s="55">
        <f t="shared" si="191"/>
        <v>0</v>
      </c>
      <c r="M148" s="53"/>
      <c r="N148" s="54"/>
      <c r="O148" s="55">
        <f t="shared" si="192"/>
        <v>0</v>
      </c>
      <c r="P148" s="57"/>
    </row>
    <row r="149" spans="1:16" ht="24" hidden="1" customHeight="1" x14ac:dyDescent="0.25">
      <c r="A149" s="51">
        <v>2355</v>
      </c>
      <c r="B149" s="88" t="s">
        <v>166</v>
      </c>
      <c r="C149" s="89">
        <f t="shared" si="193"/>
        <v>0</v>
      </c>
      <c r="D149" s="194">
        <v>0</v>
      </c>
      <c r="E149" s="195"/>
      <c r="F149" s="55">
        <f t="shared" si="189"/>
        <v>0</v>
      </c>
      <c r="G149" s="53"/>
      <c r="H149" s="54"/>
      <c r="I149" s="55">
        <f t="shared" si="190"/>
        <v>0</v>
      </c>
      <c r="J149" s="53"/>
      <c r="K149" s="54"/>
      <c r="L149" s="55">
        <f t="shared" si="191"/>
        <v>0</v>
      </c>
      <c r="M149" s="53"/>
      <c r="N149" s="54"/>
      <c r="O149" s="55">
        <f t="shared" si="192"/>
        <v>0</v>
      </c>
      <c r="P149" s="57"/>
    </row>
    <row r="150" spans="1:16" ht="24" hidden="1" customHeight="1" x14ac:dyDescent="0.25">
      <c r="A150" s="51">
        <v>2359</v>
      </c>
      <c r="B150" s="88" t="s">
        <v>167</v>
      </c>
      <c r="C150" s="89">
        <f t="shared" si="193"/>
        <v>0</v>
      </c>
      <c r="D150" s="194">
        <v>0</v>
      </c>
      <c r="E150" s="195"/>
      <c r="F150" s="55">
        <f t="shared" si="189"/>
        <v>0</v>
      </c>
      <c r="G150" s="53"/>
      <c r="H150" s="54"/>
      <c r="I150" s="55">
        <f t="shared" si="190"/>
        <v>0</v>
      </c>
      <c r="J150" s="53"/>
      <c r="K150" s="54"/>
      <c r="L150" s="55">
        <f t="shared" si="191"/>
        <v>0</v>
      </c>
      <c r="M150" s="53"/>
      <c r="N150" s="54"/>
      <c r="O150" s="55">
        <f t="shared" si="192"/>
        <v>0</v>
      </c>
      <c r="P150" s="57"/>
    </row>
    <row r="151" spans="1:16" ht="24.75" hidden="1" customHeight="1" x14ac:dyDescent="0.25">
      <c r="A151" s="188">
        <v>2360</v>
      </c>
      <c r="B151" s="88" t="s">
        <v>168</v>
      </c>
      <c r="C151" s="89">
        <f t="shared" si="193"/>
        <v>0</v>
      </c>
      <c r="D151" s="189">
        <f>SUM(D152:D158)</f>
        <v>0</v>
      </c>
      <c r="E151" s="190">
        <f t="shared" ref="E151:F151" si="194">SUM(E152:E158)</f>
        <v>0</v>
      </c>
      <c r="F151" s="55">
        <f t="shared" si="194"/>
        <v>0</v>
      </c>
      <c r="G151" s="189">
        <f>SUM(G152:G158)</f>
        <v>0</v>
      </c>
      <c r="H151" s="190">
        <f t="shared" ref="H151:I151" si="195">SUM(H152:H158)</f>
        <v>0</v>
      </c>
      <c r="I151" s="55">
        <f t="shared" si="195"/>
        <v>0</v>
      </c>
      <c r="J151" s="189">
        <f>SUM(J152:J158)</f>
        <v>0</v>
      </c>
      <c r="K151" s="190">
        <f t="shared" ref="K151:L151" si="196">SUM(K152:K158)</f>
        <v>0</v>
      </c>
      <c r="L151" s="55">
        <f t="shared" si="196"/>
        <v>0</v>
      </c>
      <c r="M151" s="189">
        <f>SUM(M152:M158)</f>
        <v>0</v>
      </c>
      <c r="N151" s="190">
        <f t="shared" ref="N151:O151" si="197">SUM(N152:N158)</f>
        <v>0</v>
      </c>
      <c r="O151" s="55">
        <f t="shared" si="197"/>
        <v>0</v>
      </c>
      <c r="P151" s="57"/>
    </row>
    <row r="152" spans="1:16" ht="12" hidden="1" customHeight="1" x14ac:dyDescent="0.25">
      <c r="A152" s="50">
        <v>2361</v>
      </c>
      <c r="B152" s="88" t="s">
        <v>169</v>
      </c>
      <c r="C152" s="89">
        <f t="shared" si="193"/>
        <v>0</v>
      </c>
      <c r="D152" s="194">
        <v>0</v>
      </c>
      <c r="E152" s="195"/>
      <c r="F152" s="55">
        <f t="shared" ref="F152:F159" si="198">D152+E152</f>
        <v>0</v>
      </c>
      <c r="G152" s="53"/>
      <c r="H152" s="54"/>
      <c r="I152" s="55">
        <f t="shared" ref="I152:I159" si="199">G152+H152</f>
        <v>0</v>
      </c>
      <c r="J152" s="53"/>
      <c r="K152" s="54"/>
      <c r="L152" s="55">
        <f t="shared" ref="L152:L159" si="200">K152+J152</f>
        <v>0</v>
      </c>
      <c r="M152" s="53"/>
      <c r="N152" s="54"/>
      <c r="O152" s="55">
        <f t="shared" ref="O152:O159" si="201">N152+M152</f>
        <v>0</v>
      </c>
      <c r="P152" s="57"/>
    </row>
    <row r="153" spans="1:16" ht="24" hidden="1" customHeight="1" x14ac:dyDescent="0.25">
      <c r="A153" s="50">
        <v>2362</v>
      </c>
      <c r="B153" s="88" t="s">
        <v>170</v>
      </c>
      <c r="C153" s="89">
        <f t="shared" si="193"/>
        <v>0</v>
      </c>
      <c r="D153" s="194">
        <v>0</v>
      </c>
      <c r="E153" s="195"/>
      <c r="F153" s="55">
        <f t="shared" si="198"/>
        <v>0</v>
      </c>
      <c r="G153" s="53"/>
      <c r="H153" s="54"/>
      <c r="I153" s="55">
        <f t="shared" si="199"/>
        <v>0</v>
      </c>
      <c r="J153" s="53"/>
      <c r="K153" s="54"/>
      <c r="L153" s="55">
        <f t="shared" si="200"/>
        <v>0</v>
      </c>
      <c r="M153" s="53"/>
      <c r="N153" s="54"/>
      <c r="O153" s="55">
        <f t="shared" si="201"/>
        <v>0</v>
      </c>
      <c r="P153" s="57"/>
    </row>
    <row r="154" spans="1:16" ht="12" hidden="1" customHeight="1" x14ac:dyDescent="0.25">
      <c r="A154" s="50">
        <v>2363</v>
      </c>
      <c r="B154" s="88" t="s">
        <v>171</v>
      </c>
      <c r="C154" s="89">
        <f t="shared" si="193"/>
        <v>0</v>
      </c>
      <c r="D154" s="194">
        <v>0</v>
      </c>
      <c r="E154" s="195"/>
      <c r="F154" s="55">
        <f t="shared" si="198"/>
        <v>0</v>
      </c>
      <c r="G154" s="53"/>
      <c r="H154" s="54"/>
      <c r="I154" s="55">
        <f t="shared" si="199"/>
        <v>0</v>
      </c>
      <c r="J154" s="53"/>
      <c r="K154" s="54"/>
      <c r="L154" s="55">
        <f t="shared" si="200"/>
        <v>0</v>
      </c>
      <c r="M154" s="53"/>
      <c r="N154" s="54"/>
      <c r="O154" s="55">
        <f t="shared" si="201"/>
        <v>0</v>
      </c>
      <c r="P154" s="57"/>
    </row>
    <row r="155" spans="1:16" ht="12" hidden="1" customHeight="1" x14ac:dyDescent="0.25">
      <c r="A155" s="50">
        <v>2364</v>
      </c>
      <c r="B155" s="88" t="s">
        <v>172</v>
      </c>
      <c r="C155" s="89">
        <f t="shared" si="193"/>
        <v>0</v>
      </c>
      <c r="D155" s="194">
        <v>0</v>
      </c>
      <c r="E155" s="195"/>
      <c r="F155" s="55">
        <f t="shared" si="198"/>
        <v>0</v>
      </c>
      <c r="G155" s="53"/>
      <c r="H155" s="54"/>
      <c r="I155" s="55">
        <f t="shared" si="199"/>
        <v>0</v>
      </c>
      <c r="J155" s="53"/>
      <c r="K155" s="54"/>
      <c r="L155" s="55">
        <f t="shared" si="200"/>
        <v>0</v>
      </c>
      <c r="M155" s="53"/>
      <c r="N155" s="54"/>
      <c r="O155" s="55">
        <f t="shared" si="201"/>
        <v>0</v>
      </c>
      <c r="P155" s="57"/>
    </row>
    <row r="156" spans="1:16" ht="12.75" hidden="1" customHeight="1" x14ac:dyDescent="0.25">
      <c r="A156" s="50">
        <v>2365</v>
      </c>
      <c r="B156" s="88" t="s">
        <v>173</v>
      </c>
      <c r="C156" s="89">
        <f t="shared" si="193"/>
        <v>0</v>
      </c>
      <c r="D156" s="194">
        <v>0</v>
      </c>
      <c r="E156" s="195"/>
      <c r="F156" s="55">
        <f t="shared" si="198"/>
        <v>0</v>
      </c>
      <c r="G156" s="53"/>
      <c r="H156" s="54"/>
      <c r="I156" s="55">
        <f t="shared" si="199"/>
        <v>0</v>
      </c>
      <c r="J156" s="53"/>
      <c r="K156" s="54"/>
      <c r="L156" s="55">
        <f t="shared" si="200"/>
        <v>0</v>
      </c>
      <c r="M156" s="53"/>
      <c r="N156" s="54"/>
      <c r="O156" s="55">
        <f t="shared" si="201"/>
        <v>0</v>
      </c>
      <c r="P156" s="57"/>
    </row>
    <row r="157" spans="1:16" ht="36" hidden="1" customHeight="1" x14ac:dyDescent="0.25">
      <c r="A157" s="50">
        <v>2366</v>
      </c>
      <c r="B157" s="88" t="s">
        <v>174</v>
      </c>
      <c r="C157" s="89">
        <f t="shared" si="193"/>
        <v>0</v>
      </c>
      <c r="D157" s="194">
        <v>0</v>
      </c>
      <c r="E157" s="195"/>
      <c r="F157" s="55">
        <f t="shared" si="198"/>
        <v>0</v>
      </c>
      <c r="G157" s="53"/>
      <c r="H157" s="54"/>
      <c r="I157" s="55">
        <f t="shared" si="199"/>
        <v>0</v>
      </c>
      <c r="J157" s="53"/>
      <c r="K157" s="54"/>
      <c r="L157" s="55">
        <f t="shared" si="200"/>
        <v>0</v>
      </c>
      <c r="M157" s="53"/>
      <c r="N157" s="54"/>
      <c r="O157" s="55">
        <f t="shared" si="201"/>
        <v>0</v>
      </c>
      <c r="P157" s="57"/>
    </row>
    <row r="158" spans="1:16" ht="48" hidden="1" customHeight="1" x14ac:dyDescent="0.25">
      <c r="A158" s="50">
        <v>2369</v>
      </c>
      <c r="B158" s="88" t="s">
        <v>175</v>
      </c>
      <c r="C158" s="89">
        <f t="shared" si="193"/>
        <v>0</v>
      </c>
      <c r="D158" s="194">
        <v>0</v>
      </c>
      <c r="E158" s="195"/>
      <c r="F158" s="55">
        <f t="shared" si="198"/>
        <v>0</v>
      </c>
      <c r="G158" s="53"/>
      <c r="H158" s="54"/>
      <c r="I158" s="55">
        <f t="shared" si="199"/>
        <v>0</v>
      </c>
      <c r="J158" s="53"/>
      <c r="K158" s="54"/>
      <c r="L158" s="55">
        <f t="shared" si="200"/>
        <v>0</v>
      </c>
      <c r="M158" s="53"/>
      <c r="N158" s="54"/>
      <c r="O158" s="55">
        <f t="shared" si="201"/>
        <v>0</v>
      </c>
      <c r="P158" s="57"/>
    </row>
    <row r="159" spans="1:16" ht="12" hidden="1" customHeight="1" x14ac:dyDescent="0.25">
      <c r="A159" s="185">
        <v>2370</v>
      </c>
      <c r="B159" s="137" t="s">
        <v>176</v>
      </c>
      <c r="C159" s="142">
        <f t="shared" si="193"/>
        <v>0</v>
      </c>
      <c r="D159" s="202">
        <v>0</v>
      </c>
      <c r="E159" s="203"/>
      <c r="F159" s="140">
        <f t="shared" si="198"/>
        <v>0</v>
      </c>
      <c r="G159" s="143"/>
      <c r="H159" s="144"/>
      <c r="I159" s="140">
        <f t="shared" si="199"/>
        <v>0</v>
      </c>
      <c r="J159" s="143"/>
      <c r="K159" s="144"/>
      <c r="L159" s="140">
        <f t="shared" si="200"/>
        <v>0</v>
      </c>
      <c r="M159" s="143"/>
      <c r="N159" s="144"/>
      <c r="O159" s="140">
        <f t="shared" si="201"/>
        <v>0</v>
      </c>
      <c r="P159" s="128"/>
    </row>
    <row r="160" spans="1:16" hidden="1" x14ac:dyDescent="0.25">
      <c r="A160" s="185">
        <v>2380</v>
      </c>
      <c r="B160" s="137" t="s">
        <v>177</v>
      </c>
      <c r="C160" s="142">
        <f t="shared" si="193"/>
        <v>0</v>
      </c>
      <c r="D160" s="186">
        <f>SUM(D161:D162)</f>
        <v>0</v>
      </c>
      <c r="E160" s="187">
        <f t="shared" ref="E160:F160" si="202">SUM(E161:E162)</f>
        <v>0</v>
      </c>
      <c r="F160" s="140">
        <f t="shared" si="202"/>
        <v>0</v>
      </c>
      <c r="G160" s="186">
        <f>SUM(G161:G162)</f>
        <v>0</v>
      </c>
      <c r="H160" s="187">
        <f t="shared" ref="H160:I160" si="203">SUM(H161:H162)</f>
        <v>0</v>
      </c>
      <c r="I160" s="140">
        <f t="shared" si="203"/>
        <v>0</v>
      </c>
      <c r="J160" s="186">
        <f>SUM(J161:J162)</f>
        <v>0</v>
      </c>
      <c r="K160" s="187">
        <f t="shared" ref="K160:L160" si="204">SUM(K161:K162)</f>
        <v>0</v>
      </c>
      <c r="L160" s="140">
        <f t="shared" si="204"/>
        <v>0</v>
      </c>
      <c r="M160" s="186">
        <f>SUM(M161:M162)</f>
        <v>0</v>
      </c>
      <c r="N160" s="187">
        <f t="shared" ref="N160:O160" si="205">SUM(N161:N162)</f>
        <v>0</v>
      </c>
      <c r="O160" s="140">
        <f t="shared" si="205"/>
        <v>0</v>
      </c>
      <c r="P160" s="128"/>
    </row>
    <row r="161" spans="1:16" ht="12" hidden="1" customHeight="1" x14ac:dyDescent="0.25">
      <c r="A161" s="43">
        <v>2381</v>
      </c>
      <c r="B161" s="81" t="s">
        <v>178</v>
      </c>
      <c r="C161" s="82">
        <f t="shared" si="193"/>
        <v>0</v>
      </c>
      <c r="D161" s="196">
        <v>0</v>
      </c>
      <c r="E161" s="197"/>
      <c r="F161" s="133">
        <f t="shared" ref="F161:F164" si="206">D161+E161</f>
        <v>0</v>
      </c>
      <c r="G161" s="46"/>
      <c r="H161" s="47"/>
      <c r="I161" s="133">
        <f t="shared" ref="I161:I164" si="207">G161+H161</f>
        <v>0</v>
      </c>
      <c r="J161" s="46"/>
      <c r="K161" s="47"/>
      <c r="L161" s="133">
        <f t="shared" ref="L161:L164" si="208">K161+J161</f>
        <v>0</v>
      </c>
      <c r="M161" s="46"/>
      <c r="N161" s="47"/>
      <c r="O161" s="133">
        <f t="shared" ref="O161:O164" si="209">N161+M161</f>
        <v>0</v>
      </c>
      <c r="P161" s="49"/>
    </row>
    <row r="162" spans="1:16" ht="24" hidden="1" customHeight="1" x14ac:dyDescent="0.25">
      <c r="A162" s="50">
        <v>2389</v>
      </c>
      <c r="B162" s="88" t="s">
        <v>179</v>
      </c>
      <c r="C162" s="89">
        <f t="shared" si="193"/>
        <v>0</v>
      </c>
      <c r="D162" s="194">
        <v>0</v>
      </c>
      <c r="E162" s="195"/>
      <c r="F162" s="55">
        <f t="shared" si="206"/>
        <v>0</v>
      </c>
      <c r="G162" s="53"/>
      <c r="H162" s="54"/>
      <c r="I162" s="55">
        <f t="shared" si="207"/>
        <v>0</v>
      </c>
      <c r="J162" s="53"/>
      <c r="K162" s="54"/>
      <c r="L162" s="55">
        <f t="shared" si="208"/>
        <v>0</v>
      </c>
      <c r="M162" s="53"/>
      <c r="N162" s="54"/>
      <c r="O162" s="55">
        <f t="shared" si="209"/>
        <v>0</v>
      </c>
      <c r="P162" s="57"/>
    </row>
    <row r="163" spans="1:16" ht="12" hidden="1" customHeight="1" x14ac:dyDescent="0.25">
      <c r="A163" s="185">
        <v>2390</v>
      </c>
      <c r="B163" s="137" t="s">
        <v>180</v>
      </c>
      <c r="C163" s="142">
        <f t="shared" si="193"/>
        <v>0</v>
      </c>
      <c r="D163" s="202">
        <v>0</v>
      </c>
      <c r="E163" s="203"/>
      <c r="F163" s="140">
        <f t="shared" si="206"/>
        <v>0</v>
      </c>
      <c r="G163" s="143"/>
      <c r="H163" s="144"/>
      <c r="I163" s="140">
        <f t="shared" si="207"/>
        <v>0</v>
      </c>
      <c r="J163" s="143"/>
      <c r="K163" s="144"/>
      <c r="L163" s="140">
        <f t="shared" si="208"/>
        <v>0</v>
      </c>
      <c r="M163" s="143"/>
      <c r="N163" s="144"/>
      <c r="O163" s="140">
        <f t="shared" si="209"/>
        <v>0</v>
      </c>
      <c r="P163" s="128"/>
    </row>
    <row r="164" spans="1:16" ht="12" hidden="1" customHeight="1" x14ac:dyDescent="0.25">
      <c r="A164" s="68">
        <v>2400</v>
      </c>
      <c r="B164" s="182" t="s">
        <v>181</v>
      </c>
      <c r="C164" s="69">
        <f t="shared" si="193"/>
        <v>0</v>
      </c>
      <c r="D164" s="204">
        <v>0</v>
      </c>
      <c r="E164" s="205"/>
      <c r="F164" s="72">
        <f t="shared" si="206"/>
        <v>0</v>
      </c>
      <c r="G164" s="70"/>
      <c r="H164" s="71"/>
      <c r="I164" s="72">
        <f t="shared" si="207"/>
        <v>0</v>
      </c>
      <c r="J164" s="70"/>
      <c r="K164" s="71"/>
      <c r="L164" s="72">
        <f t="shared" si="208"/>
        <v>0</v>
      </c>
      <c r="M164" s="70"/>
      <c r="N164" s="71"/>
      <c r="O164" s="72">
        <f t="shared" si="209"/>
        <v>0</v>
      </c>
      <c r="P164" s="76"/>
    </row>
    <row r="165" spans="1:16" ht="24" hidden="1" x14ac:dyDescent="0.25">
      <c r="A165" s="68">
        <v>2500</v>
      </c>
      <c r="B165" s="182" t="s">
        <v>182</v>
      </c>
      <c r="C165" s="69">
        <f t="shared" si="193"/>
        <v>0</v>
      </c>
      <c r="D165" s="183">
        <f>SUM(D166,D171)</f>
        <v>0</v>
      </c>
      <c r="E165" s="184">
        <f t="shared" ref="E165:O165" si="210">SUM(E166,E171)</f>
        <v>0</v>
      </c>
      <c r="F165" s="72">
        <f t="shared" si="210"/>
        <v>0</v>
      </c>
      <c r="G165" s="183">
        <f t="shared" si="210"/>
        <v>0</v>
      </c>
      <c r="H165" s="184">
        <f t="shared" si="210"/>
        <v>0</v>
      </c>
      <c r="I165" s="72">
        <f t="shared" si="210"/>
        <v>0</v>
      </c>
      <c r="J165" s="183">
        <f t="shared" si="210"/>
        <v>0</v>
      </c>
      <c r="K165" s="184">
        <f t="shared" si="210"/>
        <v>0</v>
      </c>
      <c r="L165" s="72">
        <f t="shared" si="210"/>
        <v>0</v>
      </c>
      <c r="M165" s="183">
        <f t="shared" si="210"/>
        <v>0</v>
      </c>
      <c r="N165" s="184">
        <f t="shared" si="210"/>
        <v>0</v>
      </c>
      <c r="O165" s="72">
        <f t="shared" si="210"/>
        <v>0</v>
      </c>
      <c r="P165" s="76"/>
    </row>
    <row r="166" spans="1:16" ht="16.5" hidden="1" customHeight="1" x14ac:dyDescent="0.25">
      <c r="A166" s="1042">
        <v>2510</v>
      </c>
      <c r="B166" s="81" t="s">
        <v>183</v>
      </c>
      <c r="C166" s="82">
        <f t="shared" si="193"/>
        <v>0</v>
      </c>
      <c r="D166" s="192">
        <f>SUM(D167:D170)</f>
        <v>0</v>
      </c>
      <c r="E166" s="193">
        <f t="shared" ref="E166:O166" si="211">SUM(E167:E170)</f>
        <v>0</v>
      </c>
      <c r="F166" s="133">
        <f t="shared" si="211"/>
        <v>0</v>
      </c>
      <c r="G166" s="192">
        <f t="shared" si="211"/>
        <v>0</v>
      </c>
      <c r="H166" s="193">
        <f t="shared" si="211"/>
        <v>0</v>
      </c>
      <c r="I166" s="133">
        <f t="shared" si="211"/>
        <v>0</v>
      </c>
      <c r="J166" s="192">
        <f t="shared" si="211"/>
        <v>0</v>
      </c>
      <c r="K166" s="193">
        <f t="shared" si="211"/>
        <v>0</v>
      </c>
      <c r="L166" s="133">
        <f t="shared" si="211"/>
        <v>0</v>
      </c>
      <c r="M166" s="192">
        <f t="shared" si="211"/>
        <v>0</v>
      </c>
      <c r="N166" s="193">
        <f t="shared" si="211"/>
        <v>0</v>
      </c>
      <c r="O166" s="133">
        <f t="shared" si="211"/>
        <v>0</v>
      </c>
      <c r="P166" s="49"/>
    </row>
    <row r="167" spans="1:16" ht="24" hidden="1" customHeight="1" x14ac:dyDescent="0.25">
      <c r="A167" s="51">
        <v>2512</v>
      </c>
      <c r="B167" s="88" t="s">
        <v>184</v>
      </c>
      <c r="C167" s="89">
        <f t="shared" si="193"/>
        <v>0</v>
      </c>
      <c r="D167" s="194">
        <v>0</v>
      </c>
      <c r="E167" s="195"/>
      <c r="F167" s="55">
        <f t="shared" ref="F167:F172" si="212">D167+E167</f>
        <v>0</v>
      </c>
      <c r="G167" s="53"/>
      <c r="H167" s="54"/>
      <c r="I167" s="55">
        <f t="shared" ref="I167:I172" si="213">G167+H167</f>
        <v>0</v>
      </c>
      <c r="J167" s="53"/>
      <c r="K167" s="54"/>
      <c r="L167" s="55">
        <f t="shared" ref="L167:L172" si="214">K167+J167</f>
        <v>0</v>
      </c>
      <c r="M167" s="53"/>
      <c r="N167" s="54"/>
      <c r="O167" s="55">
        <f t="shared" ref="O167:O172" si="215">N167+M167</f>
        <v>0</v>
      </c>
      <c r="P167" s="57"/>
    </row>
    <row r="168" spans="1:16" ht="36" hidden="1" customHeight="1" x14ac:dyDescent="0.25">
      <c r="A168" s="51">
        <v>2513</v>
      </c>
      <c r="B168" s="88" t="s">
        <v>185</v>
      </c>
      <c r="C168" s="89">
        <f t="shared" si="193"/>
        <v>0</v>
      </c>
      <c r="D168" s="194">
        <v>0</v>
      </c>
      <c r="E168" s="195"/>
      <c r="F168" s="55">
        <f t="shared" si="212"/>
        <v>0</v>
      </c>
      <c r="G168" s="53"/>
      <c r="H168" s="54"/>
      <c r="I168" s="55">
        <f t="shared" si="213"/>
        <v>0</v>
      </c>
      <c r="J168" s="53"/>
      <c r="K168" s="54"/>
      <c r="L168" s="55">
        <f t="shared" si="214"/>
        <v>0</v>
      </c>
      <c r="M168" s="53"/>
      <c r="N168" s="54"/>
      <c r="O168" s="55">
        <f t="shared" si="215"/>
        <v>0</v>
      </c>
      <c r="P168" s="57"/>
    </row>
    <row r="169" spans="1:16" ht="24" hidden="1" customHeight="1" x14ac:dyDescent="0.25">
      <c r="A169" s="51">
        <v>2515</v>
      </c>
      <c r="B169" s="88" t="s">
        <v>186</v>
      </c>
      <c r="C169" s="89">
        <f t="shared" si="193"/>
        <v>0</v>
      </c>
      <c r="D169" s="194">
        <v>0</v>
      </c>
      <c r="E169" s="195"/>
      <c r="F169" s="55">
        <f t="shared" si="212"/>
        <v>0</v>
      </c>
      <c r="G169" s="53"/>
      <c r="H169" s="54"/>
      <c r="I169" s="55">
        <f t="shared" si="213"/>
        <v>0</v>
      </c>
      <c r="J169" s="53"/>
      <c r="K169" s="54"/>
      <c r="L169" s="55">
        <f t="shared" si="214"/>
        <v>0</v>
      </c>
      <c r="M169" s="53"/>
      <c r="N169" s="54"/>
      <c r="O169" s="55">
        <f t="shared" si="215"/>
        <v>0</v>
      </c>
      <c r="P169" s="57"/>
    </row>
    <row r="170" spans="1:16" ht="24" hidden="1" customHeight="1" x14ac:dyDescent="0.25">
      <c r="A170" s="51">
        <v>2519</v>
      </c>
      <c r="B170" s="88" t="s">
        <v>187</v>
      </c>
      <c r="C170" s="89">
        <f t="shared" si="193"/>
        <v>0</v>
      </c>
      <c r="D170" s="194">
        <v>0</v>
      </c>
      <c r="E170" s="195"/>
      <c r="F170" s="55">
        <f t="shared" si="212"/>
        <v>0</v>
      </c>
      <c r="G170" s="53"/>
      <c r="H170" s="54"/>
      <c r="I170" s="55">
        <f t="shared" si="213"/>
        <v>0</v>
      </c>
      <c r="J170" s="53"/>
      <c r="K170" s="54"/>
      <c r="L170" s="55">
        <f t="shared" si="214"/>
        <v>0</v>
      </c>
      <c r="M170" s="53"/>
      <c r="N170" s="54"/>
      <c r="O170" s="55">
        <f t="shared" si="215"/>
        <v>0</v>
      </c>
      <c r="P170" s="57"/>
    </row>
    <row r="171" spans="1:16" ht="24" hidden="1" customHeight="1" x14ac:dyDescent="0.25">
      <c r="A171" s="188">
        <v>2520</v>
      </c>
      <c r="B171" s="88" t="s">
        <v>188</v>
      </c>
      <c r="C171" s="89">
        <f t="shared" si="193"/>
        <v>0</v>
      </c>
      <c r="D171" s="194">
        <v>0</v>
      </c>
      <c r="E171" s="195"/>
      <c r="F171" s="55">
        <f t="shared" si="212"/>
        <v>0</v>
      </c>
      <c r="G171" s="53"/>
      <c r="H171" s="54"/>
      <c r="I171" s="55">
        <f t="shared" si="213"/>
        <v>0</v>
      </c>
      <c r="J171" s="53"/>
      <c r="K171" s="54"/>
      <c r="L171" s="55">
        <f t="shared" si="214"/>
        <v>0</v>
      </c>
      <c r="M171" s="53"/>
      <c r="N171" s="54"/>
      <c r="O171" s="55">
        <f t="shared" si="215"/>
        <v>0</v>
      </c>
      <c r="P171" s="57"/>
    </row>
    <row r="172" spans="1:16" s="206" customFormat="1" ht="36" hidden="1" customHeight="1" x14ac:dyDescent="0.25">
      <c r="A172" s="23">
        <v>2800</v>
      </c>
      <c r="B172" s="81" t="s">
        <v>189</v>
      </c>
      <c r="C172" s="82">
        <f t="shared" si="193"/>
        <v>0</v>
      </c>
      <c r="D172" s="46">
        <v>0</v>
      </c>
      <c r="E172" s="47"/>
      <c r="F172" s="133">
        <f t="shared" si="212"/>
        <v>0</v>
      </c>
      <c r="G172" s="46"/>
      <c r="H172" s="47"/>
      <c r="I172" s="133">
        <f t="shared" si="213"/>
        <v>0</v>
      </c>
      <c r="J172" s="46"/>
      <c r="K172" s="47"/>
      <c r="L172" s="133">
        <f t="shared" si="214"/>
        <v>0</v>
      </c>
      <c r="M172" s="46"/>
      <c r="N172" s="47"/>
      <c r="O172" s="133">
        <f t="shared" si="215"/>
        <v>0</v>
      </c>
      <c r="P172" s="49"/>
    </row>
    <row r="173" spans="1:16" x14ac:dyDescent="0.25">
      <c r="A173" s="176">
        <v>3000</v>
      </c>
      <c r="B173" s="176" t="s">
        <v>190</v>
      </c>
      <c r="C173" s="177">
        <f t="shared" si="193"/>
        <v>39014</v>
      </c>
      <c r="D173" s="178">
        <f>SUM(D174,D184)</f>
        <v>57485</v>
      </c>
      <c r="E173" s="179">
        <f t="shared" ref="E173:F173" si="216">SUM(E174,E184)</f>
        <v>-18471</v>
      </c>
      <c r="F173" s="180">
        <f t="shared" si="216"/>
        <v>39014</v>
      </c>
      <c r="G173" s="178">
        <f>SUM(G174,G184)</f>
        <v>0</v>
      </c>
      <c r="H173" s="179">
        <f t="shared" ref="H173:I173" si="217">SUM(H174,H184)</f>
        <v>0</v>
      </c>
      <c r="I173" s="180">
        <f t="shared" si="217"/>
        <v>0</v>
      </c>
      <c r="J173" s="178">
        <f>SUM(J174,J184)</f>
        <v>0</v>
      </c>
      <c r="K173" s="179">
        <f t="shared" ref="K173:L173" si="218">SUM(K174,K184)</f>
        <v>0</v>
      </c>
      <c r="L173" s="180">
        <f t="shared" si="218"/>
        <v>0</v>
      </c>
      <c r="M173" s="178">
        <f>SUM(M174,M184)</f>
        <v>0</v>
      </c>
      <c r="N173" s="179">
        <f t="shared" ref="N173:O173" si="219">SUM(N174,N184)</f>
        <v>0</v>
      </c>
      <c r="O173" s="180">
        <f t="shared" si="219"/>
        <v>0</v>
      </c>
      <c r="P173" s="181"/>
    </row>
    <row r="174" spans="1:16" ht="24" x14ac:dyDescent="0.25">
      <c r="A174" s="68">
        <v>3200</v>
      </c>
      <c r="B174" s="207" t="s">
        <v>191</v>
      </c>
      <c r="C174" s="69">
        <f t="shared" si="193"/>
        <v>39014</v>
      </c>
      <c r="D174" s="183">
        <f>SUM(D175,D179)</f>
        <v>57485</v>
      </c>
      <c r="E174" s="184">
        <f t="shared" ref="E174:O174" si="220">SUM(E175,E179)</f>
        <v>-18471</v>
      </c>
      <c r="F174" s="72">
        <f t="shared" si="220"/>
        <v>39014</v>
      </c>
      <c r="G174" s="183">
        <f t="shared" si="220"/>
        <v>0</v>
      </c>
      <c r="H174" s="184">
        <f t="shared" si="220"/>
        <v>0</v>
      </c>
      <c r="I174" s="72">
        <f t="shared" si="220"/>
        <v>0</v>
      </c>
      <c r="J174" s="183">
        <f t="shared" si="220"/>
        <v>0</v>
      </c>
      <c r="K174" s="184">
        <f t="shared" si="220"/>
        <v>0</v>
      </c>
      <c r="L174" s="72">
        <f t="shared" si="220"/>
        <v>0</v>
      </c>
      <c r="M174" s="183">
        <f t="shared" si="220"/>
        <v>0</v>
      </c>
      <c r="N174" s="184">
        <f t="shared" si="220"/>
        <v>0</v>
      </c>
      <c r="O174" s="72">
        <f t="shared" si="220"/>
        <v>0</v>
      </c>
      <c r="P174" s="76"/>
    </row>
    <row r="175" spans="1:16" ht="36" x14ac:dyDescent="0.25">
      <c r="A175" s="1042">
        <v>3260</v>
      </c>
      <c r="B175" s="81" t="s">
        <v>192</v>
      </c>
      <c r="C175" s="82">
        <f t="shared" si="193"/>
        <v>39014</v>
      </c>
      <c r="D175" s="192">
        <f>SUM(D176:D178)</f>
        <v>57485</v>
      </c>
      <c r="E175" s="193">
        <f t="shared" ref="E175:F175" si="221">SUM(E176:E178)</f>
        <v>-18471</v>
      </c>
      <c r="F175" s="133">
        <f t="shared" si="221"/>
        <v>39014</v>
      </c>
      <c r="G175" s="192">
        <f>SUM(G176:G178)</f>
        <v>0</v>
      </c>
      <c r="H175" s="193">
        <f t="shared" ref="H175:I175" si="222">SUM(H176:H178)</f>
        <v>0</v>
      </c>
      <c r="I175" s="133">
        <f t="shared" si="222"/>
        <v>0</v>
      </c>
      <c r="J175" s="192">
        <f>SUM(J176:J178)</f>
        <v>0</v>
      </c>
      <c r="K175" s="193">
        <f t="shared" ref="K175:L175" si="223">SUM(K176:K178)</f>
        <v>0</v>
      </c>
      <c r="L175" s="133">
        <f t="shared" si="223"/>
        <v>0</v>
      </c>
      <c r="M175" s="192">
        <f>SUM(M176:M178)</f>
        <v>0</v>
      </c>
      <c r="N175" s="193">
        <f t="shared" ref="N175:O175" si="224">SUM(N176:N178)</f>
        <v>0</v>
      </c>
      <c r="O175" s="133">
        <f t="shared" si="224"/>
        <v>0</v>
      </c>
      <c r="P175" s="49"/>
    </row>
    <row r="176" spans="1:16" ht="24" hidden="1" customHeight="1" x14ac:dyDescent="0.25">
      <c r="A176" s="51">
        <v>3261</v>
      </c>
      <c r="B176" s="88" t="s">
        <v>193</v>
      </c>
      <c r="C176" s="89">
        <f t="shared" si="193"/>
        <v>0</v>
      </c>
      <c r="D176" s="194">
        <v>0</v>
      </c>
      <c r="E176" s="195"/>
      <c r="F176" s="55">
        <f t="shared" ref="F176:F178" si="225">D176+E176</f>
        <v>0</v>
      </c>
      <c r="G176" s="53"/>
      <c r="H176" s="54"/>
      <c r="I176" s="55">
        <f t="shared" ref="I176:I178" si="226">G176+H176</f>
        <v>0</v>
      </c>
      <c r="J176" s="53"/>
      <c r="K176" s="54"/>
      <c r="L176" s="55">
        <f t="shared" ref="L176:L178" si="227">K176+J176</f>
        <v>0</v>
      </c>
      <c r="M176" s="53"/>
      <c r="N176" s="54"/>
      <c r="O176" s="55">
        <f t="shared" ref="O176:O178" si="228">N176+M176</f>
        <v>0</v>
      </c>
      <c r="P176" s="57"/>
    </row>
    <row r="177" spans="1:16" ht="36" customHeight="1" x14ac:dyDescent="0.25">
      <c r="A177" s="51">
        <v>3262</v>
      </c>
      <c r="B177" s="88" t="s">
        <v>194</v>
      </c>
      <c r="C177" s="89">
        <f t="shared" si="193"/>
        <v>23550</v>
      </c>
      <c r="D177" s="194">
        <v>42021</v>
      </c>
      <c r="E177" s="1934">
        <f>11529-30000</f>
        <v>-18471</v>
      </c>
      <c r="F177" s="55">
        <f t="shared" si="225"/>
        <v>23550</v>
      </c>
      <c r="G177" s="53"/>
      <c r="H177" s="54"/>
      <c r="I177" s="55">
        <f t="shared" si="226"/>
        <v>0</v>
      </c>
      <c r="J177" s="53"/>
      <c r="K177" s="54"/>
      <c r="L177" s="55">
        <f t="shared" si="227"/>
        <v>0</v>
      </c>
      <c r="M177" s="53"/>
      <c r="N177" s="54"/>
      <c r="O177" s="55">
        <f t="shared" si="228"/>
        <v>0</v>
      </c>
      <c r="P177" s="57"/>
    </row>
    <row r="178" spans="1:16" ht="24" customHeight="1" x14ac:dyDescent="0.25">
      <c r="A178" s="51">
        <v>3263</v>
      </c>
      <c r="B178" s="88" t="s">
        <v>195</v>
      </c>
      <c r="C178" s="89">
        <f t="shared" si="193"/>
        <v>15464</v>
      </c>
      <c r="D178" s="194">
        <v>15464</v>
      </c>
      <c r="E178" s="195"/>
      <c r="F178" s="55">
        <f t="shared" si="225"/>
        <v>15464</v>
      </c>
      <c r="G178" s="53"/>
      <c r="H178" s="54"/>
      <c r="I178" s="55">
        <f t="shared" si="226"/>
        <v>0</v>
      </c>
      <c r="J178" s="53"/>
      <c r="K178" s="54"/>
      <c r="L178" s="55">
        <f t="shared" si="227"/>
        <v>0</v>
      </c>
      <c r="M178" s="53"/>
      <c r="N178" s="54"/>
      <c r="O178" s="55">
        <f t="shared" si="228"/>
        <v>0</v>
      </c>
      <c r="P178" s="57"/>
    </row>
    <row r="179" spans="1:16" ht="84" hidden="1" x14ac:dyDescent="0.25">
      <c r="A179" s="1042">
        <v>3290</v>
      </c>
      <c r="B179" s="81" t="s">
        <v>196</v>
      </c>
      <c r="C179" s="208">
        <f t="shared" si="193"/>
        <v>0</v>
      </c>
      <c r="D179" s="192">
        <f>SUM(D180:D183)</f>
        <v>0</v>
      </c>
      <c r="E179" s="193">
        <f t="shared" ref="E179:O179" si="229">SUM(E180:E183)</f>
        <v>0</v>
      </c>
      <c r="F179" s="133">
        <f t="shared" si="229"/>
        <v>0</v>
      </c>
      <c r="G179" s="192">
        <f t="shared" si="229"/>
        <v>0</v>
      </c>
      <c r="H179" s="193">
        <f t="shared" si="229"/>
        <v>0</v>
      </c>
      <c r="I179" s="133">
        <f t="shared" si="229"/>
        <v>0</v>
      </c>
      <c r="J179" s="192">
        <f t="shared" si="229"/>
        <v>0</v>
      </c>
      <c r="K179" s="193">
        <f t="shared" si="229"/>
        <v>0</v>
      </c>
      <c r="L179" s="133">
        <f t="shared" si="229"/>
        <v>0</v>
      </c>
      <c r="M179" s="192">
        <f t="shared" si="229"/>
        <v>0</v>
      </c>
      <c r="N179" s="193">
        <f t="shared" si="229"/>
        <v>0</v>
      </c>
      <c r="O179" s="133">
        <f t="shared" si="229"/>
        <v>0</v>
      </c>
      <c r="P179" s="49"/>
    </row>
    <row r="180" spans="1:16" ht="72" hidden="1" customHeight="1" x14ac:dyDescent="0.25">
      <c r="A180" s="51">
        <v>3291</v>
      </c>
      <c r="B180" s="88" t="s">
        <v>197</v>
      </c>
      <c r="C180" s="89">
        <f t="shared" si="193"/>
        <v>0</v>
      </c>
      <c r="D180" s="194">
        <v>0</v>
      </c>
      <c r="E180" s="195"/>
      <c r="F180" s="55">
        <f t="shared" ref="F180:F183" si="230">D180+E180</f>
        <v>0</v>
      </c>
      <c r="G180" s="53"/>
      <c r="H180" s="54"/>
      <c r="I180" s="55">
        <f t="shared" ref="I180:I183" si="231">G180+H180</f>
        <v>0</v>
      </c>
      <c r="J180" s="53"/>
      <c r="K180" s="54"/>
      <c r="L180" s="55">
        <f t="shared" ref="L180:L183" si="232">K180+J180</f>
        <v>0</v>
      </c>
      <c r="M180" s="53"/>
      <c r="N180" s="54"/>
      <c r="O180" s="55">
        <f t="shared" ref="O180:O183" si="233">N180+M180</f>
        <v>0</v>
      </c>
      <c r="P180" s="57"/>
    </row>
    <row r="181" spans="1:16" ht="72" hidden="1" customHeight="1" x14ac:dyDescent="0.25">
      <c r="A181" s="51">
        <v>3292</v>
      </c>
      <c r="B181" s="88" t="s">
        <v>198</v>
      </c>
      <c r="C181" s="89">
        <f t="shared" si="193"/>
        <v>0</v>
      </c>
      <c r="D181" s="194">
        <v>0</v>
      </c>
      <c r="E181" s="195"/>
      <c r="F181" s="55">
        <f t="shared" si="230"/>
        <v>0</v>
      </c>
      <c r="G181" s="53"/>
      <c r="H181" s="54"/>
      <c r="I181" s="55">
        <f t="shared" si="231"/>
        <v>0</v>
      </c>
      <c r="J181" s="53"/>
      <c r="K181" s="54"/>
      <c r="L181" s="55">
        <f t="shared" si="232"/>
        <v>0</v>
      </c>
      <c r="M181" s="53"/>
      <c r="N181" s="54"/>
      <c r="O181" s="55">
        <f t="shared" si="233"/>
        <v>0</v>
      </c>
      <c r="P181" s="57"/>
    </row>
    <row r="182" spans="1:16" ht="72" hidden="1" customHeight="1" x14ac:dyDescent="0.25">
      <c r="A182" s="51">
        <v>3293</v>
      </c>
      <c r="B182" s="88" t="s">
        <v>199</v>
      </c>
      <c r="C182" s="89">
        <f t="shared" si="193"/>
        <v>0</v>
      </c>
      <c r="D182" s="194">
        <v>0</v>
      </c>
      <c r="E182" s="195"/>
      <c r="F182" s="55">
        <f t="shared" si="230"/>
        <v>0</v>
      </c>
      <c r="G182" s="53"/>
      <c r="H182" s="54"/>
      <c r="I182" s="55">
        <f t="shared" si="231"/>
        <v>0</v>
      </c>
      <c r="J182" s="53"/>
      <c r="K182" s="54"/>
      <c r="L182" s="55">
        <f t="shared" si="232"/>
        <v>0</v>
      </c>
      <c r="M182" s="53"/>
      <c r="N182" s="54"/>
      <c r="O182" s="55">
        <f t="shared" si="233"/>
        <v>0</v>
      </c>
      <c r="P182" s="57"/>
    </row>
    <row r="183" spans="1:16" ht="60" hidden="1" customHeight="1" x14ac:dyDescent="0.25">
      <c r="A183" s="209">
        <v>3294</v>
      </c>
      <c r="B183" s="88" t="s">
        <v>200</v>
      </c>
      <c r="C183" s="208">
        <f t="shared" si="193"/>
        <v>0</v>
      </c>
      <c r="D183" s="210">
        <v>0</v>
      </c>
      <c r="E183" s="211"/>
      <c r="F183" s="212">
        <f t="shared" si="230"/>
        <v>0</v>
      </c>
      <c r="G183" s="213"/>
      <c r="H183" s="214"/>
      <c r="I183" s="212">
        <f t="shared" si="231"/>
        <v>0</v>
      </c>
      <c r="J183" s="213"/>
      <c r="K183" s="214"/>
      <c r="L183" s="212">
        <f t="shared" si="232"/>
        <v>0</v>
      </c>
      <c r="M183" s="213"/>
      <c r="N183" s="214"/>
      <c r="O183" s="212">
        <f t="shared" si="233"/>
        <v>0</v>
      </c>
      <c r="P183" s="215"/>
    </row>
    <row r="184" spans="1:16" ht="48" hidden="1" x14ac:dyDescent="0.25">
      <c r="A184" s="216">
        <v>3300</v>
      </c>
      <c r="B184" s="207" t="s">
        <v>201</v>
      </c>
      <c r="C184" s="217">
        <f t="shared" si="193"/>
        <v>0</v>
      </c>
      <c r="D184" s="218">
        <f>SUM(D185:D186)</f>
        <v>0</v>
      </c>
      <c r="E184" s="219">
        <f t="shared" ref="E184:O184" si="234">SUM(E185:E186)</f>
        <v>0</v>
      </c>
      <c r="F184" s="220">
        <f t="shared" si="234"/>
        <v>0</v>
      </c>
      <c r="G184" s="218">
        <f t="shared" si="234"/>
        <v>0</v>
      </c>
      <c r="H184" s="219">
        <f t="shared" si="234"/>
        <v>0</v>
      </c>
      <c r="I184" s="220">
        <f t="shared" si="234"/>
        <v>0</v>
      </c>
      <c r="J184" s="218">
        <f t="shared" si="234"/>
        <v>0</v>
      </c>
      <c r="K184" s="219">
        <f t="shared" si="234"/>
        <v>0</v>
      </c>
      <c r="L184" s="220">
        <f t="shared" si="234"/>
        <v>0</v>
      </c>
      <c r="M184" s="218">
        <f t="shared" si="234"/>
        <v>0</v>
      </c>
      <c r="N184" s="219">
        <f t="shared" si="234"/>
        <v>0</v>
      </c>
      <c r="O184" s="220">
        <f t="shared" si="234"/>
        <v>0</v>
      </c>
      <c r="P184" s="221"/>
    </row>
    <row r="185" spans="1:16" ht="48" hidden="1" customHeight="1" x14ac:dyDescent="0.25">
      <c r="A185" s="136">
        <v>3310</v>
      </c>
      <c r="B185" s="137" t="s">
        <v>202</v>
      </c>
      <c r="C185" s="142">
        <f t="shared" si="193"/>
        <v>0</v>
      </c>
      <c r="D185" s="202">
        <v>0</v>
      </c>
      <c r="E185" s="203"/>
      <c r="F185" s="140">
        <f t="shared" ref="F185:F186" si="235">D185+E185</f>
        <v>0</v>
      </c>
      <c r="G185" s="143"/>
      <c r="H185" s="144"/>
      <c r="I185" s="140">
        <f t="shared" ref="I185:I186" si="236">G185+H185</f>
        <v>0</v>
      </c>
      <c r="J185" s="143"/>
      <c r="K185" s="144"/>
      <c r="L185" s="140">
        <f t="shared" ref="L185:L186" si="237">K185+J185</f>
        <v>0</v>
      </c>
      <c r="M185" s="143"/>
      <c r="N185" s="144"/>
      <c r="O185" s="140">
        <f t="shared" ref="O185:O186" si="238">N185+M185</f>
        <v>0</v>
      </c>
      <c r="P185" s="128"/>
    </row>
    <row r="186" spans="1:16" ht="48.75" hidden="1" customHeight="1" x14ac:dyDescent="0.25">
      <c r="A186" s="44">
        <v>3320</v>
      </c>
      <c r="B186" s="81" t="s">
        <v>203</v>
      </c>
      <c r="C186" s="82">
        <f t="shared" si="193"/>
        <v>0</v>
      </c>
      <c r="D186" s="196">
        <v>0</v>
      </c>
      <c r="E186" s="197"/>
      <c r="F186" s="133">
        <f t="shared" si="235"/>
        <v>0</v>
      </c>
      <c r="G186" s="46"/>
      <c r="H186" s="47"/>
      <c r="I186" s="133">
        <f t="shared" si="236"/>
        <v>0</v>
      </c>
      <c r="J186" s="46"/>
      <c r="K186" s="47"/>
      <c r="L186" s="133">
        <f t="shared" si="237"/>
        <v>0</v>
      </c>
      <c r="M186" s="46"/>
      <c r="N186" s="47"/>
      <c r="O186" s="133">
        <f t="shared" si="238"/>
        <v>0</v>
      </c>
      <c r="P186" s="49"/>
    </row>
    <row r="187" spans="1:16" hidden="1" x14ac:dyDescent="0.25">
      <c r="A187" s="222">
        <v>4000</v>
      </c>
      <c r="B187" s="176" t="s">
        <v>204</v>
      </c>
      <c r="C187" s="177">
        <f t="shared" si="193"/>
        <v>0</v>
      </c>
      <c r="D187" s="178">
        <f>SUM(D188,D191)</f>
        <v>0</v>
      </c>
      <c r="E187" s="179">
        <f t="shared" ref="E187:F187" si="239">SUM(E188,E191)</f>
        <v>0</v>
      </c>
      <c r="F187" s="180">
        <f t="shared" si="239"/>
        <v>0</v>
      </c>
      <c r="G187" s="178">
        <f>SUM(G188,G191)</f>
        <v>0</v>
      </c>
      <c r="H187" s="179">
        <f t="shared" ref="H187:I187" si="240">SUM(H188,H191)</f>
        <v>0</v>
      </c>
      <c r="I187" s="180">
        <f t="shared" si="240"/>
        <v>0</v>
      </c>
      <c r="J187" s="178">
        <f>SUM(J188,J191)</f>
        <v>0</v>
      </c>
      <c r="K187" s="179">
        <f t="shared" ref="K187:L187" si="241">SUM(K188,K191)</f>
        <v>0</v>
      </c>
      <c r="L187" s="180">
        <f t="shared" si="241"/>
        <v>0</v>
      </c>
      <c r="M187" s="178">
        <f>SUM(M188,M191)</f>
        <v>0</v>
      </c>
      <c r="N187" s="179">
        <f t="shared" ref="N187:O187" si="242">SUM(N188,N191)</f>
        <v>0</v>
      </c>
      <c r="O187" s="180">
        <f t="shared" si="242"/>
        <v>0</v>
      </c>
      <c r="P187" s="181"/>
    </row>
    <row r="188" spans="1:16" ht="24" hidden="1" x14ac:dyDescent="0.25">
      <c r="A188" s="223">
        <v>4200</v>
      </c>
      <c r="B188" s="182" t="s">
        <v>205</v>
      </c>
      <c r="C188" s="69">
        <f t="shared" si="193"/>
        <v>0</v>
      </c>
      <c r="D188" s="183">
        <f>SUM(D189,D190)</f>
        <v>0</v>
      </c>
      <c r="E188" s="184">
        <f t="shared" ref="E188:F188" si="243">SUM(E189,E190)</f>
        <v>0</v>
      </c>
      <c r="F188" s="72">
        <f t="shared" si="243"/>
        <v>0</v>
      </c>
      <c r="G188" s="183">
        <f>SUM(G189,G190)</f>
        <v>0</v>
      </c>
      <c r="H188" s="184">
        <f t="shared" ref="H188:I188" si="244">SUM(H189,H190)</f>
        <v>0</v>
      </c>
      <c r="I188" s="72">
        <f t="shared" si="244"/>
        <v>0</v>
      </c>
      <c r="J188" s="183">
        <f>SUM(J189,J190)</f>
        <v>0</v>
      </c>
      <c r="K188" s="184">
        <f t="shared" ref="K188:L188" si="245">SUM(K189,K190)</f>
        <v>0</v>
      </c>
      <c r="L188" s="72">
        <f t="shared" si="245"/>
        <v>0</v>
      </c>
      <c r="M188" s="183">
        <f>SUM(M189,M190)</f>
        <v>0</v>
      </c>
      <c r="N188" s="184">
        <f t="shared" ref="N188:O188" si="246">SUM(N189,N190)</f>
        <v>0</v>
      </c>
      <c r="O188" s="72">
        <f t="shared" si="246"/>
        <v>0</v>
      </c>
      <c r="P188" s="76"/>
    </row>
    <row r="189" spans="1:16" ht="36" hidden="1" customHeight="1" x14ac:dyDescent="0.25">
      <c r="A189" s="1042">
        <v>4240</v>
      </c>
      <c r="B189" s="81" t="s">
        <v>206</v>
      </c>
      <c r="C189" s="82">
        <f t="shared" si="193"/>
        <v>0</v>
      </c>
      <c r="D189" s="196">
        <v>0</v>
      </c>
      <c r="E189" s="197"/>
      <c r="F189" s="133">
        <f t="shared" ref="F189:F190" si="247">D189+E189</f>
        <v>0</v>
      </c>
      <c r="G189" s="46"/>
      <c r="H189" s="47"/>
      <c r="I189" s="133">
        <f t="shared" ref="I189:I190" si="248">G189+H189</f>
        <v>0</v>
      </c>
      <c r="J189" s="46"/>
      <c r="K189" s="47"/>
      <c r="L189" s="133">
        <f t="shared" ref="L189:L190" si="249">K189+J189</f>
        <v>0</v>
      </c>
      <c r="M189" s="46"/>
      <c r="N189" s="47"/>
      <c r="O189" s="133">
        <f t="shared" ref="O189:O190" si="250">N189+M189</f>
        <v>0</v>
      </c>
      <c r="P189" s="49"/>
    </row>
    <row r="190" spans="1:16" ht="24" hidden="1" customHeight="1" x14ac:dyDescent="0.25">
      <c r="A190" s="188">
        <v>4250</v>
      </c>
      <c r="B190" s="88" t="s">
        <v>207</v>
      </c>
      <c r="C190" s="89">
        <f t="shared" si="193"/>
        <v>0</v>
      </c>
      <c r="D190" s="194">
        <v>0</v>
      </c>
      <c r="E190" s="195"/>
      <c r="F190" s="55">
        <f t="shared" si="247"/>
        <v>0</v>
      </c>
      <c r="G190" s="53"/>
      <c r="H190" s="54"/>
      <c r="I190" s="55">
        <f t="shared" si="248"/>
        <v>0</v>
      </c>
      <c r="J190" s="53"/>
      <c r="K190" s="54"/>
      <c r="L190" s="55">
        <f t="shared" si="249"/>
        <v>0</v>
      </c>
      <c r="M190" s="53"/>
      <c r="N190" s="54"/>
      <c r="O190" s="55">
        <f t="shared" si="250"/>
        <v>0</v>
      </c>
      <c r="P190" s="57"/>
    </row>
    <row r="191" spans="1:16" hidden="1" x14ac:dyDescent="0.25">
      <c r="A191" s="68">
        <v>4300</v>
      </c>
      <c r="B191" s="182" t="s">
        <v>208</v>
      </c>
      <c r="C191" s="69">
        <f t="shared" si="193"/>
        <v>0</v>
      </c>
      <c r="D191" s="183">
        <f>SUM(D192)</f>
        <v>0</v>
      </c>
      <c r="E191" s="184">
        <f t="shared" ref="E191:F191" si="251">SUM(E192)</f>
        <v>0</v>
      </c>
      <c r="F191" s="72">
        <f t="shared" si="251"/>
        <v>0</v>
      </c>
      <c r="G191" s="183">
        <f>SUM(G192)</f>
        <v>0</v>
      </c>
      <c r="H191" s="184">
        <f t="shared" ref="H191:I191" si="252">SUM(H192)</f>
        <v>0</v>
      </c>
      <c r="I191" s="72">
        <f t="shared" si="252"/>
        <v>0</v>
      </c>
      <c r="J191" s="183">
        <f>SUM(J192)</f>
        <v>0</v>
      </c>
      <c r="K191" s="184">
        <f t="shared" ref="K191:L191" si="253">SUM(K192)</f>
        <v>0</v>
      </c>
      <c r="L191" s="72">
        <f t="shared" si="253"/>
        <v>0</v>
      </c>
      <c r="M191" s="183">
        <f>SUM(M192)</f>
        <v>0</v>
      </c>
      <c r="N191" s="184">
        <f t="shared" ref="N191:O191" si="254">SUM(N192)</f>
        <v>0</v>
      </c>
      <c r="O191" s="72">
        <f t="shared" si="254"/>
        <v>0</v>
      </c>
      <c r="P191" s="76"/>
    </row>
    <row r="192" spans="1:16" ht="24" hidden="1" x14ac:dyDescent="0.25">
      <c r="A192" s="1042">
        <v>4310</v>
      </c>
      <c r="B192" s="81" t="s">
        <v>209</v>
      </c>
      <c r="C192" s="82">
        <f t="shared" si="193"/>
        <v>0</v>
      </c>
      <c r="D192" s="192">
        <f>SUM(D193:D193)</f>
        <v>0</v>
      </c>
      <c r="E192" s="193">
        <f t="shared" ref="E192:F192" si="255">SUM(E193:E193)</f>
        <v>0</v>
      </c>
      <c r="F192" s="133">
        <f t="shared" si="255"/>
        <v>0</v>
      </c>
      <c r="G192" s="192">
        <f>SUM(G193:G193)</f>
        <v>0</v>
      </c>
      <c r="H192" s="193">
        <f t="shared" ref="H192:I192" si="256">SUM(H193:H193)</f>
        <v>0</v>
      </c>
      <c r="I192" s="133">
        <f t="shared" si="256"/>
        <v>0</v>
      </c>
      <c r="J192" s="192">
        <f>SUM(J193:J193)</f>
        <v>0</v>
      </c>
      <c r="K192" s="193">
        <f t="shared" ref="K192:L192" si="257">SUM(K193:K193)</f>
        <v>0</v>
      </c>
      <c r="L192" s="133">
        <f t="shared" si="257"/>
        <v>0</v>
      </c>
      <c r="M192" s="192">
        <f>SUM(M193:M193)</f>
        <v>0</v>
      </c>
      <c r="N192" s="193">
        <f t="shared" ref="N192:O192" si="258">SUM(N193:N193)</f>
        <v>0</v>
      </c>
      <c r="O192" s="133">
        <f t="shared" si="258"/>
        <v>0</v>
      </c>
      <c r="P192" s="49"/>
    </row>
    <row r="193" spans="1:16" ht="36" hidden="1" customHeight="1" x14ac:dyDescent="0.25">
      <c r="A193" s="51">
        <v>4311</v>
      </c>
      <c r="B193" s="88" t="s">
        <v>210</v>
      </c>
      <c r="C193" s="89">
        <f t="shared" si="193"/>
        <v>0</v>
      </c>
      <c r="D193" s="194">
        <v>0</v>
      </c>
      <c r="E193" s="195"/>
      <c r="F193" s="55">
        <f>D193+E193</f>
        <v>0</v>
      </c>
      <c r="G193" s="53"/>
      <c r="H193" s="54"/>
      <c r="I193" s="55">
        <f>G193+H193</f>
        <v>0</v>
      </c>
      <c r="J193" s="53"/>
      <c r="K193" s="54"/>
      <c r="L193" s="55">
        <f>K193+J193</f>
        <v>0</v>
      </c>
      <c r="M193" s="53"/>
      <c r="N193" s="54"/>
      <c r="O193" s="55">
        <f>N193+M193</f>
        <v>0</v>
      </c>
      <c r="P193" s="57"/>
    </row>
    <row r="194" spans="1:16" s="28" customFormat="1" ht="24" x14ac:dyDescent="0.25">
      <c r="A194" s="224"/>
      <c r="B194" s="23" t="s">
        <v>211</v>
      </c>
      <c r="C194" s="171">
        <f t="shared" si="193"/>
        <v>209047</v>
      </c>
      <c r="D194" s="172">
        <f>SUM(D195,D230,D269,D283)</f>
        <v>229047</v>
      </c>
      <c r="E194" s="173">
        <f t="shared" ref="E194:O194" si="259">SUM(E195,E230,E269,E283)</f>
        <v>-20000</v>
      </c>
      <c r="F194" s="174">
        <f t="shared" si="259"/>
        <v>209047</v>
      </c>
      <c r="G194" s="172">
        <f t="shared" si="259"/>
        <v>0</v>
      </c>
      <c r="H194" s="173">
        <f t="shared" si="259"/>
        <v>0</v>
      </c>
      <c r="I194" s="174">
        <f t="shared" si="259"/>
        <v>0</v>
      </c>
      <c r="J194" s="172">
        <f t="shared" si="259"/>
        <v>0</v>
      </c>
      <c r="K194" s="173">
        <f t="shared" si="259"/>
        <v>0</v>
      </c>
      <c r="L194" s="174">
        <f t="shared" si="259"/>
        <v>0</v>
      </c>
      <c r="M194" s="172">
        <f t="shared" si="259"/>
        <v>0</v>
      </c>
      <c r="N194" s="173">
        <f t="shared" si="259"/>
        <v>0</v>
      </c>
      <c r="O194" s="174">
        <f t="shared" si="259"/>
        <v>0</v>
      </c>
      <c r="P194" s="175"/>
    </row>
    <row r="195" spans="1:16" x14ac:dyDescent="0.25">
      <c r="A195" s="176">
        <v>5000</v>
      </c>
      <c r="B195" s="176" t="s">
        <v>212</v>
      </c>
      <c r="C195" s="177">
        <f t="shared" si="193"/>
        <v>209047</v>
      </c>
      <c r="D195" s="178">
        <f>D196+D204</f>
        <v>229047</v>
      </c>
      <c r="E195" s="179">
        <f t="shared" ref="E195:F195" si="260">E196+E204</f>
        <v>-20000</v>
      </c>
      <c r="F195" s="180">
        <f t="shared" si="260"/>
        <v>209047</v>
      </c>
      <c r="G195" s="178">
        <f>G196+G204</f>
        <v>0</v>
      </c>
      <c r="H195" s="179">
        <f t="shared" ref="H195:I195" si="261">H196+H204</f>
        <v>0</v>
      </c>
      <c r="I195" s="180">
        <f t="shared" si="261"/>
        <v>0</v>
      </c>
      <c r="J195" s="178">
        <f>J196+J204</f>
        <v>0</v>
      </c>
      <c r="K195" s="179">
        <f t="shared" ref="K195:L195" si="262">K196+K204</f>
        <v>0</v>
      </c>
      <c r="L195" s="180">
        <f t="shared" si="262"/>
        <v>0</v>
      </c>
      <c r="M195" s="178">
        <f>M196+M204</f>
        <v>0</v>
      </c>
      <c r="N195" s="179">
        <f t="shared" ref="N195:O195" si="263">N196+N204</f>
        <v>0</v>
      </c>
      <c r="O195" s="180">
        <f t="shared" si="263"/>
        <v>0</v>
      </c>
      <c r="P195" s="181"/>
    </row>
    <row r="196" spans="1:16" x14ac:dyDescent="0.25">
      <c r="A196" s="68">
        <v>5100</v>
      </c>
      <c r="B196" s="182" t="s">
        <v>213</v>
      </c>
      <c r="C196" s="69">
        <f t="shared" si="193"/>
        <v>82662</v>
      </c>
      <c r="D196" s="183">
        <f>D197+D198+D201+D202+D203</f>
        <v>82662</v>
      </c>
      <c r="E196" s="184">
        <f t="shared" ref="E196:F196" si="264">E197+E198+E201+E202+E203</f>
        <v>0</v>
      </c>
      <c r="F196" s="72">
        <f t="shared" si="264"/>
        <v>82662</v>
      </c>
      <c r="G196" s="183">
        <f>G197+G198+G201+G202+G203</f>
        <v>0</v>
      </c>
      <c r="H196" s="184">
        <f t="shared" ref="H196:I196" si="265">H197+H198+H201+H202+H203</f>
        <v>0</v>
      </c>
      <c r="I196" s="72">
        <f t="shared" si="265"/>
        <v>0</v>
      </c>
      <c r="J196" s="183">
        <f>J197+J198+J201+J202+J203</f>
        <v>0</v>
      </c>
      <c r="K196" s="184">
        <f t="shared" ref="K196:L196" si="266">K197+K198+K201+K202+K203</f>
        <v>0</v>
      </c>
      <c r="L196" s="72">
        <f t="shared" si="266"/>
        <v>0</v>
      </c>
      <c r="M196" s="183">
        <f>M197+M198+M201+M202+M203</f>
        <v>0</v>
      </c>
      <c r="N196" s="184">
        <f t="shared" ref="N196:O196" si="267">N197+N198+N201+N202+N203</f>
        <v>0</v>
      </c>
      <c r="O196" s="72">
        <f t="shared" si="267"/>
        <v>0</v>
      </c>
      <c r="P196" s="76"/>
    </row>
    <row r="197" spans="1:16" ht="12" customHeight="1" x14ac:dyDescent="0.25">
      <c r="A197" s="1042">
        <v>5110</v>
      </c>
      <c r="B197" s="81" t="s">
        <v>214</v>
      </c>
      <c r="C197" s="82">
        <f t="shared" si="193"/>
        <v>82662</v>
      </c>
      <c r="D197" s="196">
        <v>82662</v>
      </c>
      <c r="E197" s="197"/>
      <c r="F197" s="133">
        <f>D197+E197</f>
        <v>82662</v>
      </c>
      <c r="G197" s="46"/>
      <c r="H197" s="47"/>
      <c r="I197" s="133">
        <f>G197+H197</f>
        <v>0</v>
      </c>
      <c r="J197" s="46"/>
      <c r="K197" s="47"/>
      <c r="L197" s="133">
        <f>K197+J197</f>
        <v>0</v>
      </c>
      <c r="M197" s="46"/>
      <c r="N197" s="47"/>
      <c r="O197" s="133">
        <f>N197+M197</f>
        <v>0</v>
      </c>
      <c r="P197" s="49"/>
    </row>
    <row r="198" spans="1:16" ht="24" hidden="1" x14ac:dyDescent="0.25">
      <c r="A198" s="188">
        <v>5120</v>
      </c>
      <c r="B198" s="88" t="s">
        <v>215</v>
      </c>
      <c r="C198" s="89">
        <f t="shared" si="193"/>
        <v>0</v>
      </c>
      <c r="D198" s="189">
        <f>D199+D200</f>
        <v>0</v>
      </c>
      <c r="E198" s="190">
        <f t="shared" ref="E198:F198" si="268">E199+E200</f>
        <v>0</v>
      </c>
      <c r="F198" s="55">
        <f t="shared" si="268"/>
        <v>0</v>
      </c>
      <c r="G198" s="189">
        <f>G199+G200</f>
        <v>0</v>
      </c>
      <c r="H198" s="190">
        <f t="shared" ref="H198:I198" si="269">H199+H200</f>
        <v>0</v>
      </c>
      <c r="I198" s="55">
        <f t="shared" si="269"/>
        <v>0</v>
      </c>
      <c r="J198" s="189">
        <f>J199+J200</f>
        <v>0</v>
      </c>
      <c r="K198" s="190">
        <f t="shared" ref="K198:L198" si="270">K199+K200</f>
        <v>0</v>
      </c>
      <c r="L198" s="55">
        <f t="shared" si="270"/>
        <v>0</v>
      </c>
      <c r="M198" s="189">
        <f>M199+M200</f>
        <v>0</v>
      </c>
      <c r="N198" s="190">
        <f t="shared" ref="N198:O198" si="271">N199+N200</f>
        <v>0</v>
      </c>
      <c r="O198" s="55">
        <f t="shared" si="271"/>
        <v>0</v>
      </c>
      <c r="P198" s="57"/>
    </row>
    <row r="199" spans="1:16" ht="12" hidden="1" customHeight="1" x14ac:dyDescent="0.25">
      <c r="A199" s="51">
        <v>5121</v>
      </c>
      <c r="B199" s="88" t="s">
        <v>216</v>
      </c>
      <c r="C199" s="89">
        <f t="shared" si="193"/>
        <v>0</v>
      </c>
      <c r="D199" s="194">
        <v>0</v>
      </c>
      <c r="E199" s="195"/>
      <c r="F199" s="55">
        <f t="shared" ref="F199:F203" si="272">D199+E199</f>
        <v>0</v>
      </c>
      <c r="G199" s="53"/>
      <c r="H199" s="54"/>
      <c r="I199" s="55">
        <f t="shared" ref="I199:I203" si="273">G199+H199</f>
        <v>0</v>
      </c>
      <c r="J199" s="53"/>
      <c r="K199" s="54"/>
      <c r="L199" s="55">
        <f t="shared" ref="L199:L203" si="274">K199+J199</f>
        <v>0</v>
      </c>
      <c r="M199" s="53"/>
      <c r="N199" s="54"/>
      <c r="O199" s="55">
        <f t="shared" ref="O199:O203" si="275">N199+M199</f>
        <v>0</v>
      </c>
      <c r="P199" s="57"/>
    </row>
    <row r="200" spans="1:16" ht="24" hidden="1" customHeight="1" x14ac:dyDescent="0.25">
      <c r="A200" s="51">
        <v>5129</v>
      </c>
      <c r="B200" s="88" t="s">
        <v>217</v>
      </c>
      <c r="C200" s="89">
        <f t="shared" si="193"/>
        <v>0</v>
      </c>
      <c r="D200" s="194">
        <v>0</v>
      </c>
      <c r="E200" s="195"/>
      <c r="F200" s="55">
        <f t="shared" si="272"/>
        <v>0</v>
      </c>
      <c r="G200" s="53"/>
      <c r="H200" s="54"/>
      <c r="I200" s="55">
        <f t="shared" si="273"/>
        <v>0</v>
      </c>
      <c r="J200" s="53"/>
      <c r="K200" s="54"/>
      <c r="L200" s="55">
        <f t="shared" si="274"/>
        <v>0</v>
      </c>
      <c r="M200" s="53"/>
      <c r="N200" s="54"/>
      <c r="O200" s="55">
        <f t="shared" si="275"/>
        <v>0</v>
      </c>
      <c r="P200" s="57"/>
    </row>
    <row r="201" spans="1:16" ht="12" hidden="1" customHeight="1" x14ac:dyDescent="0.25">
      <c r="A201" s="188">
        <v>5130</v>
      </c>
      <c r="B201" s="88" t="s">
        <v>218</v>
      </c>
      <c r="C201" s="89">
        <f t="shared" si="193"/>
        <v>0</v>
      </c>
      <c r="D201" s="194">
        <v>0</v>
      </c>
      <c r="E201" s="195"/>
      <c r="F201" s="55">
        <f t="shared" si="272"/>
        <v>0</v>
      </c>
      <c r="G201" s="53"/>
      <c r="H201" s="54"/>
      <c r="I201" s="55">
        <f t="shared" si="273"/>
        <v>0</v>
      </c>
      <c r="J201" s="53"/>
      <c r="K201" s="54"/>
      <c r="L201" s="55">
        <f t="shared" si="274"/>
        <v>0</v>
      </c>
      <c r="M201" s="53"/>
      <c r="N201" s="54"/>
      <c r="O201" s="55">
        <f t="shared" si="275"/>
        <v>0</v>
      </c>
      <c r="P201" s="57"/>
    </row>
    <row r="202" spans="1:16" ht="12" hidden="1" customHeight="1" x14ac:dyDescent="0.25">
      <c r="A202" s="188">
        <v>5140</v>
      </c>
      <c r="B202" s="88" t="s">
        <v>219</v>
      </c>
      <c r="C202" s="89">
        <f t="shared" si="193"/>
        <v>0</v>
      </c>
      <c r="D202" s="194">
        <v>0</v>
      </c>
      <c r="E202" s="195"/>
      <c r="F202" s="55">
        <f t="shared" si="272"/>
        <v>0</v>
      </c>
      <c r="G202" s="53"/>
      <c r="H202" s="54"/>
      <c r="I202" s="55">
        <f t="shared" si="273"/>
        <v>0</v>
      </c>
      <c r="J202" s="53"/>
      <c r="K202" s="54"/>
      <c r="L202" s="55">
        <f t="shared" si="274"/>
        <v>0</v>
      </c>
      <c r="M202" s="53"/>
      <c r="N202" s="54"/>
      <c r="O202" s="55">
        <f t="shared" si="275"/>
        <v>0</v>
      </c>
      <c r="P202" s="57"/>
    </row>
    <row r="203" spans="1:16" ht="24" hidden="1" customHeight="1" x14ac:dyDescent="0.25">
      <c r="A203" s="188">
        <v>5170</v>
      </c>
      <c r="B203" s="88" t="s">
        <v>220</v>
      </c>
      <c r="C203" s="89">
        <f t="shared" si="193"/>
        <v>0</v>
      </c>
      <c r="D203" s="194">
        <v>0</v>
      </c>
      <c r="E203" s="195"/>
      <c r="F203" s="55">
        <f t="shared" si="272"/>
        <v>0</v>
      </c>
      <c r="G203" s="53"/>
      <c r="H203" s="54"/>
      <c r="I203" s="55">
        <f t="shared" si="273"/>
        <v>0</v>
      </c>
      <c r="J203" s="53"/>
      <c r="K203" s="54"/>
      <c r="L203" s="55">
        <f t="shared" si="274"/>
        <v>0</v>
      </c>
      <c r="M203" s="53"/>
      <c r="N203" s="54"/>
      <c r="O203" s="55">
        <f t="shared" si="275"/>
        <v>0</v>
      </c>
      <c r="P203" s="57"/>
    </row>
    <row r="204" spans="1:16" x14ac:dyDescent="0.25">
      <c r="A204" s="68">
        <v>5200</v>
      </c>
      <c r="B204" s="182" t="s">
        <v>221</v>
      </c>
      <c r="C204" s="69">
        <f t="shared" si="193"/>
        <v>126385</v>
      </c>
      <c r="D204" s="183">
        <f>D205+D215+D216+D225+D226+D227+D229</f>
        <v>146385</v>
      </c>
      <c r="E204" s="184">
        <f t="shared" ref="E204:F204" si="276">E205+E215+E216+E225+E226+E227+E229</f>
        <v>-20000</v>
      </c>
      <c r="F204" s="72">
        <f t="shared" si="276"/>
        <v>126385</v>
      </c>
      <c r="G204" s="183">
        <f>G205+G215+G216+G225+G226+G227+G229</f>
        <v>0</v>
      </c>
      <c r="H204" s="184">
        <f t="shared" ref="H204:I204" si="277">H205+H215+H216+H225+H226+H227+H229</f>
        <v>0</v>
      </c>
      <c r="I204" s="72">
        <f t="shared" si="277"/>
        <v>0</v>
      </c>
      <c r="J204" s="183">
        <f>J205+J215+J216+J225+J226+J227+J229</f>
        <v>0</v>
      </c>
      <c r="K204" s="184">
        <f t="shared" ref="K204:L204" si="278">K205+K215+K216+K225+K226+K227+K229</f>
        <v>0</v>
      </c>
      <c r="L204" s="72">
        <f t="shared" si="278"/>
        <v>0</v>
      </c>
      <c r="M204" s="183">
        <f>M205+M215+M216+M225+M226+M227+M229</f>
        <v>0</v>
      </c>
      <c r="N204" s="184">
        <f t="shared" ref="N204:O204" si="279">N205+N215+N216+N225+N226+N227+N229</f>
        <v>0</v>
      </c>
      <c r="O204" s="72">
        <f t="shared" si="279"/>
        <v>0</v>
      </c>
      <c r="P204" s="76"/>
    </row>
    <row r="205" spans="1:16" hidden="1" x14ac:dyDescent="0.25">
      <c r="A205" s="185">
        <v>5210</v>
      </c>
      <c r="B205" s="137" t="s">
        <v>222</v>
      </c>
      <c r="C205" s="142">
        <f t="shared" si="193"/>
        <v>0</v>
      </c>
      <c r="D205" s="186">
        <f>SUM(D206:D214)</f>
        <v>0</v>
      </c>
      <c r="E205" s="187">
        <f t="shared" ref="E205:F205" si="280">SUM(E206:E214)</f>
        <v>0</v>
      </c>
      <c r="F205" s="140">
        <f t="shared" si="280"/>
        <v>0</v>
      </c>
      <c r="G205" s="186">
        <f>SUM(G206:G214)</f>
        <v>0</v>
      </c>
      <c r="H205" s="187">
        <f t="shared" ref="H205:I205" si="281">SUM(H206:H214)</f>
        <v>0</v>
      </c>
      <c r="I205" s="140">
        <f t="shared" si="281"/>
        <v>0</v>
      </c>
      <c r="J205" s="186">
        <f>SUM(J206:J214)</f>
        <v>0</v>
      </c>
      <c r="K205" s="187">
        <f t="shared" ref="K205:L205" si="282">SUM(K206:K214)</f>
        <v>0</v>
      </c>
      <c r="L205" s="140">
        <f t="shared" si="282"/>
        <v>0</v>
      </c>
      <c r="M205" s="186">
        <f>SUM(M206:M214)</f>
        <v>0</v>
      </c>
      <c r="N205" s="187">
        <f t="shared" ref="N205:O205" si="283">SUM(N206:N214)</f>
        <v>0</v>
      </c>
      <c r="O205" s="140">
        <f t="shared" si="283"/>
        <v>0</v>
      </c>
      <c r="P205" s="128"/>
    </row>
    <row r="206" spans="1:16" ht="12" hidden="1" customHeight="1" x14ac:dyDescent="0.25">
      <c r="A206" s="44">
        <v>5211</v>
      </c>
      <c r="B206" s="81" t="s">
        <v>223</v>
      </c>
      <c r="C206" s="82">
        <f t="shared" si="193"/>
        <v>0</v>
      </c>
      <c r="D206" s="196">
        <v>0</v>
      </c>
      <c r="E206" s="197"/>
      <c r="F206" s="133">
        <f t="shared" ref="F206:F215" si="284">D206+E206</f>
        <v>0</v>
      </c>
      <c r="G206" s="46"/>
      <c r="H206" s="47"/>
      <c r="I206" s="133">
        <f t="shared" ref="I206:I215" si="285">G206+H206</f>
        <v>0</v>
      </c>
      <c r="J206" s="46"/>
      <c r="K206" s="47"/>
      <c r="L206" s="133">
        <f t="shared" ref="L206:L215" si="286">K206+J206</f>
        <v>0</v>
      </c>
      <c r="M206" s="46"/>
      <c r="N206" s="47"/>
      <c r="O206" s="133">
        <f t="shared" ref="O206:O215" si="287">N206+M206</f>
        <v>0</v>
      </c>
      <c r="P206" s="49"/>
    </row>
    <row r="207" spans="1:16" ht="12" hidden="1" customHeight="1" x14ac:dyDescent="0.25">
      <c r="A207" s="51">
        <v>5212</v>
      </c>
      <c r="B207" s="88" t="s">
        <v>224</v>
      </c>
      <c r="C207" s="89">
        <f t="shared" si="193"/>
        <v>0</v>
      </c>
      <c r="D207" s="194">
        <v>0</v>
      </c>
      <c r="E207" s="195"/>
      <c r="F207" s="55">
        <f t="shared" si="284"/>
        <v>0</v>
      </c>
      <c r="G207" s="53"/>
      <c r="H207" s="54"/>
      <c r="I207" s="55">
        <f t="shared" si="285"/>
        <v>0</v>
      </c>
      <c r="J207" s="53"/>
      <c r="K207" s="54"/>
      <c r="L207" s="55">
        <f t="shared" si="286"/>
        <v>0</v>
      </c>
      <c r="M207" s="53"/>
      <c r="N207" s="54"/>
      <c r="O207" s="55">
        <f t="shared" si="287"/>
        <v>0</v>
      </c>
      <c r="P207" s="57"/>
    </row>
    <row r="208" spans="1:16" ht="12" hidden="1" customHeight="1" x14ac:dyDescent="0.25">
      <c r="A208" s="51">
        <v>5213</v>
      </c>
      <c r="B208" s="88" t="s">
        <v>225</v>
      </c>
      <c r="C208" s="89">
        <f t="shared" si="193"/>
        <v>0</v>
      </c>
      <c r="D208" s="194">
        <v>0</v>
      </c>
      <c r="E208" s="195"/>
      <c r="F208" s="55">
        <f t="shared" si="284"/>
        <v>0</v>
      </c>
      <c r="G208" s="53"/>
      <c r="H208" s="54"/>
      <c r="I208" s="55">
        <f t="shared" si="285"/>
        <v>0</v>
      </c>
      <c r="J208" s="53"/>
      <c r="K208" s="54"/>
      <c r="L208" s="55">
        <f t="shared" si="286"/>
        <v>0</v>
      </c>
      <c r="M208" s="53"/>
      <c r="N208" s="54"/>
      <c r="O208" s="55">
        <f t="shared" si="287"/>
        <v>0</v>
      </c>
      <c r="P208" s="57"/>
    </row>
    <row r="209" spans="1:16" ht="12" hidden="1" customHeight="1" x14ac:dyDescent="0.25">
      <c r="A209" s="51">
        <v>5214</v>
      </c>
      <c r="B209" s="88" t="s">
        <v>226</v>
      </c>
      <c r="C209" s="89">
        <f t="shared" si="193"/>
        <v>0</v>
      </c>
      <c r="D209" s="194">
        <v>0</v>
      </c>
      <c r="E209" s="195"/>
      <c r="F209" s="55">
        <f t="shared" si="284"/>
        <v>0</v>
      </c>
      <c r="G209" s="53"/>
      <c r="H209" s="54"/>
      <c r="I209" s="55">
        <f t="shared" si="285"/>
        <v>0</v>
      </c>
      <c r="J209" s="53"/>
      <c r="K209" s="54"/>
      <c r="L209" s="55">
        <f t="shared" si="286"/>
        <v>0</v>
      </c>
      <c r="M209" s="53"/>
      <c r="N209" s="54"/>
      <c r="O209" s="55">
        <f t="shared" si="287"/>
        <v>0</v>
      </c>
      <c r="P209" s="57"/>
    </row>
    <row r="210" spans="1:16" ht="12" hidden="1" customHeight="1" x14ac:dyDescent="0.25">
      <c r="A210" s="51">
        <v>5215</v>
      </c>
      <c r="B210" s="88" t="s">
        <v>227</v>
      </c>
      <c r="C210" s="89">
        <f t="shared" si="193"/>
        <v>0</v>
      </c>
      <c r="D210" s="194">
        <v>0</v>
      </c>
      <c r="E210" s="195"/>
      <c r="F210" s="55">
        <f t="shared" si="284"/>
        <v>0</v>
      </c>
      <c r="G210" s="53"/>
      <c r="H210" s="54"/>
      <c r="I210" s="55">
        <f t="shared" si="285"/>
        <v>0</v>
      </c>
      <c r="J210" s="53"/>
      <c r="K210" s="54"/>
      <c r="L210" s="55">
        <f t="shared" si="286"/>
        <v>0</v>
      </c>
      <c r="M210" s="53"/>
      <c r="N210" s="54"/>
      <c r="O210" s="55">
        <f t="shared" si="287"/>
        <v>0</v>
      </c>
      <c r="P210" s="57"/>
    </row>
    <row r="211" spans="1:16" ht="14.25" hidden="1" customHeight="1" x14ac:dyDescent="0.25">
      <c r="A211" s="51">
        <v>5216</v>
      </c>
      <c r="B211" s="88" t="s">
        <v>228</v>
      </c>
      <c r="C211" s="89">
        <f t="shared" si="193"/>
        <v>0</v>
      </c>
      <c r="D211" s="194">
        <v>0</v>
      </c>
      <c r="E211" s="195"/>
      <c r="F211" s="55">
        <f t="shared" si="284"/>
        <v>0</v>
      </c>
      <c r="G211" s="53"/>
      <c r="H211" s="54"/>
      <c r="I211" s="55">
        <f t="shared" si="285"/>
        <v>0</v>
      </c>
      <c r="J211" s="53"/>
      <c r="K211" s="54"/>
      <c r="L211" s="55">
        <f t="shared" si="286"/>
        <v>0</v>
      </c>
      <c r="M211" s="53"/>
      <c r="N211" s="54"/>
      <c r="O211" s="55">
        <f t="shared" si="287"/>
        <v>0</v>
      </c>
      <c r="P211" s="57"/>
    </row>
    <row r="212" spans="1:16" ht="12" hidden="1" customHeight="1" x14ac:dyDescent="0.25">
      <c r="A212" s="51">
        <v>5217</v>
      </c>
      <c r="B212" s="88" t="s">
        <v>229</v>
      </c>
      <c r="C212" s="89">
        <f t="shared" ref="C212:C275" si="288">F212+I212+L212+O212</f>
        <v>0</v>
      </c>
      <c r="D212" s="194">
        <v>0</v>
      </c>
      <c r="E212" s="195"/>
      <c r="F212" s="55">
        <f t="shared" si="284"/>
        <v>0</v>
      </c>
      <c r="G212" s="53"/>
      <c r="H212" s="54"/>
      <c r="I212" s="55">
        <f t="shared" si="285"/>
        <v>0</v>
      </c>
      <c r="J212" s="53"/>
      <c r="K212" s="54"/>
      <c r="L212" s="55">
        <f t="shared" si="286"/>
        <v>0</v>
      </c>
      <c r="M212" s="53"/>
      <c r="N212" s="54"/>
      <c r="O212" s="55">
        <f t="shared" si="287"/>
        <v>0</v>
      </c>
      <c r="P212" s="57"/>
    </row>
    <row r="213" spans="1:16" ht="12" hidden="1" customHeight="1" x14ac:dyDescent="0.25">
      <c r="A213" s="51">
        <v>5218</v>
      </c>
      <c r="B213" s="88" t="s">
        <v>230</v>
      </c>
      <c r="C213" s="89">
        <f t="shared" si="288"/>
        <v>0</v>
      </c>
      <c r="D213" s="194">
        <v>0</v>
      </c>
      <c r="E213" s="195"/>
      <c r="F213" s="55">
        <f t="shared" si="284"/>
        <v>0</v>
      </c>
      <c r="G213" s="53"/>
      <c r="H213" s="54"/>
      <c r="I213" s="55">
        <f t="shared" si="285"/>
        <v>0</v>
      </c>
      <c r="J213" s="53"/>
      <c r="K213" s="54"/>
      <c r="L213" s="55">
        <f t="shared" si="286"/>
        <v>0</v>
      </c>
      <c r="M213" s="53"/>
      <c r="N213" s="54"/>
      <c r="O213" s="55">
        <f t="shared" si="287"/>
        <v>0</v>
      </c>
      <c r="P213" s="57"/>
    </row>
    <row r="214" spans="1:16" ht="12" hidden="1" customHeight="1" x14ac:dyDescent="0.25">
      <c r="A214" s="51">
        <v>5219</v>
      </c>
      <c r="B214" s="88" t="s">
        <v>231</v>
      </c>
      <c r="C214" s="89">
        <f t="shared" si="288"/>
        <v>0</v>
      </c>
      <c r="D214" s="194">
        <v>0</v>
      </c>
      <c r="E214" s="195"/>
      <c r="F214" s="55">
        <f t="shared" si="284"/>
        <v>0</v>
      </c>
      <c r="G214" s="53"/>
      <c r="H214" s="54"/>
      <c r="I214" s="55">
        <f t="shared" si="285"/>
        <v>0</v>
      </c>
      <c r="J214" s="53"/>
      <c r="K214" s="54"/>
      <c r="L214" s="55">
        <f t="shared" si="286"/>
        <v>0</v>
      </c>
      <c r="M214" s="53"/>
      <c r="N214" s="54"/>
      <c r="O214" s="55">
        <f t="shared" si="287"/>
        <v>0</v>
      </c>
      <c r="P214" s="57"/>
    </row>
    <row r="215" spans="1:16" ht="13.5" hidden="1" customHeight="1" x14ac:dyDescent="0.25">
      <c r="A215" s="188">
        <v>5220</v>
      </c>
      <c r="B215" s="88" t="s">
        <v>232</v>
      </c>
      <c r="C215" s="89">
        <f t="shared" si="288"/>
        <v>0</v>
      </c>
      <c r="D215" s="194">
        <v>0</v>
      </c>
      <c r="E215" s="195"/>
      <c r="F215" s="55">
        <f t="shared" si="284"/>
        <v>0</v>
      </c>
      <c r="G215" s="53"/>
      <c r="H215" s="54"/>
      <c r="I215" s="55">
        <f t="shared" si="285"/>
        <v>0</v>
      </c>
      <c r="J215" s="53"/>
      <c r="K215" s="54"/>
      <c r="L215" s="55">
        <f t="shared" si="286"/>
        <v>0</v>
      </c>
      <c r="M215" s="53"/>
      <c r="N215" s="54"/>
      <c r="O215" s="55">
        <f t="shared" si="287"/>
        <v>0</v>
      </c>
      <c r="P215" s="57"/>
    </row>
    <row r="216" spans="1:16" x14ac:dyDescent="0.25">
      <c r="A216" s="188">
        <v>5230</v>
      </c>
      <c r="B216" s="88" t="s">
        <v>233</v>
      </c>
      <c r="C216" s="89">
        <f t="shared" si="288"/>
        <v>5500</v>
      </c>
      <c r="D216" s="189">
        <f>SUM(D217:D224)</f>
        <v>5500</v>
      </c>
      <c r="E216" s="190">
        <f t="shared" ref="E216:F216" si="289">SUM(E217:E224)</f>
        <v>0</v>
      </c>
      <c r="F216" s="55">
        <f t="shared" si="289"/>
        <v>5500</v>
      </c>
      <c r="G216" s="189">
        <f>SUM(G217:G224)</f>
        <v>0</v>
      </c>
      <c r="H216" s="190">
        <f t="shared" ref="H216:I216" si="290">SUM(H217:H224)</f>
        <v>0</v>
      </c>
      <c r="I216" s="55">
        <f t="shared" si="290"/>
        <v>0</v>
      </c>
      <c r="J216" s="189">
        <f>SUM(J217:J224)</f>
        <v>0</v>
      </c>
      <c r="K216" s="190">
        <f t="shared" ref="K216:L216" si="291">SUM(K217:K224)</f>
        <v>0</v>
      </c>
      <c r="L216" s="55">
        <f t="shared" si="291"/>
        <v>0</v>
      </c>
      <c r="M216" s="189">
        <f>SUM(M217:M224)</f>
        <v>0</v>
      </c>
      <c r="N216" s="190">
        <f t="shared" ref="N216:O216" si="292">SUM(N217:N224)</f>
        <v>0</v>
      </c>
      <c r="O216" s="55">
        <f t="shared" si="292"/>
        <v>0</v>
      </c>
      <c r="P216" s="57"/>
    </row>
    <row r="217" spans="1:16" ht="12" hidden="1" customHeight="1" x14ac:dyDescent="0.25">
      <c r="A217" s="51">
        <v>5231</v>
      </c>
      <c r="B217" s="88" t="s">
        <v>234</v>
      </c>
      <c r="C217" s="89">
        <f t="shared" si="288"/>
        <v>0</v>
      </c>
      <c r="D217" s="194">
        <v>0</v>
      </c>
      <c r="E217" s="195"/>
      <c r="F217" s="55">
        <f t="shared" ref="F217:F226" si="293">D217+E217</f>
        <v>0</v>
      </c>
      <c r="G217" s="53"/>
      <c r="H217" s="54"/>
      <c r="I217" s="55">
        <f t="shared" ref="I217:I226" si="294">G217+H217</f>
        <v>0</v>
      </c>
      <c r="J217" s="53"/>
      <c r="K217" s="54"/>
      <c r="L217" s="55">
        <f t="shared" ref="L217:L226" si="295">K217+J217</f>
        <v>0</v>
      </c>
      <c r="M217" s="53"/>
      <c r="N217" s="54"/>
      <c r="O217" s="55">
        <f t="shared" ref="O217:O226" si="296">N217+M217</f>
        <v>0</v>
      </c>
      <c r="P217" s="57"/>
    </row>
    <row r="218" spans="1:16" ht="12" hidden="1" customHeight="1" x14ac:dyDescent="0.25">
      <c r="A218" s="51">
        <v>5232</v>
      </c>
      <c r="B218" s="88" t="s">
        <v>235</v>
      </c>
      <c r="C218" s="89">
        <f t="shared" si="288"/>
        <v>0</v>
      </c>
      <c r="D218" s="194">
        <v>0</v>
      </c>
      <c r="E218" s="195"/>
      <c r="F218" s="55">
        <f t="shared" si="293"/>
        <v>0</v>
      </c>
      <c r="G218" s="53"/>
      <c r="H218" s="54"/>
      <c r="I218" s="55">
        <f t="shared" si="294"/>
        <v>0</v>
      </c>
      <c r="J218" s="53"/>
      <c r="K218" s="54"/>
      <c r="L218" s="55">
        <f t="shared" si="295"/>
        <v>0</v>
      </c>
      <c r="M218" s="53"/>
      <c r="N218" s="54"/>
      <c r="O218" s="55">
        <f t="shared" si="296"/>
        <v>0</v>
      </c>
      <c r="P218" s="57"/>
    </row>
    <row r="219" spans="1:16" ht="12" hidden="1" customHeight="1" x14ac:dyDescent="0.25">
      <c r="A219" s="51">
        <v>5233</v>
      </c>
      <c r="B219" s="88" t="s">
        <v>236</v>
      </c>
      <c r="C219" s="89">
        <f t="shared" si="288"/>
        <v>0</v>
      </c>
      <c r="D219" s="194">
        <v>0</v>
      </c>
      <c r="E219" s="195"/>
      <c r="F219" s="55">
        <f t="shared" si="293"/>
        <v>0</v>
      </c>
      <c r="G219" s="53"/>
      <c r="H219" s="54"/>
      <c r="I219" s="55">
        <f t="shared" si="294"/>
        <v>0</v>
      </c>
      <c r="J219" s="53"/>
      <c r="K219" s="54"/>
      <c r="L219" s="55">
        <f t="shared" si="295"/>
        <v>0</v>
      </c>
      <c r="M219" s="53"/>
      <c r="N219" s="54"/>
      <c r="O219" s="55">
        <f t="shared" si="296"/>
        <v>0</v>
      </c>
      <c r="P219" s="57"/>
    </row>
    <row r="220" spans="1:16" ht="24" hidden="1" customHeight="1" x14ac:dyDescent="0.25">
      <c r="A220" s="51">
        <v>5234</v>
      </c>
      <c r="B220" s="88" t="s">
        <v>237</v>
      </c>
      <c r="C220" s="89">
        <f t="shared" si="288"/>
        <v>0</v>
      </c>
      <c r="D220" s="194">
        <v>0</v>
      </c>
      <c r="E220" s="195"/>
      <c r="F220" s="55">
        <f t="shared" si="293"/>
        <v>0</v>
      </c>
      <c r="G220" s="53"/>
      <c r="H220" s="54"/>
      <c r="I220" s="55">
        <f t="shared" si="294"/>
        <v>0</v>
      </c>
      <c r="J220" s="53"/>
      <c r="K220" s="54"/>
      <c r="L220" s="55">
        <f t="shared" si="295"/>
        <v>0</v>
      </c>
      <c r="M220" s="53"/>
      <c r="N220" s="54"/>
      <c r="O220" s="55">
        <f t="shared" si="296"/>
        <v>0</v>
      </c>
      <c r="P220" s="57"/>
    </row>
    <row r="221" spans="1:16" ht="14.25" hidden="1" customHeight="1" x14ac:dyDescent="0.25">
      <c r="A221" s="51">
        <v>5236</v>
      </c>
      <c r="B221" s="88" t="s">
        <v>238</v>
      </c>
      <c r="C221" s="89">
        <f t="shared" si="288"/>
        <v>0</v>
      </c>
      <c r="D221" s="194">
        <v>0</v>
      </c>
      <c r="E221" s="195"/>
      <c r="F221" s="55">
        <f t="shared" si="293"/>
        <v>0</v>
      </c>
      <c r="G221" s="53"/>
      <c r="H221" s="54"/>
      <c r="I221" s="55">
        <f t="shared" si="294"/>
        <v>0</v>
      </c>
      <c r="J221" s="53"/>
      <c r="K221" s="54"/>
      <c r="L221" s="55">
        <f t="shared" si="295"/>
        <v>0</v>
      </c>
      <c r="M221" s="53"/>
      <c r="N221" s="54"/>
      <c r="O221" s="55">
        <f t="shared" si="296"/>
        <v>0</v>
      </c>
      <c r="P221" s="57"/>
    </row>
    <row r="222" spans="1:16" ht="14.25" hidden="1" customHeight="1" x14ac:dyDescent="0.25">
      <c r="A222" s="51">
        <v>5237</v>
      </c>
      <c r="B222" s="88" t="s">
        <v>239</v>
      </c>
      <c r="C222" s="89">
        <f t="shared" si="288"/>
        <v>0</v>
      </c>
      <c r="D222" s="194">
        <v>0</v>
      </c>
      <c r="E222" s="195"/>
      <c r="F222" s="55">
        <f t="shared" si="293"/>
        <v>0</v>
      </c>
      <c r="G222" s="53"/>
      <c r="H222" s="54"/>
      <c r="I222" s="55">
        <f t="shared" si="294"/>
        <v>0</v>
      </c>
      <c r="J222" s="53"/>
      <c r="K222" s="54"/>
      <c r="L222" s="55">
        <f t="shared" si="295"/>
        <v>0</v>
      </c>
      <c r="M222" s="53"/>
      <c r="N222" s="54"/>
      <c r="O222" s="55">
        <f t="shared" si="296"/>
        <v>0</v>
      </c>
      <c r="P222" s="57"/>
    </row>
    <row r="223" spans="1:16" ht="24" hidden="1" customHeight="1" x14ac:dyDescent="0.25">
      <c r="A223" s="51">
        <v>5238</v>
      </c>
      <c r="B223" s="88" t="s">
        <v>240</v>
      </c>
      <c r="C223" s="89">
        <f t="shared" si="288"/>
        <v>0</v>
      </c>
      <c r="D223" s="194">
        <v>0</v>
      </c>
      <c r="E223" s="195"/>
      <c r="F223" s="55">
        <f t="shared" si="293"/>
        <v>0</v>
      </c>
      <c r="G223" s="53"/>
      <c r="H223" s="54"/>
      <c r="I223" s="55">
        <f t="shared" si="294"/>
        <v>0</v>
      </c>
      <c r="J223" s="53"/>
      <c r="K223" s="54"/>
      <c r="L223" s="55">
        <f t="shared" si="295"/>
        <v>0</v>
      </c>
      <c r="M223" s="53"/>
      <c r="N223" s="54"/>
      <c r="O223" s="55">
        <f t="shared" si="296"/>
        <v>0</v>
      </c>
      <c r="P223" s="57"/>
    </row>
    <row r="224" spans="1:16" ht="24" customHeight="1" x14ac:dyDescent="0.25">
      <c r="A224" s="51">
        <v>5239</v>
      </c>
      <c r="B224" s="88" t="s">
        <v>241</v>
      </c>
      <c r="C224" s="89">
        <f t="shared" si="288"/>
        <v>5500</v>
      </c>
      <c r="D224" s="194">
        <v>5500</v>
      </c>
      <c r="E224" s="195"/>
      <c r="F224" s="55">
        <f t="shared" si="293"/>
        <v>5500</v>
      </c>
      <c r="G224" s="53"/>
      <c r="H224" s="54"/>
      <c r="I224" s="55">
        <f t="shared" si="294"/>
        <v>0</v>
      </c>
      <c r="J224" s="53"/>
      <c r="K224" s="54"/>
      <c r="L224" s="55">
        <f t="shared" si="295"/>
        <v>0</v>
      </c>
      <c r="M224" s="53"/>
      <c r="N224" s="54"/>
      <c r="O224" s="55">
        <f t="shared" si="296"/>
        <v>0</v>
      </c>
      <c r="P224" s="57"/>
    </row>
    <row r="225" spans="1:16" ht="24" customHeight="1" x14ac:dyDescent="0.25">
      <c r="A225" s="188">
        <v>5240</v>
      </c>
      <c r="B225" s="88" t="s">
        <v>242</v>
      </c>
      <c r="C225" s="89">
        <f t="shared" si="288"/>
        <v>88376</v>
      </c>
      <c r="D225" s="194">
        <v>88376</v>
      </c>
      <c r="E225" s="195"/>
      <c r="F225" s="55">
        <f t="shared" si="293"/>
        <v>88376</v>
      </c>
      <c r="G225" s="53"/>
      <c r="H225" s="54"/>
      <c r="I225" s="55">
        <f t="shared" si="294"/>
        <v>0</v>
      </c>
      <c r="J225" s="53"/>
      <c r="K225" s="54"/>
      <c r="L225" s="55">
        <f t="shared" si="295"/>
        <v>0</v>
      </c>
      <c r="M225" s="53"/>
      <c r="N225" s="54"/>
      <c r="O225" s="55">
        <f t="shared" si="296"/>
        <v>0</v>
      </c>
      <c r="P225" s="57"/>
    </row>
    <row r="226" spans="1:16" ht="12" customHeight="1" x14ac:dyDescent="0.25">
      <c r="A226" s="188">
        <v>5250</v>
      </c>
      <c r="B226" s="88" t="s">
        <v>243</v>
      </c>
      <c r="C226" s="89">
        <f t="shared" si="288"/>
        <v>32509</v>
      </c>
      <c r="D226" s="194">
        <v>52509</v>
      </c>
      <c r="E226" s="195">
        <v>-20000</v>
      </c>
      <c r="F226" s="55">
        <f t="shared" si="293"/>
        <v>32509</v>
      </c>
      <c r="G226" s="53"/>
      <c r="H226" s="54"/>
      <c r="I226" s="55">
        <f t="shared" si="294"/>
        <v>0</v>
      </c>
      <c r="J226" s="53"/>
      <c r="K226" s="54"/>
      <c r="L226" s="55">
        <f t="shared" si="295"/>
        <v>0</v>
      </c>
      <c r="M226" s="53"/>
      <c r="N226" s="54"/>
      <c r="O226" s="55">
        <f t="shared" si="296"/>
        <v>0</v>
      </c>
      <c r="P226" s="57"/>
    </row>
    <row r="227" spans="1:16" hidden="1" x14ac:dyDescent="0.25">
      <c r="A227" s="188">
        <v>5260</v>
      </c>
      <c r="B227" s="88" t="s">
        <v>244</v>
      </c>
      <c r="C227" s="89">
        <f t="shared" si="288"/>
        <v>0</v>
      </c>
      <c r="D227" s="189">
        <f>SUM(D228)</f>
        <v>0</v>
      </c>
      <c r="E227" s="190">
        <f t="shared" ref="E227:F227" si="297">SUM(E228)</f>
        <v>0</v>
      </c>
      <c r="F227" s="55">
        <f t="shared" si="297"/>
        <v>0</v>
      </c>
      <c r="G227" s="189">
        <f>SUM(G228)</f>
        <v>0</v>
      </c>
      <c r="H227" s="190">
        <f t="shared" ref="H227:I227" si="298">SUM(H228)</f>
        <v>0</v>
      </c>
      <c r="I227" s="55">
        <f t="shared" si="298"/>
        <v>0</v>
      </c>
      <c r="J227" s="189">
        <f>SUM(J228)</f>
        <v>0</v>
      </c>
      <c r="K227" s="190">
        <f t="shared" ref="K227:L227" si="299">SUM(K228)</f>
        <v>0</v>
      </c>
      <c r="L227" s="55">
        <f t="shared" si="299"/>
        <v>0</v>
      </c>
      <c r="M227" s="189">
        <f>SUM(M228)</f>
        <v>0</v>
      </c>
      <c r="N227" s="190">
        <f t="shared" ref="N227:O227" si="300">SUM(N228)</f>
        <v>0</v>
      </c>
      <c r="O227" s="55">
        <f t="shared" si="300"/>
        <v>0</v>
      </c>
      <c r="P227" s="57"/>
    </row>
    <row r="228" spans="1:16" ht="24" hidden="1" customHeight="1" x14ac:dyDescent="0.25">
      <c r="A228" s="51">
        <v>5269</v>
      </c>
      <c r="B228" s="88" t="s">
        <v>245</v>
      </c>
      <c r="C228" s="89">
        <f t="shared" si="288"/>
        <v>0</v>
      </c>
      <c r="D228" s="194">
        <v>0</v>
      </c>
      <c r="E228" s="195"/>
      <c r="F228" s="55">
        <f t="shared" ref="F228:F229" si="301">D228+E228</f>
        <v>0</v>
      </c>
      <c r="G228" s="53"/>
      <c r="H228" s="54"/>
      <c r="I228" s="55">
        <f t="shared" ref="I228:I229" si="302">G228+H228</f>
        <v>0</v>
      </c>
      <c r="J228" s="53"/>
      <c r="K228" s="54"/>
      <c r="L228" s="55">
        <f t="shared" ref="L228:L229" si="303">K228+J228</f>
        <v>0</v>
      </c>
      <c r="M228" s="53"/>
      <c r="N228" s="54"/>
      <c r="O228" s="55">
        <f t="shared" ref="O228:O229" si="304">N228+M228</f>
        <v>0</v>
      </c>
      <c r="P228" s="57"/>
    </row>
    <row r="229" spans="1:16" ht="24" hidden="1" customHeight="1" x14ac:dyDescent="0.25">
      <c r="A229" s="185">
        <v>5270</v>
      </c>
      <c r="B229" s="137" t="s">
        <v>246</v>
      </c>
      <c r="C229" s="142">
        <f t="shared" si="288"/>
        <v>0</v>
      </c>
      <c r="D229" s="202">
        <v>0</v>
      </c>
      <c r="E229" s="203"/>
      <c r="F229" s="140">
        <f t="shared" si="301"/>
        <v>0</v>
      </c>
      <c r="G229" s="143"/>
      <c r="H229" s="144"/>
      <c r="I229" s="140">
        <f t="shared" si="302"/>
        <v>0</v>
      </c>
      <c r="J229" s="143"/>
      <c r="K229" s="144"/>
      <c r="L229" s="140">
        <f t="shared" si="303"/>
        <v>0</v>
      </c>
      <c r="M229" s="143"/>
      <c r="N229" s="144"/>
      <c r="O229" s="140">
        <f t="shared" si="304"/>
        <v>0</v>
      </c>
      <c r="P229" s="128"/>
    </row>
    <row r="230" spans="1:16" hidden="1" x14ac:dyDescent="0.25">
      <c r="A230" s="176">
        <v>6000</v>
      </c>
      <c r="B230" s="176" t="s">
        <v>247</v>
      </c>
      <c r="C230" s="177">
        <f t="shared" si="288"/>
        <v>0</v>
      </c>
      <c r="D230" s="178">
        <f>D231+D251+D259</f>
        <v>0</v>
      </c>
      <c r="E230" s="179">
        <f t="shared" ref="E230:F230" si="305">E231+E251+E259</f>
        <v>0</v>
      </c>
      <c r="F230" s="180">
        <f t="shared" si="305"/>
        <v>0</v>
      </c>
      <c r="G230" s="178">
        <f>G231+G251+G259</f>
        <v>0</v>
      </c>
      <c r="H230" s="179">
        <f t="shared" ref="H230:I230" si="306">H231+H251+H259</f>
        <v>0</v>
      </c>
      <c r="I230" s="180">
        <f t="shared" si="306"/>
        <v>0</v>
      </c>
      <c r="J230" s="178">
        <f>J231+J251+J259</f>
        <v>0</v>
      </c>
      <c r="K230" s="179">
        <f t="shared" ref="K230:L230" si="307">K231+K251+K259</f>
        <v>0</v>
      </c>
      <c r="L230" s="180">
        <f t="shared" si="307"/>
        <v>0</v>
      </c>
      <c r="M230" s="178">
        <f>M231+M251+M259</f>
        <v>0</v>
      </c>
      <c r="N230" s="179">
        <f t="shared" ref="N230:O230" si="308">N231+N251+N259</f>
        <v>0</v>
      </c>
      <c r="O230" s="180">
        <f t="shared" si="308"/>
        <v>0</v>
      </c>
      <c r="P230" s="181"/>
    </row>
    <row r="231" spans="1:16" ht="14.25" hidden="1" customHeight="1" x14ac:dyDescent="0.25">
      <c r="A231" s="216">
        <v>6200</v>
      </c>
      <c r="B231" s="207" t="s">
        <v>248</v>
      </c>
      <c r="C231" s="217">
        <f t="shared" si="288"/>
        <v>0</v>
      </c>
      <c r="D231" s="218">
        <f>SUM(D232,D233,D235,D238,D244,D245,D246)</f>
        <v>0</v>
      </c>
      <c r="E231" s="219">
        <f t="shared" ref="E231:F231" si="309">SUM(E232,E233,E235,E238,E244,E245,E246)</f>
        <v>0</v>
      </c>
      <c r="F231" s="220">
        <f t="shared" si="309"/>
        <v>0</v>
      </c>
      <c r="G231" s="218">
        <f>SUM(G232,G233,G235,G238,G244,G245,G246)</f>
        <v>0</v>
      </c>
      <c r="H231" s="219">
        <f t="shared" ref="H231:I231" si="310">SUM(H232,H233,H235,H238,H244,H245,H246)</f>
        <v>0</v>
      </c>
      <c r="I231" s="220">
        <f t="shared" si="310"/>
        <v>0</v>
      </c>
      <c r="J231" s="218">
        <f>SUM(J232,J233,J235,J238,J244,J245,J246)</f>
        <v>0</v>
      </c>
      <c r="K231" s="219">
        <f t="shared" ref="K231:L231" si="311">SUM(K232,K233,K235,K238,K244,K245,K246)</f>
        <v>0</v>
      </c>
      <c r="L231" s="220">
        <f t="shared" si="311"/>
        <v>0</v>
      </c>
      <c r="M231" s="218">
        <f>SUM(M232,M233,M235,M238,M244,M245,M246)</f>
        <v>0</v>
      </c>
      <c r="N231" s="219">
        <f t="shared" ref="N231:O231" si="312">SUM(N232,N233,N235,N238,N244,N245,N246)</f>
        <v>0</v>
      </c>
      <c r="O231" s="220">
        <f t="shared" si="312"/>
        <v>0</v>
      </c>
      <c r="P231" s="221"/>
    </row>
    <row r="232" spans="1:16" ht="24" hidden="1" customHeight="1" x14ac:dyDescent="0.25">
      <c r="A232" s="1042">
        <v>6220</v>
      </c>
      <c r="B232" s="81" t="s">
        <v>249</v>
      </c>
      <c r="C232" s="82">
        <f t="shared" si="288"/>
        <v>0</v>
      </c>
      <c r="D232" s="196">
        <v>0</v>
      </c>
      <c r="E232" s="197"/>
      <c r="F232" s="133">
        <f>D232+E232</f>
        <v>0</v>
      </c>
      <c r="G232" s="46"/>
      <c r="H232" s="47"/>
      <c r="I232" s="133">
        <f>G232+H232</f>
        <v>0</v>
      </c>
      <c r="J232" s="46"/>
      <c r="K232" s="47"/>
      <c r="L232" s="133">
        <f>K232+J232</f>
        <v>0</v>
      </c>
      <c r="M232" s="46"/>
      <c r="N232" s="47"/>
      <c r="O232" s="133">
        <f>N232+M232</f>
        <v>0</v>
      </c>
      <c r="P232" s="49"/>
    </row>
    <row r="233" spans="1:16" hidden="1" x14ac:dyDescent="0.25">
      <c r="A233" s="188">
        <v>6230</v>
      </c>
      <c r="B233" s="88" t="s">
        <v>250</v>
      </c>
      <c r="C233" s="89">
        <f t="shared" si="288"/>
        <v>0</v>
      </c>
      <c r="D233" s="189">
        <f t="shared" ref="D233:O233" si="313">SUM(D234)</f>
        <v>0</v>
      </c>
      <c r="E233" s="190">
        <f t="shared" si="313"/>
        <v>0</v>
      </c>
      <c r="F233" s="55">
        <f t="shared" si="313"/>
        <v>0</v>
      </c>
      <c r="G233" s="189">
        <f t="shared" si="313"/>
        <v>0</v>
      </c>
      <c r="H233" s="190">
        <f t="shared" si="313"/>
        <v>0</v>
      </c>
      <c r="I233" s="55">
        <f t="shared" si="313"/>
        <v>0</v>
      </c>
      <c r="J233" s="189">
        <f t="shared" si="313"/>
        <v>0</v>
      </c>
      <c r="K233" s="190">
        <f t="shared" si="313"/>
        <v>0</v>
      </c>
      <c r="L233" s="55">
        <f t="shared" si="313"/>
        <v>0</v>
      </c>
      <c r="M233" s="189">
        <f t="shared" si="313"/>
        <v>0</v>
      </c>
      <c r="N233" s="190">
        <f t="shared" si="313"/>
        <v>0</v>
      </c>
      <c r="O233" s="55">
        <f t="shared" si="313"/>
        <v>0</v>
      </c>
      <c r="P233" s="57"/>
    </row>
    <row r="234" spans="1:16" ht="24" hidden="1" customHeight="1" x14ac:dyDescent="0.25">
      <c r="A234" s="51">
        <v>6239</v>
      </c>
      <c r="B234" s="81" t="s">
        <v>251</v>
      </c>
      <c r="C234" s="89">
        <f t="shared" si="288"/>
        <v>0</v>
      </c>
      <c r="D234" s="196">
        <v>0</v>
      </c>
      <c r="E234" s="197"/>
      <c r="F234" s="133">
        <f>D234+E234</f>
        <v>0</v>
      </c>
      <c r="G234" s="46"/>
      <c r="H234" s="47"/>
      <c r="I234" s="133">
        <f>G234+H234</f>
        <v>0</v>
      </c>
      <c r="J234" s="46"/>
      <c r="K234" s="47"/>
      <c r="L234" s="133">
        <f>K234+J234</f>
        <v>0</v>
      </c>
      <c r="M234" s="46"/>
      <c r="N234" s="47"/>
      <c r="O234" s="133">
        <f>N234+M234</f>
        <v>0</v>
      </c>
      <c r="P234" s="49"/>
    </row>
    <row r="235" spans="1:16" ht="24" hidden="1" x14ac:dyDescent="0.25">
      <c r="A235" s="188">
        <v>6240</v>
      </c>
      <c r="B235" s="88" t="s">
        <v>252</v>
      </c>
      <c r="C235" s="89">
        <f t="shared" si="288"/>
        <v>0</v>
      </c>
      <c r="D235" s="189">
        <f>SUM(D236:D237)</f>
        <v>0</v>
      </c>
      <c r="E235" s="190">
        <f t="shared" ref="E235:F235" si="314">SUM(E236:E237)</f>
        <v>0</v>
      </c>
      <c r="F235" s="55">
        <f t="shared" si="314"/>
        <v>0</v>
      </c>
      <c r="G235" s="189">
        <f>SUM(G236:G237)</f>
        <v>0</v>
      </c>
      <c r="H235" s="190">
        <f t="shared" ref="H235:I235" si="315">SUM(H236:H237)</f>
        <v>0</v>
      </c>
      <c r="I235" s="55">
        <f t="shared" si="315"/>
        <v>0</v>
      </c>
      <c r="J235" s="189">
        <f>SUM(J236:J237)</f>
        <v>0</v>
      </c>
      <c r="K235" s="190">
        <f t="shared" ref="K235:L235" si="316">SUM(K236:K237)</f>
        <v>0</v>
      </c>
      <c r="L235" s="55">
        <f t="shared" si="316"/>
        <v>0</v>
      </c>
      <c r="M235" s="189">
        <f>SUM(M236:M237)</f>
        <v>0</v>
      </c>
      <c r="N235" s="190">
        <f t="shared" ref="N235:O235" si="317">SUM(N236:N237)</f>
        <v>0</v>
      </c>
      <c r="O235" s="55">
        <f t="shared" si="317"/>
        <v>0</v>
      </c>
      <c r="P235" s="57"/>
    </row>
    <row r="236" spans="1:16" ht="12" hidden="1" customHeight="1" x14ac:dyDescent="0.25">
      <c r="A236" s="51">
        <v>6241</v>
      </c>
      <c r="B236" s="88" t="s">
        <v>253</v>
      </c>
      <c r="C236" s="89">
        <f t="shared" si="288"/>
        <v>0</v>
      </c>
      <c r="D236" s="194">
        <v>0</v>
      </c>
      <c r="E236" s="195"/>
      <c r="F236" s="55">
        <f t="shared" ref="F236:F237" si="318">D236+E236</f>
        <v>0</v>
      </c>
      <c r="G236" s="53"/>
      <c r="H236" s="54"/>
      <c r="I236" s="55">
        <f t="shared" ref="I236:I237" si="319">G236+H236</f>
        <v>0</v>
      </c>
      <c r="J236" s="53"/>
      <c r="K236" s="54"/>
      <c r="L236" s="55">
        <f t="shared" ref="L236:L237" si="320">K236+J236</f>
        <v>0</v>
      </c>
      <c r="M236" s="53"/>
      <c r="N236" s="54"/>
      <c r="O236" s="55">
        <f t="shared" ref="O236:O237" si="321">N236+M236</f>
        <v>0</v>
      </c>
      <c r="P236" s="57"/>
    </row>
    <row r="237" spans="1:16" ht="12" hidden="1" customHeight="1" x14ac:dyDescent="0.25">
      <c r="A237" s="51">
        <v>6242</v>
      </c>
      <c r="B237" s="88" t="s">
        <v>254</v>
      </c>
      <c r="C237" s="89">
        <f t="shared" si="288"/>
        <v>0</v>
      </c>
      <c r="D237" s="194">
        <v>0</v>
      </c>
      <c r="E237" s="195"/>
      <c r="F237" s="55">
        <f t="shared" si="318"/>
        <v>0</v>
      </c>
      <c r="G237" s="53"/>
      <c r="H237" s="54"/>
      <c r="I237" s="55">
        <f t="shared" si="319"/>
        <v>0</v>
      </c>
      <c r="J237" s="53"/>
      <c r="K237" s="54"/>
      <c r="L237" s="55">
        <f t="shared" si="320"/>
        <v>0</v>
      </c>
      <c r="M237" s="53"/>
      <c r="N237" s="54"/>
      <c r="O237" s="55">
        <f t="shared" si="321"/>
        <v>0</v>
      </c>
      <c r="P237" s="57"/>
    </row>
    <row r="238" spans="1:16" ht="25.5" hidden="1" customHeight="1" x14ac:dyDescent="0.25">
      <c r="A238" s="188">
        <v>6250</v>
      </c>
      <c r="B238" s="88" t="s">
        <v>255</v>
      </c>
      <c r="C238" s="89">
        <f t="shared" si="288"/>
        <v>0</v>
      </c>
      <c r="D238" s="189">
        <f>SUM(D239:D243)</f>
        <v>0</v>
      </c>
      <c r="E238" s="190">
        <f t="shared" ref="E238:F238" si="322">SUM(E239:E243)</f>
        <v>0</v>
      </c>
      <c r="F238" s="55">
        <f t="shared" si="322"/>
        <v>0</v>
      </c>
      <c r="G238" s="189">
        <f>SUM(G239:G243)</f>
        <v>0</v>
      </c>
      <c r="H238" s="190">
        <f t="shared" ref="H238:I238" si="323">SUM(H239:H243)</f>
        <v>0</v>
      </c>
      <c r="I238" s="55">
        <f t="shared" si="323"/>
        <v>0</v>
      </c>
      <c r="J238" s="189">
        <f>SUM(J239:J243)</f>
        <v>0</v>
      </c>
      <c r="K238" s="190">
        <f t="shared" ref="K238:L238" si="324">SUM(K239:K243)</f>
        <v>0</v>
      </c>
      <c r="L238" s="55">
        <f t="shared" si="324"/>
        <v>0</v>
      </c>
      <c r="M238" s="189">
        <f>SUM(M239:M243)</f>
        <v>0</v>
      </c>
      <c r="N238" s="190">
        <f t="shared" ref="N238:O238" si="325">SUM(N239:N243)</f>
        <v>0</v>
      </c>
      <c r="O238" s="55">
        <f t="shared" si="325"/>
        <v>0</v>
      </c>
      <c r="P238" s="57"/>
    </row>
    <row r="239" spans="1:16" ht="14.25" hidden="1" customHeight="1" x14ac:dyDescent="0.25">
      <c r="A239" s="51">
        <v>6252</v>
      </c>
      <c r="B239" s="88" t="s">
        <v>256</v>
      </c>
      <c r="C239" s="89">
        <f t="shared" si="288"/>
        <v>0</v>
      </c>
      <c r="D239" s="194">
        <v>0</v>
      </c>
      <c r="E239" s="195"/>
      <c r="F239" s="55">
        <f t="shared" ref="F239:F245" si="326">D239+E239</f>
        <v>0</v>
      </c>
      <c r="G239" s="53"/>
      <c r="H239" s="54"/>
      <c r="I239" s="55">
        <f t="shared" ref="I239:I245" si="327">G239+H239</f>
        <v>0</v>
      </c>
      <c r="J239" s="53"/>
      <c r="K239" s="54"/>
      <c r="L239" s="55">
        <f t="shared" ref="L239:L245" si="328">K239+J239</f>
        <v>0</v>
      </c>
      <c r="M239" s="53"/>
      <c r="N239" s="54"/>
      <c r="O239" s="55">
        <f t="shared" ref="O239:O245" si="329">N239+M239</f>
        <v>0</v>
      </c>
      <c r="P239" s="57"/>
    </row>
    <row r="240" spans="1:16" ht="14.25" hidden="1" customHeight="1" x14ac:dyDescent="0.25">
      <c r="A240" s="51">
        <v>6253</v>
      </c>
      <c r="B240" s="88" t="s">
        <v>257</v>
      </c>
      <c r="C240" s="89">
        <f t="shared" si="288"/>
        <v>0</v>
      </c>
      <c r="D240" s="194">
        <v>0</v>
      </c>
      <c r="E240" s="195"/>
      <c r="F240" s="55">
        <f t="shared" si="326"/>
        <v>0</v>
      </c>
      <c r="G240" s="53"/>
      <c r="H240" s="54"/>
      <c r="I240" s="55">
        <f t="shared" si="327"/>
        <v>0</v>
      </c>
      <c r="J240" s="53"/>
      <c r="K240" s="54"/>
      <c r="L240" s="55">
        <f t="shared" si="328"/>
        <v>0</v>
      </c>
      <c r="M240" s="53"/>
      <c r="N240" s="54"/>
      <c r="O240" s="55">
        <f t="shared" si="329"/>
        <v>0</v>
      </c>
      <c r="P240" s="57"/>
    </row>
    <row r="241" spans="1:16" ht="24" hidden="1" customHeight="1" x14ac:dyDescent="0.25">
      <c r="A241" s="51">
        <v>6254</v>
      </c>
      <c r="B241" s="88" t="s">
        <v>258</v>
      </c>
      <c r="C241" s="89">
        <f t="shared" si="288"/>
        <v>0</v>
      </c>
      <c r="D241" s="194">
        <v>0</v>
      </c>
      <c r="E241" s="195"/>
      <c r="F241" s="55">
        <f t="shared" si="326"/>
        <v>0</v>
      </c>
      <c r="G241" s="53"/>
      <c r="H241" s="54"/>
      <c r="I241" s="55">
        <f t="shared" si="327"/>
        <v>0</v>
      </c>
      <c r="J241" s="53"/>
      <c r="K241" s="54"/>
      <c r="L241" s="55">
        <f t="shared" si="328"/>
        <v>0</v>
      </c>
      <c r="M241" s="53"/>
      <c r="N241" s="54"/>
      <c r="O241" s="55">
        <f t="shared" si="329"/>
        <v>0</v>
      </c>
      <c r="P241" s="57"/>
    </row>
    <row r="242" spans="1:16" ht="24" hidden="1" customHeight="1" x14ac:dyDescent="0.25">
      <c r="A242" s="51">
        <v>6255</v>
      </c>
      <c r="B242" s="88" t="s">
        <v>259</v>
      </c>
      <c r="C242" s="89">
        <f t="shared" si="288"/>
        <v>0</v>
      </c>
      <c r="D242" s="194">
        <v>0</v>
      </c>
      <c r="E242" s="195"/>
      <c r="F242" s="55">
        <f t="shared" si="326"/>
        <v>0</v>
      </c>
      <c r="G242" s="53"/>
      <c r="H242" s="54"/>
      <c r="I242" s="55">
        <f t="shared" si="327"/>
        <v>0</v>
      </c>
      <c r="J242" s="53"/>
      <c r="K242" s="54"/>
      <c r="L242" s="55">
        <f t="shared" si="328"/>
        <v>0</v>
      </c>
      <c r="M242" s="53"/>
      <c r="N242" s="54"/>
      <c r="O242" s="55">
        <f t="shared" si="329"/>
        <v>0</v>
      </c>
      <c r="P242" s="57"/>
    </row>
    <row r="243" spans="1:16" ht="12" hidden="1" customHeight="1" x14ac:dyDescent="0.25">
      <c r="A243" s="51">
        <v>6259</v>
      </c>
      <c r="B243" s="88" t="s">
        <v>260</v>
      </c>
      <c r="C243" s="89">
        <f t="shared" si="288"/>
        <v>0</v>
      </c>
      <c r="D243" s="194">
        <v>0</v>
      </c>
      <c r="E243" s="195"/>
      <c r="F243" s="55">
        <f t="shared" si="326"/>
        <v>0</v>
      </c>
      <c r="G243" s="53"/>
      <c r="H243" s="54"/>
      <c r="I243" s="55">
        <f t="shared" si="327"/>
        <v>0</v>
      </c>
      <c r="J243" s="53"/>
      <c r="K243" s="54"/>
      <c r="L243" s="55">
        <f t="shared" si="328"/>
        <v>0</v>
      </c>
      <c r="M243" s="53"/>
      <c r="N243" s="54"/>
      <c r="O243" s="55">
        <f t="shared" si="329"/>
        <v>0</v>
      </c>
      <c r="P243" s="57"/>
    </row>
    <row r="244" spans="1:16" ht="24" hidden="1" customHeight="1" x14ac:dyDescent="0.25">
      <c r="A244" s="188">
        <v>6260</v>
      </c>
      <c r="B244" s="88" t="s">
        <v>261</v>
      </c>
      <c r="C244" s="89">
        <f t="shared" si="288"/>
        <v>0</v>
      </c>
      <c r="D244" s="194">
        <v>0</v>
      </c>
      <c r="E244" s="195"/>
      <c r="F244" s="55">
        <f t="shared" si="326"/>
        <v>0</v>
      </c>
      <c r="G244" s="53"/>
      <c r="H244" s="54"/>
      <c r="I244" s="55">
        <f t="shared" si="327"/>
        <v>0</v>
      </c>
      <c r="J244" s="53"/>
      <c r="K244" s="54"/>
      <c r="L244" s="55">
        <f t="shared" si="328"/>
        <v>0</v>
      </c>
      <c r="M244" s="53"/>
      <c r="N244" s="54"/>
      <c r="O244" s="55">
        <f t="shared" si="329"/>
        <v>0</v>
      </c>
      <c r="P244" s="57"/>
    </row>
    <row r="245" spans="1:16" ht="12" hidden="1" customHeight="1" x14ac:dyDescent="0.25">
      <c r="A245" s="188">
        <v>6270</v>
      </c>
      <c r="B245" s="88" t="s">
        <v>262</v>
      </c>
      <c r="C245" s="89">
        <f t="shared" si="288"/>
        <v>0</v>
      </c>
      <c r="D245" s="194">
        <v>0</v>
      </c>
      <c r="E245" s="195"/>
      <c r="F245" s="55">
        <f t="shared" si="326"/>
        <v>0</v>
      </c>
      <c r="G245" s="53"/>
      <c r="H245" s="54"/>
      <c r="I245" s="55">
        <f t="shared" si="327"/>
        <v>0</v>
      </c>
      <c r="J245" s="53"/>
      <c r="K245" s="54"/>
      <c r="L245" s="55">
        <f t="shared" si="328"/>
        <v>0</v>
      </c>
      <c r="M245" s="53"/>
      <c r="N245" s="54"/>
      <c r="O245" s="55">
        <f t="shared" si="329"/>
        <v>0</v>
      </c>
      <c r="P245" s="57"/>
    </row>
    <row r="246" spans="1:16" ht="24" hidden="1" x14ac:dyDescent="0.25">
      <c r="A246" s="1042">
        <v>6290</v>
      </c>
      <c r="B246" s="81" t="s">
        <v>263</v>
      </c>
      <c r="C246" s="208">
        <f t="shared" si="288"/>
        <v>0</v>
      </c>
      <c r="D246" s="192">
        <f>SUM(D247:D250)</f>
        <v>0</v>
      </c>
      <c r="E246" s="193">
        <f t="shared" ref="E246:O246" si="330">SUM(E247:E250)</f>
        <v>0</v>
      </c>
      <c r="F246" s="133">
        <f t="shared" si="330"/>
        <v>0</v>
      </c>
      <c r="G246" s="192">
        <f t="shared" si="330"/>
        <v>0</v>
      </c>
      <c r="H246" s="193">
        <f t="shared" si="330"/>
        <v>0</v>
      </c>
      <c r="I246" s="133">
        <f t="shared" si="330"/>
        <v>0</v>
      </c>
      <c r="J246" s="192">
        <f t="shared" si="330"/>
        <v>0</v>
      </c>
      <c r="K246" s="193">
        <f t="shared" si="330"/>
        <v>0</v>
      </c>
      <c r="L246" s="133">
        <f t="shared" si="330"/>
        <v>0</v>
      </c>
      <c r="M246" s="192">
        <f t="shared" si="330"/>
        <v>0</v>
      </c>
      <c r="N246" s="193">
        <f t="shared" si="330"/>
        <v>0</v>
      </c>
      <c r="O246" s="133">
        <f t="shared" si="330"/>
        <v>0</v>
      </c>
      <c r="P246" s="49"/>
    </row>
    <row r="247" spans="1:16" ht="12" hidden="1" customHeight="1" x14ac:dyDescent="0.25">
      <c r="A247" s="51">
        <v>6291</v>
      </c>
      <c r="B247" s="88" t="s">
        <v>264</v>
      </c>
      <c r="C247" s="89">
        <f t="shared" si="288"/>
        <v>0</v>
      </c>
      <c r="D247" s="194">
        <v>0</v>
      </c>
      <c r="E247" s="195"/>
      <c r="F247" s="55">
        <f t="shared" ref="F247:F250" si="331">D247+E247</f>
        <v>0</v>
      </c>
      <c r="G247" s="53"/>
      <c r="H247" s="54"/>
      <c r="I247" s="55">
        <f t="shared" ref="I247:I250" si="332">G247+H247</f>
        <v>0</v>
      </c>
      <c r="J247" s="53"/>
      <c r="K247" s="54"/>
      <c r="L247" s="55">
        <f t="shared" ref="L247:L250" si="333">K247+J247</f>
        <v>0</v>
      </c>
      <c r="M247" s="53"/>
      <c r="N247" s="54"/>
      <c r="O247" s="55">
        <f t="shared" ref="O247:O250" si="334">N247+M247</f>
        <v>0</v>
      </c>
      <c r="P247" s="57"/>
    </row>
    <row r="248" spans="1:16" ht="12" hidden="1" customHeight="1" x14ac:dyDescent="0.25">
      <c r="A248" s="51">
        <v>6292</v>
      </c>
      <c r="B248" s="88" t="s">
        <v>265</v>
      </c>
      <c r="C248" s="89">
        <f t="shared" si="288"/>
        <v>0</v>
      </c>
      <c r="D248" s="194">
        <v>0</v>
      </c>
      <c r="E248" s="195"/>
      <c r="F248" s="55">
        <f t="shared" si="331"/>
        <v>0</v>
      </c>
      <c r="G248" s="53"/>
      <c r="H248" s="54"/>
      <c r="I248" s="55">
        <f t="shared" si="332"/>
        <v>0</v>
      </c>
      <c r="J248" s="53"/>
      <c r="K248" s="54"/>
      <c r="L248" s="55">
        <f t="shared" si="333"/>
        <v>0</v>
      </c>
      <c r="M248" s="53"/>
      <c r="N248" s="54"/>
      <c r="O248" s="55">
        <f t="shared" si="334"/>
        <v>0</v>
      </c>
      <c r="P248" s="57"/>
    </row>
    <row r="249" spans="1:16" ht="72" hidden="1" customHeight="1" x14ac:dyDescent="0.25">
      <c r="A249" s="51">
        <v>6296</v>
      </c>
      <c r="B249" s="88" t="s">
        <v>266</v>
      </c>
      <c r="C249" s="89">
        <f t="shared" si="288"/>
        <v>0</v>
      </c>
      <c r="D249" s="194">
        <v>0</v>
      </c>
      <c r="E249" s="195"/>
      <c r="F249" s="55">
        <f t="shared" si="331"/>
        <v>0</v>
      </c>
      <c r="G249" s="53"/>
      <c r="H249" s="54"/>
      <c r="I249" s="55">
        <f t="shared" si="332"/>
        <v>0</v>
      </c>
      <c r="J249" s="53"/>
      <c r="K249" s="54"/>
      <c r="L249" s="55">
        <f t="shared" si="333"/>
        <v>0</v>
      </c>
      <c r="M249" s="53"/>
      <c r="N249" s="54"/>
      <c r="O249" s="55">
        <f t="shared" si="334"/>
        <v>0</v>
      </c>
      <c r="P249" s="57"/>
    </row>
    <row r="250" spans="1:16" ht="39.75" hidden="1" customHeight="1" x14ac:dyDescent="0.25">
      <c r="A250" s="51">
        <v>6299</v>
      </c>
      <c r="B250" s="88" t="s">
        <v>267</v>
      </c>
      <c r="C250" s="89">
        <f t="shared" si="288"/>
        <v>0</v>
      </c>
      <c r="D250" s="194">
        <v>0</v>
      </c>
      <c r="E250" s="195"/>
      <c r="F250" s="55">
        <f t="shared" si="331"/>
        <v>0</v>
      </c>
      <c r="G250" s="53"/>
      <c r="H250" s="54"/>
      <c r="I250" s="55">
        <f t="shared" si="332"/>
        <v>0</v>
      </c>
      <c r="J250" s="53"/>
      <c r="K250" s="54"/>
      <c r="L250" s="55">
        <f t="shared" si="333"/>
        <v>0</v>
      </c>
      <c r="M250" s="53"/>
      <c r="N250" s="54"/>
      <c r="O250" s="55">
        <f t="shared" si="334"/>
        <v>0</v>
      </c>
      <c r="P250" s="57"/>
    </row>
    <row r="251" spans="1:16" hidden="1" x14ac:dyDescent="0.25">
      <c r="A251" s="68">
        <v>6300</v>
      </c>
      <c r="B251" s="182" t="s">
        <v>268</v>
      </c>
      <c r="C251" s="69">
        <f t="shared" si="288"/>
        <v>0</v>
      </c>
      <c r="D251" s="183">
        <f>SUM(D252,D257,D258)</f>
        <v>0</v>
      </c>
      <c r="E251" s="184">
        <f t="shared" ref="E251:O251" si="335">SUM(E252,E257,E258)</f>
        <v>0</v>
      </c>
      <c r="F251" s="72">
        <f t="shared" si="335"/>
        <v>0</v>
      </c>
      <c r="G251" s="183">
        <f t="shared" si="335"/>
        <v>0</v>
      </c>
      <c r="H251" s="184">
        <f t="shared" si="335"/>
        <v>0</v>
      </c>
      <c r="I251" s="72">
        <f t="shared" si="335"/>
        <v>0</v>
      </c>
      <c r="J251" s="183">
        <f t="shared" si="335"/>
        <v>0</v>
      </c>
      <c r="K251" s="184">
        <f t="shared" si="335"/>
        <v>0</v>
      </c>
      <c r="L251" s="72">
        <f t="shared" si="335"/>
        <v>0</v>
      </c>
      <c r="M251" s="183">
        <f t="shared" si="335"/>
        <v>0</v>
      </c>
      <c r="N251" s="184">
        <f t="shared" si="335"/>
        <v>0</v>
      </c>
      <c r="O251" s="72">
        <f t="shared" si="335"/>
        <v>0</v>
      </c>
      <c r="P251" s="76"/>
    </row>
    <row r="252" spans="1:16" ht="24" hidden="1" x14ac:dyDescent="0.25">
      <c r="A252" s="1042">
        <v>6320</v>
      </c>
      <c r="B252" s="81" t="s">
        <v>269</v>
      </c>
      <c r="C252" s="208">
        <f t="shared" si="288"/>
        <v>0</v>
      </c>
      <c r="D252" s="192">
        <f>SUM(D253:D256)</f>
        <v>0</v>
      </c>
      <c r="E252" s="193">
        <f t="shared" ref="E252:O252" si="336">SUM(E253:E256)</f>
        <v>0</v>
      </c>
      <c r="F252" s="133">
        <f t="shared" si="336"/>
        <v>0</v>
      </c>
      <c r="G252" s="192">
        <f t="shared" si="336"/>
        <v>0</v>
      </c>
      <c r="H252" s="193">
        <f t="shared" si="336"/>
        <v>0</v>
      </c>
      <c r="I252" s="133">
        <f t="shared" si="336"/>
        <v>0</v>
      </c>
      <c r="J252" s="192">
        <f t="shared" si="336"/>
        <v>0</v>
      </c>
      <c r="K252" s="193">
        <f t="shared" si="336"/>
        <v>0</v>
      </c>
      <c r="L252" s="133">
        <f t="shared" si="336"/>
        <v>0</v>
      </c>
      <c r="M252" s="192">
        <f t="shared" si="336"/>
        <v>0</v>
      </c>
      <c r="N252" s="193">
        <f t="shared" si="336"/>
        <v>0</v>
      </c>
      <c r="O252" s="133">
        <f t="shared" si="336"/>
        <v>0</v>
      </c>
      <c r="P252" s="49"/>
    </row>
    <row r="253" spans="1:16" ht="12" hidden="1" customHeight="1" x14ac:dyDescent="0.25">
      <c r="A253" s="51">
        <v>6322</v>
      </c>
      <c r="B253" s="88" t="s">
        <v>270</v>
      </c>
      <c r="C253" s="89">
        <f t="shared" si="288"/>
        <v>0</v>
      </c>
      <c r="D253" s="194">
        <v>0</v>
      </c>
      <c r="E253" s="195"/>
      <c r="F253" s="55">
        <f t="shared" ref="F253:F258" si="337">D253+E253</f>
        <v>0</v>
      </c>
      <c r="G253" s="53"/>
      <c r="H253" s="54"/>
      <c r="I253" s="55">
        <f t="shared" ref="I253:I258" si="338">G253+H253</f>
        <v>0</v>
      </c>
      <c r="J253" s="53"/>
      <c r="K253" s="54"/>
      <c r="L253" s="55">
        <f t="shared" ref="L253:L258" si="339">K253+J253</f>
        <v>0</v>
      </c>
      <c r="M253" s="53"/>
      <c r="N253" s="54"/>
      <c r="O253" s="55">
        <f t="shared" ref="O253:O258" si="340">N253+M253</f>
        <v>0</v>
      </c>
      <c r="P253" s="57"/>
    </row>
    <row r="254" spans="1:16" ht="24" hidden="1" customHeight="1" x14ac:dyDescent="0.25">
      <c r="A254" s="51">
        <v>6323</v>
      </c>
      <c r="B254" s="88" t="s">
        <v>271</v>
      </c>
      <c r="C254" s="89">
        <f t="shared" si="288"/>
        <v>0</v>
      </c>
      <c r="D254" s="194">
        <v>0</v>
      </c>
      <c r="E254" s="195"/>
      <c r="F254" s="55">
        <f t="shared" si="337"/>
        <v>0</v>
      </c>
      <c r="G254" s="53"/>
      <c r="H254" s="54"/>
      <c r="I254" s="55">
        <f t="shared" si="338"/>
        <v>0</v>
      </c>
      <c r="J254" s="53"/>
      <c r="K254" s="54"/>
      <c r="L254" s="55">
        <f t="shared" si="339"/>
        <v>0</v>
      </c>
      <c r="M254" s="53"/>
      <c r="N254" s="54"/>
      <c r="O254" s="55">
        <f t="shared" si="340"/>
        <v>0</v>
      </c>
      <c r="P254" s="57"/>
    </row>
    <row r="255" spans="1:16" ht="24" hidden="1" customHeight="1" x14ac:dyDescent="0.25">
      <c r="A255" s="51">
        <v>6324</v>
      </c>
      <c r="B255" s="88" t="s">
        <v>272</v>
      </c>
      <c r="C255" s="89">
        <f t="shared" si="288"/>
        <v>0</v>
      </c>
      <c r="D255" s="194">
        <v>0</v>
      </c>
      <c r="E255" s="195"/>
      <c r="F255" s="55">
        <f t="shared" si="337"/>
        <v>0</v>
      </c>
      <c r="G255" s="53"/>
      <c r="H255" s="54"/>
      <c r="I255" s="55">
        <f t="shared" si="338"/>
        <v>0</v>
      </c>
      <c r="J255" s="53"/>
      <c r="K255" s="54"/>
      <c r="L255" s="55">
        <f t="shared" si="339"/>
        <v>0</v>
      </c>
      <c r="M255" s="53"/>
      <c r="N255" s="54"/>
      <c r="O255" s="55">
        <f t="shared" si="340"/>
        <v>0</v>
      </c>
      <c r="P255" s="57"/>
    </row>
    <row r="256" spans="1:16" ht="12" hidden="1" customHeight="1" x14ac:dyDescent="0.25">
      <c r="A256" s="44">
        <v>6329</v>
      </c>
      <c r="B256" s="81" t="s">
        <v>273</v>
      </c>
      <c r="C256" s="82">
        <f t="shared" si="288"/>
        <v>0</v>
      </c>
      <c r="D256" s="196">
        <v>0</v>
      </c>
      <c r="E256" s="197"/>
      <c r="F256" s="133">
        <f t="shared" si="337"/>
        <v>0</v>
      </c>
      <c r="G256" s="46"/>
      <c r="H256" s="47"/>
      <c r="I256" s="133">
        <f t="shared" si="338"/>
        <v>0</v>
      </c>
      <c r="J256" s="46"/>
      <c r="K256" s="47"/>
      <c r="L256" s="133">
        <f t="shared" si="339"/>
        <v>0</v>
      </c>
      <c r="M256" s="46"/>
      <c r="N256" s="47"/>
      <c r="O256" s="133">
        <f t="shared" si="340"/>
        <v>0</v>
      </c>
      <c r="P256" s="49"/>
    </row>
    <row r="257" spans="1:16" ht="24" hidden="1" customHeight="1" x14ac:dyDescent="0.25">
      <c r="A257" s="225">
        <v>6330</v>
      </c>
      <c r="B257" s="226" t="s">
        <v>274</v>
      </c>
      <c r="C257" s="208">
        <f t="shared" si="288"/>
        <v>0</v>
      </c>
      <c r="D257" s="210">
        <v>0</v>
      </c>
      <c r="E257" s="211"/>
      <c r="F257" s="212">
        <f t="shared" si="337"/>
        <v>0</v>
      </c>
      <c r="G257" s="213"/>
      <c r="H257" s="214"/>
      <c r="I257" s="212">
        <f t="shared" si="338"/>
        <v>0</v>
      </c>
      <c r="J257" s="213"/>
      <c r="K257" s="214"/>
      <c r="L257" s="212">
        <f t="shared" si="339"/>
        <v>0</v>
      </c>
      <c r="M257" s="213"/>
      <c r="N257" s="214"/>
      <c r="O257" s="212">
        <f t="shared" si="340"/>
        <v>0</v>
      </c>
      <c r="P257" s="215"/>
    </row>
    <row r="258" spans="1:16" ht="12" hidden="1" customHeight="1" x14ac:dyDescent="0.25">
      <c r="A258" s="188">
        <v>6360</v>
      </c>
      <c r="B258" s="88" t="s">
        <v>275</v>
      </c>
      <c r="C258" s="89">
        <f t="shared" si="288"/>
        <v>0</v>
      </c>
      <c r="D258" s="194">
        <v>0</v>
      </c>
      <c r="E258" s="195"/>
      <c r="F258" s="55">
        <f t="shared" si="337"/>
        <v>0</v>
      </c>
      <c r="G258" s="53"/>
      <c r="H258" s="54"/>
      <c r="I258" s="55">
        <f t="shared" si="338"/>
        <v>0</v>
      </c>
      <c r="J258" s="53"/>
      <c r="K258" s="54"/>
      <c r="L258" s="55">
        <f t="shared" si="339"/>
        <v>0</v>
      </c>
      <c r="M258" s="53"/>
      <c r="N258" s="54"/>
      <c r="O258" s="55">
        <f t="shared" si="340"/>
        <v>0</v>
      </c>
      <c r="P258" s="57"/>
    </row>
    <row r="259" spans="1:16" ht="36" hidden="1" x14ac:dyDescent="0.25">
      <c r="A259" s="68">
        <v>6400</v>
      </c>
      <c r="B259" s="182" t="s">
        <v>276</v>
      </c>
      <c r="C259" s="69">
        <f t="shared" si="288"/>
        <v>0</v>
      </c>
      <c r="D259" s="183">
        <f>SUM(D260,D264)</f>
        <v>0</v>
      </c>
      <c r="E259" s="184">
        <f t="shared" ref="E259:O259" si="341">SUM(E260,E264)</f>
        <v>0</v>
      </c>
      <c r="F259" s="72">
        <f t="shared" si="341"/>
        <v>0</v>
      </c>
      <c r="G259" s="183">
        <f t="shared" si="341"/>
        <v>0</v>
      </c>
      <c r="H259" s="184">
        <f t="shared" si="341"/>
        <v>0</v>
      </c>
      <c r="I259" s="72">
        <f t="shared" si="341"/>
        <v>0</v>
      </c>
      <c r="J259" s="183">
        <f t="shared" si="341"/>
        <v>0</v>
      </c>
      <c r="K259" s="184">
        <f t="shared" si="341"/>
        <v>0</v>
      </c>
      <c r="L259" s="72">
        <f t="shared" si="341"/>
        <v>0</v>
      </c>
      <c r="M259" s="183">
        <f t="shared" si="341"/>
        <v>0</v>
      </c>
      <c r="N259" s="184">
        <f t="shared" si="341"/>
        <v>0</v>
      </c>
      <c r="O259" s="72">
        <f t="shared" si="341"/>
        <v>0</v>
      </c>
      <c r="P259" s="76"/>
    </row>
    <row r="260" spans="1:16" ht="24" hidden="1" x14ac:dyDescent="0.25">
      <c r="A260" s="1042">
        <v>6410</v>
      </c>
      <c r="B260" s="81" t="s">
        <v>277</v>
      </c>
      <c r="C260" s="82">
        <f t="shared" si="288"/>
        <v>0</v>
      </c>
      <c r="D260" s="192">
        <f>SUM(D261:D263)</f>
        <v>0</v>
      </c>
      <c r="E260" s="193">
        <f t="shared" ref="E260:O260" si="342">SUM(E261:E263)</f>
        <v>0</v>
      </c>
      <c r="F260" s="133">
        <f t="shared" si="342"/>
        <v>0</v>
      </c>
      <c r="G260" s="192">
        <f t="shared" si="342"/>
        <v>0</v>
      </c>
      <c r="H260" s="193">
        <f t="shared" si="342"/>
        <v>0</v>
      </c>
      <c r="I260" s="133">
        <f t="shared" si="342"/>
        <v>0</v>
      </c>
      <c r="J260" s="192">
        <f t="shared" si="342"/>
        <v>0</v>
      </c>
      <c r="K260" s="193">
        <f t="shared" si="342"/>
        <v>0</v>
      </c>
      <c r="L260" s="133">
        <f t="shared" si="342"/>
        <v>0</v>
      </c>
      <c r="M260" s="192">
        <f t="shared" si="342"/>
        <v>0</v>
      </c>
      <c r="N260" s="193">
        <f t="shared" si="342"/>
        <v>0</v>
      </c>
      <c r="O260" s="133">
        <f t="shared" si="342"/>
        <v>0</v>
      </c>
      <c r="P260" s="49"/>
    </row>
    <row r="261" spans="1:16" ht="12" hidden="1" customHeight="1" x14ac:dyDescent="0.25">
      <c r="A261" s="51">
        <v>6411</v>
      </c>
      <c r="B261" s="199" t="s">
        <v>278</v>
      </c>
      <c r="C261" s="89">
        <f t="shared" si="288"/>
        <v>0</v>
      </c>
      <c r="D261" s="194">
        <v>0</v>
      </c>
      <c r="E261" s="195"/>
      <c r="F261" s="55">
        <f t="shared" ref="F261:F263" si="343">D261+E261</f>
        <v>0</v>
      </c>
      <c r="G261" s="53"/>
      <c r="H261" s="54"/>
      <c r="I261" s="55">
        <f t="shared" ref="I261:I263" si="344">G261+H261</f>
        <v>0</v>
      </c>
      <c r="J261" s="53"/>
      <c r="K261" s="54"/>
      <c r="L261" s="55">
        <f t="shared" ref="L261:L263" si="345">K261+J261</f>
        <v>0</v>
      </c>
      <c r="M261" s="53"/>
      <c r="N261" s="54"/>
      <c r="O261" s="55">
        <f t="shared" ref="O261:O263" si="346">N261+M261</f>
        <v>0</v>
      </c>
      <c r="P261" s="57"/>
    </row>
    <row r="262" spans="1:16" ht="36" hidden="1" customHeight="1" x14ac:dyDescent="0.25">
      <c r="A262" s="51">
        <v>6412</v>
      </c>
      <c r="B262" s="88" t="s">
        <v>279</v>
      </c>
      <c r="C262" s="89">
        <f t="shared" si="288"/>
        <v>0</v>
      </c>
      <c r="D262" s="194">
        <v>0</v>
      </c>
      <c r="E262" s="195"/>
      <c r="F262" s="55">
        <f t="shared" si="343"/>
        <v>0</v>
      </c>
      <c r="G262" s="53"/>
      <c r="H262" s="54"/>
      <c r="I262" s="55">
        <f t="shared" si="344"/>
        <v>0</v>
      </c>
      <c r="J262" s="53"/>
      <c r="K262" s="54"/>
      <c r="L262" s="55">
        <f t="shared" si="345"/>
        <v>0</v>
      </c>
      <c r="M262" s="53"/>
      <c r="N262" s="54"/>
      <c r="O262" s="55">
        <f t="shared" si="346"/>
        <v>0</v>
      </c>
      <c r="P262" s="57"/>
    </row>
    <row r="263" spans="1:16" ht="36" hidden="1" customHeight="1" x14ac:dyDescent="0.25">
      <c r="A263" s="51">
        <v>6419</v>
      </c>
      <c r="B263" s="88" t="s">
        <v>280</v>
      </c>
      <c r="C263" s="89">
        <f t="shared" si="288"/>
        <v>0</v>
      </c>
      <c r="D263" s="194">
        <v>0</v>
      </c>
      <c r="E263" s="195"/>
      <c r="F263" s="55">
        <f t="shared" si="343"/>
        <v>0</v>
      </c>
      <c r="G263" s="53"/>
      <c r="H263" s="54"/>
      <c r="I263" s="55">
        <f t="shared" si="344"/>
        <v>0</v>
      </c>
      <c r="J263" s="53"/>
      <c r="K263" s="54"/>
      <c r="L263" s="55">
        <f t="shared" si="345"/>
        <v>0</v>
      </c>
      <c r="M263" s="53"/>
      <c r="N263" s="54"/>
      <c r="O263" s="55">
        <f t="shared" si="346"/>
        <v>0</v>
      </c>
      <c r="P263" s="57"/>
    </row>
    <row r="264" spans="1:16" ht="48" hidden="1" x14ac:dyDescent="0.25">
      <c r="A264" s="188">
        <v>6420</v>
      </c>
      <c r="B264" s="88" t="s">
        <v>281</v>
      </c>
      <c r="C264" s="89">
        <f t="shared" si="288"/>
        <v>0</v>
      </c>
      <c r="D264" s="189">
        <f>SUM(D265:D268)</f>
        <v>0</v>
      </c>
      <c r="E264" s="190">
        <f t="shared" ref="E264:F264" si="347">SUM(E265:E268)</f>
        <v>0</v>
      </c>
      <c r="F264" s="55">
        <f t="shared" si="347"/>
        <v>0</v>
      </c>
      <c r="G264" s="189">
        <f>SUM(G265:G268)</f>
        <v>0</v>
      </c>
      <c r="H264" s="190">
        <f t="shared" ref="H264:I264" si="348">SUM(H265:H268)</f>
        <v>0</v>
      </c>
      <c r="I264" s="55">
        <f t="shared" si="348"/>
        <v>0</v>
      </c>
      <c r="J264" s="189">
        <f>SUM(J265:J268)</f>
        <v>0</v>
      </c>
      <c r="K264" s="190">
        <f t="shared" ref="K264:L264" si="349">SUM(K265:K268)</f>
        <v>0</v>
      </c>
      <c r="L264" s="55">
        <f t="shared" si="349"/>
        <v>0</v>
      </c>
      <c r="M264" s="189">
        <f>SUM(M265:M268)</f>
        <v>0</v>
      </c>
      <c r="N264" s="190">
        <f t="shared" ref="N264:O264" si="350">SUM(N265:N268)</f>
        <v>0</v>
      </c>
      <c r="O264" s="55">
        <f t="shared" si="350"/>
        <v>0</v>
      </c>
      <c r="P264" s="57"/>
    </row>
    <row r="265" spans="1:16" ht="36" hidden="1" customHeight="1" x14ac:dyDescent="0.25">
      <c r="A265" s="51">
        <v>6421</v>
      </c>
      <c r="B265" s="88" t="s">
        <v>282</v>
      </c>
      <c r="C265" s="89">
        <f t="shared" si="288"/>
        <v>0</v>
      </c>
      <c r="D265" s="194">
        <v>0</v>
      </c>
      <c r="E265" s="195"/>
      <c r="F265" s="55">
        <f t="shared" ref="F265:F268" si="351">D265+E265</f>
        <v>0</v>
      </c>
      <c r="G265" s="53"/>
      <c r="H265" s="54"/>
      <c r="I265" s="55">
        <f t="shared" ref="I265:I268" si="352">G265+H265</f>
        <v>0</v>
      </c>
      <c r="J265" s="53"/>
      <c r="K265" s="54"/>
      <c r="L265" s="55">
        <f t="shared" ref="L265:L268" si="353">K265+J265</f>
        <v>0</v>
      </c>
      <c r="M265" s="53"/>
      <c r="N265" s="54"/>
      <c r="O265" s="55">
        <f t="shared" ref="O265:O268" si="354">N265+M265</f>
        <v>0</v>
      </c>
      <c r="P265" s="57"/>
    </row>
    <row r="266" spans="1:16" ht="12" hidden="1" customHeight="1" x14ac:dyDescent="0.25">
      <c r="A266" s="51">
        <v>6422</v>
      </c>
      <c r="B266" s="88" t="s">
        <v>283</v>
      </c>
      <c r="C266" s="89">
        <f t="shared" si="288"/>
        <v>0</v>
      </c>
      <c r="D266" s="194">
        <v>0</v>
      </c>
      <c r="E266" s="195"/>
      <c r="F266" s="55">
        <f t="shared" si="351"/>
        <v>0</v>
      </c>
      <c r="G266" s="53"/>
      <c r="H266" s="54"/>
      <c r="I266" s="55">
        <f t="shared" si="352"/>
        <v>0</v>
      </c>
      <c r="J266" s="53"/>
      <c r="K266" s="54"/>
      <c r="L266" s="55">
        <f t="shared" si="353"/>
        <v>0</v>
      </c>
      <c r="M266" s="53"/>
      <c r="N266" s="54"/>
      <c r="O266" s="55">
        <f t="shared" si="354"/>
        <v>0</v>
      </c>
      <c r="P266" s="57"/>
    </row>
    <row r="267" spans="1:16" ht="13.5" hidden="1" customHeight="1" x14ac:dyDescent="0.25">
      <c r="A267" s="51">
        <v>6423</v>
      </c>
      <c r="B267" s="88" t="s">
        <v>284</v>
      </c>
      <c r="C267" s="89">
        <f t="shared" si="288"/>
        <v>0</v>
      </c>
      <c r="D267" s="194">
        <v>0</v>
      </c>
      <c r="E267" s="195"/>
      <c r="F267" s="55">
        <f t="shared" si="351"/>
        <v>0</v>
      </c>
      <c r="G267" s="53"/>
      <c r="H267" s="54"/>
      <c r="I267" s="55">
        <f t="shared" si="352"/>
        <v>0</v>
      </c>
      <c r="J267" s="53"/>
      <c r="K267" s="54"/>
      <c r="L267" s="55">
        <f t="shared" si="353"/>
        <v>0</v>
      </c>
      <c r="M267" s="53"/>
      <c r="N267" s="54"/>
      <c r="O267" s="55">
        <f t="shared" si="354"/>
        <v>0</v>
      </c>
      <c r="P267" s="57"/>
    </row>
    <row r="268" spans="1:16" ht="36" hidden="1" customHeight="1" x14ac:dyDescent="0.25">
      <c r="A268" s="51">
        <v>6424</v>
      </c>
      <c r="B268" s="88" t="s">
        <v>285</v>
      </c>
      <c r="C268" s="89">
        <f t="shared" si="288"/>
        <v>0</v>
      </c>
      <c r="D268" s="194">
        <v>0</v>
      </c>
      <c r="E268" s="195"/>
      <c r="F268" s="55">
        <f t="shared" si="351"/>
        <v>0</v>
      </c>
      <c r="G268" s="53"/>
      <c r="H268" s="54"/>
      <c r="I268" s="55">
        <f t="shared" si="352"/>
        <v>0</v>
      </c>
      <c r="J268" s="53"/>
      <c r="K268" s="54"/>
      <c r="L268" s="55">
        <f t="shared" si="353"/>
        <v>0</v>
      </c>
      <c r="M268" s="53"/>
      <c r="N268" s="54"/>
      <c r="O268" s="55">
        <f t="shared" si="354"/>
        <v>0</v>
      </c>
      <c r="P268" s="57"/>
    </row>
    <row r="269" spans="1:16" ht="48" hidden="1" x14ac:dyDescent="0.25">
      <c r="A269" s="227">
        <v>7000</v>
      </c>
      <c r="B269" s="227" t="s">
        <v>286</v>
      </c>
      <c r="C269" s="228">
        <f t="shared" si="288"/>
        <v>0</v>
      </c>
      <c r="D269" s="229">
        <f>SUM(D270,D281)</f>
        <v>0</v>
      </c>
      <c r="E269" s="230">
        <f t="shared" ref="E269:F269" si="355">SUM(E270,E281)</f>
        <v>0</v>
      </c>
      <c r="F269" s="231">
        <f t="shared" si="355"/>
        <v>0</v>
      </c>
      <c r="G269" s="229">
        <f>SUM(G270,G281)</f>
        <v>0</v>
      </c>
      <c r="H269" s="230">
        <f t="shared" ref="H269:I269" si="356">SUM(H270,H281)</f>
        <v>0</v>
      </c>
      <c r="I269" s="231">
        <f t="shared" si="356"/>
        <v>0</v>
      </c>
      <c r="J269" s="229">
        <f>SUM(J270,J281)</f>
        <v>0</v>
      </c>
      <c r="K269" s="230">
        <f t="shared" ref="K269:L269" si="357">SUM(K270,K281)</f>
        <v>0</v>
      </c>
      <c r="L269" s="231">
        <f t="shared" si="357"/>
        <v>0</v>
      </c>
      <c r="M269" s="229">
        <f>SUM(M270,M281)</f>
        <v>0</v>
      </c>
      <c r="N269" s="230">
        <f t="shared" ref="N269:O269" si="358">SUM(N270,N281)</f>
        <v>0</v>
      </c>
      <c r="O269" s="231">
        <f t="shared" si="358"/>
        <v>0</v>
      </c>
      <c r="P269" s="232"/>
    </row>
    <row r="270" spans="1:16" ht="24" hidden="1" x14ac:dyDescent="0.25">
      <c r="A270" s="68">
        <v>7200</v>
      </c>
      <c r="B270" s="182" t="s">
        <v>287</v>
      </c>
      <c r="C270" s="69">
        <f t="shared" si="288"/>
        <v>0</v>
      </c>
      <c r="D270" s="183">
        <f>SUM(D271,D272,D275,D276,D280)</f>
        <v>0</v>
      </c>
      <c r="E270" s="184">
        <f t="shared" ref="E270:F270" si="359">SUM(E271,E272,E275,E276,E280)</f>
        <v>0</v>
      </c>
      <c r="F270" s="72">
        <f t="shared" si="359"/>
        <v>0</v>
      </c>
      <c r="G270" s="183">
        <f>SUM(G271,G272,G275,G276,G280)</f>
        <v>0</v>
      </c>
      <c r="H270" s="184">
        <f t="shared" ref="H270:I270" si="360">SUM(H271,H272,H275,H276,H280)</f>
        <v>0</v>
      </c>
      <c r="I270" s="72">
        <f t="shared" si="360"/>
        <v>0</v>
      </c>
      <c r="J270" s="183">
        <f>SUM(J271,J272,J275,J276,J280)</f>
        <v>0</v>
      </c>
      <c r="K270" s="184">
        <f t="shared" ref="K270:L270" si="361">SUM(K271,K272,K275,K276,K280)</f>
        <v>0</v>
      </c>
      <c r="L270" s="72">
        <f t="shared" si="361"/>
        <v>0</v>
      </c>
      <c r="M270" s="183">
        <f>SUM(M271,M272,M275,M276,M280)</f>
        <v>0</v>
      </c>
      <c r="N270" s="184">
        <f t="shared" ref="N270:O270" si="362">SUM(N271,N272,N275,N276,N280)</f>
        <v>0</v>
      </c>
      <c r="O270" s="72">
        <f t="shared" si="362"/>
        <v>0</v>
      </c>
      <c r="P270" s="76"/>
    </row>
    <row r="271" spans="1:16" ht="24" hidden="1" customHeight="1" x14ac:dyDescent="0.25">
      <c r="A271" s="1042">
        <v>7210</v>
      </c>
      <c r="B271" s="81" t="s">
        <v>288</v>
      </c>
      <c r="C271" s="82">
        <f t="shared" si="288"/>
        <v>0</v>
      </c>
      <c r="D271" s="196">
        <v>0</v>
      </c>
      <c r="E271" s="197"/>
      <c r="F271" s="133">
        <f>D271+E271</f>
        <v>0</v>
      </c>
      <c r="G271" s="46"/>
      <c r="H271" s="47"/>
      <c r="I271" s="133">
        <f>G271+H271</f>
        <v>0</v>
      </c>
      <c r="J271" s="46"/>
      <c r="K271" s="47"/>
      <c r="L271" s="133">
        <f>K271+J271</f>
        <v>0</v>
      </c>
      <c r="M271" s="46"/>
      <c r="N271" s="47"/>
      <c r="O271" s="133">
        <f>N271+M271</f>
        <v>0</v>
      </c>
      <c r="P271" s="49"/>
    </row>
    <row r="272" spans="1:16" s="233" customFormat="1" ht="24" hidden="1" x14ac:dyDescent="0.25">
      <c r="A272" s="188">
        <v>7220</v>
      </c>
      <c r="B272" s="88" t="s">
        <v>289</v>
      </c>
      <c r="C272" s="89">
        <f t="shared" si="288"/>
        <v>0</v>
      </c>
      <c r="D272" s="189">
        <f>SUM(D273:D274)</f>
        <v>0</v>
      </c>
      <c r="E272" s="190">
        <f t="shared" ref="E272:F272" si="363">SUM(E273:E274)</f>
        <v>0</v>
      </c>
      <c r="F272" s="55">
        <f t="shared" si="363"/>
        <v>0</v>
      </c>
      <c r="G272" s="189">
        <f>SUM(G273:G274)</f>
        <v>0</v>
      </c>
      <c r="H272" s="190">
        <f t="shared" ref="H272:I272" si="364">SUM(H273:H274)</f>
        <v>0</v>
      </c>
      <c r="I272" s="55">
        <f t="shared" si="364"/>
        <v>0</v>
      </c>
      <c r="J272" s="189">
        <f>SUM(J273:J274)</f>
        <v>0</v>
      </c>
      <c r="K272" s="190">
        <f t="shared" ref="K272:L272" si="365">SUM(K273:K274)</f>
        <v>0</v>
      </c>
      <c r="L272" s="55">
        <f t="shared" si="365"/>
        <v>0</v>
      </c>
      <c r="M272" s="189">
        <f>SUM(M273:M274)</f>
        <v>0</v>
      </c>
      <c r="N272" s="190">
        <f t="shared" ref="N272:O272" si="366">SUM(N273:N274)</f>
        <v>0</v>
      </c>
      <c r="O272" s="55">
        <f t="shared" si="366"/>
        <v>0</v>
      </c>
      <c r="P272" s="57"/>
    </row>
    <row r="273" spans="1:16" s="233" customFormat="1" ht="36" hidden="1" customHeight="1" x14ac:dyDescent="0.25">
      <c r="A273" s="51">
        <v>7221</v>
      </c>
      <c r="B273" s="88" t="s">
        <v>290</v>
      </c>
      <c r="C273" s="89">
        <f t="shared" si="288"/>
        <v>0</v>
      </c>
      <c r="D273" s="194">
        <v>0</v>
      </c>
      <c r="E273" s="195"/>
      <c r="F273" s="55">
        <f t="shared" ref="F273:F275" si="367">D273+E273</f>
        <v>0</v>
      </c>
      <c r="G273" s="53"/>
      <c r="H273" s="54"/>
      <c r="I273" s="55">
        <f t="shared" ref="I273:I275" si="368">G273+H273</f>
        <v>0</v>
      </c>
      <c r="J273" s="53"/>
      <c r="K273" s="54"/>
      <c r="L273" s="55">
        <f t="shared" ref="L273:L275" si="369">K273+J273</f>
        <v>0</v>
      </c>
      <c r="M273" s="53"/>
      <c r="N273" s="54"/>
      <c r="O273" s="55">
        <f t="shared" ref="O273:O275" si="370">N273+M273</f>
        <v>0</v>
      </c>
      <c r="P273" s="57"/>
    </row>
    <row r="274" spans="1:16" s="233" customFormat="1" ht="36" hidden="1" customHeight="1" x14ac:dyDescent="0.25">
      <c r="A274" s="51">
        <v>7222</v>
      </c>
      <c r="B274" s="88" t="s">
        <v>291</v>
      </c>
      <c r="C274" s="89">
        <f t="shared" si="288"/>
        <v>0</v>
      </c>
      <c r="D274" s="194">
        <v>0</v>
      </c>
      <c r="E274" s="195"/>
      <c r="F274" s="55">
        <f t="shared" si="367"/>
        <v>0</v>
      </c>
      <c r="G274" s="53"/>
      <c r="H274" s="54"/>
      <c r="I274" s="55">
        <f t="shared" si="368"/>
        <v>0</v>
      </c>
      <c r="J274" s="53"/>
      <c r="K274" s="54"/>
      <c r="L274" s="55">
        <f t="shared" si="369"/>
        <v>0</v>
      </c>
      <c r="M274" s="53"/>
      <c r="N274" s="54"/>
      <c r="O274" s="55">
        <f t="shared" si="370"/>
        <v>0</v>
      </c>
      <c r="P274" s="57"/>
    </row>
    <row r="275" spans="1:16" ht="24" hidden="1" customHeight="1" x14ac:dyDescent="0.25">
      <c r="A275" s="188">
        <v>7230</v>
      </c>
      <c r="B275" s="88" t="s">
        <v>292</v>
      </c>
      <c r="C275" s="89">
        <f t="shared" si="288"/>
        <v>0</v>
      </c>
      <c r="D275" s="194">
        <v>0</v>
      </c>
      <c r="E275" s="195"/>
      <c r="F275" s="55">
        <f t="shared" si="367"/>
        <v>0</v>
      </c>
      <c r="G275" s="53"/>
      <c r="H275" s="54"/>
      <c r="I275" s="55">
        <f t="shared" si="368"/>
        <v>0</v>
      </c>
      <c r="J275" s="53"/>
      <c r="K275" s="54"/>
      <c r="L275" s="55">
        <f t="shared" si="369"/>
        <v>0</v>
      </c>
      <c r="M275" s="53"/>
      <c r="N275" s="54"/>
      <c r="O275" s="55">
        <f t="shared" si="370"/>
        <v>0</v>
      </c>
      <c r="P275" s="57"/>
    </row>
    <row r="276" spans="1:16" ht="24" hidden="1" x14ac:dyDescent="0.25">
      <c r="A276" s="188">
        <v>7240</v>
      </c>
      <c r="B276" s="88" t="s">
        <v>293</v>
      </c>
      <c r="C276" s="89">
        <f t="shared" ref="C276:C301" si="371">F276+I276+L276+O276</f>
        <v>0</v>
      </c>
      <c r="D276" s="189">
        <f t="shared" ref="D276:O276" si="372">SUM(D277:D279)</f>
        <v>0</v>
      </c>
      <c r="E276" s="190">
        <f t="shared" si="372"/>
        <v>0</v>
      </c>
      <c r="F276" s="55">
        <f t="shared" si="372"/>
        <v>0</v>
      </c>
      <c r="G276" s="189">
        <f t="shared" si="372"/>
        <v>0</v>
      </c>
      <c r="H276" s="190">
        <f t="shared" si="372"/>
        <v>0</v>
      </c>
      <c r="I276" s="55">
        <f t="shared" si="372"/>
        <v>0</v>
      </c>
      <c r="J276" s="189">
        <f>SUM(J277:J279)</f>
        <v>0</v>
      </c>
      <c r="K276" s="190">
        <f t="shared" ref="K276:L276" si="373">SUM(K277:K279)</f>
        <v>0</v>
      </c>
      <c r="L276" s="55">
        <f t="shared" si="373"/>
        <v>0</v>
      </c>
      <c r="M276" s="189">
        <f t="shared" si="372"/>
        <v>0</v>
      </c>
      <c r="N276" s="190">
        <f t="shared" si="372"/>
        <v>0</v>
      </c>
      <c r="O276" s="55">
        <f t="shared" si="372"/>
        <v>0</v>
      </c>
      <c r="P276" s="57"/>
    </row>
    <row r="277" spans="1:16" ht="48" hidden="1" customHeight="1" x14ac:dyDescent="0.25">
      <c r="A277" s="51">
        <v>7245</v>
      </c>
      <c r="B277" s="88" t="s">
        <v>294</v>
      </c>
      <c r="C277" s="89">
        <f t="shared" si="371"/>
        <v>0</v>
      </c>
      <c r="D277" s="194">
        <v>0</v>
      </c>
      <c r="E277" s="195"/>
      <c r="F277" s="55">
        <f t="shared" ref="F277:F280" si="374">D277+E277</f>
        <v>0</v>
      </c>
      <c r="G277" s="53"/>
      <c r="H277" s="54"/>
      <c r="I277" s="55">
        <f t="shared" ref="I277:I280" si="375">G277+H277</f>
        <v>0</v>
      </c>
      <c r="J277" s="53"/>
      <c r="K277" s="54"/>
      <c r="L277" s="55">
        <f t="shared" ref="L277:L280" si="376">K277+J277</f>
        <v>0</v>
      </c>
      <c r="M277" s="53"/>
      <c r="N277" s="54"/>
      <c r="O277" s="55">
        <f t="shared" ref="O277:O280" si="377">N277+M277</f>
        <v>0</v>
      </c>
      <c r="P277" s="57"/>
    </row>
    <row r="278" spans="1:16" ht="84.75" hidden="1" customHeight="1" x14ac:dyDescent="0.25">
      <c r="A278" s="51">
        <v>7246</v>
      </c>
      <c r="B278" s="88" t="s">
        <v>295</v>
      </c>
      <c r="C278" s="89">
        <f t="shared" si="371"/>
        <v>0</v>
      </c>
      <c r="D278" s="194">
        <v>0</v>
      </c>
      <c r="E278" s="195"/>
      <c r="F278" s="55">
        <f t="shared" si="374"/>
        <v>0</v>
      </c>
      <c r="G278" s="53"/>
      <c r="H278" s="54"/>
      <c r="I278" s="55">
        <f t="shared" si="375"/>
        <v>0</v>
      </c>
      <c r="J278" s="53"/>
      <c r="K278" s="54"/>
      <c r="L278" s="55">
        <f t="shared" si="376"/>
        <v>0</v>
      </c>
      <c r="M278" s="53"/>
      <c r="N278" s="54"/>
      <c r="O278" s="55">
        <f t="shared" si="377"/>
        <v>0</v>
      </c>
      <c r="P278" s="57"/>
    </row>
    <row r="279" spans="1:16" ht="36" hidden="1" customHeight="1" x14ac:dyDescent="0.25">
      <c r="A279" s="51">
        <v>7247</v>
      </c>
      <c r="B279" s="88" t="s">
        <v>296</v>
      </c>
      <c r="C279" s="89">
        <f t="shared" si="371"/>
        <v>0</v>
      </c>
      <c r="D279" s="194">
        <v>0</v>
      </c>
      <c r="E279" s="195"/>
      <c r="F279" s="55">
        <f t="shared" si="374"/>
        <v>0</v>
      </c>
      <c r="G279" s="53"/>
      <c r="H279" s="54"/>
      <c r="I279" s="55">
        <f t="shared" si="375"/>
        <v>0</v>
      </c>
      <c r="J279" s="53"/>
      <c r="K279" s="54"/>
      <c r="L279" s="55">
        <f t="shared" si="376"/>
        <v>0</v>
      </c>
      <c r="M279" s="53"/>
      <c r="N279" s="54"/>
      <c r="O279" s="55">
        <f t="shared" si="377"/>
        <v>0</v>
      </c>
      <c r="P279" s="57"/>
    </row>
    <row r="280" spans="1:16" ht="24" hidden="1" customHeight="1" x14ac:dyDescent="0.25">
      <c r="A280" s="1042">
        <v>7260</v>
      </c>
      <c r="B280" s="81" t="s">
        <v>297</v>
      </c>
      <c r="C280" s="82">
        <f t="shared" si="371"/>
        <v>0</v>
      </c>
      <c r="D280" s="196">
        <v>0</v>
      </c>
      <c r="E280" s="197"/>
      <c r="F280" s="133">
        <f t="shared" si="374"/>
        <v>0</v>
      </c>
      <c r="G280" s="46"/>
      <c r="H280" s="47"/>
      <c r="I280" s="133">
        <f t="shared" si="375"/>
        <v>0</v>
      </c>
      <c r="J280" s="46"/>
      <c r="K280" s="47"/>
      <c r="L280" s="133">
        <f t="shared" si="376"/>
        <v>0</v>
      </c>
      <c r="M280" s="46"/>
      <c r="N280" s="47"/>
      <c r="O280" s="133">
        <f t="shared" si="377"/>
        <v>0</v>
      </c>
      <c r="P280" s="49"/>
    </row>
    <row r="281" spans="1:16" hidden="1" x14ac:dyDescent="0.25">
      <c r="A281" s="135">
        <v>7700</v>
      </c>
      <c r="B281" s="108" t="s">
        <v>298</v>
      </c>
      <c r="C281" s="109">
        <f t="shared" si="371"/>
        <v>0</v>
      </c>
      <c r="D281" s="234">
        <f t="shared" ref="D281:O281" si="378">D282</f>
        <v>0</v>
      </c>
      <c r="E281" s="235">
        <f t="shared" si="378"/>
        <v>0</v>
      </c>
      <c r="F281" s="130">
        <f t="shared" si="378"/>
        <v>0</v>
      </c>
      <c r="G281" s="234">
        <f t="shared" si="378"/>
        <v>0</v>
      </c>
      <c r="H281" s="235">
        <f t="shared" si="378"/>
        <v>0</v>
      </c>
      <c r="I281" s="130">
        <f t="shared" si="378"/>
        <v>0</v>
      </c>
      <c r="J281" s="234">
        <f t="shared" si="378"/>
        <v>0</v>
      </c>
      <c r="K281" s="235">
        <f t="shared" si="378"/>
        <v>0</v>
      </c>
      <c r="L281" s="130">
        <f t="shared" si="378"/>
        <v>0</v>
      </c>
      <c r="M281" s="234">
        <f t="shared" si="378"/>
        <v>0</v>
      </c>
      <c r="N281" s="235">
        <f t="shared" si="378"/>
        <v>0</v>
      </c>
      <c r="O281" s="130">
        <f t="shared" si="378"/>
        <v>0</v>
      </c>
      <c r="P281" s="118"/>
    </row>
    <row r="282" spans="1:16" ht="12" hidden="1" customHeight="1" x14ac:dyDescent="0.25">
      <c r="A282" s="185">
        <v>7720</v>
      </c>
      <c r="B282" s="81" t="s">
        <v>299</v>
      </c>
      <c r="C282" s="97">
        <f t="shared" si="371"/>
        <v>0</v>
      </c>
      <c r="D282" s="236">
        <v>0</v>
      </c>
      <c r="E282" s="237"/>
      <c r="F282" s="238">
        <f>D282+E282</f>
        <v>0</v>
      </c>
      <c r="G282" s="101"/>
      <c r="H282" s="102"/>
      <c r="I282" s="238">
        <f>G282+H282</f>
        <v>0</v>
      </c>
      <c r="J282" s="101"/>
      <c r="K282" s="102"/>
      <c r="L282" s="238">
        <f>K282+J282</f>
        <v>0</v>
      </c>
      <c r="M282" s="101"/>
      <c r="N282" s="102"/>
      <c r="O282" s="238">
        <f>N282+M282</f>
        <v>0</v>
      </c>
      <c r="P282" s="106"/>
    </row>
    <row r="283" spans="1:16" hidden="1" x14ac:dyDescent="0.25">
      <c r="A283" s="239">
        <v>9000</v>
      </c>
      <c r="B283" s="240" t="s">
        <v>300</v>
      </c>
      <c r="C283" s="241">
        <f t="shared" si="371"/>
        <v>0</v>
      </c>
      <c r="D283" s="242">
        <f t="shared" ref="D283:O284" si="379">D284</f>
        <v>0</v>
      </c>
      <c r="E283" s="243">
        <f t="shared" si="379"/>
        <v>0</v>
      </c>
      <c r="F283" s="244">
        <f t="shared" si="379"/>
        <v>0</v>
      </c>
      <c r="G283" s="242">
        <f>G284</f>
        <v>0</v>
      </c>
      <c r="H283" s="243">
        <f t="shared" ref="H283:I283" si="380">H284</f>
        <v>0</v>
      </c>
      <c r="I283" s="244">
        <f t="shared" si="380"/>
        <v>0</v>
      </c>
      <c r="J283" s="242">
        <f t="shared" si="379"/>
        <v>0</v>
      </c>
      <c r="K283" s="243">
        <f t="shared" si="379"/>
        <v>0</v>
      </c>
      <c r="L283" s="244">
        <f t="shared" si="379"/>
        <v>0</v>
      </c>
      <c r="M283" s="242">
        <f t="shared" si="379"/>
        <v>0</v>
      </c>
      <c r="N283" s="243">
        <f t="shared" si="379"/>
        <v>0</v>
      </c>
      <c r="O283" s="244">
        <f t="shared" si="379"/>
        <v>0</v>
      </c>
      <c r="P283" s="245"/>
    </row>
    <row r="284" spans="1:16" ht="24" hidden="1" x14ac:dyDescent="0.25">
      <c r="A284" s="246">
        <v>9200</v>
      </c>
      <c r="B284" s="88" t="s">
        <v>301</v>
      </c>
      <c r="C284" s="142">
        <f t="shared" si="371"/>
        <v>0</v>
      </c>
      <c r="D284" s="186">
        <f t="shared" si="379"/>
        <v>0</v>
      </c>
      <c r="E284" s="187">
        <f t="shared" si="379"/>
        <v>0</v>
      </c>
      <c r="F284" s="140">
        <f t="shared" si="379"/>
        <v>0</v>
      </c>
      <c r="G284" s="186">
        <f t="shared" si="379"/>
        <v>0</v>
      </c>
      <c r="H284" s="187">
        <f t="shared" si="379"/>
        <v>0</v>
      </c>
      <c r="I284" s="140">
        <f t="shared" si="379"/>
        <v>0</v>
      </c>
      <c r="J284" s="186">
        <f t="shared" si="379"/>
        <v>0</v>
      </c>
      <c r="K284" s="187">
        <f t="shared" si="379"/>
        <v>0</v>
      </c>
      <c r="L284" s="140">
        <f t="shared" si="379"/>
        <v>0</v>
      </c>
      <c r="M284" s="186">
        <f t="shared" si="379"/>
        <v>0</v>
      </c>
      <c r="N284" s="187">
        <f t="shared" si="379"/>
        <v>0</v>
      </c>
      <c r="O284" s="140">
        <f t="shared" si="379"/>
        <v>0</v>
      </c>
      <c r="P284" s="128"/>
    </row>
    <row r="285" spans="1:16" ht="24" hidden="1" customHeight="1" x14ac:dyDescent="0.25">
      <c r="A285" s="247">
        <v>9230</v>
      </c>
      <c r="B285" s="88" t="s">
        <v>302</v>
      </c>
      <c r="C285" s="142">
        <f t="shared" si="371"/>
        <v>0</v>
      </c>
      <c r="D285" s="202">
        <v>0</v>
      </c>
      <c r="E285" s="203"/>
      <c r="F285" s="140">
        <f>D285+E285</f>
        <v>0</v>
      </c>
      <c r="G285" s="143"/>
      <c r="H285" s="144"/>
      <c r="I285" s="140">
        <f>G285+H285</f>
        <v>0</v>
      </c>
      <c r="J285" s="143"/>
      <c r="K285" s="144"/>
      <c r="L285" s="140">
        <f>K285+J285</f>
        <v>0</v>
      </c>
      <c r="M285" s="143"/>
      <c r="N285" s="144"/>
      <c r="O285" s="140">
        <f>N285+M285</f>
        <v>0</v>
      </c>
      <c r="P285" s="128"/>
    </row>
    <row r="286" spans="1:16" hidden="1" x14ac:dyDescent="0.25">
      <c r="A286" s="199"/>
      <c r="B286" s="88" t="s">
        <v>303</v>
      </c>
      <c r="C286" s="89">
        <f t="shared" si="371"/>
        <v>0</v>
      </c>
      <c r="D286" s="189">
        <f>SUM(D287:D288)</f>
        <v>0</v>
      </c>
      <c r="E286" s="190">
        <f t="shared" ref="E286:F286" si="381">SUM(E287:E288)</f>
        <v>0</v>
      </c>
      <c r="F286" s="55">
        <f t="shared" si="381"/>
        <v>0</v>
      </c>
      <c r="G286" s="189">
        <f>SUM(G287:G288)</f>
        <v>0</v>
      </c>
      <c r="H286" s="190">
        <f t="shared" ref="H286:I286" si="382">SUM(H287:H288)</f>
        <v>0</v>
      </c>
      <c r="I286" s="55">
        <f t="shared" si="382"/>
        <v>0</v>
      </c>
      <c r="J286" s="189">
        <f>SUM(J287:J288)</f>
        <v>0</v>
      </c>
      <c r="K286" s="190">
        <f t="shared" ref="K286:L286" si="383">SUM(K287:K288)</f>
        <v>0</v>
      </c>
      <c r="L286" s="55">
        <f t="shared" si="383"/>
        <v>0</v>
      </c>
      <c r="M286" s="189">
        <f>SUM(M287:M288)</f>
        <v>0</v>
      </c>
      <c r="N286" s="190">
        <f t="shared" ref="N286:O286" si="384">SUM(N287:N288)</f>
        <v>0</v>
      </c>
      <c r="O286" s="55">
        <f t="shared" si="384"/>
        <v>0</v>
      </c>
      <c r="P286" s="57"/>
    </row>
    <row r="287" spans="1:16" ht="12" hidden="1" customHeight="1" x14ac:dyDescent="0.25">
      <c r="A287" s="199" t="s">
        <v>304</v>
      </c>
      <c r="B287" s="51" t="s">
        <v>305</v>
      </c>
      <c r="C287" s="89">
        <f t="shared" si="371"/>
        <v>0</v>
      </c>
      <c r="D287" s="194">
        <v>0</v>
      </c>
      <c r="E287" s="195"/>
      <c r="F287" s="55">
        <f t="shared" ref="F287:F288" si="385">D287+E287</f>
        <v>0</v>
      </c>
      <c r="G287" s="53"/>
      <c r="H287" s="54"/>
      <c r="I287" s="55">
        <f t="shared" ref="I287:I288" si="386">G287+H287</f>
        <v>0</v>
      </c>
      <c r="J287" s="53"/>
      <c r="K287" s="54"/>
      <c r="L287" s="55">
        <f t="shared" ref="L287:L288" si="387">K287+J287</f>
        <v>0</v>
      </c>
      <c r="M287" s="53"/>
      <c r="N287" s="54"/>
      <c r="O287" s="55">
        <f t="shared" ref="O287:O288" si="388">N287+M287</f>
        <v>0</v>
      </c>
      <c r="P287" s="57"/>
    </row>
    <row r="288" spans="1:16" ht="24" hidden="1" customHeight="1" x14ac:dyDescent="0.25">
      <c r="A288" s="199" t="s">
        <v>306</v>
      </c>
      <c r="B288" s="248" t="s">
        <v>307</v>
      </c>
      <c r="C288" s="82">
        <f t="shared" si="371"/>
        <v>0</v>
      </c>
      <c r="D288" s="196">
        <v>0</v>
      </c>
      <c r="E288" s="197"/>
      <c r="F288" s="133">
        <f t="shared" si="385"/>
        <v>0</v>
      </c>
      <c r="G288" s="46"/>
      <c r="H288" s="47"/>
      <c r="I288" s="133">
        <f t="shared" si="386"/>
        <v>0</v>
      </c>
      <c r="J288" s="46"/>
      <c r="K288" s="47"/>
      <c r="L288" s="133">
        <f t="shared" si="387"/>
        <v>0</v>
      </c>
      <c r="M288" s="46"/>
      <c r="N288" s="47"/>
      <c r="O288" s="133">
        <f t="shared" si="388"/>
        <v>0</v>
      </c>
      <c r="P288" s="49"/>
    </row>
    <row r="289" spans="1:16" ht="12.75" thickBot="1" x14ac:dyDescent="0.3">
      <c r="A289" s="249"/>
      <c r="B289" s="249" t="s">
        <v>308</v>
      </c>
      <c r="C289" s="250">
        <f t="shared" si="371"/>
        <v>763995</v>
      </c>
      <c r="D289" s="251">
        <f t="shared" ref="D289:O289" si="389">SUM(D286,D269,D230,D195,D187,D173,D75,D53,D283)</f>
        <v>809116</v>
      </c>
      <c r="E289" s="252">
        <f t="shared" si="389"/>
        <v>-45121</v>
      </c>
      <c r="F289" s="253">
        <f t="shared" si="389"/>
        <v>763995</v>
      </c>
      <c r="G289" s="251">
        <f t="shared" si="389"/>
        <v>0</v>
      </c>
      <c r="H289" s="252">
        <f t="shared" si="389"/>
        <v>0</v>
      </c>
      <c r="I289" s="253">
        <f t="shared" si="389"/>
        <v>0</v>
      </c>
      <c r="J289" s="251">
        <f t="shared" si="389"/>
        <v>0</v>
      </c>
      <c r="K289" s="252">
        <f t="shared" si="389"/>
        <v>0</v>
      </c>
      <c r="L289" s="253">
        <f t="shared" si="389"/>
        <v>0</v>
      </c>
      <c r="M289" s="251">
        <f t="shared" si="389"/>
        <v>0</v>
      </c>
      <c r="N289" s="252">
        <f t="shared" si="389"/>
        <v>0</v>
      </c>
      <c r="O289" s="253">
        <f t="shared" si="389"/>
        <v>0</v>
      </c>
      <c r="P289" s="254"/>
    </row>
    <row r="290" spans="1:16" s="28" customFormat="1" ht="13.5" hidden="1" thickTop="1" thickBot="1" x14ac:dyDescent="0.3">
      <c r="A290" s="1945" t="s">
        <v>309</v>
      </c>
      <c r="B290" s="1946"/>
      <c r="C290" s="255">
        <f t="shared" si="371"/>
        <v>0</v>
      </c>
      <c r="D290" s="256">
        <f>SUM(D24,D25,D41)-D51</f>
        <v>0</v>
      </c>
      <c r="E290" s="257">
        <f t="shared" ref="E290:F290" si="390">SUM(E24,E25,E41)-E51</f>
        <v>0</v>
      </c>
      <c r="F290" s="258">
        <f t="shared" si="390"/>
        <v>0</v>
      </c>
      <c r="G290" s="256">
        <f>SUM(G24,G25,G41)-G51</f>
        <v>0</v>
      </c>
      <c r="H290" s="257">
        <f t="shared" ref="H290:I290" si="391">SUM(H24,H25,H41)-H51</f>
        <v>0</v>
      </c>
      <c r="I290" s="258">
        <f t="shared" si="391"/>
        <v>0</v>
      </c>
      <c r="J290" s="256">
        <f>(J26+J43)-J51</f>
        <v>0</v>
      </c>
      <c r="K290" s="257">
        <f t="shared" ref="K290:L290" si="392">(K26+K43)-K51</f>
        <v>0</v>
      </c>
      <c r="L290" s="258">
        <f t="shared" si="392"/>
        <v>0</v>
      </c>
      <c r="M290" s="256">
        <f>M45-M51</f>
        <v>0</v>
      </c>
      <c r="N290" s="257">
        <f t="shared" ref="N290:O290" si="393">N45-N51</f>
        <v>0</v>
      </c>
      <c r="O290" s="258">
        <f t="shared" si="393"/>
        <v>0</v>
      </c>
      <c r="P290" s="259"/>
    </row>
    <row r="291" spans="1:16" s="28" customFormat="1" ht="12.75" hidden="1" thickTop="1" x14ac:dyDescent="0.25">
      <c r="A291" s="1947" t="s">
        <v>310</v>
      </c>
      <c r="B291" s="1948"/>
      <c r="C291" s="260">
        <f t="shared" si="371"/>
        <v>0</v>
      </c>
      <c r="D291" s="261">
        <f t="shared" ref="D291:O291" si="394">SUM(D292,D293)-D300+D301</f>
        <v>0</v>
      </c>
      <c r="E291" s="262">
        <f t="shared" si="394"/>
        <v>0</v>
      </c>
      <c r="F291" s="263">
        <f t="shared" si="394"/>
        <v>0</v>
      </c>
      <c r="G291" s="261">
        <f t="shared" si="394"/>
        <v>0</v>
      </c>
      <c r="H291" s="262">
        <f t="shared" si="394"/>
        <v>0</v>
      </c>
      <c r="I291" s="263">
        <f t="shared" si="394"/>
        <v>0</v>
      </c>
      <c r="J291" s="261">
        <f t="shared" si="394"/>
        <v>0</v>
      </c>
      <c r="K291" s="262">
        <f t="shared" si="394"/>
        <v>0</v>
      </c>
      <c r="L291" s="263">
        <f t="shared" si="394"/>
        <v>0</v>
      </c>
      <c r="M291" s="261">
        <f t="shared" si="394"/>
        <v>0</v>
      </c>
      <c r="N291" s="262">
        <f t="shared" si="394"/>
        <v>0</v>
      </c>
      <c r="O291" s="263">
        <f t="shared" si="394"/>
        <v>0</v>
      </c>
      <c r="P291" s="264"/>
    </row>
    <row r="292" spans="1:16" s="28" customFormat="1" ht="13.5" hidden="1" thickTop="1" thickBot="1" x14ac:dyDescent="0.3">
      <c r="A292" s="156" t="s">
        <v>311</v>
      </c>
      <c r="B292" s="156" t="s">
        <v>312</v>
      </c>
      <c r="C292" s="157">
        <f t="shared" si="371"/>
        <v>0</v>
      </c>
      <c r="D292" s="158">
        <f t="shared" ref="D292:O292" si="395">D21-D286</f>
        <v>0</v>
      </c>
      <c r="E292" s="159">
        <f t="shared" si="395"/>
        <v>0</v>
      </c>
      <c r="F292" s="160">
        <f t="shared" si="395"/>
        <v>0</v>
      </c>
      <c r="G292" s="158">
        <f t="shared" si="395"/>
        <v>0</v>
      </c>
      <c r="H292" s="159">
        <f t="shared" si="395"/>
        <v>0</v>
      </c>
      <c r="I292" s="160">
        <f t="shared" si="395"/>
        <v>0</v>
      </c>
      <c r="J292" s="158">
        <f t="shared" si="395"/>
        <v>0</v>
      </c>
      <c r="K292" s="159">
        <f t="shared" si="395"/>
        <v>0</v>
      </c>
      <c r="L292" s="160">
        <f t="shared" si="395"/>
        <v>0</v>
      </c>
      <c r="M292" s="158">
        <f t="shared" si="395"/>
        <v>0</v>
      </c>
      <c r="N292" s="159">
        <f t="shared" si="395"/>
        <v>0</v>
      </c>
      <c r="O292" s="160">
        <f t="shared" si="395"/>
        <v>0</v>
      </c>
      <c r="P292" s="35"/>
    </row>
    <row r="293" spans="1:16" s="28" customFormat="1" ht="12.75" hidden="1" thickTop="1" x14ac:dyDescent="0.25">
      <c r="A293" s="265" t="s">
        <v>313</v>
      </c>
      <c r="B293" s="265" t="s">
        <v>314</v>
      </c>
      <c r="C293" s="260">
        <f t="shared" si="371"/>
        <v>0</v>
      </c>
      <c r="D293" s="261">
        <f t="shared" ref="D293:O293" si="396">SUM(D294,D296,D298)-SUM(D295,D297,D299)</f>
        <v>0</v>
      </c>
      <c r="E293" s="262">
        <f t="shared" si="396"/>
        <v>0</v>
      </c>
      <c r="F293" s="263">
        <f t="shared" si="396"/>
        <v>0</v>
      </c>
      <c r="G293" s="261">
        <f t="shared" si="396"/>
        <v>0</v>
      </c>
      <c r="H293" s="262">
        <f t="shared" si="396"/>
        <v>0</v>
      </c>
      <c r="I293" s="263">
        <f t="shared" si="396"/>
        <v>0</v>
      </c>
      <c r="J293" s="261">
        <f t="shared" si="396"/>
        <v>0</v>
      </c>
      <c r="K293" s="262">
        <f t="shared" si="396"/>
        <v>0</v>
      </c>
      <c r="L293" s="263">
        <f t="shared" si="396"/>
        <v>0</v>
      </c>
      <c r="M293" s="261">
        <f t="shared" si="396"/>
        <v>0</v>
      </c>
      <c r="N293" s="262">
        <f t="shared" si="396"/>
        <v>0</v>
      </c>
      <c r="O293" s="263">
        <f t="shared" si="396"/>
        <v>0</v>
      </c>
      <c r="P293" s="264"/>
    </row>
    <row r="294" spans="1:16" ht="12" hidden="1" customHeight="1" x14ac:dyDescent="0.25">
      <c r="A294" s="266" t="s">
        <v>315</v>
      </c>
      <c r="B294" s="141" t="s">
        <v>316</v>
      </c>
      <c r="C294" s="97">
        <f t="shared" si="371"/>
        <v>0</v>
      </c>
      <c r="D294" s="236"/>
      <c r="E294" s="237"/>
      <c r="F294" s="238">
        <f t="shared" ref="F294:F301" si="397">D294+E294</f>
        <v>0</v>
      </c>
      <c r="G294" s="101"/>
      <c r="H294" s="102"/>
      <c r="I294" s="238">
        <f t="shared" ref="I294:I301" si="398">G294+H294</f>
        <v>0</v>
      </c>
      <c r="J294" s="101"/>
      <c r="K294" s="102"/>
      <c r="L294" s="238">
        <f t="shared" ref="L294:L301" si="399">K294+J294</f>
        <v>0</v>
      </c>
      <c r="M294" s="101"/>
      <c r="N294" s="102"/>
      <c r="O294" s="238">
        <f t="shared" ref="O294:O301" si="400">N294+M294</f>
        <v>0</v>
      </c>
      <c r="P294" s="106"/>
    </row>
    <row r="295" spans="1:16" ht="24" hidden="1" customHeight="1" x14ac:dyDescent="0.25">
      <c r="A295" s="199" t="s">
        <v>317</v>
      </c>
      <c r="B295" s="50" t="s">
        <v>318</v>
      </c>
      <c r="C295" s="89">
        <f t="shared" si="371"/>
        <v>0</v>
      </c>
      <c r="D295" s="194"/>
      <c r="E295" s="195"/>
      <c r="F295" s="55">
        <f t="shared" si="397"/>
        <v>0</v>
      </c>
      <c r="G295" s="53"/>
      <c r="H295" s="54"/>
      <c r="I295" s="55">
        <f t="shared" si="398"/>
        <v>0</v>
      </c>
      <c r="J295" s="53"/>
      <c r="K295" s="54"/>
      <c r="L295" s="55">
        <f t="shared" si="399"/>
        <v>0</v>
      </c>
      <c r="M295" s="53"/>
      <c r="N295" s="54"/>
      <c r="O295" s="55">
        <f t="shared" si="400"/>
        <v>0</v>
      </c>
      <c r="P295" s="57"/>
    </row>
    <row r="296" spans="1:16" ht="12" hidden="1" customHeight="1" x14ac:dyDescent="0.25">
      <c r="A296" s="199" t="s">
        <v>319</v>
      </c>
      <c r="B296" s="50" t="s">
        <v>320</v>
      </c>
      <c r="C296" s="89">
        <f t="shared" si="371"/>
        <v>0</v>
      </c>
      <c r="D296" s="194"/>
      <c r="E296" s="195"/>
      <c r="F296" s="55">
        <f t="shared" si="397"/>
        <v>0</v>
      </c>
      <c r="G296" s="53"/>
      <c r="H296" s="54"/>
      <c r="I296" s="55">
        <f t="shared" si="398"/>
        <v>0</v>
      </c>
      <c r="J296" s="53"/>
      <c r="K296" s="54"/>
      <c r="L296" s="55">
        <f t="shared" si="399"/>
        <v>0</v>
      </c>
      <c r="M296" s="53"/>
      <c r="N296" s="54"/>
      <c r="O296" s="55">
        <f t="shared" si="400"/>
        <v>0</v>
      </c>
      <c r="P296" s="57"/>
    </row>
    <row r="297" spans="1:16" ht="24" hidden="1" customHeight="1" x14ac:dyDescent="0.25">
      <c r="A297" s="199" t="s">
        <v>321</v>
      </c>
      <c r="B297" s="50" t="s">
        <v>322</v>
      </c>
      <c r="C297" s="89">
        <f t="shared" si="371"/>
        <v>0</v>
      </c>
      <c r="D297" s="194"/>
      <c r="E297" s="195"/>
      <c r="F297" s="55">
        <f t="shared" si="397"/>
        <v>0</v>
      </c>
      <c r="G297" s="53"/>
      <c r="H297" s="54"/>
      <c r="I297" s="55">
        <f t="shared" si="398"/>
        <v>0</v>
      </c>
      <c r="J297" s="53"/>
      <c r="K297" s="54"/>
      <c r="L297" s="55">
        <f t="shared" si="399"/>
        <v>0</v>
      </c>
      <c r="M297" s="53"/>
      <c r="N297" s="54"/>
      <c r="O297" s="55">
        <f t="shared" si="400"/>
        <v>0</v>
      </c>
      <c r="P297" s="57"/>
    </row>
    <row r="298" spans="1:16" ht="12" hidden="1" customHeight="1" x14ac:dyDescent="0.25">
      <c r="A298" s="199" t="s">
        <v>323</v>
      </c>
      <c r="B298" s="50" t="s">
        <v>324</v>
      </c>
      <c r="C298" s="89">
        <f t="shared" si="371"/>
        <v>0</v>
      </c>
      <c r="D298" s="194"/>
      <c r="E298" s="195"/>
      <c r="F298" s="55">
        <f t="shared" si="397"/>
        <v>0</v>
      </c>
      <c r="G298" s="53"/>
      <c r="H298" s="54"/>
      <c r="I298" s="55">
        <f t="shared" si="398"/>
        <v>0</v>
      </c>
      <c r="J298" s="53"/>
      <c r="K298" s="54"/>
      <c r="L298" s="55">
        <f t="shared" si="399"/>
        <v>0</v>
      </c>
      <c r="M298" s="53"/>
      <c r="N298" s="54"/>
      <c r="O298" s="55">
        <f t="shared" si="400"/>
        <v>0</v>
      </c>
      <c r="P298" s="57"/>
    </row>
    <row r="299" spans="1:16" ht="24.75" hidden="1" customHeight="1" thickBot="1" x14ac:dyDescent="0.25">
      <c r="A299" s="267" t="s">
        <v>325</v>
      </c>
      <c r="B299" s="268" t="s">
        <v>326</v>
      </c>
      <c r="C299" s="208">
        <f t="shared" si="371"/>
        <v>0</v>
      </c>
      <c r="D299" s="210"/>
      <c r="E299" s="211"/>
      <c r="F299" s="212">
        <f t="shared" si="397"/>
        <v>0</v>
      </c>
      <c r="G299" s="213"/>
      <c r="H299" s="214"/>
      <c r="I299" s="212">
        <f t="shared" si="398"/>
        <v>0</v>
      </c>
      <c r="J299" s="213"/>
      <c r="K299" s="214"/>
      <c r="L299" s="212">
        <f t="shared" si="399"/>
        <v>0</v>
      </c>
      <c r="M299" s="213"/>
      <c r="N299" s="214"/>
      <c r="O299" s="212">
        <f t="shared" si="400"/>
        <v>0</v>
      </c>
      <c r="P299" s="215"/>
    </row>
    <row r="300" spans="1:16" s="28" customFormat="1" ht="13.5" hidden="1" customHeight="1" thickTop="1" thickBot="1" x14ac:dyDescent="0.3">
      <c r="A300" s="269" t="s">
        <v>327</v>
      </c>
      <c r="B300" s="269" t="s">
        <v>328</v>
      </c>
      <c r="C300" s="255">
        <f t="shared" si="371"/>
        <v>0</v>
      </c>
      <c r="D300" s="270"/>
      <c r="E300" s="271"/>
      <c r="F300" s="258">
        <f t="shared" si="397"/>
        <v>0</v>
      </c>
      <c r="G300" s="270"/>
      <c r="H300" s="271"/>
      <c r="I300" s="272">
        <f t="shared" si="398"/>
        <v>0</v>
      </c>
      <c r="J300" s="270"/>
      <c r="K300" s="271"/>
      <c r="L300" s="272">
        <f t="shared" si="399"/>
        <v>0</v>
      </c>
      <c r="M300" s="270"/>
      <c r="N300" s="271"/>
      <c r="O300" s="272">
        <f t="shared" si="400"/>
        <v>0</v>
      </c>
      <c r="P300" s="273"/>
    </row>
    <row r="301" spans="1:16" s="28" customFormat="1" ht="48.75" hidden="1" customHeight="1" thickTop="1" x14ac:dyDescent="0.25">
      <c r="A301" s="265" t="s">
        <v>329</v>
      </c>
      <c r="B301" s="274" t="s">
        <v>330</v>
      </c>
      <c r="C301" s="260">
        <f t="shared" si="371"/>
        <v>0</v>
      </c>
      <c r="D301" s="204"/>
      <c r="E301" s="205"/>
      <c r="F301" s="72">
        <f t="shared" si="397"/>
        <v>0</v>
      </c>
      <c r="G301" s="204"/>
      <c r="H301" s="205"/>
      <c r="I301" s="72">
        <f t="shared" si="398"/>
        <v>0</v>
      </c>
      <c r="J301" s="204"/>
      <c r="K301" s="205"/>
      <c r="L301" s="72">
        <f t="shared" si="399"/>
        <v>0</v>
      </c>
      <c r="M301" s="204"/>
      <c r="N301" s="205"/>
      <c r="O301" s="72">
        <f t="shared" si="400"/>
        <v>0</v>
      </c>
      <c r="P301" s="76"/>
    </row>
    <row r="302" spans="1:16" ht="12.75" thickTop="1" x14ac:dyDescent="0.25">
      <c r="A302" s="4"/>
      <c r="B302" s="4"/>
      <c r="C302" s="4"/>
      <c r="D302" s="4"/>
      <c r="E302" s="4"/>
      <c r="F302" s="4"/>
      <c r="G302" s="4"/>
      <c r="H302" s="4"/>
      <c r="I302" s="4"/>
      <c r="J302" s="4"/>
      <c r="K302" s="4"/>
      <c r="L302" s="4"/>
      <c r="M302" s="4"/>
    </row>
    <row r="303" spans="1:16" x14ac:dyDescent="0.25">
      <c r="A303" s="4"/>
      <c r="B303" s="4"/>
      <c r="C303" s="4"/>
      <c r="D303" s="4"/>
      <c r="E303" s="4"/>
      <c r="F303" s="4"/>
      <c r="G303" s="4"/>
      <c r="H303" s="4"/>
      <c r="I303" s="4"/>
      <c r="J303" s="4"/>
      <c r="K303" s="4"/>
      <c r="L303" s="4"/>
      <c r="M303" s="4"/>
    </row>
    <row r="304" spans="1:16" x14ac:dyDescent="0.25">
      <c r="A304" s="4"/>
      <c r="B304" s="4"/>
      <c r="C304" s="4"/>
      <c r="D304" s="4"/>
      <c r="E304" s="4"/>
      <c r="F304" s="4"/>
      <c r="G304" s="4"/>
      <c r="H304" s="4"/>
      <c r="I304" s="4"/>
      <c r="J304" s="4"/>
      <c r="K304" s="4"/>
      <c r="L304" s="4"/>
      <c r="M304" s="4"/>
    </row>
    <row r="305" spans="1:13" x14ac:dyDescent="0.25">
      <c r="A305" s="4"/>
      <c r="B305" s="4"/>
      <c r="C305" s="4"/>
      <c r="D305" s="4"/>
      <c r="E305" s="4"/>
      <c r="F305" s="4"/>
      <c r="G305" s="4"/>
      <c r="H305" s="4"/>
      <c r="I305" s="4"/>
      <c r="J305" s="4"/>
      <c r="K305" s="4"/>
      <c r="L305" s="4"/>
      <c r="M305" s="4"/>
    </row>
    <row r="306" spans="1:13" x14ac:dyDescent="0.25">
      <c r="A306" s="4"/>
      <c r="B306" s="4"/>
      <c r="C306" s="4"/>
      <c r="D306" s="4"/>
      <c r="E306" s="4"/>
      <c r="F306" s="4"/>
      <c r="G306" s="4"/>
      <c r="H306" s="4"/>
      <c r="I306" s="4"/>
      <c r="J306" s="4"/>
      <c r="K306" s="4"/>
      <c r="L306" s="4"/>
      <c r="M306" s="4"/>
    </row>
    <row r="307" spans="1:13" x14ac:dyDescent="0.25">
      <c r="A307" s="4"/>
      <c r="B307" s="4"/>
      <c r="C307" s="4"/>
      <c r="D307" s="4"/>
      <c r="E307" s="4"/>
      <c r="F307" s="4"/>
      <c r="G307" s="4"/>
      <c r="H307" s="4"/>
      <c r="I307" s="4"/>
      <c r="J307" s="4"/>
      <c r="K307" s="4"/>
      <c r="L307" s="4"/>
      <c r="M307" s="4"/>
    </row>
    <row r="308" spans="1:13" x14ac:dyDescent="0.25">
      <c r="A308" s="4"/>
      <c r="B308" s="4"/>
      <c r="C308" s="4"/>
      <c r="D308" s="4"/>
      <c r="E308" s="4"/>
      <c r="F308" s="4"/>
      <c r="G308" s="4"/>
      <c r="H308" s="4"/>
      <c r="I308" s="4"/>
      <c r="J308" s="4"/>
      <c r="K308" s="4"/>
      <c r="L308" s="4"/>
      <c r="M308" s="4"/>
    </row>
    <row r="309" spans="1:13" x14ac:dyDescent="0.25">
      <c r="A309" s="4"/>
      <c r="B309" s="4"/>
      <c r="C309" s="4"/>
      <c r="D309" s="4"/>
      <c r="E309" s="4"/>
      <c r="F309" s="4"/>
      <c r="G309" s="4"/>
      <c r="H309" s="4"/>
      <c r="I309" s="4"/>
      <c r="J309" s="4"/>
      <c r="K309" s="4"/>
      <c r="L309" s="4"/>
      <c r="M309" s="4"/>
    </row>
    <row r="310" spans="1:13" x14ac:dyDescent="0.25">
      <c r="A310" s="4"/>
      <c r="B310" s="4"/>
      <c r="C310" s="4"/>
      <c r="D310" s="4"/>
      <c r="E310" s="4"/>
      <c r="F310" s="4"/>
      <c r="G310" s="4"/>
      <c r="H310" s="4"/>
      <c r="I310" s="4"/>
      <c r="J310" s="4"/>
      <c r="K310" s="4"/>
      <c r="L310" s="4"/>
      <c r="M310" s="4"/>
    </row>
    <row r="311" spans="1:13" x14ac:dyDescent="0.25">
      <c r="A311" s="4"/>
      <c r="B311" s="4"/>
      <c r="C311" s="4"/>
      <c r="D311" s="4"/>
      <c r="E311" s="4"/>
      <c r="F311" s="4"/>
      <c r="G311" s="4"/>
      <c r="H311" s="4"/>
      <c r="I311" s="4"/>
      <c r="J311" s="4"/>
      <c r="K311" s="4"/>
      <c r="L311" s="4"/>
      <c r="M311" s="4"/>
    </row>
    <row r="312" spans="1:13" x14ac:dyDescent="0.25">
      <c r="A312" s="4"/>
      <c r="B312" s="4"/>
      <c r="C312" s="4"/>
      <c r="D312" s="4"/>
      <c r="E312" s="4"/>
      <c r="F312" s="4"/>
      <c r="G312" s="4"/>
      <c r="H312" s="4"/>
      <c r="I312" s="4"/>
      <c r="J312" s="4"/>
      <c r="K312" s="4"/>
      <c r="L312" s="4"/>
      <c r="M312" s="4"/>
    </row>
    <row r="313" spans="1:13" x14ac:dyDescent="0.25">
      <c r="A313" s="4"/>
      <c r="B313" s="4"/>
      <c r="C313" s="4"/>
      <c r="D313" s="4"/>
      <c r="E313" s="4"/>
      <c r="F313" s="4"/>
      <c r="G313" s="4"/>
      <c r="H313" s="4"/>
      <c r="I313" s="4"/>
      <c r="J313" s="4"/>
      <c r="K313" s="4"/>
      <c r="L313" s="4"/>
      <c r="M313" s="4"/>
    </row>
    <row r="314" spans="1:13" x14ac:dyDescent="0.25">
      <c r="A314" s="4"/>
      <c r="B314" s="4"/>
      <c r="C314" s="4"/>
      <c r="D314" s="4"/>
      <c r="E314" s="4"/>
      <c r="F314" s="4"/>
      <c r="G314" s="4"/>
      <c r="H314" s="4"/>
      <c r="I314" s="4"/>
      <c r="J314" s="4"/>
      <c r="K314" s="4"/>
      <c r="L314" s="4"/>
      <c r="M314" s="4"/>
    </row>
  </sheetData>
  <sheetProtection algorithmName="SHA-512" hashValue="p/Kyq6XJRqjzTG3AMUdOL8LxBdDlDRHcY3Yi3am6LDOS61JeWnYMXPo9WHo/r4mit6rAPSS49tgk7J9DPmT6ZA==" saltValue="guKK9EaS+K3tftSys0q8TA==" spinCount="100000" sheet="1" objects="1" scenarios="1" formatCells="0" formatColumns="0" formatRows="0" deleteColumns="0"/>
  <autoFilter ref="A18:P301">
    <filterColumn colId="2">
      <filters>
        <filter val="126 385"/>
        <filter val="145 045"/>
        <filter val="15 464"/>
        <filter val="16 500"/>
        <filter val="2 000"/>
        <filter val="209 047"/>
        <filter val="23 550"/>
        <filter val="29 210"/>
        <filter val="3 272"/>
        <filter val="3 300"/>
        <filter val="302 000"/>
        <filter val="32 482"/>
        <filter val="32 509"/>
        <filter val="327 757"/>
        <filter val="350"/>
        <filter val="39 014"/>
        <filter val="478 102"/>
        <filter val="5 000"/>
        <filter val="5 300"/>
        <filter val="5 350"/>
        <filter val="5 500"/>
        <filter val="510 584"/>
        <filter val="554 948"/>
        <filter val="763 995"/>
        <filter val="82 662"/>
        <filter val="88 376"/>
        <filter val="9 257"/>
      </filters>
    </filterColumn>
  </autoFilter>
  <mergeCells count="32">
    <mergeCell ref="A290:B290"/>
    <mergeCell ref="A291:B291"/>
    <mergeCell ref="I16:I17"/>
    <mergeCell ref="J16:J17"/>
    <mergeCell ref="K16:K17"/>
    <mergeCell ref="C14:P14"/>
    <mergeCell ref="A15:A17"/>
    <mergeCell ref="B15:B17"/>
    <mergeCell ref="C15:P15"/>
    <mergeCell ref="C16:C17"/>
    <mergeCell ref="D16:D17"/>
    <mergeCell ref="E16:E17"/>
    <mergeCell ref="F16:F17"/>
    <mergeCell ref="G16:G17"/>
    <mergeCell ref="H16:H17"/>
    <mergeCell ref="O16:O17"/>
    <mergeCell ref="P16:P17"/>
    <mergeCell ref="L16:L17"/>
    <mergeCell ref="M16:M17"/>
    <mergeCell ref="N16:N17"/>
    <mergeCell ref="C13:P13"/>
    <mergeCell ref="A2:P2"/>
    <mergeCell ref="C3:P3"/>
    <mergeCell ref="C4:P4"/>
    <mergeCell ref="C5:P5"/>
    <mergeCell ref="C6:P6"/>
    <mergeCell ref="C7:P7"/>
    <mergeCell ref="C8:P8"/>
    <mergeCell ref="C9:P9"/>
    <mergeCell ref="C10:P10"/>
    <mergeCell ref="C11:P11"/>
    <mergeCell ref="C12:P12"/>
  </mergeCells>
  <pageMargins left="0.98425196850393704" right="0.39370078740157483" top="0.59055118110236227" bottom="0.39370078740157483" header="0.23622047244094491" footer="0.23622047244094491"/>
  <pageSetup paperSize="9" scale="70" orientation="portrait" r:id="rId1"/>
  <headerFooter differentFirst="1">
    <oddFooter>&amp;L&amp;"Times New Roman,Regular"&amp;9&amp;D; &amp;T&amp;R&amp;"Times New Roman,Regular"&amp;9&amp;P (&amp;N)</oddFooter>
    <firstHeader xml:space="preserve">&amp;R&amp;"Times New Roman,Regular"&amp;9 11.pielikums Jūrmalas pilsētas domes
2019.gada 29.augusta saistošajiem noteikumiem Nr.31
(protokols Nr.12, 20.punkts)
 </firstHeader>
    <firstFooter>&amp;L&amp;9&amp;D; &amp;T&amp;R&amp;9&amp;P (&amp;N)</first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87</vt:i4>
      </vt:variant>
      <vt:variant>
        <vt:lpstr>Named Ranges</vt:lpstr>
      </vt:variant>
      <vt:variant>
        <vt:i4>71</vt:i4>
      </vt:variant>
    </vt:vector>
  </HeadingPairs>
  <TitlesOfParts>
    <vt:vector size="158" baseType="lpstr">
      <vt:lpstr>01.1.1.</vt:lpstr>
      <vt:lpstr>01.1.9.</vt:lpstr>
      <vt:lpstr>01.2.5.</vt:lpstr>
      <vt:lpstr>01.3.1.</vt:lpstr>
      <vt:lpstr>03.2.1.</vt:lpstr>
      <vt:lpstr>04.1.1.</vt:lpstr>
      <vt:lpstr>04.1.3.</vt:lpstr>
      <vt:lpstr>04.1.5.</vt:lpstr>
      <vt:lpstr>04.1.6.</vt:lpstr>
      <vt:lpstr>04.1.8.</vt:lpstr>
      <vt:lpstr>04.1.19.</vt:lpstr>
      <vt:lpstr>04.3.1.</vt:lpstr>
      <vt:lpstr>05.1.4.</vt:lpstr>
      <vt:lpstr>06.1.1.</vt:lpstr>
      <vt:lpstr>06.1.4.</vt:lpstr>
      <vt:lpstr>06.1.9.</vt:lpstr>
      <vt:lpstr>07.1.2.</vt:lpstr>
      <vt:lpstr>07.1.3.</vt:lpstr>
      <vt:lpstr>07.1.4.</vt:lpstr>
      <vt:lpstr>08.1.1.</vt:lpstr>
      <vt:lpstr>08.1.3.</vt:lpstr>
      <vt:lpstr>08.1.5.</vt:lpstr>
      <vt:lpstr>08.1.6.</vt:lpstr>
      <vt:lpstr>08.1.7.</vt:lpstr>
      <vt:lpstr>08.1.8.</vt:lpstr>
      <vt:lpstr>08.1.11.</vt:lpstr>
      <vt:lpstr>08.1.15.</vt:lpstr>
      <vt:lpstr>08.2.2.</vt:lpstr>
      <vt:lpstr>08.2.4.</vt:lpstr>
      <vt:lpstr>08.2.5.</vt:lpstr>
      <vt:lpstr>08.3.1.</vt:lpstr>
      <vt:lpstr>08.4.1.</vt:lpstr>
      <vt:lpstr>08.6.1.</vt:lpstr>
      <vt:lpstr>09.1.1.</vt:lpstr>
      <vt:lpstr>09.1.5.</vt:lpstr>
      <vt:lpstr>09.1.6.</vt:lpstr>
      <vt:lpstr>09.1.7.</vt:lpstr>
      <vt:lpstr>09.1.8.</vt:lpstr>
      <vt:lpstr>09.1.10.</vt:lpstr>
      <vt:lpstr>09.1.20.</vt:lpstr>
      <vt:lpstr>09.1.24.</vt:lpstr>
      <vt:lpstr>09.4.1.</vt:lpstr>
      <vt:lpstr>09.4.4.</vt:lpstr>
      <vt:lpstr>09.8.1.</vt:lpstr>
      <vt:lpstr>09.9.1.</vt:lpstr>
      <vt:lpstr>09.10.1.</vt:lpstr>
      <vt:lpstr>09.12.1.</vt:lpstr>
      <vt:lpstr>09.23.1.</vt:lpstr>
      <vt:lpstr>09.29.2.</vt:lpstr>
      <vt:lpstr>09.30.1.</vt:lpstr>
      <vt:lpstr>09.31.1.</vt:lpstr>
      <vt:lpstr>10.1.1.</vt:lpstr>
      <vt:lpstr>10.2.1.</vt:lpstr>
      <vt:lpstr>10.2.2.</vt:lpstr>
      <vt:lpstr>10.2.3.</vt:lpstr>
      <vt:lpstr>10.2.4.</vt:lpstr>
      <vt:lpstr>10.2.5.</vt:lpstr>
      <vt:lpstr>10.2.6.</vt:lpstr>
      <vt:lpstr>10.2.7.</vt:lpstr>
      <vt:lpstr>10.2.8.</vt:lpstr>
      <vt:lpstr>10.2.9.</vt:lpstr>
      <vt:lpstr>10.3.1.</vt:lpstr>
      <vt:lpstr>10.3.2.</vt:lpstr>
      <vt:lpstr>10.3.3.</vt:lpstr>
      <vt:lpstr>10.3.5.</vt:lpstr>
      <vt:lpstr>10.3.6.</vt:lpstr>
      <vt:lpstr>10.4.1.</vt:lpstr>
      <vt:lpstr>10.5.1.</vt:lpstr>
      <vt:lpstr>3.piel.</vt:lpstr>
      <vt:lpstr>4.piel.</vt:lpstr>
      <vt:lpstr>8.piel.</vt:lpstr>
      <vt:lpstr>10.piel.</vt:lpstr>
      <vt:lpstr>11.piel.</vt:lpstr>
      <vt:lpstr>16.piel.</vt:lpstr>
      <vt:lpstr>18.piel.</vt:lpstr>
      <vt:lpstr>19.piel</vt:lpstr>
      <vt:lpstr>23.piel.</vt:lpstr>
      <vt:lpstr>25.piel.</vt:lpstr>
      <vt:lpstr>28.piel.</vt:lpstr>
      <vt:lpstr>29.piel.</vt:lpstr>
      <vt:lpstr>30.piel.</vt:lpstr>
      <vt:lpstr>31.piel.</vt:lpstr>
      <vt:lpstr>32.piel.</vt:lpstr>
      <vt:lpstr>33.piel.</vt:lpstr>
      <vt:lpstr>35.piel.</vt:lpstr>
      <vt:lpstr>05.2.2.</vt:lpstr>
      <vt:lpstr>05.2.3.</vt:lpstr>
      <vt:lpstr>'35.piel.'!Print_Area</vt:lpstr>
      <vt:lpstr>'01.1.1.'!Print_Titles</vt:lpstr>
      <vt:lpstr>'01.1.9.'!Print_Titles</vt:lpstr>
      <vt:lpstr>'01.2.5.'!Print_Titles</vt:lpstr>
      <vt:lpstr>'03.2.1.'!Print_Titles</vt:lpstr>
      <vt:lpstr>'04.1.1.'!Print_Titles</vt:lpstr>
      <vt:lpstr>'04.1.19.'!Print_Titles</vt:lpstr>
      <vt:lpstr>'04.1.3.'!Print_Titles</vt:lpstr>
      <vt:lpstr>'04.1.5.'!Print_Titles</vt:lpstr>
      <vt:lpstr>'04.1.6.'!Print_Titles</vt:lpstr>
      <vt:lpstr>'04.1.8.'!Print_Titles</vt:lpstr>
      <vt:lpstr>'04.3.1.'!Print_Titles</vt:lpstr>
      <vt:lpstr>'05.1.4.'!Print_Titles</vt:lpstr>
      <vt:lpstr>'05.2.2.'!Print_Titles</vt:lpstr>
      <vt:lpstr>'05.2.3.'!Print_Titles</vt:lpstr>
      <vt:lpstr>'06.1.1.'!Print_Titles</vt:lpstr>
      <vt:lpstr>'06.1.4.'!Print_Titles</vt:lpstr>
      <vt:lpstr>'06.1.9.'!Print_Titles</vt:lpstr>
      <vt:lpstr>'07.1.2.'!Print_Titles</vt:lpstr>
      <vt:lpstr>'07.1.3.'!Print_Titles</vt:lpstr>
      <vt:lpstr>'07.1.4.'!Print_Titles</vt:lpstr>
      <vt:lpstr>'08.1.1.'!Print_Titles</vt:lpstr>
      <vt:lpstr>'08.1.11.'!Print_Titles</vt:lpstr>
      <vt:lpstr>'08.1.15.'!Print_Titles</vt:lpstr>
      <vt:lpstr>'08.1.3.'!Print_Titles</vt:lpstr>
      <vt:lpstr>'08.1.5.'!Print_Titles</vt:lpstr>
      <vt:lpstr>'08.1.6.'!Print_Titles</vt:lpstr>
      <vt:lpstr>'08.1.7.'!Print_Titles</vt:lpstr>
      <vt:lpstr>'08.1.8.'!Print_Titles</vt:lpstr>
      <vt:lpstr>'08.2.2.'!Print_Titles</vt:lpstr>
      <vt:lpstr>'08.2.4.'!Print_Titles</vt:lpstr>
      <vt:lpstr>'08.2.5.'!Print_Titles</vt:lpstr>
      <vt:lpstr>'08.3.1.'!Print_Titles</vt:lpstr>
      <vt:lpstr>'08.4.1.'!Print_Titles</vt:lpstr>
      <vt:lpstr>'08.6.1.'!Print_Titles</vt:lpstr>
      <vt:lpstr>'09.1.1.'!Print_Titles</vt:lpstr>
      <vt:lpstr>'09.1.10.'!Print_Titles</vt:lpstr>
      <vt:lpstr>'09.1.20.'!Print_Titles</vt:lpstr>
      <vt:lpstr>'09.1.24.'!Print_Titles</vt:lpstr>
      <vt:lpstr>'09.1.5.'!Print_Titles</vt:lpstr>
      <vt:lpstr>'09.1.6.'!Print_Titles</vt:lpstr>
      <vt:lpstr>'09.1.7.'!Print_Titles</vt:lpstr>
      <vt:lpstr>'09.1.8.'!Print_Titles</vt:lpstr>
      <vt:lpstr>'09.10.1.'!Print_Titles</vt:lpstr>
      <vt:lpstr>'09.12.1.'!Print_Titles</vt:lpstr>
      <vt:lpstr>'09.23.1.'!Print_Titles</vt:lpstr>
      <vt:lpstr>'09.29.2.'!Print_Titles</vt:lpstr>
      <vt:lpstr>'09.30.1.'!Print_Titles</vt:lpstr>
      <vt:lpstr>'09.31.1.'!Print_Titles</vt:lpstr>
      <vt:lpstr>'09.4.1.'!Print_Titles</vt:lpstr>
      <vt:lpstr>'09.4.4.'!Print_Titles</vt:lpstr>
      <vt:lpstr>'09.8.1.'!Print_Titles</vt:lpstr>
      <vt:lpstr>'09.9.1.'!Print_Titles</vt:lpstr>
      <vt:lpstr>'10.1.1.'!Print_Titles</vt:lpstr>
      <vt:lpstr>'10.2.1.'!Print_Titles</vt:lpstr>
      <vt:lpstr>'10.2.2.'!Print_Titles</vt:lpstr>
      <vt:lpstr>'10.2.3.'!Print_Titles</vt:lpstr>
      <vt:lpstr>'10.2.4.'!Print_Titles</vt:lpstr>
      <vt:lpstr>'10.2.5.'!Print_Titles</vt:lpstr>
      <vt:lpstr>'10.2.6.'!Print_Titles</vt:lpstr>
      <vt:lpstr>'10.2.7.'!Print_Titles</vt:lpstr>
      <vt:lpstr>'10.2.8.'!Print_Titles</vt:lpstr>
      <vt:lpstr>'10.2.9.'!Print_Titles</vt:lpstr>
      <vt:lpstr>'10.3.1.'!Print_Titles</vt:lpstr>
      <vt:lpstr>'10.3.2.'!Print_Titles</vt:lpstr>
      <vt:lpstr>'10.3.3.'!Print_Titles</vt:lpstr>
      <vt:lpstr>'10.3.5.'!Print_Titles</vt:lpstr>
      <vt:lpstr>'10.3.6.'!Print_Titles</vt:lpstr>
      <vt:lpstr>'10.4.1.'!Print_Titles</vt:lpstr>
      <vt:lpstr>'10.5.1.'!Print_Titles</vt:lpstr>
      <vt:lpstr>'35.piel.'!Print_Titles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Kristīne Hermane</dc:creator>
  <cp:lastModifiedBy>Liene Logina</cp:lastModifiedBy>
  <cp:lastPrinted>2019-08-30T06:44:19Z</cp:lastPrinted>
  <dcterms:created xsi:type="dcterms:W3CDTF">2019-08-01T13:25:36Z</dcterms:created>
  <dcterms:modified xsi:type="dcterms:W3CDTF">2019-08-30T06:44:59Z</dcterms:modified>
</cp:coreProperties>
</file>